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490" windowHeight="7695" tabRatio="767" activeTab="3"/>
  </bookViews>
  <sheets>
    <sheet name="Solar Report RKT" sheetId="15" r:id="rId1"/>
    <sheet name="Meter reading" sheetId="36" state="hidden" r:id="rId2"/>
    <sheet name="Solar Report_Base" sheetId="3" r:id="rId3"/>
    <sheet name="Remark" sheetId="4" r:id="rId4"/>
    <sheet name="Sheet13" sheetId="35" state="hidden" r:id="rId5"/>
    <sheet name="Target" sheetId="6" state="hidden" r:id="rId6"/>
    <sheet name="Solar Report_Base-May" sheetId="39" state="hidden" r:id="rId7"/>
    <sheet name="Exception Report F1" sheetId="21" r:id="rId8"/>
    <sheet name="Solar Report_Base_April" sheetId="37" state="hidden" r:id="rId9"/>
    <sheet name="Bckup sheet" sheetId="38" state="hidden" r:id="rId10"/>
    <sheet name="Sheet1" sheetId="34" state="hidden" r:id="rId11"/>
    <sheet name="Sheet8" sheetId="23" state="hidden" r:id="rId12"/>
    <sheet name="Sheet7" sheetId="22" state="hidden" r:id="rId13"/>
    <sheet name="Castamet" sheetId="18" state="hidden" r:id="rId14"/>
    <sheet name="Target " sheetId="40" state="hidden" r:id="rId15"/>
    <sheet name="Sheet2" sheetId="8" state="hidden" r:id="rId16"/>
    <sheet name="Sheet3" sheetId="12" state="hidden" r:id="rId17"/>
    <sheet name="Sheet4" sheetId="13" state="hidden" r:id="rId18"/>
    <sheet name="Sheet5" sheetId="14" state="hidden" r:id="rId19"/>
    <sheet name="Sheet6" sheetId="16" state="hidden" r:id="rId20"/>
    <sheet name="RGU" sheetId="17" state="hidden" r:id="rId21"/>
    <sheet name="Panipat" sheetId="19" state="hidden" r:id="rId22"/>
    <sheet name="Beawar Target" sheetId="28" state="hidden" r:id="rId23"/>
    <sheet name="Jharkhand" sheetId="20" state="hidden" r:id="rId24"/>
    <sheet name="Panipat_248" sheetId="27" state="hidden" r:id="rId25"/>
    <sheet name="Sheet12" sheetId="32" state="hidden" r:id="rId26"/>
    <sheet name="Sheet11" sheetId="30" state="hidden" r:id="rId27"/>
    <sheet name="Sheet10" sheetId="25" state="hidden" r:id="rId28"/>
    <sheet name="Sheet9" sheetId="24" state="hidden" r:id="rId29"/>
  </sheets>
  <externalReferences>
    <externalReference r:id="rId30"/>
    <externalReference r:id="rId31"/>
    <externalReference r:id="rId32"/>
  </externalReferences>
  <definedNames>
    <definedName name="Excel_BuiltIn_Print_Area_8" localSheetId="8">#REF!</definedName>
    <definedName name="Excel_BuiltIn_Print_Area_8" localSheetId="6">#REF!</definedName>
    <definedName name="Excel_BuiltIn_Print_Area_8">#REF!</definedName>
    <definedName name="_xlnm.Print_Area" localSheetId="22">'Beawar Target'!$A$1:$V$41</definedName>
    <definedName name="_xlnm.Print_Area" localSheetId="7">'Exception Report F1'!$A$1:$AL$33</definedName>
    <definedName name="_xlnm.Print_Area" localSheetId="24">Panipat_248!$A$1:$M$34</definedName>
    <definedName name="_xlnm.Print_Area" localSheetId="26">Sheet11!$A$1:$Y$94</definedName>
    <definedName name="_xlnm.Print_Area" localSheetId="25">Sheet12!$A$1:$AI$11</definedName>
  </definedNames>
  <calcPr calcId="144525"/>
  <fileRecoveryPr autoRecover="0"/>
</workbook>
</file>

<file path=xl/calcChain.xml><?xml version="1.0" encoding="utf-8"?>
<calcChain xmlns="http://schemas.openxmlformats.org/spreadsheetml/2006/main">
  <c r="Q36" i="3" l="1"/>
  <c r="Q37" i="3" s="1"/>
  <c r="Q38" i="3" s="1"/>
  <c r="Q150" i="3"/>
  <c r="Q151" i="3"/>
  <c r="Q152" i="3" s="1"/>
  <c r="Q73" i="3"/>
  <c r="Q74" i="3" s="1"/>
  <c r="Q75" i="3" s="1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32" i="3" s="1"/>
  <c r="Q229" i="3"/>
  <c r="Q230" i="3"/>
  <c r="Q233" i="3"/>
  <c r="Q234" i="3"/>
  <c r="Q235" i="3"/>
  <c r="Q236" i="3"/>
  <c r="Q237" i="3"/>
  <c r="Q238" i="3"/>
  <c r="Q239" i="3"/>
  <c r="Q240" i="3" s="1"/>
  <c r="Q194" i="3"/>
  <c r="Q195" i="3" s="1"/>
  <c r="Q196" i="3" s="1"/>
  <c r="Q241" i="3" l="1"/>
  <c r="Q173" i="3" l="1"/>
  <c r="Q174" i="3"/>
  <c r="Q175" i="3" s="1"/>
  <c r="Q110" i="3"/>
  <c r="Q111" i="3" s="1"/>
  <c r="Q112" i="3" s="1"/>
  <c r="C220" i="4"/>
  <c r="C221" i="4" s="1"/>
  <c r="C222" i="4" s="1"/>
  <c r="C223" i="4" s="1"/>
  <c r="Q27" i="3"/>
  <c r="Q29" i="3"/>
  <c r="C225" i="4" l="1"/>
  <c r="C224" i="4"/>
  <c r="O203" i="3"/>
  <c r="P203" i="3"/>
  <c r="O204" i="3"/>
  <c r="P204" i="3"/>
  <c r="O205" i="3"/>
  <c r="P205" i="3"/>
  <c r="O206" i="3"/>
  <c r="P206" i="3"/>
  <c r="O207" i="3"/>
  <c r="P207" i="3"/>
  <c r="O208" i="3"/>
  <c r="P208" i="3"/>
  <c r="O209" i="3"/>
  <c r="P209" i="3"/>
  <c r="O210" i="3"/>
  <c r="P210" i="3"/>
  <c r="O211" i="3"/>
  <c r="P211" i="3"/>
  <c r="O212" i="3"/>
  <c r="P212" i="3"/>
  <c r="O213" i="3"/>
  <c r="P213" i="3"/>
  <c r="O214" i="3"/>
  <c r="P214" i="3"/>
  <c r="O215" i="3"/>
  <c r="P215" i="3"/>
  <c r="O216" i="3"/>
  <c r="P216" i="3"/>
  <c r="O217" i="3"/>
  <c r="P217" i="3"/>
  <c r="O218" i="3"/>
  <c r="P218" i="3"/>
  <c r="O219" i="3"/>
  <c r="P219" i="3"/>
  <c r="O220" i="3"/>
  <c r="P220" i="3"/>
  <c r="O221" i="3"/>
  <c r="P221" i="3"/>
  <c r="O222" i="3"/>
  <c r="P222" i="3"/>
  <c r="O223" i="3"/>
  <c r="P223" i="3"/>
  <c r="O224" i="3"/>
  <c r="P224" i="3"/>
  <c r="O225" i="3"/>
  <c r="P225" i="3"/>
  <c r="O226" i="3"/>
  <c r="P226" i="3"/>
  <c r="O227" i="3"/>
  <c r="P227" i="3"/>
  <c r="O228" i="3"/>
  <c r="P228" i="3"/>
  <c r="O229" i="3"/>
  <c r="P229" i="3"/>
  <c r="O230" i="3"/>
  <c r="O232" i="3"/>
  <c r="O233" i="3"/>
  <c r="P233" i="3"/>
  <c r="O234" i="3"/>
  <c r="P234" i="3"/>
  <c r="O235" i="3"/>
  <c r="P235" i="3"/>
  <c r="O236" i="3"/>
  <c r="P236" i="3"/>
  <c r="O237" i="3"/>
  <c r="P237" i="3"/>
  <c r="O238" i="3"/>
  <c r="P238" i="3"/>
  <c r="O239" i="3"/>
  <c r="O240" i="3" s="1"/>
  <c r="O241" i="3" s="1"/>
  <c r="P239" i="3"/>
  <c r="P240" i="3" s="1"/>
  <c r="O194" i="3"/>
  <c r="P194" i="3"/>
  <c r="O195" i="3"/>
  <c r="O196" i="3" s="1"/>
  <c r="P195" i="3"/>
  <c r="P196" i="3" s="1"/>
  <c r="C227" i="4" l="1"/>
  <c r="C228" i="4" s="1"/>
  <c r="C226" i="4"/>
  <c r="P241" i="3"/>
  <c r="P230" i="3"/>
  <c r="P232" i="3"/>
  <c r="C231" i="4" l="1"/>
  <c r="C233" i="4" s="1"/>
  <c r="C229" i="4"/>
  <c r="O36" i="3"/>
  <c r="O37" i="3" s="1"/>
  <c r="O38" i="3" s="1"/>
  <c r="P36" i="3"/>
  <c r="P37" i="3" s="1"/>
  <c r="P38" i="3" s="1"/>
  <c r="O29" i="3"/>
  <c r="P29" i="3"/>
  <c r="O27" i="3"/>
  <c r="P27" i="3"/>
  <c r="P173" i="3"/>
  <c r="P174" i="3" s="1"/>
  <c r="P175" i="3" s="1"/>
  <c r="P110" i="3"/>
  <c r="P111" i="3" s="1"/>
  <c r="P112" i="3" s="1"/>
  <c r="C230" i="4" l="1"/>
  <c r="C232" i="4"/>
  <c r="C235" i="4" s="1"/>
  <c r="C236" i="4"/>
  <c r="C234" i="4"/>
  <c r="O173" i="3"/>
  <c r="O174" i="3" s="1"/>
  <c r="O175" i="3" s="1"/>
  <c r="O110" i="3"/>
  <c r="O111" i="3"/>
  <c r="O112" i="3"/>
  <c r="K150" i="3"/>
  <c r="L150" i="3"/>
  <c r="M150" i="3"/>
  <c r="N150" i="3"/>
  <c r="O150" i="3"/>
  <c r="P150" i="3"/>
  <c r="O151" i="3"/>
  <c r="O152" i="3" s="1"/>
  <c r="P151" i="3"/>
  <c r="P152" i="3" s="1"/>
  <c r="P73" i="3" l="1"/>
  <c r="P74" i="3"/>
  <c r="P75" i="3"/>
  <c r="O73" i="3"/>
  <c r="O74" i="3"/>
  <c r="O75" i="3"/>
  <c r="C202" i="4"/>
  <c r="C203" i="4" s="1"/>
  <c r="C204" i="4" s="1"/>
  <c r="C205" i="4" s="1"/>
  <c r="C184" i="4"/>
  <c r="C185" i="4" s="1"/>
  <c r="C186" i="4" s="1"/>
  <c r="C187" i="4" s="1"/>
  <c r="C206" i="4" l="1"/>
  <c r="C207" i="4"/>
  <c r="C188" i="4"/>
  <c r="C189" i="4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32" i="3" s="1"/>
  <c r="N229" i="3"/>
  <c r="N230" i="3"/>
  <c r="N233" i="3"/>
  <c r="N234" i="3"/>
  <c r="N235" i="3"/>
  <c r="N236" i="3"/>
  <c r="N237" i="3"/>
  <c r="N238" i="3"/>
  <c r="N239" i="3"/>
  <c r="N240" i="3" s="1"/>
  <c r="N194" i="3"/>
  <c r="N195" i="3" s="1"/>
  <c r="N196" i="3" s="1"/>
  <c r="C209" i="4" l="1"/>
  <c r="C210" i="4" s="1"/>
  <c r="C208" i="4"/>
  <c r="C190" i="4"/>
  <c r="C191" i="4"/>
  <c r="C192" i="4" s="1"/>
  <c r="N241" i="3"/>
  <c r="C213" i="4" l="1"/>
  <c r="C215" i="4" s="1"/>
  <c r="C211" i="4"/>
  <c r="C193" i="4"/>
  <c r="C195" i="4"/>
  <c r="C197" i="4" s="1"/>
  <c r="N73" i="3"/>
  <c r="N74" i="3" s="1"/>
  <c r="N75" i="3" s="1"/>
  <c r="N151" i="3"/>
  <c r="N152" i="3" s="1"/>
  <c r="C180" i="4"/>
  <c r="N173" i="3"/>
  <c r="N174" i="3"/>
  <c r="N175" i="3"/>
  <c r="N110" i="3"/>
  <c r="N111" i="3"/>
  <c r="N112" i="3"/>
  <c r="C166" i="4"/>
  <c r="C167" i="4" s="1"/>
  <c r="C168" i="4" s="1"/>
  <c r="C169" i="4" s="1"/>
  <c r="M36" i="3"/>
  <c r="N36" i="3"/>
  <c r="M37" i="3"/>
  <c r="M38" i="3" s="1"/>
  <c r="N37" i="3"/>
  <c r="N38" i="3" s="1"/>
  <c r="N27" i="3"/>
  <c r="N29" i="3"/>
  <c r="C214" i="4" l="1"/>
  <c r="C217" i="4" s="1"/>
  <c r="C212" i="4"/>
  <c r="C218" i="4"/>
  <c r="C216" i="4"/>
  <c r="C200" i="4"/>
  <c r="C198" i="4"/>
  <c r="C196" i="4"/>
  <c r="C199" i="4" s="1"/>
  <c r="C194" i="4"/>
  <c r="C170" i="4"/>
  <c r="C171" i="4"/>
  <c r="C173" i="4" l="1"/>
  <c r="C174" i="4" s="1"/>
  <c r="C172" i="4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32" i="3" s="1"/>
  <c r="M229" i="3"/>
  <c r="M233" i="3"/>
  <c r="M234" i="3"/>
  <c r="M235" i="3"/>
  <c r="M236" i="3"/>
  <c r="M237" i="3"/>
  <c r="M238" i="3"/>
  <c r="M239" i="3"/>
  <c r="M240" i="3" s="1"/>
  <c r="M241" i="3" s="1"/>
  <c r="M194" i="3"/>
  <c r="M195" i="3"/>
  <c r="M196" i="3" s="1"/>
  <c r="C177" i="4" l="1"/>
  <c r="C179" i="4" s="1"/>
  <c r="C182" i="4" s="1"/>
  <c r="C175" i="4"/>
  <c r="M230" i="3"/>
  <c r="C176" i="4" l="1"/>
  <c r="C178" i="4"/>
  <c r="C181" i="4" s="1"/>
  <c r="M151" i="3"/>
  <c r="M152" i="3" s="1"/>
  <c r="M173" i="3"/>
  <c r="M174" i="3"/>
  <c r="M175" i="3" s="1"/>
  <c r="M110" i="3"/>
  <c r="M111" i="3" s="1"/>
  <c r="M112" i="3" s="1"/>
  <c r="M73" i="3"/>
  <c r="M74" i="3" s="1"/>
  <c r="M75" i="3" s="1"/>
  <c r="C149" i="4"/>
  <c r="C150" i="4" s="1"/>
  <c r="C151" i="4" s="1"/>
  <c r="C152" i="4" s="1"/>
  <c r="M29" i="3"/>
  <c r="M27" i="3"/>
  <c r="C153" i="4" l="1"/>
  <c r="C154" i="4"/>
  <c r="C156" i="4" l="1"/>
  <c r="C157" i="4" s="1"/>
  <c r="C155" i="4"/>
  <c r="C160" i="4" l="1"/>
  <c r="C162" i="4" s="1"/>
  <c r="C164" i="4" s="1"/>
  <c r="C158" i="4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32" i="3" s="1"/>
  <c r="L229" i="3"/>
  <c r="L230" i="3"/>
  <c r="L233" i="3"/>
  <c r="L234" i="3"/>
  <c r="L235" i="3"/>
  <c r="L236" i="3"/>
  <c r="L237" i="3"/>
  <c r="L238" i="3"/>
  <c r="L239" i="3"/>
  <c r="L240" i="3" s="1"/>
  <c r="L241" i="3" s="1"/>
  <c r="K194" i="3"/>
  <c r="K195" i="3" s="1"/>
  <c r="K196" i="3" s="1"/>
  <c r="L194" i="3"/>
  <c r="L195" i="3" s="1"/>
  <c r="L196" i="3" s="1"/>
  <c r="C159" i="4" l="1"/>
  <c r="C161" i="4"/>
  <c r="C163" i="4" s="1"/>
  <c r="C142" i="4"/>
  <c r="L151" i="3"/>
  <c r="L152" i="3" s="1"/>
  <c r="L173" i="3"/>
  <c r="L174" i="3"/>
  <c r="L175" i="3"/>
  <c r="L110" i="3"/>
  <c r="L111" i="3" s="1"/>
  <c r="L112" i="3" s="1"/>
  <c r="C132" i="4"/>
  <c r="C133" i="4"/>
  <c r="C134" i="4" s="1"/>
  <c r="C135" i="4" s="1"/>
  <c r="L73" i="3"/>
  <c r="L74" i="3"/>
  <c r="L75" i="3" s="1"/>
  <c r="L36" i="3"/>
  <c r="L37" i="3" s="1"/>
  <c r="L38" i="3" s="1"/>
  <c r="L27" i="3"/>
  <c r="L29" i="3"/>
  <c r="C137" i="4" l="1"/>
  <c r="C136" i="4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32" i="3" s="1"/>
  <c r="K229" i="3"/>
  <c r="K230" i="3"/>
  <c r="K233" i="3"/>
  <c r="K234" i="3"/>
  <c r="K235" i="3"/>
  <c r="K236" i="3"/>
  <c r="K237" i="3"/>
  <c r="K238" i="3"/>
  <c r="K239" i="3"/>
  <c r="K240" i="3" s="1"/>
  <c r="K241" i="3" s="1"/>
  <c r="C139" i="4" l="1"/>
  <c r="C140" i="4" s="1"/>
  <c r="C138" i="4"/>
  <c r="K173" i="3"/>
  <c r="K174" i="3" s="1"/>
  <c r="K175" i="3" s="1"/>
  <c r="C141" i="4" l="1"/>
  <c r="C144" i="4" s="1"/>
  <c r="C146" i="4" s="1"/>
  <c r="C143" i="4"/>
  <c r="C145" i="4" s="1"/>
  <c r="C147" i="4" s="1"/>
  <c r="K151" i="3"/>
  <c r="K152" i="3" s="1"/>
  <c r="K110" i="3"/>
  <c r="K111" i="3" s="1"/>
  <c r="K112" i="3" s="1"/>
  <c r="K73" i="3"/>
  <c r="K74" i="3" s="1"/>
  <c r="K75" i="3" s="1"/>
  <c r="C116" i="4"/>
  <c r="C117" i="4" s="1"/>
  <c r="C118" i="4" s="1"/>
  <c r="C119" i="4" s="1"/>
  <c r="J36" i="3"/>
  <c r="K36" i="3"/>
  <c r="J37" i="3"/>
  <c r="J38" i="3" s="1"/>
  <c r="K37" i="3"/>
  <c r="K38" i="3" s="1"/>
  <c r="K27" i="3"/>
  <c r="K29" i="3"/>
  <c r="C121" i="4" l="1"/>
  <c r="C120" i="4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9" i="3" s="1"/>
  <c r="J226" i="3"/>
  <c r="J227" i="3"/>
  <c r="J228" i="3"/>
  <c r="J232" i="3" s="1"/>
  <c r="J233" i="3"/>
  <c r="J234" i="3"/>
  <c r="J235" i="3"/>
  <c r="J236" i="3"/>
  <c r="J237" i="3"/>
  <c r="J238" i="3"/>
  <c r="J239" i="3"/>
  <c r="J240" i="3" s="1"/>
  <c r="J194" i="3"/>
  <c r="J195" i="3" s="1"/>
  <c r="J196" i="3" s="1"/>
  <c r="C122" i="4" l="1"/>
  <c r="C123" i="4"/>
  <c r="C124" i="4" s="1"/>
  <c r="J230" i="3"/>
  <c r="J241" i="3"/>
  <c r="C126" i="4" l="1"/>
  <c r="C128" i="4" s="1"/>
  <c r="C130" i="4" s="1"/>
  <c r="C125" i="4"/>
  <c r="C127" i="4" s="1"/>
  <c r="C129" i="4" s="1"/>
  <c r="J150" i="3"/>
  <c r="J151" i="3" s="1"/>
  <c r="J152" i="3" s="1"/>
  <c r="J73" i="3"/>
  <c r="J74" i="3"/>
  <c r="J75" i="3"/>
  <c r="J173" i="3"/>
  <c r="J174" i="3" s="1"/>
  <c r="J175" i="3" s="1"/>
  <c r="J110" i="3"/>
  <c r="J111" i="3" s="1"/>
  <c r="J112" i="3" s="1"/>
  <c r="C100" i="4"/>
  <c r="C101" i="4" s="1"/>
  <c r="C102" i="4" s="1"/>
  <c r="C103" i="4" s="1"/>
  <c r="J29" i="3"/>
  <c r="J27" i="3"/>
  <c r="C105" i="4" l="1"/>
  <c r="C104" i="4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H232" i="3" s="1"/>
  <c r="I228" i="3"/>
  <c r="I230" i="3" s="1"/>
  <c r="H229" i="3"/>
  <c r="I229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H240" i="3" s="1"/>
  <c r="H241" i="3" s="1"/>
  <c r="I239" i="3"/>
  <c r="I240" i="3" s="1"/>
  <c r="I241" i="3" s="1"/>
  <c r="C106" i="4" l="1"/>
  <c r="C107" i="4"/>
  <c r="C108" i="4" s="1"/>
  <c r="H230" i="3"/>
  <c r="I232" i="3"/>
  <c r="I150" i="3"/>
  <c r="I151" i="3" s="1"/>
  <c r="I152" i="3" s="1"/>
  <c r="C110" i="4" l="1"/>
  <c r="C112" i="4" s="1"/>
  <c r="C114" i="4" s="1"/>
  <c r="C109" i="4"/>
  <c r="C111" i="4" s="1"/>
  <c r="C113" i="4" s="1"/>
  <c r="H194" i="3"/>
  <c r="H195" i="3" s="1"/>
  <c r="H196" i="3" s="1"/>
  <c r="I194" i="3"/>
  <c r="I195" i="3" s="1"/>
  <c r="I196" i="3" s="1"/>
  <c r="H36" i="3" l="1"/>
  <c r="I36" i="3"/>
  <c r="H37" i="3"/>
  <c r="H38" i="3" s="1"/>
  <c r="I37" i="3"/>
  <c r="I38" i="3" s="1"/>
  <c r="H29" i="3"/>
  <c r="I29" i="3"/>
  <c r="H27" i="3"/>
  <c r="I27" i="3"/>
  <c r="I110" i="3"/>
  <c r="I111" i="3" s="1"/>
  <c r="I112" i="3" s="1"/>
  <c r="I173" i="3" l="1"/>
  <c r="I174" i="3" s="1"/>
  <c r="I175" i="3" s="1"/>
  <c r="H173" i="3"/>
  <c r="H174" i="3" s="1"/>
  <c r="H175" i="3" s="1"/>
  <c r="H110" i="3"/>
  <c r="H111" i="3" s="1"/>
  <c r="H112" i="3" s="1"/>
  <c r="H150" i="3" l="1"/>
  <c r="H151" i="3" s="1"/>
  <c r="H152" i="3" s="1"/>
  <c r="I73" i="3"/>
  <c r="I74" i="3"/>
  <c r="I75" i="3" s="1"/>
  <c r="C84" i="4"/>
  <c r="C85" i="4" s="1"/>
  <c r="C86" i="4" s="1"/>
  <c r="C87" i="4" s="1"/>
  <c r="C68" i="4"/>
  <c r="C69" i="4" s="1"/>
  <c r="C70" i="4" s="1"/>
  <c r="C71" i="4" s="1"/>
  <c r="H73" i="3"/>
  <c r="H74" i="3"/>
  <c r="H75" i="3" s="1"/>
  <c r="C89" i="4" l="1"/>
  <c r="C88" i="4"/>
  <c r="C73" i="4"/>
  <c r="C72" i="4"/>
  <c r="C90" i="4" l="1"/>
  <c r="C91" i="4"/>
  <c r="C92" i="4" s="1"/>
  <c r="C74" i="4"/>
  <c r="C75" i="4"/>
  <c r="C76" i="4" s="1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9" i="3" s="1"/>
  <c r="G226" i="3"/>
  <c r="G227" i="3"/>
  <c r="G228" i="3"/>
  <c r="G232" i="3" s="1"/>
  <c r="G233" i="3"/>
  <c r="G234" i="3"/>
  <c r="G235" i="3"/>
  <c r="G236" i="3"/>
  <c r="G237" i="3"/>
  <c r="G238" i="3"/>
  <c r="G239" i="3"/>
  <c r="G240" i="3" s="1"/>
  <c r="G73" i="3"/>
  <c r="G74" i="3" s="1"/>
  <c r="G75" i="3" s="1"/>
  <c r="G194" i="3"/>
  <c r="G195" i="3" s="1"/>
  <c r="G196" i="3" s="1"/>
  <c r="C94" i="4" l="1"/>
  <c r="C96" i="4" s="1"/>
  <c r="C98" i="4" s="1"/>
  <c r="C93" i="4"/>
  <c r="C95" i="4" s="1"/>
  <c r="C97" i="4" s="1"/>
  <c r="C78" i="4"/>
  <c r="C80" i="4" s="1"/>
  <c r="C82" i="4" s="1"/>
  <c r="C77" i="4"/>
  <c r="C79" i="4" s="1"/>
  <c r="C81" i="4" s="1"/>
  <c r="G241" i="3"/>
  <c r="G230" i="3"/>
  <c r="G36" i="3" l="1"/>
  <c r="G37" i="3"/>
  <c r="G38" i="3" s="1"/>
  <c r="G29" i="3"/>
  <c r="G27" i="3"/>
  <c r="G150" i="3"/>
  <c r="G151" i="3" s="1"/>
  <c r="G152" i="3" s="1"/>
  <c r="G173" i="3" l="1"/>
  <c r="G174" i="3" s="1"/>
  <c r="G175" i="3" s="1"/>
  <c r="G110" i="3"/>
  <c r="G111" i="3" s="1"/>
  <c r="G112" i="3" s="1"/>
  <c r="C52" i="4" l="1"/>
  <c r="C53" i="4" s="1"/>
  <c r="C54" i="4" s="1"/>
  <c r="C55" i="4" s="1"/>
  <c r="C57" i="4" l="1"/>
  <c r="C56" i="4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32" i="3" s="1"/>
  <c r="F229" i="3"/>
  <c r="F230" i="3"/>
  <c r="F233" i="3"/>
  <c r="F234" i="3"/>
  <c r="F235" i="3"/>
  <c r="F236" i="3"/>
  <c r="F237" i="3"/>
  <c r="F238" i="3"/>
  <c r="F239" i="3"/>
  <c r="F240" i="3" s="1"/>
  <c r="F241" i="3" s="1"/>
  <c r="E196" i="3"/>
  <c r="F196" i="3"/>
  <c r="E195" i="3"/>
  <c r="F195" i="3"/>
  <c r="D195" i="3"/>
  <c r="D196" i="3" s="1"/>
  <c r="F194" i="3"/>
  <c r="C59" i="4" l="1"/>
  <c r="C60" i="4" s="1"/>
  <c r="C58" i="4"/>
  <c r="F173" i="3"/>
  <c r="F174" i="3"/>
  <c r="F175" i="3" s="1"/>
  <c r="F110" i="3"/>
  <c r="F111" i="3"/>
  <c r="F112" i="3"/>
  <c r="F73" i="3"/>
  <c r="F74" i="3" s="1"/>
  <c r="F75" i="3" s="1"/>
  <c r="C36" i="4"/>
  <c r="C37" i="4" s="1"/>
  <c r="C38" i="4" s="1"/>
  <c r="C39" i="4" s="1"/>
  <c r="F36" i="3"/>
  <c r="F37" i="3" s="1"/>
  <c r="F38" i="3" s="1"/>
  <c r="F29" i="3"/>
  <c r="F27" i="3"/>
  <c r="C61" i="4" l="1"/>
  <c r="C63" i="4" s="1"/>
  <c r="C65" i="4" s="1"/>
  <c r="C62" i="4"/>
  <c r="C64" i="4" s="1"/>
  <c r="C66" i="4" s="1"/>
  <c r="C41" i="4"/>
  <c r="C40" i="4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41" i="3" s="1"/>
  <c r="E232" i="3"/>
  <c r="E233" i="3"/>
  <c r="E234" i="3"/>
  <c r="E239" i="3" s="1"/>
  <c r="E240" i="3" s="1"/>
  <c r="E235" i="3"/>
  <c r="E236" i="3"/>
  <c r="E237" i="3"/>
  <c r="E238" i="3"/>
  <c r="C43" i="4" l="1"/>
  <c r="C44" i="4" s="1"/>
  <c r="C42" i="4"/>
  <c r="E230" i="3"/>
  <c r="I10" i="21"/>
  <c r="E8" i="21"/>
  <c r="C85" i="40"/>
  <c r="E74" i="40"/>
  <c r="E75" i="40"/>
  <c r="E76" i="40"/>
  <c r="E77" i="40"/>
  <c r="E78" i="40"/>
  <c r="E79" i="40"/>
  <c r="E80" i="40"/>
  <c r="E81" i="40"/>
  <c r="E82" i="40"/>
  <c r="E83" i="40"/>
  <c r="E84" i="40"/>
  <c r="E73" i="40"/>
  <c r="C45" i="4" l="1"/>
  <c r="C47" i="4" s="1"/>
  <c r="C49" i="4" s="1"/>
  <c r="C46" i="4"/>
  <c r="C48" i="4" s="1"/>
  <c r="C50" i="4" s="1"/>
  <c r="E173" i="3"/>
  <c r="E174" i="3" s="1"/>
  <c r="E175" i="3" s="1"/>
  <c r="E110" i="3"/>
  <c r="E111" i="3" s="1"/>
  <c r="E112" i="3" s="1"/>
  <c r="E194" i="3" l="1"/>
  <c r="E150" i="3" l="1"/>
  <c r="E151" i="3" s="1"/>
  <c r="E152" i="3" s="1"/>
  <c r="E73" i="3" l="1"/>
  <c r="E74" i="3" s="1"/>
  <c r="E75" i="3" s="1"/>
  <c r="C20" i="4"/>
  <c r="C21" i="4" s="1"/>
  <c r="C22" i="4" s="1"/>
  <c r="C23" i="4" s="1"/>
  <c r="E38" i="3"/>
  <c r="E37" i="3"/>
  <c r="E36" i="3"/>
  <c r="E29" i="3"/>
  <c r="E27" i="3"/>
  <c r="C25" i="4" l="1"/>
  <c r="C24" i="4"/>
  <c r="C26" i="4" l="1"/>
  <c r="C27" i="4"/>
  <c r="C28" i="4" s="1"/>
  <c r="C30" i="4" l="1"/>
  <c r="C32" i="4" s="1"/>
  <c r="C34" i="4" s="1"/>
  <c r="C29" i="4"/>
  <c r="C31" i="4" s="1"/>
  <c r="C33" i="4" s="1"/>
  <c r="D23" i="28" l="1"/>
  <c r="G27" i="18"/>
  <c r="G20" i="18"/>
  <c r="G25" i="18"/>
  <c r="D26" i="18"/>
  <c r="D25" i="18"/>
  <c r="G26" i="20"/>
  <c r="D25" i="20"/>
  <c r="G25" i="17"/>
  <c r="G20" i="17"/>
  <c r="G26" i="17" s="1"/>
  <c r="G27" i="19"/>
  <c r="G26" i="19"/>
  <c r="D25" i="19"/>
  <c r="D24" i="17"/>
  <c r="H23" i="28"/>
  <c r="E118" i="38"/>
  <c r="D118" i="38"/>
  <c r="D113" i="38"/>
  <c r="E113" i="38"/>
  <c r="D117" i="38"/>
  <c r="E117" i="38"/>
  <c r="F107" i="38" l="1"/>
  <c r="E107" i="38"/>
  <c r="E116" i="38" s="1"/>
  <c r="D107" i="38"/>
  <c r="D116" i="38" s="1"/>
  <c r="E106" i="38"/>
  <c r="E115" i="38" s="1"/>
  <c r="D106" i="38"/>
  <c r="D115" i="38" s="1"/>
  <c r="E105" i="38"/>
  <c r="E114" i="38" s="1"/>
  <c r="D105" i="38"/>
  <c r="D114" i="38" s="1"/>
  <c r="E102" i="38"/>
  <c r="E111" i="38" s="1"/>
  <c r="D102" i="38"/>
  <c r="D111" i="38" s="1"/>
  <c r="E100" i="38"/>
  <c r="E109" i="38" s="1"/>
  <c r="D100" i="38"/>
  <c r="D109" i="38" s="1"/>
  <c r="G104" i="38"/>
  <c r="G103" i="38"/>
  <c r="E94" i="38"/>
  <c r="D94" i="38"/>
  <c r="G107" i="38" l="1"/>
  <c r="E91" i="38" l="1"/>
  <c r="D92" i="38"/>
  <c r="E92" i="38"/>
  <c r="F82" i="38"/>
  <c r="F81" i="38"/>
  <c r="F80" i="38"/>
  <c r="E81" i="38"/>
  <c r="E90" i="38" s="1"/>
  <c r="E80" i="38"/>
  <c r="E89" i="38" s="1"/>
  <c r="E79" i="38"/>
  <c r="E88" i="38" s="1"/>
  <c r="D82" i="38"/>
  <c r="D81" i="38"/>
  <c r="D90" i="38" s="1"/>
  <c r="D80" i="38"/>
  <c r="D89" i="38" s="1"/>
  <c r="D79" i="38"/>
  <c r="E77" i="38"/>
  <c r="E86" i="38" s="1"/>
  <c r="D77" i="38"/>
  <c r="D86" i="38" s="1"/>
  <c r="E76" i="38"/>
  <c r="E85" i="38" s="1"/>
  <c r="E87" i="38" s="1"/>
  <c r="E75" i="38"/>
  <c r="E84" i="38" s="1"/>
  <c r="D75" i="38"/>
  <c r="E93" i="38"/>
  <c r="D93" i="38"/>
  <c r="G78" i="38"/>
  <c r="E64" i="38"/>
  <c r="E69" i="38"/>
  <c r="D69" i="38"/>
  <c r="E58" i="38"/>
  <c r="E68" i="38" s="1"/>
  <c r="E57" i="38"/>
  <c r="E67" i="38" s="1"/>
  <c r="E56" i="38"/>
  <c r="E66" i="38" s="1"/>
  <c r="E55" i="38"/>
  <c r="E65" i="38" s="1"/>
  <c r="E53" i="38"/>
  <c r="E62" i="38" s="1"/>
  <c r="E52" i="38"/>
  <c r="E61" i="38" s="1"/>
  <c r="E51" i="38"/>
  <c r="E60" i="38" s="1"/>
  <c r="D58" i="38"/>
  <c r="D68" i="38" s="1"/>
  <c r="D57" i="38"/>
  <c r="D67" i="38" s="1"/>
  <c r="D56" i="38"/>
  <c r="D66" i="38" s="1"/>
  <c r="D55" i="38"/>
  <c r="D65" i="38" s="1"/>
  <c r="D54" i="38"/>
  <c r="G54" i="38" s="1"/>
  <c r="D53" i="38"/>
  <c r="D62" i="38" s="1"/>
  <c r="D52" i="38"/>
  <c r="D61" i="38" s="1"/>
  <c r="D51" i="38"/>
  <c r="D60" i="38" s="1"/>
  <c r="E45" i="38"/>
  <c r="D45" i="38"/>
  <c r="E44" i="38"/>
  <c r="D44" i="38"/>
  <c r="C5" i="40"/>
  <c r="G82" i="38" l="1"/>
  <c r="D91" i="38"/>
  <c r="D63" i="38"/>
  <c r="E63" i="38"/>
  <c r="D64" i="38"/>
  <c r="D88" i="38"/>
  <c r="D84" i="38"/>
  <c r="G81" i="38"/>
  <c r="G80" i="38"/>
  <c r="AK19" i="21" l="1"/>
  <c r="AK21" i="21"/>
  <c r="E33" i="38"/>
  <c r="E43" i="38" s="1"/>
  <c r="E32" i="38"/>
  <c r="E42" i="38" s="1"/>
  <c r="E31" i="38"/>
  <c r="E41" i="38" s="1"/>
  <c r="E30" i="38"/>
  <c r="E40" i="38" s="1"/>
  <c r="E29" i="38"/>
  <c r="E38" i="38" s="1"/>
  <c r="D33" i="38"/>
  <c r="D43" i="38" s="1"/>
  <c r="D30" i="38"/>
  <c r="D40" i="38" s="1"/>
  <c r="D32" i="38"/>
  <c r="D42" i="38" s="1"/>
  <c r="D31" i="38"/>
  <c r="D41" i="38" s="1"/>
  <c r="D29" i="38"/>
  <c r="D38" i="38" s="1"/>
  <c r="F28" i="38"/>
  <c r="E28" i="38"/>
  <c r="E37" i="38" s="1"/>
  <c r="E27" i="38"/>
  <c r="E36" i="38" s="1"/>
  <c r="D27" i="38"/>
  <c r="D36" i="38" s="1"/>
  <c r="E22" i="38"/>
  <c r="D22" i="38"/>
  <c r="E39" i="38" l="1"/>
  <c r="E4" i="38"/>
  <c r="E13" i="38" s="1"/>
  <c r="D4" i="38"/>
  <c r="D13" i="38" s="1"/>
  <c r="D15" i="38"/>
  <c r="D17" i="38"/>
  <c r="E17" i="38"/>
  <c r="D18" i="38"/>
  <c r="D19" i="38"/>
  <c r="E19" i="38"/>
  <c r="D20" i="38"/>
  <c r="D21" i="38"/>
  <c r="E21" i="38"/>
  <c r="E10" i="38"/>
  <c r="E8" i="38"/>
  <c r="E6" i="38"/>
  <c r="G7" i="38"/>
  <c r="F3" i="38"/>
  <c r="F11" i="38"/>
  <c r="F9" i="38"/>
  <c r="G9" i="38" s="1"/>
  <c r="F5" i="38"/>
  <c r="F14" i="38" s="1"/>
  <c r="E5" i="38"/>
  <c r="E14" i="38" s="1"/>
  <c r="F84" i="40"/>
  <c r="G84" i="40" s="1"/>
  <c r="F83" i="40"/>
  <c r="G83" i="40" s="1"/>
  <c r="F82" i="40"/>
  <c r="G82" i="40" s="1"/>
  <c r="F81" i="40"/>
  <c r="G81" i="40" s="1"/>
  <c r="F80" i="40"/>
  <c r="G80" i="40" s="1"/>
  <c r="F79" i="40"/>
  <c r="G79" i="40" s="1"/>
  <c r="F78" i="40"/>
  <c r="G78" i="40" s="1"/>
  <c r="F77" i="40"/>
  <c r="G77" i="40" s="1"/>
  <c r="F76" i="40"/>
  <c r="G76" i="40" s="1"/>
  <c r="F75" i="40"/>
  <c r="G75" i="40" s="1"/>
  <c r="F74" i="40"/>
  <c r="E85" i="40"/>
  <c r="C68" i="40"/>
  <c r="E67" i="40"/>
  <c r="F67" i="40" s="1"/>
  <c r="G67" i="40" s="1"/>
  <c r="E66" i="40"/>
  <c r="F66" i="40" s="1"/>
  <c r="G66" i="40" s="1"/>
  <c r="F65" i="40"/>
  <c r="G65" i="40" s="1"/>
  <c r="E65" i="40"/>
  <c r="E64" i="40"/>
  <c r="F64" i="40" s="1"/>
  <c r="G64" i="40" s="1"/>
  <c r="F63" i="40"/>
  <c r="G63" i="40" s="1"/>
  <c r="E63" i="40"/>
  <c r="E62" i="40"/>
  <c r="F62" i="40" s="1"/>
  <c r="G62" i="40" s="1"/>
  <c r="F61" i="40"/>
  <c r="G61" i="40" s="1"/>
  <c r="E61" i="40"/>
  <c r="E60" i="40"/>
  <c r="F60" i="40" s="1"/>
  <c r="G60" i="40" s="1"/>
  <c r="F59" i="40"/>
  <c r="G59" i="40" s="1"/>
  <c r="E59" i="40"/>
  <c r="E58" i="40"/>
  <c r="F58" i="40" s="1"/>
  <c r="G58" i="40" s="1"/>
  <c r="F57" i="40"/>
  <c r="G57" i="40" s="1"/>
  <c r="E57" i="40"/>
  <c r="E56" i="40"/>
  <c r="E68" i="40" s="1"/>
  <c r="C51" i="40"/>
  <c r="E50" i="40"/>
  <c r="F50" i="40" s="1"/>
  <c r="G50" i="40" s="1"/>
  <c r="E49" i="40"/>
  <c r="F49" i="40" s="1"/>
  <c r="G49" i="40" s="1"/>
  <c r="F48" i="40"/>
  <c r="G48" i="40" s="1"/>
  <c r="E48" i="40"/>
  <c r="E47" i="40"/>
  <c r="F47" i="40" s="1"/>
  <c r="G47" i="40" s="1"/>
  <c r="E46" i="40"/>
  <c r="F46" i="40" s="1"/>
  <c r="G46" i="40" s="1"/>
  <c r="E45" i="40"/>
  <c r="F45" i="40" s="1"/>
  <c r="G45" i="40" s="1"/>
  <c r="F44" i="40"/>
  <c r="G44" i="40" s="1"/>
  <c r="E44" i="40"/>
  <c r="E43" i="40"/>
  <c r="F43" i="40" s="1"/>
  <c r="G43" i="40" s="1"/>
  <c r="E42" i="40"/>
  <c r="F42" i="40" s="1"/>
  <c r="G42" i="40" s="1"/>
  <c r="E41" i="40"/>
  <c r="F41" i="40" s="1"/>
  <c r="G41" i="40" s="1"/>
  <c r="F40" i="40"/>
  <c r="G40" i="40" s="1"/>
  <c r="E40" i="40"/>
  <c r="E39" i="40"/>
  <c r="E51" i="40" s="1"/>
  <c r="C34" i="40"/>
  <c r="E33" i="40"/>
  <c r="F33" i="40" s="1"/>
  <c r="G33" i="40" s="1"/>
  <c r="E32" i="40"/>
  <c r="F32" i="40" s="1"/>
  <c r="G32" i="40" s="1"/>
  <c r="F31" i="40"/>
  <c r="G31" i="40" s="1"/>
  <c r="E31" i="40"/>
  <c r="E30" i="40"/>
  <c r="F30" i="40" s="1"/>
  <c r="G30" i="40" s="1"/>
  <c r="F29" i="40"/>
  <c r="G29" i="40" s="1"/>
  <c r="E29" i="40"/>
  <c r="E28" i="40"/>
  <c r="F28" i="40" s="1"/>
  <c r="G28" i="40" s="1"/>
  <c r="F27" i="40"/>
  <c r="G27" i="40" s="1"/>
  <c r="E27" i="40"/>
  <c r="E26" i="40"/>
  <c r="F26" i="40" s="1"/>
  <c r="G26" i="40" s="1"/>
  <c r="F25" i="40"/>
  <c r="G25" i="40" s="1"/>
  <c r="E25" i="40"/>
  <c r="E24" i="40"/>
  <c r="F24" i="40" s="1"/>
  <c r="G24" i="40" s="1"/>
  <c r="F23" i="40"/>
  <c r="G23" i="40" s="1"/>
  <c r="E23" i="40"/>
  <c r="E22" i="40"/>
  <c r="E34" i="40" s="1"/>
  <c r="D17" i="40"/>
  <c r="C17" i="40"/>
  <c r="E16" i="40"/>
  <c r="F16" i="40" s="1"/>
  <c r="G16" i="40" s="1"/>
  <c r="F15" i="40"/>
  <c r="G15" i="40" s="1"/>
  <c r="E15" i="40"/>
  <c r="E14" i="40"/>
  <c r="F14" i="40" s="1"/>
  <c r="G14" i="40" s="1"/>
  <c r="F13" i="40"/>
  <c r="G13" i="40" s="1"/>
  <c r="E13" i="40"/>
  <c r="E12" i="40"/>
  <c r="F12" i="40" s="1"/>
  <c r="G12" i="40" s="1"/>
  <c r="F11" i="40"/>
  <c r="G11" i="40" s="1"/>
  <c r="E11" i="40"/>
  <c r="E10" i="40"/>
  <c r="F10" i="40" s="1"/>
  <c r="G10" i="40" s="1"/>
  <c r="F9" i="40"/>
  <c r="G9" i="40" s="1"/>
  <c r="E9" i="40"/>
  <c r="E8" i="40"/>
  <c r="F8" i="40" s="1"/>
  <c r="G8" i="40" s="1"/>
  <c r="F7" i="40"/>
  <c r="G7" i="40" s="1"/>
  <c r="E7" i="40"/>
  <c r="E6" i="40"/>
  <c r="F6" i="40" s="1"/>
  <c r="G6" i="40" s="1"/>
  <c r="E5" i="40"/>
  <c r="E17" i="40" s="1"/>
  <c r="G74" i="40" l="1"/>
  <c r="E101" i="38"/>
  <c r="E110" i="38" s="1"/>
  <c r="E112" i="38" s="1"/>
  <c r="E16" i="38"/>
  <c r="F21" i="38"/>
  <c r="G11" i="38"/>
  <c r="F26" i="38"/>
  <c r="F50" i="38" s="1"/>
  <c r="F113" i="38"/>
  <c r="F117" i="38"/>
  <c r="F116" i="38"/>
  <c r="F64" i="38"/>
  <c r="F92" i="38"/>
  <c r="F90" i="38"/>
  <c r="F91" i="38"/>
  <c r="F89" i="38"/>
  <c r="W19" i="21"/>
  <c r="G3" i="38"/>
  <c r="G26" i="38"/>
  <c r="F19" i="38"/>
  <c r="F17" i="38"/>
  <c r="F37" i="38"/>
  <c r="E20" i="38"/>
  <c r="E18" i="38"/>
  <c r="E15" i="38"/>
  <c r="F5" i="40"/>
  <c r="D28" i="38" s="1"/>
  <c r="D37" i="38" s="1"/>
  <c r="D39" i="38" s="1"/>
  <c r="F22" i="40"/>
  <c r="D5" i="38" s="1"/>
  <c r="F39" i="40"/>
  <c r="F56" i="40"/>
  <c r="D76" i="38" s="1"/>
  <c r="F73" i="40"/>
  <c r="D101" i="38" s="1"/>
  <c r="D110" i="38" s="1"/>
  <c r="D112" i="38" s="1"/>
  <c r="G17" i="38" l="1"/>
  <c r="G117" i="38"/>
  <c r="G113" i="38"/>
  <c r="G116" i="38"/>
  <c r="G92" i="38"/>
  <c r="G64" i="38"/>
  <c r="G91" i="38"/>
  <c r="G90" i="38"/>
  <c r="G89" i="38"/>
  <c r="F74" i="38"/>
  <c r="G50" i="38"/>
  <c r="F52" i="38"/>
  <c r="D85" i="38"/>
  <c r="D87" i="38" s="1"/>
  <c r="G21" i="38"/>
  <c r="G19" i="38"/>
  <c r="G5" i="40"/>
  <c r="G17" i="40" s="1"/>
  <c r="F17" i="40"/>
  <c r="G28" i="38"/>
  <c r="D14" i="38"/>
  <c r="D16" i="38" s="1"/>
  <c r="G5" i="38"/>
  <c r="F34" i="40"/>
  <c r="G22" i="40"/>
  <c r="G34" i="40" s="1"/>
  <c r="F51" i="40"/>
  <c r="G39" i="40"/>
  <c r="G51" i="40" s="1"/>
  <c r="F85" i="40"/>
  <c r="G73" i="40"/>
  <c r="G85" i="40" s="1"/>
  <c r="F68" i="40"/>
  <c r="G56" i="40"/>
  <c r="G68" i="40" s="1"/>
  <c r="F61" i="38" l="1"/>
  <c r="G52" i="38"/>
  <c r="F99" i="38"/>
  <c r="F101" i="38" s="1"/>
  <c r="H101" i="38" s="1"/>
  <c r="G74" i="38"/>
  <c r="F76" i="38"/>
  <c r="G37" i="38"/>
  <c r="P6" i="21"/>
  <c r="G14" i="38"/>
  <c r="W6" i="21"/>
  <c r="D20" i="18"/>
  <c r="D12" i="18"/>
  <c r="AH6" i="21"/>
  <c r="D20" i="20"/>
  <c r="D12" i="20"/>
  <c r="AA6" i="21"/>
  <c r="T6" i="21"/>
  <c r="G99" i="38" l="1"/>
  <c r="AD6" i="21"/>
  <c r="G61" i="38"/>
  <c r="F85" i="38"/>
  <c r="G76" i="38"/>
  <c r="D20" i="17"/>
  <c r="D12" i="17"/>
  <c r="L10" i="21"/>
  <c r="D20" i="27"/>
  <c r="G20" i="19"/>
  <c r="D20" i="19"/>
  <c r="D12" i="19"/>
  <c r="H20" i="28"/>
  <c r="D20" i="28"/>
  <c r="G85" i="38" l="1"/>
  <c r="AK6" i="21"/>
  <c r="F110" i="38"/>
  <c r="G101" i="38"/>
  <c r="D194" i="3"/>
  <c r="G110" i="38" l="1"/>
  <c r="I6" i="21"/>
  <c r="D38" i="3"/>
  <c r="D37" i="3"/>
  <c r="D36" i="3"/>
  <c r="D29" i="3"/>
  <c r="D27" i="3"/>
  <c r="D175" i="3"/>
  <c r="D174" i="3"/>
  <c r="D173" i="3"/>
  <c r="D168" i="3"/>
  <c r="D112" i="3"/>
  <c r="D111" i="3"/>
  <c r="D110" i="3"/>
  <c r="D150" i="3" l="1"/>
  <c r="D151" i="3" s="1"/>
  <c r="D152" i="3" s="1"/>
  <c r="D75" i="3"/>
  <c r="D74" i="3"/>
  <c r="D73" i="3"/>
  <c r="H273" i="3" l="1"/>
  <c r="AI246" i="37" l="1"/>
  <c r="E247" i="37"/>
  <c r="F247" i="37"/>
  <c r="G247" i="37"/>
  <c r="H247" i="37"/>
  <c r="I247" i="37"/>
  <c r="J247" i="37"/>
  <c r="K247" i="37"/>
  <c r="L247" i="37"/>
  <c r="M247" i="37"/>
  <c r="N247" i="37"/>
  <c r="O247" i="37"/>
  <c r="P247" i="37"/>
  <c r="Q247" i="37"/>
  <c r="R247" i="37"/>
  <c r="S247" i="37"/>
  <c r="T247" i="37"/>
  <c r="U247" i="37"/>
  <c r="V247" i="37"/>
  <c r="W247" i="37"/>
  <c r="X247" i="37"/>
  <c r="Y247" i="37"/>
  <c r="Z247" i="37"/>
  <c r="AA247" i="37"/>
  <c r="AB247" i="37"/>
  <c r="AC247" i="37"/>
  <c r="AD247" i="37"/>
  <c r="AE247" i="37"/>
  <c r="AF247" i="37"/>
  <c r="AG247" i="37"/>
  <c r="D247" i="37"/>
  <c r="E256" i="37" l="1"/>
  <c r="F256" i="37"/>
  <c r="G256" i="37"/>
  <c r="H256" i="37"/>
  <c r="I256" i="37"/>
  <c r="J256" i="37"/>
  <c r="K256" i="37"/>
  <c r="L256" i="37"/>
  <c r="M256" i="37"/>
  <c r="N256" i="37"/>
  <c r="O256" i="37"/>
  <c r="P256" i="37"/>
  <c r="Q256" i="37"/>
  <c r="R256" i="37"/>
  <c r="S256" i="37"/>
  <c r="T256" i="37"/>
  <c r="U256" i="37"/>
  <c r="V256" i="37"/>
  <c r="W256" i="37"/>
  <c r="X256" i="37"/>
  <c r="Y256" i="37"/>
  <c r="Z256" i="37"/>
  <c r="AA256" i="37"/>
  <c r="AB256" i="37"/>
  <c r="AC256" i="37"/>
  <c r="AD256" i="37"/>
  <c r="AE256" i="37"/>
  <c r="AF256" i="37"/>
  <c r="D256" i="37"/>
  <c r="E254" i="37"/>
  <c r="F254" i="37"/>
  <c r="G254" i="37"/>
  <c r="H254" i="37"/>
  <c r="I254" i="37"/>
  <c r="J254" i="37"/>
  <c r="K254" i="37"/>
  <c r="L254" i="37"/>
  <c r="M254" i="37"/>
  <c r="N254" i="37"/>
  <c r="O254" i="37"/>
  <c r="P254" i="37"/>
  <c r="Q254" i="37"/>
  <c r="R254" i="37"/>
  <c r="S254" i="37"/>
  <c r="T254" i="37"/>
  <c r="U254" i="37"/>
  <c r="V254" i="37"/>
  <c r="W254" i="37"/>
  <c r="X254" i="37"/>
  <c r="Y254" i="37"/>
  <c r="Z254" i="37"/>
  <c r="AA254" i="37"/>
  <c r="AB254" i="37"/>
  <c r="AC254" i="37"/>
  <c r="AD254" i="37"/>
  <c r="AE254" i="37"/>
  <c r="AF254" i="37"/>
  <c r="D254" i="37"/>
  <c r="E19" i="21" l="1"/>
  <c r="E20" i="21" l="1"/>
  <c r="J23" i="28"/>
  <c r="AG7" i="21" l="1"/>
  <c r="AG13" i="21" s="1"/>
  <c r="H62" i="21" l="1"/>
  <c r="G23" i="28" l="1"/>
  <c r="F23" i="28"/>
  <c r="E23" i="28"/>
  <c r="G33" i="18"/>
  <c r="AI23" i="3"/>
  <c r="F94" i="38" s="1"/>
  <c r="D33" i="18" l="1"/>
  <c r="AI143" i="3" l="1"/>
  <c r="F51" i="38" s="1"/>
  <c r="AI103" i="3"/>
  <c r="AI29" i="3"/>
  <c r="F75" i="38" s="1"/>
  <c r="AI143" i="37"/>
  <c r="AI103" i="37"/>
  <c r="AI66" i="37"/>
  <c r="G51" i="38" l="1"/>
  <c r="G60" i="38" s="1"/>
  <c r="G63" i="38" s="1"/>
  <c r="AD13" i="21" s="1"/>
  <c r="F60" i="38"/>
  <c r="F63" i="38" s="1"/>
  <c r="G75" i="38"/>
  <c r="G84" i="38" s="1"/>
  <c r="G87" i="38" s="1"/>
  <c r="AK13" i="21" s="1"/>
  <c r="F84" i="38"/>
  <c r="F87" i="38" s="1"/>
  <c r="D11" i="20"/>
  <c r="G94" i="38" l="1"/>
  <c r="AL10" i="21" s="1"/>
  <c r="AG238" i="37"/>
  <c r="AF238" i="37"/>
  <c r="AE238" i="37"/>
  <c r="AD238" i="37"/>
  <c r="AC238" i="37"/>
  <c r="AB238" i="37"/>
  <c r="AA238" i="37"/>
  <c r="Z238" i="37"/>
  <c r="Y238" i="37"/>
  <c r="X238" i="37"/>
  <c r="W238" i="37"/>
  <c r="V238" i="37"/>
  <c r="U238" i="37"/>
  <c r="T238" i="37"/>
  <c r="S238" i="37"/>
  <c r="R238" i="37"/>
  <c r="Q238" i="37"/>
  <c r="P238" i="37"/>
  <c r="O238" i="37"/>
  <c r="N238" i="37"/>
  <c r="M238" i="37"/>
  <c r="L238" i="37"/>
  <c r="K238" i="37"/>
  <c r="J238" i="37"/>
  <c r="I238" i="37"/>
  <c r="H238" i="37"/>
  <c r="G238" i="37"/>
  <c r="F238" i="37"/>
  <c r="E238" i="37"/>
  <c r="D238" i="37"/>
  <c r="AG237" i="37"/>
  <c r="AF237" i="37"/>
  <c r="AE237" i="37"/>
  <c r="AD237" i="37"/>
  <c r="AC237" i="37"/>
  <c r="AB237" i="37"/>
  <c r="AA237" i="37"/>
  <c r="Z237" i="37"/>
  <c r="Y237" i="37"/>
  <c r="X237" i="37"/>
  <c r="W237" i="37"/>
  <c r="V237" i="37"/>
  <c r="U237" i="37"/>
  <c r="T237" i="37"/>
  <c r="S237" i="37"/>
  <c r="R237" i="37"/>
  <c r="Q237" i="37"/>
  <c r="P237" i="37"/>
  <c r="O237" i="37"/>
  <c r="N237" i="37"/>
  <c r="M237" i="37"/>
  <c r="L237" i="37"/>
  <c r="K237" i="37"/>
  <c r="J237" i="37"/>
  <c r="I237" i="37"/>
  <c r="H237" i="37"/>
  <c r="G237" i="37"/>
  <c r="F237" i="37"/>
  <c r="E237" i="37"/>
  <c r="D237" i="37"/>
  <c r="AG236" i="37"/>
  <c r="AF236" i="37"/>
  <c r="AE236" i="37"/>
  <c r="AD236" i="37"/>
  <c r="AC236" i="37"/>
  <c r="AB236" i="37"/>
  <c r="AA236" i="37"/>
  <c r="Z236" i="37"/>
  <c r="Y236" i="37"/>
  <c r="X236" i="37"/>
  <c r="W236" i="37"/>
  <c r="V236" i="37"/>
  <c r="U236" i="37"/>
  <c r="T236" i="37"/>
  <c r="S236" i="37"/>
  <c r="R236" i="37"/>
  <c r="Q236" i="37"/>
  <c r="P236" i="37"/>
  <c r="O236" i="37"/>
  <c r="N236" i="37"/>
  <c r="M236" i="37"/>
  <c r="L236" i="37"/>
  <c r="K236" i="37"/>
  <c r="J236" i="37"/>
  <c r="I236" i="37"/>
  <c r="H236" i="37"/>
  <c r="G236" i="37"/>
  <c r="F236" i="37"/>
  <c r="E236" i="37"/>
  <c r="D236" i="37"/>
  <c r="AG235" i="37"/>
  <c r="AF235" i="37"/>
  <c r="AE235" i="37"/>
  <c r="AD235" i="37"/>
  <c r="AC235" i="37"/>
  <c r="AB235" i="37"/>
  <c r="AA235" i="37"/>
  <c r="Z235" i="37"/>
  <c r="Y235" i="37"/>
  <c r="X235" i="37"/>
  <c r="W235" i="37"/>
  <c r="V235" i="37"/>
  <c r="U235" i="37"/>
  <c r="T235" i="37"/>
  <c r="S235" i="37"/>
  <c r="R235" i="37"/>
  <c r="Q235" i="37"/>
  <c r="P235" i="37"/>
  <c r="O235" i="37"/>
  <c r="N235" i="37"/>
  <c r="M235" i="37"/>
  <c r="L235" i="37"/>
  <c r="K235" i="37"/>
  <c r="J235" i="37"/>
  <c r="I235" i="37"/>
  <c r="H235" i="37"/>
  <c r="G235" i="37"/>
  <c r="F235" i="37"/>
  <c r="E235" i="37"/>
  <c r="D235" i="37"/>
  <c r="AG234" i="37"/>
  <c r="AG239" i="37" s="1"/>
  <c r="AG240" i="37" s="1"/>
  <c r="AF234" i="37"/>
  <c r="AF239" i="37" s="1"/>
  <c r="AF240" i="37" s="1"/>
  <c r="AE234" i="37"/>
  <c r="AD234" i="37"/>
  <c r="AC234" i="37"/>
  <c r="AC239" i="37" s="1"/>
  <c r="AC240" i="37" s="1"/>
  <c r="AB234" i="37"/>
  <c r="AB239" i="37" s="1"/>
  <c r="AB240" i="37" s="1"/>
  <c r="AA234" i="37"/>
  <c r="Z234" i="37"/>
  <c r="Y234" i="37"/>
  <c r="Y239" i="37" s="1"/>
  <c r="Y240" i="37" s="1"/>
  <c r="X234" i="37"/>
  <c r="X239" i="37" s="1"/>
  <c r="X240" i="37" s="1"/>
  <c r="W234" i="37"/>
  <c r="V234" i="37"/>
  <c r="U234" i="37"/>
  <c r="U239" i="37" s="1"/>
  <c r="U240" i="37" s="1"/>
  <c r="T234" i="37"/>
  <c r="T239" i="37" s="1"/>
  <c r="T240" i="37" s="1"/>
  <c r="S234" i="37"/>
  <c r="R234" i="37"/>
  <c r="Q234" i="37"/>
  <c r="Q239" i="37" s="1"/>
  <c r="Q240" i="37" s="1"/>
  <c r="P234" i="37"/>
  <c r="P239" i="37" s="1"/>
  <c r="P240" i="37" s="1"/>
  <c r="O234" i="37"/>
  <c r="N234" i="37"/>
  <c r="M234" i="37"/>
  <c r="M239" i="37" s="1"/>
  <c r="M240" i="37" s="1"/>
  <c r="L234" i="37"/>
  <c r="L239" i="37" s="1"/>
  <c r="L240" i="37" s="1"/>
  <c r="K234" i="37"/>
  <c r="J234" i="37"/>
  <c r="I234" i="37"/>
  <c r="I239" i="37" s="1"/>
  <c r="I240" i="37" s="1"/>
  <c r="H234" i="37"/>
  <c r="H239" i="37" s="1"/>
  <c r="H240" i="37" s="1"/>
  <c r="G234" i="37"/>
  <c r="F234" i="37"/>
  <c r="E234" i="37"/>
  <c r="D234" i="37"/>
  <c r="D239" i="37" s="1"/>
  <c r="D240" i="37" s="1"/>
  <c r="AG233" i="37"/>
  <c r="AF233" i="37"/>
  <c r="AE233" i="37"/>
  <c r="AD233" i="37"/>
  <c r="AC233" i="37"/>
  <c r="AB233" i="37"/>
  <c r="AA233" i="37"/>
  <c r="Z233" i="37"/>
  <c r="Y233" i="37"/>
  <c r="X233" i="37"/>
  <c r="W233" i="37"/>
  <c r="V233" i="37"/>
  <c r="U233" i="37"/>
  <c r="T233" i="37"/>
  <c r="S233" i="37"/>
  <c r="R233" i="37"/>
  <c r="Q233" i="37"/>
  <c r="P233" i="37"/>
  <c r="O233" i="37"/>
  <c r="N233" i="37"/>
  <c r="M233" i="37"/>
  <c r="L233" i="37"/>
  <c r="K233" i="37"/>
  <c r="J233" i="37"/>
  <c r="I233" i="37"/>
  <c r="H233" i="37"/>
  <c r="G233" i="37"/>
  <c r="F233" i="37"/>
  <c r="E233" i="37"/>
  <c r="D233" i="37"/>
  <c r="AG228" i="37"/>
  <c r="AG232" i="37" s="1"/>
  <c r="AF228" i="37"/>
  <c r="AF232" i="37" s="1"/>
  <c r="AE228" i="37"/>
  <c r="AE232" i="37" s="1"/>
  <c r="AD228" i="37"/>
  <c r="AC228" i="37"/>
  <c r="AB228" i="37"/>
  <c r="AB232" i="37" s="1"/>
  <c r="AA228" i="37"/>
  <c r="AA232" i="37" s="1"/>
  <c r="Z228" i="37"/>
  <c r="Z232" i="37" s="1"/>
  <c r="Y228" i="37"/>
  <c r="Y232" i="37" s="1"/>
  <c r="X228" i="37"/>
  <c r="X232" i="37" s="1"/>
  <c r="W228" i="37"/>
  <c r="W232" i="37" s="1"/>
  <c r="V228" i="37"/>
  <c r="V232" i="37" s="1"/>
  <c r="U228" i="37"/>
  <c r="T228" i="37"/>
  <c r="T232" i="37" s="1"/>
  <c r="S228" i="37"/>
  <c r="S232" i="37" s="1"/>
  <c r="R228" i="37"/>
  <c r="Q228" i="37"/>
  <c r="P228" i="37"/>
  <c r="P232" i="37" s="1"/>
  <c r="O228" i="37"/>
  <c r="O232" i="37" s="1"/>
  <c r="N228" i="37"/>
  <c r="M228" i="37"/>
  <c r="L228" i="37"/>
  <c r="L232" i="37" s="1"/>
  <c r="K228" i="37"/>
  <c r="K232" i="37" s="1"/>
  <c r="J228" i="37"/>
  <c r="J232" i="37" s="1"/>
  <c r="I228" i="37"/>
  <c r="I232" i="37" s="1"/>
  <c r="H228" i="37"/>
  <c r="H232" i="37" s="1"/>
  <c r="G228" i="37"/>
  <c r="G232" i="37" s="1"/>
  <c r="F228" i="37"/>
  <c r="F232" i="37" s="1"/>
  <c r="E228" i="37"/>
  <c r="D228" i="37"/>
  <c r="D232" i="37" s="1"/>
  <c r="AG227" i="37"/>
  <c r="AF227" i="37"/>
  <c r="AE227" i="37"/>
  <c r="AD227" i="37"/>
  <c r="AC227" i="37"/>
  <c r="AB227" i="37"/>
  <c r="AA227" i="37"/>
  <c r="Z227" i="37"/>
  <c r="Y227" i="37"/>
  <c r="X227" i="37"/>
  <c r="W227" i="37"/>
  <c r="V227" i="37"/>
  <c r="U227" i="37"/>
  <c r="T227" i="37"/>
  <c r="S227" i="37"/>
  <c r="R227" i="37"/>
  <c r="Q227" i="37"/>
  <c r="P227" i="37"/>
  <c r="O227" i="37"/>
  <c r="N227" i="37"/>
  <c r="M227" i="37"/>
  <c r="L227" i="37"/>
  <c r="K227" i="37"/>
  <c r="J227" i="37"/>
  <c r="I227" i="37"/>
  <c r="H227" i="37"/>
  <c r="G227" i="37"/>
  <c r="F227" i="37"/>
  <c r="E227" i="37"/>
  <c r="D227" i="37"/>
  <c r="AG226" i="37"/>
  <c r="AF226" i="37"/>
  <c r="AE226" i="37"/>
  <c r="AD226" i="37"/>
  <c r="AC226" i="37"/>
  <c r="AB226" i="37"/>
  <c r="AA226" i="37"/>
  <c r="Z226" i="37"/>
  <c r="Y226" i="37"/>
  <c r="X226" i="37"/>
  <c r="W226" i="37"/>
  <c r="V226" i="37"/>
  <c r="U226" i="37"/>
  <c r="T226" i="37"/>
  <c r="S226" i="37"/>
  <c r="R226" i="37"/>
  <c r="Q226" i="37"/>
  <c r="P226" i="37"/>
  <c r="O226" i="37"/>
  <c r="N226" i="37"/>
  <c r="M226" i="37"/>
  <c r="L226" i="37"/>
  <c r="K226" i="37"/>
  <c r="J226" i="37"/>
  <c r="I226" i="37"/>
  <c r="H226" i="37"/>
  <c r="G226" i="37"/>
  <c r="F226" i="37"/>
  <c r="E226" i="37"/>
  <c r="D226" i="37"/>
  <c r="AG225" i="37"/>
  <c r="AG229" i="37" s="1"/>
  <c r="AF225" i="37"/>
  <c r="AF229" i="37" s="1"/>
  <c r="AE225" i="37"/>
  <c r="AE229" i="37" s="1"/>
  <c r="AD225" i="37"/>
  <c r="AD229" i="37" s="1"/>
  <c r="AC225" i="37"/>
  <c r="AC229" i="37" s="1"/>
  <c r="AB225" i="37"/>
  <c r="AB229" i="37" s="1"/>
  <c r="AA225" i="37"/>
  <c r="AA229" i="37" s="1"/>
  <c r="Z225" i="37"/>
  <c r="Z229" i="37" s="1"/>
  <c r="Y225" i="37"/>
  <c r="Y229" i="37" s="1"/>
  <c r="X225" i="37"/>
  <c r="X229" i="37" s="1"/>
  <c r="W225" i="37"/>
  <c r="W229" i="37" s="1"/>
  <c r="V225" i="37"/>
  <c r="V229" i="37" s="1"/>
  <c r="U225" i="37"/>
  <c r="U229" i="37" s="1"/>
  <c r="T225" i="37"/>
  <c r="T229" i="37" s="1"/>
  <c r="S225" i="37"/>
  <c r="S229" i="37" s="1"/>
  <c r="R225" i="37"/>
  <c r="R229" i="37" s="1"/>
  <c r="Q225" i="37"/>
  <c r="Q229" i="37" s="1"/>
  <c r="P225" i="37"/>
  <c r="P229" i="37" s="1"/>
  <c r="O225" i="37"/>
  <c r="O229" i="37" s="1"/>
  <c r="O230" i="37" s="1"/>
  <c r="N225" i="37"/>
  <c r="N229" i="37" s="1"/>
  <c r="M225" i="37"/>
  <c r="M229" i="37" s="1"/>
  <c r="L225" i="37"/>
  <c r="L229" i="37" s="1"/>
  <c r="K225" i="37"/>
  <c r="K229" i="37" s="1"/>
  <c r="J225" i="37"/>
  <c r="J229" i="37" s="1"/>
  <c r="I225" i="37"/>
  <c r="I229" i="37" s="1"/>
  <c r="H225" i="37"/>
  <c r="H229" i="37" s="1"/>
  <c r="G225" i="37"/>
  <c r="G229" i="37" s="1"/>
  <c r="F225" i="37"/>
  <c r="F229" i="37" s="1"/>
  <c r="E225" i="37"/>
  <c r="D225" i="37"/>
  <c r="D229" i="37" s="1"/>
  <c r="AG224" i="37"/>
  <c r="AF224" i="37"/>
  <c r="AE224" i="37"/>
  <c r="AD224" i="37"/>
  <c r="AC224" i="37"/>
  <c r="AB224" i="37"/>
  <c r="AA224" i="37"/>
  <c r="Z224" i="37"/>
  <c r="Y224" i="37"/>
  <c r="X224" i="37"/>
  <c r="W224" i="37"/>
  <c r="V224" i="37"/>
  <c r="U224" i="37"/>
  <c r="T224" i="37"/>
  <c r="S224" i="37"/>
  <c r="R224" i="37"/>
  <c r="Q224" i="37"/>
  <c r="P224" i="37"/>
  <c r="O224" i="37"/>
  <c r="N224" i="37"/>
  <c r="M224" i="37"/>
  <c r="L224" i="37"/>
  <c r="K224" i="37"/>
  <c r="J224" i="37"/>
  <c r="I224" i="37"/>
  <c r="H224" i="37"/>
  <c r="G224" i="37"/>
  <c r="F224" i="37"/>
  <c r="E224" i="37"/>
  <c r="D224" i="37"/>
  <c r="AG223" i="37"/>
  <c r="AF223" i="37"/>
  <c r="AE223" i="37"/>
  <c r="AD223" i="37"/>
  <c r="AC223" i="37"/>
  <c r="AB223" i="37"/>
  <c r="AA223" i="37"/>
  <c r="Z223" i="37"/>
  <c r="Y223" i="37"/>
  <c r="X223" i="37"/>
  <c r="W223" i="37"/>
  <c r="V223" i="37"/>
  <c r="U223" i="37"/>
  <c r="T223" i="37"/>
  <c r="S223" i="37"/>
  <c r="R223" i="37"/>
  <c r="Q223" i="37"/>
  <c r="P223" i="37"/>
  <c r="O223" i="37"/>
  <c r="N223" i="37"/>
  <c r="M223" i="37"/>
  <c r="L223" i="37"/>
  <c r="K223" i="37"/>
  <c r="J223" i="37"/>
  <c r="I223" i="37"/>
  <c r="H223" i="37"/>
  <c r="G223" i="37"/>
  <c r="F223" i="37"/>
  <c r="E223" i="37"/>
  <c r="D223" i="37"/>
  <c r="AG222" i="37"/>
  <c r="AF222" i="37"/>
  <c r="AE222" i="37"/>
  <c r="AD222" i="37"/>
  <c r="AC222" i="37"/>
  <c r="AB222" i="37"/>
  <c r="AA222" i="37"/>
  <c r="Z222" i="37"/>
  <c r="Y222" i="37"/>
  <c r="X222" i="37"/>
  <c r="W222" i="37"/>
  <c r="V222" i="37"/>
  <c r="U222" i="37"/>
  <c r="T222" i="37"/>
  <c r="S222" i="37"/>
  <c r="R222" i="37"/>
  <c r="Q222" i="37"/>
  <c r="P222" i="37"/>
  <c r="O222" i="37"/>
  <c r="N222" i="37"/>
  <c r="M222" i="37"/>
  <c r="L222" i="37"/>
  <c r="K222" i="37"/>
  <c r="J222" i="37"/>
  <c r="I222" i="37"/>
  <c r="H222" i="37"/>
  <c r="G222" i="37"/>
  <c r="F222" i="37"/>
  <c r="E222" i="37"/>
  <c r="D222" i="37"/>
  <c r="AG221" i="37"/>
  <c r="AF221" i="37"/>
  <c r="AE221" i="37"/>
  <c r="AD221" i="37"/>
  <c r="AC221" i="37"/>
  <c r="AB221" i="37"/>
  <c r="AA221" i="37"/>
  <c r="Z221" i="37"/>
  <c r="Y221" i="37"/>
  <c r="X221" i="37"/>
  <c r="W221" i="37"/>
  <c r="V221" i="37"/>
  <c r="U221" i="37"/>
  <c r="T221" i="37"/>
  <c r="S221" i="37"/>
  <c r="R221" i="37"/>
  <c r="Q221" i="37"/>
  <c r="P221" i="37"/>
  <c r="O221" i="37"/>
  <c r="N221" i="37"/>
  <c r="M221" i="37"/>
  <c r="L221" i="37"/>
  <c r="K221" i="37"/>
  <c r="J221" i="37"/>
  <c r="I221" i="37"/>
  <c r="H221" i="37"/>
  <c r="G221" i="37"/>
  <c r="F221" i="37"/>
  <c r="E221" i="37"/>
  <c r="D221" i="37"/>
  <c r="AG220" i="37"/>
  <c r="AF220" i="37"/>
  <c r="AE220" i="37"/>
  <c r="AD220" i="37"/>
  <c r="AC220" i="37"/>
  <c r="AB220" i="37"/>
  <c r="AA220" i="37"/>
  <c r="Z220" i="37"/>
  <c r="Y220" i="37"/>
  <c r="X220" i="37"/>
  <c r="W220" i="37"/>
  <c r="V220" i="37"/>
  <c r="U220" i="37"/>
  <c r="T220" i="37"/>
  <c r="S220" i="37"/>
  <c r="R220" i="37"/>
  <c r="Q220" i="37"/>
  <c r="P220" i="37"/>
  <c r="O220" i="37"/>
  <c r="N220" i="37"/>
  <c r="M220" i="37"/>
  <c r="L220" i="37"/>
  <c r="K220" i="37"/>
  <c r="J220" i="37"/>
  <c r="I220" i="37"/>
  <c r="H220" i="37"/>
  <c r="G220" i="37"/>
  <c r="F220" i="37"/>
  <c r="E220" i="37"/>
  <c r="D220" i="37"/>
  <c r="AG219" i="37"/>
  <c r="AF219" i="37"/>
  <c r="AE219" i="37"/>
  <c r="AD219" i="37"/>
  <c r="AC219" i="37"/>
  <c r="AB219" i="37"/>
  <c r="AA219" i="37"/>
  <c r="Z219" i="37"/>
  <c r="Y219" i="37"/>
  <c r="X219" i="37"/>
  <c r="W219" i="37"/>
  <c r="V219" i="37"/>
  <c r="U219" i="37"/>
  <c r="T219" i="37"/>
  <c r="S219" i="37"/>
  <c r="R219" i="37"/>
  <c r="Q219" i="37"/>
  <c r="P219" i="37"/>
  <c r="O219" i="37"/>
  <c r="N219" i="37"/>
  <c r="M219" i="37"/>
  <c r="L219" i="37"/>
  <c r="K219" i="37"/>
  <c r="J219" i="37"/>
  <c r="I219" i="37"/>
  <c r="H219" i="37"/>
  <c r="G219" i="37"/>
  <c r="F219" i="37"/>
  <c r="E219" i="37"/>
  <c r="D219" i="37"/>
  <c r="AG218" i="37"/>
  <c r="AF218" i="37"/>
  <c r="AE218" i="37"/>
  <c r="AD218" i="37"/>
  <c r="AC218" i="37"/>
  <c r="AB218" i="37"/>
  <c r="AA218" i="37"/>
  <c r="Z218" i="37"/>
  <c r="Y218" i="37"/>
  <c r="X218" i="37"/>
  <c r="W218" i="37"/>
  <c r="V218" i="37"/>
  <c r="U218" i="37"/>
  <c r="T218" i="37"/>
  <c r="S218" i="37"/>
  <c r="R218" i="37"/>
  <c r="Q218" i="37"/>
  <c r="P218" i="37"/>
  <c r="O218" i="37"/>
  <c r="N218" i="37"/>
  <c r="M218" i="37"/>
  <c r="L218" i="37"/>
  <c r="K218" i="37"/>
  <c r="J218" i="37"/>
  <c r="I218" i="37"/>
  <c r="H218" i="37"/>
  <c r="G218" i="37"/>
  <c r="F218" i="37"/>
  <c r="E218" i="37"/>
  <c r="D218" i="37"/>
  <c r="AG217" i="37"/>
  <c r="AF217" i="37"/>
  <c r="AE217" i="37"/>
  <c r="AD217" i="37"/>
  <c r="AC217" i="37"/>
  <c r="AB217" i="37"/>
  <c r="AA217" i="37"/>
  <c r="Z217" i="37"/>
  <c r="Y217" i="37"/>
  <c r="X217" i="37"/>
  <c r="W217" i="37"/>
  <c r="V217" i="37"/>
  <c r="U217" i="37"/>
  <c r="T217" i="37"/>
  <c r="S217" i="37"/>
  <c r="R217" i="37"/>
  <c r="Q217" i="37"/>
  <c r="P217" i="37"/>
  <c r="O217" i="37"/>
  <c r="N217" i="37"/>
  <c r="M217" i="37"/>
  <c r="L217" i="37"/>
  <c r="K217" i="37"/>
  <c r="J217" i="37"/>
  <c r="I217" i="37"/>
  <c r="H217" i="37"/>
  <c r="G217" i="37"/>
  <c r="F217" i="37"/>
  <c r="E217" i="37"/>
  <c r="D217" i="37"/>
  <c r="AG216" i="37"/>
  <c r="AF216" i="37"/>
  <c r="AE216" i="37"/>
  <c r="AD216" i="37"/>
  <c r="AC216" i="37"/>
  <c r="AB216" i="37"/>
  <c r="AA216" i="37"/>
  <c r="Z216" i="37"/>
  <c r="Y216" i="37"/>
  <c r="X216" i="37"/>
  <c r="W216" i="37"/>
  <c r="V216" i="37"/>
  <c r="U216" i="37"/>
  <c r="T216" i="37"/>
  <c r="S216" i="37"/>
  <c r="R216" i="37"/>
  <c r="Q216" i="37"/>
  <c r="P216" i="37"/>
  <c r="O216" i="37"/>
  <c r="N216" i="37"/>
  <c r="M216" i="37"/>
  <c r="L216" i="37"/>
  <c r="K216" i="37"/>
  <c r="J216" i="37"/>
  <c r="I216" i="37"/>
  <c r="H216" i="37"/>
  <c r="G216" i="37"/>
  <c r="F216" i="37"/>
  <c r="E216" i="37"/>
  <c r="D216" i="37"/>
  <c r="AG215" i="37"/>
  <c r="AF215" i="37"/>
  <c r="AE215" i="37"/>
  <c r="AD215" i="37"/>
  <c r="AC215" i="37"/>
  <c r="AB215" i="37"/>
  <c r="AA215" i="37"/>
  <c r="Z215" i="37"/>
  <c r="Y215" i="37"/>
  <c r="X215" i="37"/>
  <c r="W215" i="37"/>
  <c r="V215" i="37"/>
  <c r="U215" i="37"/>
  <c r="T215" i="37"/>
  <c r="S215" i="37"/>
  <c r="R215" i="37"/>
  <c r="Q215" i="37"/>
  <c r="P215" i="37"/>
  <c r="O215" i="37"/>
  <c r="N215" i="37"/>
  <c r="M215" i="37"/>
  <c r="L215" i="37"/>
  <c r="K215" i="37"/>
  <c r="J215" i="37"/>
  <c r="I215" i="37"/>
  <c r="H215" i="37"/>
  <c r="G215" i="37"/>
  <c r="F215" i="37"/>
  <c r="E215" i="37"/>
  <c r="D215" i="37"/>
  <c r="AG214" i="37"/>
  <c r="AF214" i="37"/>
  <c r="AE214" i="37"/>
  <c r="AD214" i="37"/>
  <c r="AC214" i="37"/>
  <c r="AB214" i="37"/>
  <c r="AA214" i="37"/>
  <c r="Z214" i="37"/>
  <c r="Y214" i="37"/>
  <c r="X214" i="37"/>
  <c r="W214" i="37"/>
  <c r="V214" i="37"/>
  <c r="U214" i="37"/>
  <c r="T214" i="37"/>
  <c r="S214" i="37"/>
  <c r="R214" i="37"/>
  <c r="Q214" i="37"/>
  <c r="P214" i="37"/>
  <c r="O214" i="37"/>
  <c r="N214" i="37"/>
  <c r="M214" i="37"/>
  <c r="L214" i="37"/>
  <c r="K214" i="37"/>
  <c r="J214" i="37"/>
  <c r="I214" i="37"/>
  <c r="H214" i="37"/>
  <c r="G214" i="37"/>
  <c r="F214" i="37"/>
  <c r="E214" i="37"/>
  <c r="D214" i="37"/>
  <c r="AG213" i="37"/>
  <c r="AF213" i="37"/>
  <c r="AE213" i="37"/>
  <c r="AD213" i="37"/>
  <c r="AC213" i="37"/>
  <c r="AB213" i="37"/>
  <c r="AA213" i="37"/>
  <c r="Z213" i="37"/>
  <c r="Y213" i="37"/>
  <c r="X213" i="37"/>
  <c r="W213" i="37"/>
  <c r="V213" i="37"/>
  <c r="U213" i="37"/>
  <c r="T213" i="37"/>
  <c r="S213" i="37"/>
  <c r="R213" i="37"/>
  <c r="Q213" i="37"/>
  <c r="P213" i="37"/>
  <c r="O213" i="37"/>
  <c r="N213" i="37"/>
  <c r="M213" i="37"/>
  <c r="L213" i="37"/>
  <c r="K213" i="37"/>
  <c r="J213" i="37"/>
  <c r="I213" i="37"/>
  <c r="H213" i="37"/>
  <c r="G213" i="37"/>
  <c r="F213" i="37"/>
  <c r="E213" i="37"/>
  <c r="D213" i="37"/>
  <c r="AG212" i="37"/>
  <c r="AF212" i="37"/>
  <c r="AE212" i="37"/>
  <c r="AD212" i="37"/>
  <c r="AC212" i="37"/>
  <c r="AB212" i="37"/>
  <c r="AA212" i="37"/>
  <c r="Z212" i="37"/>
  <c r="Y212" i="37"/>
  <c r="X212" i="37"/>
  <c r="W212" i="37"/>
  <c r="V212" i="37"/>
  <c r="U212" i="37"/>
  <c r="T212" i="37"/>
  <c r="S212" i="37"/>
  <c r="R212" i="37"/>
  <c r="Q212" i="37"/>
  <c r="P212" i="37"/>
  <c r="O212" i="37"/>
  <c r="N212" i="37"/>
  <c r="M212" i="37"/>
  <c r="L212" i="37"/>
  <c r="K212" i="37"/>
  <c r="J212" i="37"/>
  <c r="I212" i="37"/>
  <c r="H212" i="37"/>
  <c r="G212" i="37"/>
  <c r="F212" i="37"/>
  <c r="E212" i="37"/>
  <c r="D212" i="37"/>
  <c r="AG211" i="37"/>
  <c r="AF211" i="37"/>
  <c r="AE211" i="37"/>
  <c r="AD211" i="37"/>
  <c r="AC211" i="37"/>
  <c r="AB211" i="37"/>
  <c r="AA211" i="37"/>
  <c r="Z211" i="37"/>
  <c r="Y211" i="37"/>
  <c r="X211" i="37"/>
  <c r="W211" i="37"/>
  <c r="V211" i="37"/>
  <c r="U211" i="37"/>
  <c r="T211" i="37"/>
  <c r="S211" i="37"/>
  <c r="R211" i="37"/>
  <c r="Q211" i="37"/>
  <c r="P211" i="37"/>
  <c r="O211" i="37"/>
  <c r="N211" i="37"/>
  <c r="M211" i="37"/>
  <c r="L211" i="37"/>
  <c r="K211" i="37"/>
  <c r="J211" i="37"/>
  <c r="I211" i="37"/>
  <c r="H211" i="37"/>
  <c r="G211" i="37"/>
  <c r="F211" i="37"/>
  <c r="E211" i="37"/>
  <c r="D211" i="37"/>
  <c r="AG210" i="37"/>
  <c r="AF210" i="37"/>
  <c r="AE210" i="37"/>
  <c r="AD210" i="37"/>
  <c r="AC210" i="37"/>
  <c r="AB210" i="37"/>
  <c r="AA210" i="37"/>
  <c r="Z210" i="37"/>
  <c r="Y210" i="37"/>
  <c r="X210" i="37"/>
  <c r="W210" i="37"/>
  <c r="V210" i="37"/>
  <c r="U210" i="37"/>
  <c r="T210" i="37"/>
  <c r="S210" i="37"/>
  <c r="R210" i="37"/>
  <c r="Q210" i="37"/>
  <c r="P210" i="37"/>
  <c r="O210" i="37"/>
  <c r="N210" i="37"/>
  <c r="M210" i="37"/>
  <c r="L210" i="37"/>
  <c r="K210" i="37"/>
  <c r="J210" i="37"/>
  <c r="I210" i="37"/>
  <c r="H210" i="37"/>
  <c r="G210" i="37"/>
  <c r="F210" i="37"/>
  <c r="E210" i="37"/>
  <c r="D210" i="37"/>
  <c r="AG209" i="37"/>
  <c r="AF209" i="37"/>
  <c r="AE209" i="37"/>
  <c r="AD209" i="37"/>
  <c r="AC209" i="37"/>
  <c r="AB209" i="37"/>
  <c r="AA209" i="37"/>
  <c r="Z209" i="37"/>
  <c r="Y209" i="37"/>
  <c r="X209" i="37"/>
  <c r="W209" i="37"/>
  <c r="V209" i="37"/>
  <c r="U209" i="37"/>
  <c r="T209" i="37"/>
  <c r="S209" i="37"/>
  <c r="R209" i="37"/>
  <c r="Q209" i="37"/>
  <c r="P209" i="37"/>
  <c r="O209" i="37"/>
  <c r="N209" i="37"/>
  <c r="M209" i="37"/>
  <c r="L209" i="37"/>
  <c r="K209" i="37"/>
  <c r="J209" i="37"/>
  <c r="I209" i="37"/>
  <c r="H209" i="37"/>
  <c r="G209" i="37"/>
  <c r="F209" i="37"/>
  <c r="E209" i="37"/>
  <c r="D209" i="37"/>
  <c r="AG208" i="37"/>
  <c r="AF208" i="37"/>
  <c r="AE208" i="37"/>
  <c r="AD208" i="37"/>
  <c r="AC208" i="37"/>
  <c r="AB208" i="37"/>
  <c r="AA208" i="37"/>
  <c r="Z208" i="37"/>
  <c r="Y208" i="37"/>
  <c r="X208" i="37"/>
  <c r="W208" i="37"/>
  <c r="V208" i="37"/>
  <c r="U208" i="37"/>
  <c r="T208" i="37"/>
  <c r="S208" i="37"/>
  <c r="R208" i="37"/>
  <c r="Q208" i="37"/>
  <c r="P208" i="37"/>
  <c r="O208" i="37"/>
  <c r="N208" i="37"/>
  <c r="M208" i="37"/>
  <c r="L208" i="37"/>
  <c r="K208" i="37"/>
  <c r="J208" i="37"/>
  <c r="I208" i="37"/>
  <c r="H208" i="37"/>
  <c r="G208" i="37"/>
  <c r="F208" i="37"/>
  <c r="E208" i="37"/>
  <c r="D208" i="37"/>
  <c r="AG207" i="37"/>
  <c r="AF207" i="37"/>
  <c r="AE207" i="37"/>
  <c r="AD207" i="37"/>
  <c r="AC207" i="37"/>
  <c r="AB207" i="37"/>
  <c r="AA207" i="37"/>
  <c r="Z207" i="37"/>
  <c r="Y207" i="37"/>
  <c r="X207" i="37"/>
  <c r="W207" i="37"/>
  <c r="V207" i="37"/>
  <c r="U207" i="37"/>
  <c r="T207" i="37"/>
  <c r="S207" i="37"/>
  <c r="R207" i="37"/>
  <c r="Q207" i="37"/>
  <c r="P207" i="37"/>
  <c r="O207" i="37"/>
  <c r="N207" i="37"/>
  <c r="M207" i="37"/>
  <c r="L207" i="37"/>
  <c r="K207" i="37"/>
  <c r="J207" i="37"/>
  <c r="I207" i="37"/>
  <c r="H207" i="37"/>
  <c r="G207" i="37"/>
  <c r="F207" i="37"/>
  <c r="E207" i="37"/>
  <c r="D207" i="37"/>
  <c r="AG206" i="37"/>
  <c r="AF206" i="37"/>
  <c r="AE206" i="37"/>
  <c r="AD206" i="37"/>
  <c r="AC206" i="37"/>
  <c r="AB206" i="37"/>
  <c r="AA206" i="37"/>
  <c r="Z206" i="37"/>
  <c r="Y206" i="37"/>
  <c r="X206" i="37"/>
  <c r="W206" i="37"/>
  <c r="V206" i="37"/>
  <c r="U206" i="37"/>
  <c r="T206" i="37"/>
  <c r="S206" i="37"/>
  <c r="R206" i="37"/>
  <c r="Q206" i="37"/>
  <c r="P206" i="37"/>
  <c r="O206" i="37"/>
  <c r="N206" i="37"/>
  <c r="M206" i="37"/>
  <c r="L206" i="37"/>
  <c r="K206" i="37"/>
  <c r="J206" i="37"/>
  <c r="I206" i="37"/>
  <c r="H206" i="37"/>
  <c r="G206" i="37"/>
  <c r="F206" i="37"/>
  <c r="E206" i="37"/>
  <c r="D206" i="37"/>
  <c r="AG205" i="37"/>
  <c r="AF205" i="37"/>
  <c r="AE205" i="37"/>
  <c r="AD205" i="37"/>
  <c r="AC205" i="37"/>
  <c r="AB205" i="37"/>
  <c r="AA205" i="37"/>
  <c r="Z205" i="37"/>
  <c r="Y205" i="37"/>
  <c r="X205" i="37"/>
  <c r="W205" i="37"/>
  <c r="V205" i="37"/>
  <c r="U205" i="37"/>
  <c r="T205" i="37"/>
  <c r="S205" i="37"/>
  <c r="R205" i="37"/>
  <c r="Q205" i="37"/>
  <c r="P205" i="37"/>
  <c r="O205" i="37"/>
  <c r="N205" i="37"/>
  <c r="M205" i="37"/>
  <c r="L205" i="37"/>
  <c r="K205" i="37"/>
  <c r="J205" i="37"/>
  <c r="I205" i="37"/>
  <c r="H205" i="37"/>
  <c r="G205" i="37"/>
  <c r="F205" i="37"/>
  <c r="E205" i="37"/>
  <c r="D205" i="37"/>
  <c r="AG204" i="37"/>
  <c r="AF204" i="37"/>
  <c r="AE204" i="37"/>
  <c r="AD204" i="37"/>
  <c r="AC204" i="37"/>
  <c r="AB204" i="37"/>
  <c r="AA204" i="37"/>
  <c r="Z204" i="37"/>
  <c r="Y204" i="37"/>
  <c r="X204" i="37"/>
  <c r="W204" i="37"/>
  <c r="V204" i="37"/>
  <c r="U204" i="37"/>
  <c r="T204" i="37"/>
  <c r="S204" i="37"/>
  <c r="R204" i="37"/>
  <c r="Q204" i="37"/>
  <c r="P204" i="37"/>
  <c r="O204" i="37"/>
  <c r="N204" i="37"/>
  <c r="M204" i="37"/>
  <c r="L204" i="37"/>
  <c r="K204" i="37"/>
  <c r="J204" i="37"/>
  <c r="I204" i="37"/>
  <c r="H204" i="37"/>
  <c r="G204" i="37"/>
  <c r="F204" i="37"/>
  <c r="E204" i="37"/>
  <c r="D204" i="37"/>
  <c r="AG203" i="37"/>
  <c r="AF203" i="37"/>
  <c r="AE203" i="37"/>
  <c r="AD203" i="37"/>
  <c r="AC203" i="37"/>
  <c r="AB203" i="37"/>
  <c r="AA203" i="37"/>
  <c r="Z203" i="37"/>
  <c r="Y203" i="37"/>
  <c r="X203" i="37"/>
  <c r="W203" i="37"/>
  <c r="V203" i="37"/>
  <c r="U203" i="37"/>
  <c r="T203" i="37"/>
  <c r="S203" i="37"/>
  <c r="R203" i="37"/>
  <c r="Q203" i="37"/>
  <c r="P203" i="37"/>
  <c r="O203" i="37"/>
  <c r="N203" i="37"/>
  <c r="M203" i="37"/>
  <c r="L203" i="37"/>
  <c r="K203" i="37"/>
  <c r="J203" i="37"/>
  <c r="I203" i="37"/>
  <c r="H203" i="37"/>
  <c r="G203" i="37"/>
  <c r="F203" i="37"/>
  <c r="E203" i="37"/>
  <c r="D203" i="37"/>
  <c r="AH198" i="37"/>
  <c r="AG198" i="37"/>
  <c r="AF198" i="37"/>
  <c r="AE198" i="37"/>
  <c r="AD198" i="37"/>
  <c r="AC198" i="37"/>
  <c r="AB198" i="37"/>
  <c r="AA198" i="37"/>
  <c r="Z198" i="37"/>
  <c r="Y198" i="37"/>
  <c r="X198" i="37"/>
  <c r="W198" i="37"/>
  <c r="V198" i="37"/>
  <c r="U198" i="37"/>
  <c r="T198" i="37"/>
  <c r="S198" i="37"/>
  <c r="R198" i="37"/>
  <c r="Q198" i="37"/>
  <c r="P198" i="37"/>
  <c r="O198" i="37"/>
  <c r="N198" i="37"/>
  <c r="M198" i="37"/>
  <c r="L198" i="37"/>
  <c r="K198" i="37"/>
  <c r="J198" i="37"/>
  <c r="I198" i="37"/>
  <c r="H198" i="37"/>
  <c r="G198" i="37"/>
  <c r="F198" i="37"/>
  <c r="E198" i="37"/>
  <c r="D198" i="37"/>
  <c r="AH194" i="37"/>
  <c r="AH195" i="37" s="1"/>
  <c r="AH196" i="37" s="1"/>
  <c r="AG194" i="37"/>
  <c r="AG195" i="37" s="1"/>
  <c r="AG196" i="37" s="1"/>
  <c r="AF194" i="37"/>
  <c r="AF195" i="37" s="1"/>
  <c r="AF196" i="37" s="1"/>
  <c r="AE194" i="37"/>
  <c r="AE195" i="37" s="1"/>
  <c r="AE196" i="37" s="1"/>
  <c r="AD194" i="37"/>
  <c r="AD195" i="37" s="1"/>
  <c r="AD196" i="37" s="1"/>
  <c r="AC194" i="37"/>
  <c r="AC195" i="37" s="1"/>
  <c r="AC196" i="37" s="1"/>
  <c r="AB194" i="37"/>
  <c r="AB195" i="37" s="1"/>
  <c r="AB196" i="37" s="1"/>
  <c r="AA194" i="37"/>
  <c r="AA195" i="37" s="1"/>
  <c r="AA196" i="37" s="1"/>
  <c r="Z194" i="37"/>
  <c r="Z195" i="37" s="1"/>
  <c r="Z196" i="37" s="1"/>
  <c r="Y194" i="37"/>
  <c r="Y195" i="37" s="1"/>
  <c r="Y196" i="37" s="1"/>
  <c r="X194" i="37"/>
  <c r="X195" i="37" s="1"/>
  <c r="X196" i="37" s="1"/>
  <c r="W194" i="37"/>
  <c r="W195" i="37" s="1"/>
  <c r="W196" i="37" s="1"/>
  <c r="V194" i="37"/>
  <c r="V195" i="37" s="1"/>
  <c r="V196" i="37" s="1"/>
  <c r="U194" i="37"/>
  <c r="U195" i="37" s="1"/>
  <c r="U196" i="37" s="1"/>
  <c r="T194" i="37"/>
  <c r="T195" i="37" s="1"/>
  <c r="T196" i="37" s="1"/>
  <c r="S194" i="37"/>
  <c r="S195" i="37" s="1"/>
  <c r="S196" i="37" s="1"/>
  <c r="R194" i="37"/>
  <c r="R195" i="37" s="1"/>
  <c r="R196" i="37" s="1"/>
  <c r="Q194" i="37"/>
  <c r="Q195" i="37" s="1"/>
  <c r="Q196" i="37" s="1"/>
  <c r="P194" i="37"/>
  <c r="P195" i="37" s="1"/>
  <c r="P196" i="37" s="1"/>
  <c r="O194" i="37"/>
  <c r="O195" i="37" s="1"/>
  <c r="O196" i="37" s="1"/>
  <c r="N194" i="37"/>
  <c r="N195" i="37" s="1"/>
  <c r="N196" i="37" s="1"/>
  <c r="M194" i="37"/>
  <c r="M195" i="37" s="1"/>
  <c r="M196" i="37" s="1"/>
  <c r="L194" i="37"/>
  <c r="L195" i="37" s="1"/>
  <c r="L196" i="37" s="1"/>
  <c r="K194" i="37"/>
  <c r="K195" i="37" s="1"/>
  <c r="K196" i="37" s="1"/>
  <c r="J194" i="37"/>
  <c r="J195" i="37" s="1"/>
  <c r="J196" i="37" s="1"/>
  <c r="I194" i="37"/>
  <c r="I195" i="37" s="1"/>
  <c r="I196" i="37" s="1"/>
  <c r="H194" i="37"/>
  <c r="H195" i="37" s="1"/>
  <c r="H196" i="37" s="1"/>
  <c r="G194" i="37"/>
  <c r="G195" i="37" s="1"/>
  <c r="G196" i="37" s="1"/>
  <c r="F194" i="37"/>
  <c r="F195" i="37" s="1"/>
  <c r="F196" i="37" s="1"/>
  <c r="E194" i="37"/>
  <c r="E195" i="37" s="1"/>
  <c r="E196" i="37" s="1"/>
  <c r="D194" i="37"/>
  <c r="AI193" i="37"/>
  <c r="AI192" i="37"/>
  <c r="AI191" i="37"/>
  <c r="AI190" i="37"/>
  <c r="AI189" i="37"/>
  <c r="AI188" i="37"/>
  <c r="AI187" i="37"/>
  <c r="AI186" i="37"/>
  <c r="AI185" i="37"/>
  <c r="AI184" i="37"/>
  <c r="AI183" i="37"/>
  <c r="AI182" i="37"/>
  <c r="AI181" i="37"/>
  <c r="AI180" i="37"/>
  <c r="AI179" i="37"/>
  <c r="AI178" i="37"/>
  <c r="AH173" i="37"/>
  <c r="AH174" i="37" s="1"/>
  <c r="AH175" i="37" s="1"/>
  <c r="AG173" i="37"/>
  <c r="AG174" i="37" s="1"/>
  <c r="AG175" i="37" s="1"/>
  <c r="AF173" i="37"/>
  <c r="AF174" i="37" s="1"/>
  <c r="AF175" i="37" s="1"/>
  <c r="AE173" i="37"/>
  <c r="AE174" i="37" s="1"/>
  <c r="AE175" i="37" s="1"/>
  <c r="AD173" i="37"/>
  <c r="AD174" i="37" s="1"/>
  <c r="AD175" i="37" s="1"/>
  <c r="AC173" i="37"/>
  <c r="AC174" i="37" s="1"/>
  <c r="AC175" i="37" s="1"/>
  <c r="AB173" i="37"/>
  <c r="AB174" i="37" s="1"/>
  <c r="AB175" i="37" s="1"/>
  <c r="AA173" i="37"/>
  <c r="AA174" i="37" s="1"/>
  <c r="AA175" i="37" s="1"/>
  <c r="Z173" i="37"/>
  <c r="Z174" i="37" s="1"/>
  <c r="Z175" i="37" s="1"/>
  <c r="Y173" i="37"/>
  <c r="Y174" i="37" s="1"/>
  <c r="Y175" i="37" s="1"/>
  <c r="X173" i="37"/>
  <c r="X174" i="37" s="1"/>
  <c r="X175" i="37" s="1"/>
  <c r="W173" i="37"/>
  <c r="W174" i="37" s="1"/>
  <c r="W175" i="37" s="1"/>
  <c r="V173" i="37"/>
  <c r="V174" i="37" s="1"/>
  <c r="V175" i="37" s="1"/>
  <c r="U173" i="37"/>
  <c r="U174" i="37" s="1"/>
  <c r="U175" i="37" s="1"/>
  <c r="T173" i="37"/>
  <c r="T174" i="37" s="1"/>
  <c r="T175" i="37" s="1"/>
  <c r="S173" i="37"/>
  <c r="S174" i="37" s="1"/>
  <c r="S175" i="37" s="1"/>
  <c r="R173" i="37"/>
  <c r="R174" i="37" s="1"/>
  <c r="R175" i="37" s="1"/>
  <c r="Q173" i="37"/>
  <c r="Q174" i="37" s="1"/>
  <c r="Q175" i="37" s="1"/>
  <c r="P173" i="37"/>
  <c r="P174" i="37" s="1"/>
  <c r="P175" i="37" s="1"/>
  <c r="O173" i="37"/>
  <c r="O174" i="37" s="1"/>
  <c r="O175" i="37" s="1"/>
  <c r="N173" i="37"/>
  <c r="N174" i="37" s="1"/>
  <c r="N175" i="37" s="1"/>
  <c r="M173" i="37"/>
  <c r="M174" i="37" s="1"/>
  <c r="M175" i="37" s="1"/>
  <c r="L173" i="37"/>
  <c r="L174" i="37" s="1"/>
  <c r="L175" i="37" s="1"/>
  <c r="K173" i="37"/>
  <c r="K174" i="37" s="1"/>
  <c r="K175" i="37" s="1"/>
  <c r="J173" i="37"/>
  <c r="J174" i="37" s="1"/>
  <c r="J175" i="37" s="1"/>
  <c r="I173" i="37"/>
  <c r="I174" i="37" s="1"/>
  <c r="I175" i="37" s="1"/>
  <c r="H173" i="37"/>
  <c r="H174" i="37" s="1"/>
  <c r="H175" i="37" s="1"/>
  <c r="G173" i="37"/>
  <c r="G174" i="37" s="1"/>
  <c r="G175" i="37" s="1"/>
  <c r="F173" i="37"/>
  <c r="F174" i="37" s="1"/>
  <c r="F175" i="37" s="1"/>
  <c r="E173" i="37"/>
  <c r="E174" i="37" s="1"/>
  <c r="E175" i="37" s="1"/>
  <c r="D173" i="37"/>
  <c r="AI172" i="37"/>
  <c r="AI171" i="37"/>
  <c r="AI170" i="37"/>
  <c r="AI169" i="37"/>
  <c r="AI168" i="37"/>
  <c r="AI167" i="37"/>
  <c r="AF166" i="37"/>
  <c r="AE166" i="37"/>
  <c r="AD166" i="37"/>
  <c r="AC166" i="37"/>
  <c r="AB166" i="37"/>
  <c r="AA166" i="37"/>
  <c r="Z166" i="37"/>
  <c r="Y166" i="37"/>
  <c r="X166" i="37"/>
  <c r="W166" i="37"/>
  <c r="V166" i="37"/>
  <c r="U166" i="37"/>
  <c r="T166" i="37"/>
  <c r="S166" i="37"/>
  <c r="R166" i="37"/>
  <c r="Q166" i="37"/>
  <c r="P166" i="37"/>
  <c r="O166" i="37"/>
  <c r="N166" i="37"/>
  <c r="M166" i="37"/>
  <c r="L166" i="37"/>
  <c r="K166" i="37"/>
  <c r="J166" i="37"/>
  <c r="I166" i="37"/>
  <c r="H166" i="37"/>
  <c r="G166" i="37"/>
  <c r="F166" i="37"/>
  <c r="E166" i="37"/>
  <c r="D166" i="37"/>
  <c r="AI165" i="37"/>
  <c r="AI164" i="37"/>
  <c r="AI163" i="37"/>
  <c r="AI162" i="37"/>
  <c r="AI160" i="37"/>
  <c r="AI159" i="37"/>
  <c r="AI158" i="37"/>
  <c r="AI157" i="37"/>
  <c r="AI156" i="37"/>
  <c r="AI155" i="37"/>
  <c r="AH150" i="37"/>
  <c r="AH151" i="37" s="1"/>
  <c r="AH152" i="37" s="1"/>
  <c r="AG150" i="37"/>
  <c r="AG151" i="37" s="1"/>
  <c r="AG152" i="37" s="1"/>
  <c r="AF150" i="37"/>
  <c r="AF151" i="37" s="1"/>
  <c r="AF152" i="37" s="1"/>
  <c r="AE150" i="37"/>
  <c r="AE151" i="37" s="1"/>
  <c r="AE152" i="37" s="1"/>
  <c r="AD150" i="37"/>
  <c r="AD151" i="37" s="1"/>
  <c r="AD152" i="37" s="1"/>
  <c r="AC150" i="37"/>
  <c r="AC151" i="37" s="1"/>
  <c r="AC152" i="37" s="1"/>
  <c r="AB150" i="37"/>
  <c r="AB151" i="37" s="1"/>
  <c r="AB152" i="37" s="1"/>
  <c r="AA150" i="37"/>
  <c r="AA151" i="37" s="1"/>
  <c r="AA152" i="37" s="1"/>
  <c r="Z150" i="37"/>
  <c r="Z151" i="37" s="1"/>
  <c r="Z152" i="37" s="1"/>
  <c r="Y150" i="37"/>
  <c r="Y151" i="37" s="1"/>
  <c r="Y152" i="37" s="1"/>
  <c r="X150" i="37"/>
  <c r="X151" i="37" s="1"/>
  <c r="X152" i="37" s="1"/>
  <c r="W150" i="37"/>
  <c r="W151" i="37" s="1"/>
  <c r="W152" i="37" s="1"/>
  <c r="V150" i="37"/>
  <c r="V151" i="37" s="1"/>
  <c r="V152" i="37" s="1"/>
  <c r="U150" i="37"/>
  <c r="U151" i="37" s="1"/>
  <c r="U152" i="37" s="1"/>
  <c r="T150" i="37"/>
  <c r="T151" i="37" s="1"/>
  <c r="T152" i="37" s="1"/>
  <c r="S150" i="37"/>
  <c r="S151" i="37" s="1"/>
  <c r="S152" i="37" s="1"/>
  <c r="R150" i="37"/>
  <c r="R151" i="37" s="1"/>
  <c r="R152" i="37" s="1"/>
  <c r="Q150" i="37"/>
  <c r="Q151" i="37" s="1"/>
  <c r="Q152" i="37" s="1"/>
  <c r="P150" i="37"/>
  <c r="P151" i="37" s="1"/>
  <c r="P152" i="37" s="1"/>
  <c r="O150" i="37"/>
  <c r="O151" i="37" s="1"/>
  <c r="O152" i="37" s="1"/>
  <c r="N150" i="37"/>
  <c r="N151" i="37" s="1"/>
  <c r="N152" i="37" s="1"/>
  <c r="M150" i="37"/>
  <c r="M151" i="37" s="1"/>
  <c r="M152" i="37" s="1"/>
  <c r="L150" i="37"/>
  <c r="L151" i="37" s="1"/>
  <c r="L152" i="37" s="1"/>
  <c r="K150" i="37"/>
  <c r="K151" i="37" s="1"/>
  <c r="K152" i="37" s="1"/>
  <c r="J150" i="37"/>
  <c r="J151" i="37" s="1"/>
  <c r="J152" i="37" s="1"/>
  <c r="I150" i="37"/>
  <c r="I151" i="37" s="1"/>
  <c r="I152" i="37" s="1"/>
  <c r="H150" i="37"/>
  <c r="H151" i="37" s="1"/>
  <c r="H152" i="37" s="1"/>
  <c r="G150" i="37"/>
  <c r="G151" i="37" s="1"/>
  <c r="G152" i="37" s="1"/>
  <c r="F150" i="37"/>
  <c r="F151" i="37" s="1"/>
  <c r="F152" i="37" s="1"/>
  <c r="E150" i="37"/>
  <c r="E151" i="37" s="1"/>
  <c r="E152" i="37" s="1"/>
  <c r="D150" i="37"/>
  <c r="D151" i="37" s="1"/>
  <c r="D152" i="37" s="1"/>
  <c r="AI149" i="37"/>
  <c r="AI148" i="37"/>
  <c r="AI147" i="37"/>
  <c r="AI146" i="37"/>
  <c r="AI145" i="37"/>
  <c r="AI144" i="37"/>
  <c r="AI142" i="37"/>
  <c r="AI141" i="37"/>
  <c r="AI140" i="37"/>
  <c r="AI139" i="37"/>
  <c r="AI138" i="37"/>
  <c r="AI137" i="37"/>
  <c r="AI136" i="37"/>
  <c r="AI135" i="37"/>
  <c r="AI134" i="37"/>
  <c r="AI133" i="37"/>
  <c r="AI132" i="37"/>
  <c r="AI131" i="37"/>
  <c r="AI130" i="37"/>
  <c r="AI129" i="37"/>
  <c r="AI128" i="37"/>
  <c r="AI127" i="37"/>
  <c r="AI126" i="37"/>
  <c r="AI125" i="37"/>
  <c r="AI124" i="37"/>
  <c r="AI123" i="37"/>
  <c r="AI122" i="37"/>
  <c r="AI121" i="37"/>
  <c r="AI120" i="37"/>
  <c r="AI119" i="37"/>
  <c r="AI118" i="37"/>
  <c r="AI117" i="37"/>
  <c r="AI116" i="37"/>
  <c r="AI115" i="37"/>
  <c r="AG110" i="37"/>
  <c r="AG111" i="37" s="1"/>
  <c r="AG112" i="37" s="1"/>
  <c r="AF110" i="37"/>
  <c r="AF111" i="37" s="1"/>
  <c r="AF112" i="37" s="1"/>
  <c r="AE110" i="37"/>
  <c r="AE111" i="37" s="1"/>
  <c r="AE112" i="37" s="1"/>
  <c r="AD110" i="37"/>
  <c r="AD111" i="37" s="1"/>
  <c r="AD112" i="37" s="1"/>
  <c r="AC110" i="37"/>
  <c r="AC111" i="37" s="1"/>
  <c r="AC112" i="37" s="1"/>
  <c r="AB110" i="37"/>
  <c r="AB111" i="37" s="1"/>
  <c r="AB112" i="37" s="1"/>
  <c r="AA110" i="37"/>
  <c r="AA111" i="37" s="1"/>
  <c r="AA112" i="37" s="1"/>
  <c r="Z110" i="37"/>
  <c r="Z111" i="37" s="1"/>
  <c r="Z112" i="37" s="1"/>
  <c r="Y110" i="37"/>
  <c r="Y111" i="37" s="1"/>
  <c r="Y112" i="37" s="1"/>
  <c r="X110" i="37"/>
  <c r="X111" i="37" s="1"/>
  <c r="X112" i="37" s="1"/>
  <c r="W110" i="37"/>
  <c r="W111" i="37" s="1"/>
  <c r="W112" i="37" s="1"/>
  <c r="V110" i="37"/>
  <c r="V111" i="37" s="1"/>
  <c r="V112" i="37" s="1"/>
  <c r="U110" i="37"/>
  <c r="U111" i="37" s="1"/>
  <c r="U112" i="37" s="1"/>
  <c r="T110" i="37"/>
  <c r="T111" i="37" s="1"/>
  <c r="T112" i="37" s="1"/>
  <c r="S110" i="37"/>
  <c r="S111" i="37" s="1"/>
  <c r="S112" i="37" s="1"/>
  <c r="R110" i="37"/>
  <c r="R111" i="37" s="1"/>
  <c r="R112" i="37" s="1"/>
  <c r="Q110" i="37"/>
  <c r="Q111" i="37" s="1"/>
  <c r="Q112" i="37" s="1"/>
  <c r="P110" i="37"/>
  <c r="P111" i="37" s="1"/>
  <c r="P112" i="37" s="1"/>
  <c r="O110" i="37"/>
  <c r="O111" i="37" s="1"/>
  <c r="O112" i="37" s="1"/>
  <c r="N110" i="37"/>
  <c r="N111" i="37" s="1"/>
  <c r="N112" i="37" s="1"/>
  <c r="M110" i="37"/>
  <c r="M111" i="37" s="1"/>
  <c r="M112" i="37" s="1"/>
  <c r="L110" i="37"/>
  <c r="L111" i="37" s="1"/>
  <c r="L112" i="37" s="1"/>
  <c r="K110" i="37"/>
  <c r="K111" i="37" s="1"/>
  <c r="K112" i="37" s="1"/>
  <c r="J110" i="37"/>
  <c r="J111" i="37" s="1"/>
  <c r="J112" i="37" s="1"/>
  <c r="I110" i="37"/>
  <c r="I111" i="37" s="1"/>
  <c r="I112" i="37" s="1"/>
  <c r="H110" i="37"/>
  <c r="H111" i="37" s="1"/>
  <c r="H112" i="37" s="1"/>
  <c r="G110" i="37"/>
  <c r="G111" i="37" s="1"/>
  <c r="G112" i="37" s="1"/>
  <c r="F110" i="37"/>
  <c r="F111" i="37" s="1"/>
  <c r="F112" i="37" s="1"/>
  <c r="E110" i="37"/>
  <c r="E111" i="37" s="1"/>
  <c r="E112" i="37" s="1"/>
  <c r="D110" i="37"/>
  <c r="AI109" i="37"/>
  <c r="AI108" i="37"/>
  <c r="AI107" i="37"/>
  <c r="AI106" i="37"/>
  <c r="AI105" i="37"/>
  <c r="AI104" i="37"/>
  <c r="AI102" i="37"/>
  <c r="AI101" i="37"/>
  <c r="AI100" i="37"/>
  <c r="AI99" i="37"/>
  <c r="AI98" i="37"/>
  <c r="AI97" i="37"/>
  <c r="AI96" i="37"/>
  <c r="AI95" i="37"/>
  <c r="AI94" i="37"/>
  <c r="AI93" i="37"/>
  <c r="AI92" i="37"/>
  <c r="AI91" i="37"/>
  <c r="AI90" i="37"/>
  <c r="AI89" i="37"/>
  <c r="AI88" i="37"/>
  <c r="AI87" i="37"/>
  <c r="AI86" i="37"/>
  <c r="AI85" i="37"/>
  <c r="AI84" i="37"/>
  <c r="AI83" i="37"/>
  <c r="AI82" i="37"/>
  <c r="AI81" i="37"/>
  <c r="AI80" i="37"/>
  <c r="AI79" i="37"/>
  <c r="AI78" i="37"/>
  <c r="L74" i="37"/>
  <c r="L75" i="37" s="1"/>
  <c r="AG73" i="37"/>
  <c r="AG74" i="37" s="1"/>
  <c r="AG75" i="37" s="1"/>
  <c r="AF73" i="37"/>
  <c r="AF74" i="37" s="1"/>
  <c r="AF75" i="37" s="1"/>
  <c r="AE73" i="37"/>
  <c r="AE74" i="37" s="1"/>
  <c r="AE75" i="37" s="1"/>
  <c r="AD73" i="37"/>
  <c r="AD74" i="37" s="1"/>
  <c r="AD75" i="37" s="1"/>
  <c r="AC73" i="37"/>
  <c r="AC74" i="37" s="1"/>
  <c r="AC75" i="37" s="1"/>
  <c r="AB73" i="37"/>
  <c r="AB74" i="37" s="1"/>
  <c r="AB75" i="37" s="1"/>
  <c r="AA73" i="37"/>
  <c r="AA74" i="37" s="1"/>
  <c r="AA75" i="37" s="1"/>
  <c r="Z73" i="37"/>
  <c r="Z74" i="37" s="1"/>
  <c r="Z75" i="37" s="1"/>
  <c r="Y73" i="37"/>
  <c r="Y74" i="37" s="1"/>
  <c r="Y75" i="37" s="1"/>
  <c r="X73" i="37"/>
  <c r="X74" i="37" s="1"/>
  <c r="X75" i="37" s="1"/>
  <c r="W73" i="37"/>
  <c r="W74" i="37" s="1"/>
  <c r="W75" i="37" s="1"/>
  <c r="V73" i="37"/>
  <c r="V74" i="37" s="1"/>
  <c r="V75" i="37" s="1"/>
  <c r="U73" i="37"/>
  <c r="U74" i="37" s="1"/>
  <c r="U75" i="37" s="1"/>
  <c r="T73" i="37"/>
  <c r="T74" i="37" s="1"/>
  <c r="T75" i="37" s="1"/>
  <c r="S73" i="37"/>
  <c r="S74" i="37" s="1"/>
  <c r="S75" i="37" s="1"/>
  <c r="R73" i="37"/>
  <c r="R74" i="37" s="1"/>
  <c r="R75" i="37" s="1"/>
  <c r="Q73" i="37"/>
  <c r="Q74" i="37" s="1"/>
  <c r="Q75" i="37" s="1"/>
  <c r="P73" i="37"/>
  <c r="P74" i="37" s="1"/>
  <c r="P75" i="37" s="1"/>
  <c r="O73" i="37"/>
  <c r="O74" i="37" s="1"/>
  <c r="O75" i="37" s="1"/>
  <c r="N73" i="37"/>
  <c r="N74" i="37" s="1"/>
  <c r="N75" i="37" s="1"/>
  <c r="M73" i="37"/>
  <c r="M74" i="37" s="1"/>
  <c r="M75" i="37" s="1"/>
  <c r="L73" i="37"/>
  <c r="K73" i="37"/>
  <c r="K74" i="37" s="1"/>
  <c r="K75" i="37" s="1"/>
  <c r="J73" i="37"/>
  <c r="J74" i="37" s="1"/>
  <c r="J75" i="37" s="1"/>
  <c r="I73" i="37"/>
  <c r="I74" i="37" s="1"/>
  <c r="I75" i="37" s="1"/>
  <c r="H73" i="37"/>
  <c r="H74" i="37" s="1"/>
  <c r="H75" i="37" s="1"/>
  <c r="G73" i="37"/>
  <c r="G74" i="37" s="1"/>
  <c r="G75" i="37" s="1"/>
  <c r="F73" i="37"/>
  <c r="F74" i="37" s="1"/>
  <c r="F75" i="37" s="1"/>
  <c r="E73" i="37"/>
  <c r="E74" i="37" s="1"/>
  <c r="E75" i="37" s="1"/>
  <c r="D73" i="37"/>
  <c r="D74" i="37" s="1"/>
  <c r="AI72" i="37"/>
  <c r="AI71" i="37"/>
  <c r="AI70" i="37"/>
  <c r="AI69" i="37"/>
  <c r="AI68" i="37"/>
  <c r="AI67" i="37"/>
  <c r="AK66" i="37"/>
  <c r="AI65" i="37"/>
  <c r="AI64" i="37"/>
  <c r="AI63" i="37"/>
  <c r="AK62" i="37"/>
  <c r="AI62" i="37"/>
  <c r="AI61" i="37"/>
  <c r="AI60" i="37"/>
  <c r="AI59" i="37"/>
  <c r="AI58" i="37"/>
  <c r="AI57" i="37"/>
  <c r="AI56" i="37"/>
  <c r="AI55" i="37"/>
  <c r="AI54" i="37"/>
  <c r="AI53" i="37"/>
  <c r="AI52" i="37"/>
  <c r="AI51" i="37"/>
  <c r="AI50" i="37"/>
  <c r="AI49" i="37"/>
  <c r="AI48" i="37"/>
  <c r="AI47" i="37"/>
  <c r="AI46" i="37"/>
  <c r="AI45" i="37"/>
  <c r="AI44" i="37"/>
  <c r="AI43" i="37"/>
  <c r="AI42" i="37"/>
  <c r="AI41" i="37"/>
  <c r="AH38" i="37"/>
  <c r="AG36" i="37"/>
  <c r="AG37" i="37" s="1"/>
  <c r="AG38" i="37" s="1"/>
  <c r="AF36" i="37"/>
  <c r="AF37" i="37" s="1"/>
  <c r="AF38" i="37" s="1"/>
  <c r="AE36" i="37"/>
  <c r="AE37" i="37" s="1"/>
  <c r="AE38" i="37" s="1"/>
  <c r="AD36" i="37"/>
  <c r="AD37" i="37" s="1"/>
  <c r="AD38" i="37" s="1"/>
  <c r="AC36" i="37"/>
  <c r="AC37" i="37" s="1"/>
  <c r="AC38" i="37" s="1"/>
  <c r="AB36" i="37"/>
  <c r="AB37" i="37" s="1"/>
  <c r="AB38" i="37" s="1"/>
  <c r="AA36" i="37"/>
  <c r="AA37" i="37" s="1"/>
  <c r="AA38" i="37" s="1"/>
  <c r="Z36" i="37"/>
  <c r="Z37" i="37" s="1"/>
  <c r="Z38" i="37" s="1"/>
  <c r="Y36" i="37"/>
  <c r="Y37" i="37" s="1"/>
  <c r="Y38" i="37" s="1"/>
  <c r="X36" i="37"/>
  <c r="X37" i="37" s="1"/>
  <c r="X38" i="37" s="1"/>
  <c r="W36" i="37"/>
  <c r="W37" i="37" s="1"/>
  <c r="W38" i="37" s="1"/>
  <c r="V36" i="37"/>
  <c r="V37" i="37" s="1"/>
  <c r="V38" i="37" s="1"/>
  <c r="U36" i="37"/>
  <c r="U37" i="37" s="1"/>
  <c r="U38" i="37" s="1"/>
  <c r="T36" i="37"/>
  <c r="T37" i="37" s="1"/>
  <c r="T38" i="37" s="1"/>
  <c r="S36" i="37"/>
  <c r="S37" i="37" s="1"/>
  <c r="S38" i="37" s="1"/>
  <c r="R36" i="37"/>
  <c r="R37" i="37" s="1"/>
  <c r="R38" i="37" s="1"/>
  <c r="Q36" i="37"/>
  <c r="Q37" i="37" s="1"/>
  <c r="Q38" i="37" s="1"/>
  <c r="P36" i="37"/>
  <c r="P37" i="37" s="1"/>
  <c r="P38" i="37" s="1"/>
  <c r="O36" i="37"/>
  <c r="O37" i="37" s="1"/>
  <c r="O38" i="37" s="1"/>
  <c r="N36" i="37"/>
  <c r="N37" i="37" s="1"/>
  <c r="N38" i="37" s="1"/>
  <c r="M36" i="37"/>
  <c r="M37" i="37" s="1"/>
  <c r="M38" i="37" s="1"/>
  <c r="L36" i="37"/>
  <c r="L37" i="37" s="1"/>
  <c r="L38" i="37" s="1"/>
  <c r="K36" i="37"/>
  <c r="K37" i="37" s="1"/>
  <c r="K38" i="37" s="1"/>
  <c r="J36" i="37"/>
  <c r="J37" i="37" s="1"/>
  <c r="J38" i="37" s="1"/>
  <c r="I36" i="37"/>
  <c r="I37" i="37" s="1"/>
  <c r="I38" i="37" s="1"/>
  <c r="H36" i="37"/>
  <c r="H37" i="37" s="1"/>
  <c r="H38" i="37" s="1"/>
  <c r="G36" i="37"/>
  <c r="G37" i="37" s="1"/>
  <c r="G38" i="37" s="1"/>
  <c r="F36" i="37"/>
  <c r="F37" i="37" s="1"/>
  <c r="F38" i="37" s="1"/>
  <c r="E36" i="37"/>
  <c r="E37" i="37" s="1"/>
  <c r="E38" i="37" s="1"/>
  <c r="D36" i="37"/>
  <c r="AI35" i="37"/>
  <c r="AI34" i="37"/>
  <c r="AI33" i="37"/>
  <c r="AI32" i="37"/>
  <c r="AI31" i="37"/>
  <c r="AJ31" i="37" s="1"/>
  <c r="AI30" i="37"/>
  <c r="AG29" i="37"/>
  <c r="AF29" i="37"/>
  <c r="AE29" i="37"/>
  <c r="AD29" i="37"/>
  <c r="AC29" i="37"/>
  <c r="AB29" i="37"/>
  <c r="AA29" i="37"/>
  <c r="Z29" i="37"/>
  <c r="Y29" i="37"/>
  <c r="X29" i="37"/>
  <c r="W29" i="37"/>
  <c r="V29" i="37"/>
  <c r="U29" i="37"/>
  <c r="T29" i="37"/>
  <c r="S29" i="37"/>
  <c r="R29" i="37"/>
  <c r="Q29" i="37"/>
  <c r="P29" i="37"/>
  <c r="O29" i="37"/>
  <c r="N29" i="37"/>
  <c r="M29" i="37"/>
  <c r="L29" i="37"/>
  <c r="K29" i="37"/>
  <c r="J29" i="37"/>
  <c r="I29" i="37"/>
  <c r="H29" i="37"/>
  <c r="G29" i="37"/>
  <c r="F29" i="37"/>
  <c r="E29" i="37"/>
  <c r="D29" i="37"/>
  <c r="AG28" i="37"/>
  <c r="AF28" i="37"/>
  <c r="AE28" i="37"/>
  <c r="AD28" i="37"/>
  <c r="AC28" i="37"/>
  <c r="AB28" i="37"/>
  <c r="AA28" i="37"/>
  <c r="Z28" i="37"/>
  <c r="Y28" i="37"/>
  <c r="X28" i="37"/>
  <c r="W28" i="37"/>
  <c r="V28" i="37"/>
  <c r="U28" i="37"/>
  <c r="T28" i="37"/>
  <c r="S28" i="37"/>
  <c r="R28" i="37"/>
  <c r="Q28" i="37"/>
  <c r="P28" i="37"/>
  <c r="O28" i="37"/>
  <c r="N28" i="37"/>
  <c r="M28" i="37"/>
  <c r="L28" i="37"/>
  <c r="K28" i="37"/>
  <c r="J28" i="37"/>
  <c r="I28" i="37"/>
  <c r="H28" i="37"/>
  <c r="G28" i="37"/>
  <c r="F28" i="37"/>
  <c r="E28" i="37"/>
  <c r="D28" i="37"/>
  <c r="AG27" i="37"/>
  <c r="AF27" i="37"/>
  <c r="AE27" i="37"/>
  <c r="AD27" i="37"/>
  <c r="AC27" i="37"/>
  <c r="AB27" i="37"/>
  <c r="AA27" i="37"/>
  <c r="Z27" i="37"/>
  <c r="Y27" i="37"/>
  <c r="X27" i="37"/>
  <c r="W27" i="37"/>
  <c r="V27" i="37"/>
  <c r="U27" i="37"/>
  <c r="T27" i="37"/>
  <c r="S27" i="37"/>
  <c r="R27" i="37"/>
  <c r="Q27" i="37"/>
  <c r="P27" i="37"/>
  <c r="O27" i="37"/>
  <c r="N27" i="37"/>
  <c r="M27" i="37"/>
  <c r="L27" i="37"/>
  <c r="K27" i="37"/>
  <c r="J27" i="37"/>
  <c r="I27" i="37"/>
  <c r="H27" i="37"/>
  <c r="G27" i="37"/>
  <c r="F27" i="37"/>
  <c r="E27" i="37"/>
  <c r="D27" i="37"/>
  <c r="AI26" i="37"/>
  <c r="AI25" i="37"/>
  <c r="AI24" i="37"/>
  <c r="AI23" i="37"/>
  <c r="AI22" i="37"/>
  <c r="AI21" i="37"/>
  <c r="AI20" i="37"/>
  <c r="AI19" i="37"/>
  <c r="AI18" i="37"/>
  <c r="AI17" i="37"/>
  <c r="AI16" i="37"/>
  <c r="AI15" i="37"/>
  <c r="AI14" i="37"/>
  <c r="AI13" i="37"/>
  <c r="AI12" i="37"/>
  <c r="AI11" i="37"/>
  <c r="AI10" i="37"/>
  <c r="AI9" i="37"/>
  <c r="AI8" i="37"/>
  <c r="AI7" i="37"/>
  <c r="AI6" i="37"/>
  <c r="AI5" i="37"/>
  <c r="AI4" i="37"/>
  <c r="F239" i="37" l="1"/>
  <c r="F240" i="37" s="1"/>
  <c r="J239" i="37"/>
  <c r="J240" i="37" s="1"/>
  <c r="N239" i="37"/>
  <c r="N240" i="37" s="1"/>
  <c r="R239" i="37"/>
  <c r="R240" i="37" s="1"/>
  <c r="R241" i="37" s="1"/>
  <c r="V239" i="37"/>
  <c r="V240" i="37" s="1"/>
  <c r="Z239" i="37"/>
  <c r="Z240" i="37" s="1"/>
  <c r="AD239" i="37"/>
  <c r="AD240" i="37" s="1"/>
  <c r="AJ106" i="37"/>
  <c r="W239" i="37"/>
  <c r="W240" i="37" s="1"/>
  <c r="W241" i="37" s="1"/>
  <c r="AI206" i="37"/>
  <c r="AI210" i="37"/>
  <c r="AI215" i="37"/>
  <c r="AI216" i="37"/>
  <c r="AI222" i="37"/>
  <c r="D230" i="37"/>
  <c r="P230" i="37"/>
  <c r="AF230" i="37"/>
  <c r="AI226" i="37"/>
  <c r="AJ148" i="37"/>
  <c r="AJ181" i="37"/>
  <c r="G239" i="37"/>
  <c r="G240" i="37" s="1"/>
  <c r="AJ95" i="37"/>
  <c r="AI200" i="37"/>
  <c r="AI205" i="37"/>
  <c r="AI209" i="37"/>
  <c r="AI221" i="37"/>
  <c r="T230" i="37"/>
  <c r="AI236" i="37"/>
  <c r="T241" i="37"/>
  <c r="AI28" i="37"/>
  <c r="AI73" i="37"/>
  <c r="AI173" i="37"/>
  <c r="AI204" i="37"/>
  <c r="AI208" i="37"/>
  <c r="AI213" i="37"/>
  <c r="AI218" i="37"/>
  <c r="AI220" i="37"/>
  <c r="AI224" i="37"/>
  <c r="Y230" i="37"/>
  <c r="K239" i="37"/>
  <c r="K240" i="37" s="1"/>
  <c r="K241" i="37" s="1"/>
  <c r="O239" i="37"/>
  <c r="O240" i="37" s="1"/>
  <c r="S239" i="37"/>
  <c r="S240" i="37" s="1"/>
  <c r="AA239" i="37"/>
  <c r="AA240" i="37" s="1"/>
  <c r="AA241" i="37" s="1"/>
  <c r="AE239" i="37"/>
  <c r="AE240" i="37" s="1"/>
  <c r="AE241" i="37" s="1"/>
  <c r="AI235" i="37"/>
  <c r="AI27" i="37"/>
  <c r="AI29" i="37"/>
  <c r="AI36" i="37"/>
  <c r="AK59" i="37"/>
  <c r="AI110" i="37"/>
  <c r="AI166" i="37"/>
  <c r="AI212" i="37"/>
  <c r="AI238" i="37"/>
  <c r="AI74" i="37"/>
  <c r="AI152" i="37"/>
  <c r="D111" i="37"/>
  <c r="D37" i="37"/>
  <c r="D75" i="37"/>
  <c r="AI75" i="37" s="1"/>
  <c r="AI150" i="37"/>
  <c r="AI151" i="37"/>
  <c r="AI194" i="37"/>
  <c r="D195" i="37"/>
  <c r="AI214" i="37"/>
  <c r="AI217" i="37"/>
  <c r="E229" i="37"/>
  <c r="E230" i="37" s="1"/>
  <c r="AI225" i="37"/>
  <c r="G241" i="37"/>
  <c r="G230" i="37"/>
  <c r="O241" i="37"/>
  <c r="K230" i="37"/>
  <c r="S241" i="37"/>
  <c r="S230" i="37"/>
  <c r="AA230" i="37"/>
  <c r="I230" i="37"/>
  <c r="AE230" i="37"/>
  <c r="D241" i="37"/>
  <c r="Y241" i="37"/>
  <c r="E239" i="37"/>
  <c r="AI234" i="37"/>
  <c r="AJ234" i="37" s="1"/>
  <c r="AI228" i="37"/>
  <c r="E232" i="37"/>
  <c r="M232" i="37"/>
  <c r="M241" i="37"/>
  <c r="M230" i="37"/>
  <c r="Q241" i="37"/>
  <c r="Q230" i="37"/>
  <c r="U241" i="37"/>
  <c r="U230" i="37"/>
  <c r="U232" i="37"/>
  <c r="AC232" i="37"/>
  <c r="AC241" i="37"/>
  <c r="AC230" i="37"/>
  <c r="AG241" i="37"/>
  <c r="AG230" i="37"/>
  <c r="W230" i="37"/>
  <c r="Q232" i="37"/>
  <c r="I241" i="37"/>
  <c r="D174" i="37"/>
  <c r="AI198" i="37"/>
  <c r="AI203" i="37"/>
  <c r="AI219" i="37"/>
  <c r="H230" i="37"/>
  <c r="X230" i="37"/>
  <c r="H241" i="37"/>
  <c r="X241" i="37"/>
  <c r="AI211" i="37"/>
  <c r="AI227" i="37"/>
  <c r="F241" i="37"/>
  <c r="F230" i="37"/>
  <c r="J241" i="37"/>
  <c r="J230" i="37"/>
  <c r="N241" i="37"/>
  <c r="N230" i="37"/>
  <c r="R230" i="37"/>
  <c r="V241" i="37"/>
  <c r="V230" i="37"/>
  <c r="Z241" i="37"/>
  <c r="Z230" i="37"/>
  <c r="AD241" i="37"/>
  <c r="AD230" i="37"/>
  <c r="R232" i="37"/>
  <c r="AI237" i="37"/>
  <c r="P241" i="37"/>
  <c r="AF241" i="37"/>
  <c r="AI207" i="37"/>
  <c r="AI223" i="37"/>
  <c r="L230" i="37"/>
  <c r="AB230" i="37"/>
  <c r="N232" i="37"/>
  <c r="AD232" i="37"/>
  <c r="L241" i="37"/>
  <c r="AB241" i="37"/>
  <c r="G26" i="36"/>
  <c r="G25" i="36"/>
  <c r="K24" i="36"/>
  <c r="G24" i="36"/>
  <c r="G23" i="36"/>
  <c r="B23" i="36"/>
  <c r="B27" i="36" s="1"/>
  <c r="K22" i="36"/>
  <c r="G22" i="36"/>
  <c r="G11" i="36"/>
  <c r="G10" i="36"/>
  <c r="K8" i="36"/>
  <c r="G8" i="36"/>
  <c r="G7" i="36"/>
  <c r="K6" i="36"/>
  <c r="G6" i="36"/>
  <c r="AI232" i="37" l="1"/>
  <c r="D175" i="37"/>
  <c r="AI175" i="37" s="1"/>
  <c r="AI174" i="37"/>
  <c r="E240" i="37"/>
  <c r="AI239" i="37"/>
  <c r="D38" i="37"/>
  <c r="AI38" i="37" s="1"/>
  <c r="AI37" i="37"/>
  <c r="D112" i="37"/>
  <c r="AI112" i="37" s="1"/>
  <c r="AI111" i="37"/>
  <c r="AI195" i="37"/>
  <c r="D196" i="37"/>
  <c r="AI196" i="37" s="1"/>
  <c r="G27" i="36"/>
  <c r="H27" i="36" s="1"/>
  <c r="E241" i="37" l="1"/>
  <c r="AI241" i="37" s="1"/>
  <c r="AI240" i="37"/>
  <c r="C4" i="4" l="1"/>
  <c r="C5" i="4" s="1"/>
  <c r="C6" i="4" s="1"/>
  <c r="C7" i="4" s="1"/>
  <c r="C9" i="4" l="1"/>
  <c r="C8" i="4"/>
  <c r="C10" i="4" l="1"/>
  <c r="C11" i="4"/>
  <c r="C12" i="4" s="1"/>
  <c r="C14" i="4" l="1"/>
  <c r="C16" i="4" s="1"/>
  <c r="C18" i="4" s="1"/>
  <c r="C13" i="4"/>
  <c r="C15" i="4" s="1"/>
  <c r="C17" i="4" s="1"/>
  <c r="AI26" i="3"/>
  <c r="AI25" i="3"/>
  <c r="Z19" i="21" l="1"/>
  <c r="F10" i="21" l="1"/>
  <c r="F6" i="21"/>
  <c r="G6" i="21" l="1"/>
  <c r="K9" i="35" l="1"/>
  <c r="K10" i="35" s="1"/>
  <c r="K8" i="35"/>
  <c r="K11" i="35" l="1"/>
  <c r="J41" i="21" l="1"/>
  <c r="J42" i="21"/>
  <c r="AI27" i="3" l="1"/>
  <c r="F8" i="21" l="1"/>
  <c r="E131" i="15" l="1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W131" i="15"/>
  <c r="X131" i="15"/>
  <c r="Y131" i="15"/>
  <c r="Z131" i="15"/>
  <c r="AA131" i="15"/>
  <c r="AB131" i="15"/>
  <c r="AC131" i="15"/>
  <c r="AD131" i="15"/>
  <c r="AE131" i="15"/>
  <c r="AF131" i="15"/>
  <c r="AG131" i="15"/>
  <c r="AH131" i="15"/>
  <c r="E132" i="15"/>
  <c r="F132" i="15"/>
  <c r="G132" i="15"/>
  <c r="H132" i="15"/>
  <c r="I132" i="15"/>
  <c r="J132" i="15"/>
  <c r="K132" i="15"/>
  <c r="L132" i="15"/>
  <c r="M132" i="15"/>
  <c r="N132" i="15"/>
  <c r="O132" i="15"/>
  <c r="P132" i="15"/>
  <c r="Q132" i="15"/>
  <c r="R132" i="15"/>
  <c r="S132" i="15"/>
  <c r="T132" i="15"/>
  <c r="U132" i="15"/>
  <c r="V132" i="15"/>
  <c r="W132" i="15"/>
  <c r="X132" i="15"/>
  <c r="Y132" i="15"/>
  <c r="Z132" i="15"/>
  <c r="AA132" i="15"/>
  <c r="AB132" i="15"/>
  <c r="AC132" i="15"/>
  <c r="AD132" i="15"/>
  <c r="AE132" i="15"/>
  <c r="AF132" i="15"/>
  <c r="AG132" i="15"/>
  <c r="AH132" i="15"/>
  <c r="E133" i="15"/>
  <c r="F133" i="15"/>
  <c r="G133" i="15"/>
  <c r="H133" i="15"/>
  <c r="I133" i="15"/>
  <c r="J133" i="15"/>
  <c r="K133" i="15"/>
  <c r="L133" i="15"/>
  <c r="M133" i="15"/>
  <c r="N133" i="15"/>
  <c r="O133" i="15"/>
  <c r="P133" i="15"/>
  <c r="Q133" i="15"/>
  <c r="R133" i="15"/>
  <c r="S133" i="15"/>
  <c r="T133" i="15"/>
  <c r="U133" i="15"/>
  <c r="V133" i="15"/>
  <c r="W133" i="15"/>
  <c r="X133" i="15"/>
  <c r="Y133" i="15"/>
  <c r="Z133" i="15"/>
  <c r="AA133" i="15"/>
  <c r="AB133" i="15"/>
  <c r="AC133" i="15"/>
  <c r="AD133" i="15"/>
  <c r="AE133" i="15"/>
  <c r="AF133" i="15"/>
  <c r="AG133" i="15"/>
  <c r="AH133" i="15"/>
  <c r="E134" i="15"/>
  <c r="F134" i="15"/>
  <c r="G134" i="15"/>
  <c r="H134" i="15"/>
  <c r="I134" i="15"/>
  <c r="J134" i="15"/>
  <c r="K134" i="15"/>
  <c r="L134" i="15"/>
  <c r="M134" i="15"/>
  <c r="N134" i="15"/>
  <c r="O134" i="15"/>
  <c r="P134" i="15"/>
  <c r="Q134" i="15"/>
  <c r="R134" i="15"/>
  <c r="S134" i="15"/>
  <c r="T134" i="15"/>
  <c r="U134" i="15"/>
  <c r="V134" i="15"/>
  <c r="W134" i="15"/>
  <c r="X134" i="15"/>
  <c r="Y134" i="15"/>
  <c r="Z134" i="15"/>
  <c r="AA134" i="15"/>
  <c r="AB134" i="15"/>
  <c r="AC134" i="15"/>
  <c r="AD134" i="15"/>
  <c r="AE134" i="15"/>
  <c r="AF134" i="15"/>
  <c r="AG134" i="15"/>
  <c r="AH134" i="15"/>
  <c r="E137" i="15"/>
  <c r="F137" i="15"/>
  <c r="G137" i="15"/>
  <c r="H137" i="15"/>
  <c r="I137" i="15"/>
  <c r="J137" i="15"/>
  <c r="K137" i="15"/>
  <c r="L137" i="15"/>
  <c r="M137" i="15"/>
  <c r="N137" i="15"/>
  <c r="O137" i="15"/>
  <c r="P137" i="15"/>
  <c r="Q137" i="15"/>
  <c r="R137" i="15"/>
  <c r="S137" i="15"/>
  <c r="T137" i="15"/>
  <c r="U137" i="15"/>
  <c r="V137" i="15"/>
  <c r="W137" i="15"/>
  <c r="X137" i="15"/>
  <c r="Y137" i="15"/>
  <c r="Z137" i="15"/>
  <c r="AA137" i="15"/>
  <c r="AB137" i="15"/>
  <c r="AC137" i="15"/>
  <c r="AD137" i="15"/>
  <c r="AE137" i="15"/>
  <c r="AF137" i="15"/>
  <c r="AG137" i="15"/>
  <c r="AH137" i="15"/>
  <c r="E138" i="15"/>
  <c r="F138" i="15"/>
  <c r="G138" i="15"/>
  <c r="H138" i="15"/>
  <c r="I138" i="15"/>
  <c r="J138" i="15"/>
  <c r="K138" i="15"/>
  <c r="L138" i="15"/>
  <c r="M138" i="15"/>
  <c r="N138" i="15"/>
  <c r="O138" i="15"/>
  <c r="P138" i="15"/>
  <c r="Q138" i="15"/>
  <c r="R138" i="15"/>
  <c r="S138" i="15"/>
  <c r="T138" i="15"/>
  <c r="U138" i="15"/>
  <c r="V138" i="15"/>
  <c r="W138" i="15"/>
  <c r="X138" i="15"/>
  <c r="Y138" i="15"/>
  <c r="Z138" i="15"/>
  <c r="AA138" i="15"/>
  <c r="AB138" i="15"/>
  <c r="AC138" i="15"/>
  <c r="AD138" i="15"/>
  <c r="AE138" i="15"/>
  <c r="AF138" i="15"/>
  <c r="AG138" i="15"/>
  <c r="AH138" i="15"/>
  <c r="E139" i="15"/>
  <c r="F139" i="15"/>
  <c r="G139" i="15"/>
  <c r="H139" i="15"/>
  <c r="I139" i="15"/>
  <c r="J139" i="15"/>
  <c r="K139" i="15"/>
  <c r="L139" i="15"/>
  <c r="M139" i="15"/>
  <c r="N139" i="15"/>
  <c r="O139" i="15"/>
  <c r="P139" i="15"/>
  <c r="Q139" i="15"/>
  <c r="R139" i="15"/>
  <c r="S139" i="15"/>
  <c r="T139" i="15"/>
  <c r="U139" i="15"/>
  <c r="V139" i="15"/>
  <c r="W139" i="15"/>
  <c r="X139" i="15"/>
  <c r="Y139" i="15"/>
  <c r="Z139" i="15"/>
  <c r="AA139" i="15"/>
  <c r="AB139" i="15"/>
  <c r="AC139" i="15"/>
  <c r="AD139" i="15"/>
  <c r="AE139" i="15"/>
  <c r="AF139" i="15"/>
  <c r="AG139" i="15"/>
  <c r="AH139" i="15"/>
  <c r="E140" i="15"/>
  <c r="F140" i="15"/>
  <c r="G140" i="15"/>
  <c r="H140" i="15"/>
  <c r="I140" i="15"/>
  <c r="J140" i="15"/>
  <c r="K140" i="15"/>
  <c r="L140" i="15"/>
  <c r="M140" i="15"/>
  <c r="N140" i="15"/>
  <c r="O140" i="15"/>
  <c r="P140" i="15"/>
  <c r="Q140" i="15"/>
  <c r="R140" i="15"/>
  <c r="S140" i="15"/>
  <c r="T140" i="15"/>
  <c r="U140" i="15"/>
  <c r="V140" i="15"/>
  <c r="W140" i="15"/>
  <c r="X140" i="15"/>
  <c r="Y140" i="15"/>
  <c r="Z140" i="15"/>
  <c r="AA140" i="15"/>
  <c r="AB140" i="15"/>
  <c r="AC140" i="15"/>
  <c r="AD140" i="15"/>
  <c r="AE140" i="15"/>
  <c r="AF140" i="15"/>
  <c r="AG140" i="15"/>
  <c r="AH140" i="15"/>
  <c r="E143" i="15"/>
  <c r="F143" i="15"/>
  <c r="G143" i="15"/>
  <c r="H143" i="15"/>
  <c r="I143" i="15"/>
  <c r="J143" i="15"/>
  <c r="K143" i="15"/>
  <c r="L143" i="15"/>
  <c r="M143" i="15"/>
  <c r="N143" i="15"/>
  <c r="O143" i="15"/>
  <c r="P143" i="15"/>
  <c r="Q143" i="15"/>
  <c r="R143" i="15"/>
  <c r="S143" i="15"/>
  <c r="T143" i="15"/>
  <c r="U143" i="15"/>
  <c r="V143" i="15"/>
  <c r="W143" i="15"/>
  <c r="X143" i="15"/>
  <c r="Y143" i="15"/>
  <c r="Z143" i="15"/>
  <c r="AA143" i="15"/>
  <c r="AB143" i="15"/>
  <c r="AC143" i="15"/>
  <c r="AD143" i="15"/>
  <c r="AE143" i="15"/>
  <c r="AF143" i="15"/>
  <c r="AG143" i="15"/>
  <c r="AH143" i="15"/>
  <c r="E144" i="15"/>
  <c r="F144" i="15"/>
  <c r="G144" i="15"/>
  <c r="H144" i="15"/>
  <c r="I144" i="15"/>
  <c r="J144" i="15"/>
  <c r="K144" i="15"/>
  <c r="L144" i="15"/>
  <c r="M144" i="15"/>
  <c r="N144" i="15"/>
  <c r="O144" i="15"/>
  <c r="P144" i="15"/>
  <c r="Q144" i="15"/>
  <c r="R144" i="15"/>
  <c r="S144" i="15"/>
  <c r="T144" i="15"/>
  <c r="U144" i="15"/>
  <c r="V144" i="15"/>
  <c r="W144" i="15"/>
  <c r="X144" i="15"/>
  <c r="Y144" i="15"/>
  <c r="Z144" i="15"/>
  <c r="AA144" i="15"/>
  <c r="AB144" i="15"/>
  <c r="AC144" i="15"/>
  <c r="AD144" i="15"/>
  <c r="AE144" i="15"/>
  <c r="AF144" i="15"/>
  <c r="AG144" i="15"/>
  <c r="AH144" i="15"/>
  <c r="E145" i="15"/>
  <c r="F145" i="15"/>
  <c r="G145" i="15"/>
  <c r="H145" i="15"/>
  <c r="I145" i="15"/>
  <c r="J145" i="15"/>
  <c r="K145" i="15"/>
  <c r="L145" i="15"/>
  <c r="M145" i="15"/>
  <c r="N145" i="15"/>
  <c r="O145" i="15"/>
  <c r="P145" i="15"/>
  <c r="Q145" i="15"/>
  <c r="R145" i="15"/>
  <c r="S145" i="15"/>
  <c r="T145" i="15"/>
  <c r="U145" i="15"/>
  <c r="V145" i="15"/>
  <c r="W145" i="15"/>
  <c r="X145" i="15"/>
  <c r="Y145" i="15"/>
  <c r="Z145" i="15"/>
  <c r="AA145" i="15"/>
  <c r="AB145" i="15"/>
  <c r="AC145" i="15"/>
  <c r="AD145" i="15"/>
  <c r="AE145" i="15"/>
  <c r="AF145" i="15"/>
  <c r="AG145" i="15"/>
  <c r="AH145" i="15"/>
  <c r="E146" i="15"/>
  <c r="F146" i="15"/>
  <c r="G146" i="15"/>
  <c r="H146" i="15"/>
  <c r="I146" i="15"/>
  <c r="J146" i="15"/>
  <c r="K146" i="15"/>
  <c r="L146" i="15"/>
  <c r="M146" i="15"/>
  <c r="N146" i="15"/>
  <c r="O146" i="15"/>
  <c r="P146" i="15"/>
  <c r="Q146" i="15"/>
  <c r="R146" i="15"/>
  <c r="S146" i="15"/>
  <c r="T146" i="15"/>
  <c r="U146" i="15"/>
  <c r="V146" i="15"/>
  <c r="W146" i="15"/>
  <c r="X146" i="15"/>
  <c r="Y146" i="15"/>
  <c r="Z146" i="15"/>
  <c r="AA146" i="15"/>
  <c r="AB146" i="15"/>
  <c r="AC146" i="15"/>
  <c r="AD146" i="15"/>
  <c r="AE146" i="15"/>
  <c r="AF146" i="15"/>
  <c r="AG146" i="15"/>
  <c r="AH146" i="15"/>
  <c r="D144" i="15"/>
  <c r="D145" i="15"/>
  <c r="D146" i="15"/>
  <c r="E149" i="15"/>
  <c r="F149" i="15"/>
  <c r="G149" i="15"/>
  <c r="H149" i="15"/>
  <c r="I149" i="15"/>
  <c r="J149" i="15"/>
  <c r="K149" i="15"/>
  <c r="L149" i="15"/>
  <c r="M149" i="15"/>
  <c r="N149" i="15"/>
  <c r="O149" i="15"/>
  <c r="P149" i="15"/>
  <c r="Q149" i="15"/>
  <c r="R149" i="15"/>
  <c r="S149" i="15"/>
  <c r="T149" i="15"/>
  <c r="U149" i="15"/>
  <c r="V149" i="15"/>
  <c r="W149" i="15"/>
  <c r="X149" i="15"/>
  <c r="Y149" i="15"/>
  <c r="Z149" i="15"/>
  <c r="AA149" i="15"/>
  <c r="AB149" i="15"/>
  <c r="AC149" i="15"/>
  <c r="AD149" i="15"/>
  <c r="AE149" i="15"/>
  <c r="AF149" i="15"/>
  <c r="AG149" i="15"/>
  <c r="AH149" i="15"/>
  <c r="E150" i="15"/>
  <c r="F150" i="15"/>
  <c r="G150" i="15"/>
  <c r="H150" i="15"/>
  <c r="I150" i="15"/>
  <c r="J150" i="15"/>
  <c r="K150" i="15"/>
  <c r="L150" i="15"/>
  <c r="M150" i="15"/>
  <c r="N150" i="15"/>
  <c r="O150" i="15"/>
  <c r="P150" i="15"/>
  <c r="Q150" i="15"/>
  <c r="R150" i="15"/>
  <c r="S150" i="15"/>
  <c r="T150" i="15"/>
  <c r="U150" i="15"/>
  <c r="V150" i="15"/>
  <c r="W150" i="15"/>
  <c r="X150" i="15"/>
  <c r="Y150" i="15"/>
  <c r="Z150" i="15"/>
  <c r="AA150" i="15"/>
  <c r="AB150" i="15"/>
  <c r="AC150" i="15"/>
  <c r="AD150" i="15"/>
  <c r="AE150" i="15"/>
  <c r="AF150" i="15"/>
  <c r="AG150" i="15"/>
  <c r="AH150" i="15"/>
  <c r="E151" i="15"/>
  <c r="F151" i="15"/>
  <c r="G151" i="15"/>
  <c r="H151" i="15"/>
  <c r="I151" i="15"/>
  <c r="J151" i="15"/>
  <c r="K151" i="15"/>
  <c r="L151" i="15"/>
  <c r="M151" i="15"/>
  <c r="N151" i="15"/>
  <c r="O151" i="15"/>
  <c r="P151" i="15"/>
  <c r="Q151" i="15"/>
  <c r="R151" i="15"/>
  <c r="S151" i="15"/>
  <c r="T151" i="15"/>
  <c r="U151" i="15"/>
  <c r="V151" i="15"/>
  <c r="W151" i="15"/>
  <c r="X151" i="15"/>
  <c r="Y151" i="15"/>
  <c r="Z151" i="15"/>
  <c r="AA151" i="15"/>
  <c r="AB151" i="15"/>
  <c r="AC151" i="15"/>
  <c r="AD151" i="15"/>
  <c r="AE151" i="15"/>
  <c r="AF151" i="15"/>
  <c r="AG151" i="15"/>
  <c r="AH151" i="15"/>
  <c r="E152" i="15"/>
  <c r="F152" i="15"/>
  <c r="G152" i="15"/>
  <c r="H152" i="15"/>
  <c r="I152" i="15"/>
  <c r="J152" i="15"/>
  <c r="K152" i="15"/>
  <c r="L152" i="15"/>
  <c r="M152" i="15"/>
  <c r="N152" i="15"/>
  <c r="O152" i="15"/>
  <c r="P152" i="15"/>
  <c r="Q152" i="15"/>
  <c r="R152" i="15"/>
  <c r="S152" i="15"/>
  <c r="T152" i="15"/>
  <c r="U152" i="15"/>
  <c r="V152" i="15"/>
  <c r="W152" i="15"/>
  <c r="X152" i="15"/>
  <c r="Y152" i="15"/>
  <c r="Z152" i="15"/>
  <c r="AA152" i="15"/>
  <c r="AB152" i="15"/>
  <c r="AC152" i="15"/>
  <c r="AD152" i="15"/>
  <c r="AE152" i="15"/>
  <c r="AF152" i="15"/>
  <c r="AG152" i="15"/>
  <c r="AH152" i="15"/>
  <c r="D150" i="15"/>
  <c r="D151" i="15"/>
  <c r="D152" i="15"/>
  <c r="D149" i="15"/>
  <c r="E155" i="15"/>
  <c r="F155" i="15"/>
  <c r="G155" i="15"/>
  <c r="H155" i="15"/>
  <c r="I155" i="15"/>
  <c r="J155" i="15"/>
  <c r="K155" i="15"/>
  <c r="L155" i="15"/>
  <c r="M155" i="15"/>
  <c r="N155" i="15"/>
  <c r="O155" i="15"/>
  <c r="P155" i="15"/>
  <c r="Q155" i="15"/>
  <c r="R155" i="15"/>
  <c r="S155" i="15"/>
  <c r="T155" i="15"/>
  <c r="U155" i="15"/>
  <c r="V155" i="15"/>
  <c r="W155" i="15"/>
  <c r="X155" i="15"/>
  <c r="Y155" i="15"/>
  <c r="Z155" i="15"/>
  <c r="AA155" i="15"/>
  <c r="AB155" i="15"/>
  <c r="AC155" i="15"/>
  <c r="AD155" i="15"/>
  <c r="AE155" i="15"/>
  <c r="AF155" i="15"/>
  <c r="AG155" i="15"/>
  <c r="AH155" i="15"/>
  <c r="E156" i="15"/>
  <c r="F156" i="15"/>
  <c r="G156" i="15"/>
  <c r="H156" i="15"/>
  <c r="I156" i="15"/>
  <c r="J156" i="15"/>
  <c r="K156" i="15"/>
  <c r="L156" i="15"/>
  <c r="M156" i="15"/>
  <c r="N156" i="15"/>
  <c r="O156" i="15"/>
  <c r="P156" i="15"/>
  <c r="Q156" i="15"/>
  <c r="R156" i="15"/>
  <c r="S156" i="15"/>
  <c r="T156" i="15"/>
  <c r="U156" i="15"/>
  <c r="V156" i="15"/>
  <c r="W156" i="15"/>
  <c r="X156" i="15"/>
  <c r="Y156" i="15"/>
  <c r="Z156" i="15"/>
  <c r="AA156" i="15"/>
  <c r="AB156" i="15"/>
  <c r="AC156" i="15"/>
  <c r="AD156" i="15"/>
  <c r="AE156" i="15"/>
  <c r="AF156" i="15"/>
  <c r="AG156" i="15"/>
  <c r="AH156" i="15"/>
  <c r="E157" i="15"/>
  <c r="F157" i="15"/>
  <c r="G157" i="15"/>
  <c r="H157" i="15"/>
  <c r="I157" i="15"/>
  <c r="J157" i="15"/>
  <c r="K157" i="15"/>
  <c r="L157" i="15"/>
  <c r="M157" i="15"/>
  <c r="N157" i="15"/>
  <c r="O157" i="15"/>
  <c r="P157" i="15"/>
  <c r="Q157" i="15"/>
  <c r="R157" i="15"/>
  <c r="S157" i="15"/>
  <c r="T157" i="15"/>
  <c r="U157" i="15"/>
  <c r="V157" i="15"/>
  <c r="W157" i="15"/>
  <c r="X157" i="15"/>
  <c r="Y157" i="15"/>
  <c r="Z157" i="15"/>
  <c r="AA157" i="15"/>
  <c r="AB157" i="15"/>
  <c r="AC157" i="15"/>
  <c r="AD157" i="15"/>
  <c r="AE157" i="15"/>
  <c r="AF157" i="15"/>
  <c r="AG157" i="15"/>
  <c r="AH157" i="15"/>
  <c r="E158" i="15"/>
  <c r="F158" i="15"/>
  <c r="G158" i="15"/>
  <c r="H158" i="15"/>
  <c r="I158" i="15"/>
  <c r="J158" i="15"/>
  <c r="K158" i="15"/>
  <c r="L158" i="15"/>
  <c r="M158" i="15"/>
  <c r="N158" i="15"/>
  <c r="O158" i="15"/>
  <c r="P158" i="15"/>
  <c r="Q158" i="15"/>
  <c r="R158" i="15"/>
  <c r="S158" i="15"/>
  <c r="T158" i="15"/>
  <c r="U158" i="15"/>
  <c r="V158" i="15"/>
  <c r="W158" i="15"/>
  <c r="X158" i="15"/>
  <c r="Y158" i="15"/>
  <c r="Z158" i="15"/>
  <c r="AA158" i="15"/>
  <c r="AB158" i="15"/>
  <c r="AC158" i="15"/>
  <c r="AD158" i="15"/>
  <c r="AE158" i="15"/>
  <c r="AF158" i="15"/>
  <c r="AG158" i="15"/>
  <c r="AH158" i="15"/>
  <c r="D156" i="15"/>
  <c r="D157" i="15"/>
  <c r="D158" i="15"/>
  <c r="D155" i="15"/>
  <c r="AI157" i="15" l="1"/>
  <c r="AI158" i="15"/>
  <c r="AI156" i="15"/>
  <c r="AI155" i="15"/>
  <c r="D235" i="3" l="1"/>
  <c r="D236" i="3"/>
  <c r="D237" i="3"/>
  <c r="D238" i="3"/>
  <c r="D234" i="3"/>
  <c r="D233" i="3"/>
  <c r="D226" i="3"/>
  <c r="D228" i="3"/>
  <c r="D227" i="3"/>
  <c r="D225" i="3"/>
  <c r="D222" i="3"/>
  <c r="D223" i="3"/>
  <c r="D224" i="3"/>
  <c r="D221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03" i="3"/>
  <c r="D229" i="3" l="1"/>
  <c r="D232" i="3"/>
  <c r="AI232" i="3" s="1"/>
  <c r="AI228" i="3"/>
  <c r="D230" i="3"/>
  <c r="F27" i="38" l="1"/>
  <c r="AI227" i="3"/>
  <c r="AI226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F29" i="38" s="1"/>
  <c r="AI203" i="3"/>
  <c r="F45" i="38" l="1"/>
  <c r="G45" i="38" s="1"/>
  <c r="Q10" i="21" s="1"/>
  <c r="F38" i="38"/>
  <c r="G29" i="38"/>
  <c r="F36" i="38"/>
  <c r="F39" i="38" s="1"/>
  <c r="G27" i="38"/>
  <c r="G36" i="38" s="1"/>
  <c r="AJ224" i="3"/>
  <c r="M10" i="21"/>
  <c r="D239" i="3"/>
  <c r="D240" i="3" s="1"/>
  <c r="AI238" i="3"/>
  <c r="F34" i="38" s="1"/>
  <c r="AI237" i="3"/>
  <c r="F31" i="38" s="1"/>
  <c r="AI236" i="3"/>
  <c r="F32" i="38" s="1"/>
  <c r="AI235" i="3"/>
  <c r="F30" i="38" s="1"/>
  <c r="AI234" i="3"/>
  <c r="M6" i="21"/>
  <c r="G39" i="38" l="1"/>
  <c r="P13" i="21" s="1"/>
  <c r="G38" i="38"/>
  <c r="Q6" i="21"/>
  <c r="F41" i="38"/>
  <c r="G31" i="38"/>
  <c r="AJ234" i="3"/>
  <c r="F33" i="38"/>
  <c r="F44" i="38"/>
  <c r="G34" i="38"/>
  <c r="G44" i="38" s="1"/>
  <c r="F42" i="38"/>
  <c r="G32" i="38"/>
  <c r="F40" i="38"/>
  <c r="G30" i="38"/>
  <c r="D241" i="3"/>
  <c r="AI241" i="3" s="1"/>
  <c r="AI240" i="3"/>
  <c r="AI239" i="3"/>
  <c r="G40" i="38" l="1"/>
  <c r="P15" i="21"/>
  <c r="G42" i="38"/>
  <c r="P19" i="21"/>
  <c r="G41" i="38"/>
  <c r="P17" i="21"/>
  <c r="F43" i="38"/>
  <c r="G33" i="38"/>
  <c r="D10" i="19"/>
  <c r="G43" i="38" l="1"/>
  <c r="P21" i="21"/>
  <c r="D32" i="19" l="1"/>
  <c r="AI162" i="3" l="1"/>
  <c r="V56" i="15" l="1"/>
  <c r="V57" i="15"/>
  <c r="V58" i="15"/>
  <c r="V59" i="15"/>
  <c r="V60" i="15"/>
  <c r="V61" i="15"/>
  <c r="V62" i="15"/>
  <c r="V63" i="15"/>
  <c r="V64" i="15"/>
  <c r="V65" i="15"/>
  <c r="V66" i="15"/>
  <c r="V67" i="15"/>
  <c r="V68" i="15"/>
  <c r="V69" i="15"/>
  <c r="V70" i="15"/>
  <c r="V71" i="15"/>
  <c r="V72" i="15"/>
  <c r="V73" i="15"/>
  <c r="V74" i="15"/>
  <c r="V75" i="15"/>
  <c r="V76" i="15"/>
  <c r="V77" i="15"/>
  <c r="V78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AI62" i="3" l="1"/>
  <c r="AB30" i="15" l="1"/>
  <c r="AC30" i="15"/>
  <c r="AD30" i="15"/>
  <c r="AE30" i="15"/>
  <c r="AB31" i="15"/>
  <c r="AC31" i="15"/>
  <c r="AD31" i="15"/>
  <c r="AE31" i="15"/>
  <c r="AB32" i="15"/>
  <c r="AC32" i="15"/>
  <c r="AD32" i="15"/>
  <c r="AE32" i="15"/>
  <c r="AB33" i="15"/>
  <c r="AC33" i="15"/>
  <c r="AD33" i="15"/>
  <c r="AE33" i="15"/>
  <c r="AB34" i="15"/>
  <c r="AC34" i="15"/>
  <c r="AD34" i="15"/>
  <c r="AE34" i="15"/>
  <c r="AB35" i="15"/>
  <c r="AC35" i="15"/>
  <c r="AD35" i="15"/>
  <c r="AE35" i="15"/>
  <c r="AB36" i="15"/>
  <c r="AC36" i="15"/>
  <c r="AD36" i="15"/>
  <c r="AE36" i="15"/>
  <c r="AB37" i="15"/>
  <c r="AC37" i="15"/>
  <c r="AD37" i="15"/>
  <c r="AE37" i="15"/>
  <c r="AB38" i="15"/>
  <c r="AC38" i="15"/>
  <c r="AD38" i="15"/>
  <c r="AE38" i="15"/>
  <c r="AB39" i="15"/>
  <c r="AC39" i="15"/>
  <c r="AD39" i="15"/>
  <c r="AE39" i="15"/>
  <c r="AB40" i="15"/>
  <c r="AC40" i="15"/>
  <c r="AD40" i="15"/>
  <c r="AE40" i="15"/>
  <c r="AB41" i="15"/>
  <c r="AC41" i="15"/>
  <c r="AD41" i="15"/>
  <c r="AE41" i="15"/>
  <c r="AB42" i="15"/>
  <c r="AC42" i="15"/>
  <c r="AD42" i="15"/>
  <c r="AE42" i="15"/>
  <c r="AB43" i="15"/>
  <c r="AC43" i="15"/>
  <c r="AD43" i="15"/>
  <c r="AE43" i="15"/>
  <c r="AB44" i="15"/>
  <c r="AC44" i="15"/>
  <c r="AD44" i="15"/>
  <c r="AE44" i="15"/>
  <c r="AB45" i="15"/>
  <c r="AC45" i="15"/>
  <c r="AD45" i="15"/>
  <c r="AE45" i="15"/>
  <c r="AB46" i="15"/>
  <c r="AC46" i="15"/>
  <c r="AD46" i="15"/>
  <c r="AE46" i="15"/>
  <c r="AB47" i="15"/>
  <c r="AC47" i="15"/>
  <c r="AD47" i="15"/>
  <c r="AE47" i="15"/>
  <c r="AB48" i="15"/>
  <c r="AC48" i="15"/>
  <c r="AD48" i="15"/>
  <c r="AE48" i="15"/>
  <c r="AB49" i="15"/>
  <c r="AC49" i="15"/>
  <c r="AD49" i="15"/>
  <c r="AE49" i="15"/>
  <c r="AB50" i="15"/>
  <c r="AC50" i="15"/>
  <c r="AD50" i="15"/>
  <c r="AE50" i="15"/>
  <c r="AB51" i="15"/>
  <c r="AC51" i="15"/>
  <c r="AD51" i="15"/>
  <c r="AE51" i="15"/>
  <c r="AB52" i="15"/>
  <c r="AC52" i="15"/>
  <c r="AD52" i="15"/>
  <c r="AE52" i="15"/>
  <c r="AI168" i="3" l="1"/>
  <c r="L15" i="21"/>
  <c r="C24" i="34" l="1"/>
  <c r="C23" i="34"/>
  <c r="C22" i="34"/>
  <c r="C21" i="34"/>
  <c r="C25" i="34" s="1"/>
  <c r="D143" i="15" l="1"/>
  <c r="D138" i="15"/>
  <c r="D139" i="15"/>
  <c r="D140" i="15"/>
  <c r="D137" i="15"/>
  <c r="D132" i="15"/>
  <c r="D133" i="15"/>
  <c r="D134" i="15"/>
  <c r="D131" i="15"/>
  <c r="AI152" i="15"/>
  <c r="AI151" i="15"/>
  <c r="AI150" i="15"/>
  <c r="AI149" i="15"/>
  <c r="AI145" i="15" l="1"/>
  <c r="AI139" i="15"/>
  <c r="AI131" i="15"/>
  <c r="AI140" i="15"/>
  <c r="AI134" i="15"/>
  <c r="AI133" i="15"/>
  <c r="AI144" i="15"/>
  <c r="AI137" i="15"/>
  <c r="AI143" i="15"/>
  <c r="AI146" i="15"/>
  <c r="AI138" i="15"/>
  <c r="AI132" i="15"/>
  <c r="I89" i="21" l="1"/>
  <c r="G26" i="18" l="1"/>
  <c r="H25" i="18" s="1"/>
  <c r="J25" i="18" s="1"/>
  <c r="G39" i="19" l="1"/>
  <c r="G40" i="17"/>
  <c r="L20" i="30"/>
  <c r="L123" i="30"/>
  <c r="I119" i="30"/>
  <c r="O118" i="30"/>
  <c r="P118" i="30" s="1"/>
  <c r="K118" i="30"/>
  <c r="J118" i="30"/>
  <c r="I118" i="30"/>
  <c r="H118" i="30"/>
  <c r="G118" i="30"/>
  <c r="F118" i="30"/>
  <c r="E118" i="30"/>
  <c r="D118" i="30"/>
  <c r="J117" i="30"/>
  <c r="I117" i="30"/>
  <c r="G117" i="30"/>
  <c r="F117" i="30"/>
  <c r="E117" i="30"/>
  <c r="D117" i="30"/>
  <c r="O116" i="30"/>
  <c r="P116" i="30" s="1"/>
  <c r="J116" i="30"/>
  <c r="I116" i="30"/>
  <c r="H116" i="30"/>
  <c r="G116" i="30"/>
  <c r="V116" i="30" s="1"/>
  <c r="F116" i="30"/>
  <c r="E116" i="30"/>
  <c r="D116" i="30"/>
  <c r="O115" i="30"/>
  <c r="P115" i="30" s="1"/>
  <c r="J115" i="30"/>
  <c r="I115" i="30"/>
  <c r="H115" i="30"/>
  <c r="G115" i="30"/>
  <c r="F115" i="30"/>
  <c r="E115" i="30"/>
  <c r="D115" i="30"/>
  <c r="O114" i="30"/>
  <c r="P114" i="30" s="1"/>
  <c r="J114" i="30"/>
  <c r="I114" i="30"/>
  <c r="H114" i="30"/>
  <c r="G114" i="30"/>
  <c r="F114" i="30"/>
  <c r="E114" i="30"/>
  <c r="D114" i="30"/>
  <c r="O113" i="30"/>
  <c r="P113" i="30" s="1"/>
  <c r="J113" i="30"/>
  <c r="I113" i="30"/>
  <c r="H113" i="30"/>
  <c r="G113" i="30"/>
  <c r="F113" i="30"/>
  <c r="E113" i="30"/>
  <c r="D113" i="30"/>
  <c r="O112" i="30"/>
  <c r="P112" i="30" s="1"/>
  <c r="J112" i="30"/>
  <c r="I112" i="30"/>
  <c r="H112" i="30"/>
  <c r="G112" i="30"/>
  <c r="F112" i="30"/>
  <c r="E112" i="30"/>
  <c r="D112" i="30"/>
  <c r="O111" i="30"/>
  <c r="P111" i="30" s="1"/>
  <c r="J111" i="30"/>
  <c r="I111" i="30"/>
  <c r="H111" i="30"/>
  <c r="G111" i="30"/>
  <c r="F111" i="30"/>
  <c r="E111" i="30"/>
  <c r="D111" i="30"/>
  <c r="O110" i="30"/>
  <c r="P110" i="30" s="1"/>
  <c r="J110" i="30"/>
  <c r="I110" i="30"/>
  <c r="H110" i="30"/>
  <c r="G110" i="30"/>
  <c r="F110" i="30"/>
  <c r="E110" i="30"/>
  <c r="D110" i="30"/>
  <c r="O109" i="30"/>
  <c r="P109" i="30" s="1"/>
  <c r="J109" i="30"/>
  <c r="I109" i="30"/>
  <c r="H109" i="30"/>
  <c r="G109" i="30"/>
  <c r="F109" i="30"/>
  <c r="E109" i="30"/>
  <c r="D109" i="30"/>
  <c r="O108" i="30"/>
  <c r="P108" i="30" s="1"/>
  <c r="J108" i="30"/>
  <c r="I108" i="30"/>
  <c r="H108" i="30"/>
  <c r="G108" i="30"/>
  <c r="F108" i="30"/>
  <c r="L102" i="30"/>
  <c r="I102" i="30"/>
  <c r="G102" i="30"/>
  <c r="F102" i="30"/>
  <c r="E102" i="30"/>
  <c r="P97" i="30"/>
  <c r="U97" i="30" s="1"/>
  <c r="P96" i="30"/>
  <c r="U96" i="30" s="1"/>
  <c r="K96" i="30"/>
  <c r="H96" i="30"/>
  <c r="H102" i="30" s="1"/>
  <c r="P95" i="30"/>
  <c r="K95" i="30"/>
  <c r="P94" i="30"/>
  <c r="X94" i="30" s="1"/>
  <c r="K94" i="30"/>
  <c r="P93" i="30"/>
  <c r="U93" i="30" s="1"/>
  <c r="K93" i="30"/>
  <c r="P92" i="30"/>
  <c r="T92" i="30" s="1"/>
  <c r="K92" i="30"/>
  <c r="P91" i="30"/>
  <c r="U91" i="30" s="1"/>
  <c r="K91" i="30"/>
  <c r="P90" i="30"/>
  <c r="X90" i="30" s="1"/>
  <c r="K90" i="30"/>
  <c r="P89" i="30"/>
  <c r="U89" i="30" s="1"/>
  <c r="K89" i="30"/>
  <c r="P88" i="30"/>
  <c r="X88" i="30" s="1"/>
  <c r="K88" i="30"/>
  <c r="P87" i="30"/>
  <c r="X87" i="30" s="1"/>
  <c r="K87" i="30"/>
  <c r="L82" i="30"/>
  <c r="I82" i="30"/>
  <c r="E82" i="30"/>
  <c r="H78" i="30"/>
  <c r="H82" i="30" s="1"/>
  <c r="G78" i="30"/>
  <c r="F78" i="30"/>
  <c r="F82" i="30" s="1"/>
  <c r="P77" i="30"/>
  <c r="U77" i="30" s="1"/>
  <c r="P76" i="30"/>
  <c r="U76" i="30" s="1"/>
  <c r="K76" i="30"/>
  <c r="P75" i="30"/>
  <c r="X75" i="30" s="1"/>
  <c r="K75" i="30"/>
  <c r="P74" i="30"/>
  <c r="X74" i="30" s="1"/>
  <c r="K74" i="30"/>
  <c r="P73" i="30"/>
  <c r="X73" i="30" s="1"/>
  <c r="K73" i="30"/>
  <c r="P72" i="30"/>
  <c r="X72" i="30" s="1"/>
  <c r="K72" i="30"/>
  <c r="P71" i="30"/>
  <c r="X71" i="30" s="1"/>
  <c r="K71" i="30"/>
  <c r="P70" i="30"/>
  <c r="X70" i="30" s="1"/>
  <c r="K70" i="30"/>
  <c r="P69" i="30"/>
  <c r="X69" i="30" s="1"/>
  <c r="K69" i="30"/>
  <c r="P68" i="30"/>
  <c r="U68" i="30" s="1"/>
  <c r="K68" i="30"/>
  <c r="P67" i="30"/>
  <c r="X67" i="30" s="1"/>
  <c r="K67" i="30"/>
  <c r="D67" i="30"/>
  <c r="D108" i="30" s="1"/>
  <c r="L62" i="30"/>
  <c r="I62" i="30"/>
  <c r="H58" i="30"/>
  <c r="H62" i="30" s="1"/>
  <c r="G58" i="30"/>
  <c r="G62" i="30" s="1"/>
  <c r="F58" i="30"/>
  <c r="E58" i="30"/>
  <c r="P57" i="30"/>
  <c r="X57" i="30" s="1"/>
  <c r="P56" i="30"/>
  <c r="X56" i="30" s="1"/>
  <c r="K56" i="30"/>
  <c r="P55" i="30"/>
  <c r="K55" i="30"/>
  <c r="P54" i="30"/>
  <c r="Q54" i="30" s="1"/>
  <c r="K54" i="30"/>
  <c r="P53" i="30"/>
  <c r="X53" i="30" s="1"/>
  <c r="K53" i="30"/>
  <c r="P52" i="30"/>
  <c r="X52" i="30" s="1"/>
  <c r="K52" i="30"/>
  <c r="P51" i="30"/>
  <c r="K51" i="30"/>
  <c r="P50" i="30"/>
  <c r="U50" i="30" s="1"/>
  <c r="K50" i="30"/>
  <c r="P49" i="30"/>
  <c r="X49" i="30" s="1"/>
  <c r="K49" i="30"/>
  <c r="P48" i="30"/>
  <c r="X48" i="30" s="1"/>
  <c r="K48" i="30"/>
  <c r="P47" i="30"/>
  <c r="K47" i="30"/>
  <c r="E47" i="30"/>
  <c r="L40" i="30"/>
  <c r="I40" i="30"/>
  <c r="E40" i="30"/>
  <c r="H36" i="30"/>
  <c r="H40" i="30" s="1"/>
  <c r="G36" i="30"/>
  <c r="F36" i="30"/>
  <c r="X35" i="30"/>
  <c r="W35" i="30"/>
  <c r="V35" i="30"/>
  <c r="U35" i="30"/>
  <c r="T35" i="30"/>
  <c r="S35" i="30"/>
  <c r="R35" i="30"/>
  <c r="Q35" i="30"/>
  <c r="P34" i="30"/>
  <c r="X34" i="30" s="1"/>
  <c r="K34" i="30"/>
  <c r="P33" i="30"/>
  <c r="X33" i="30" s="1"/>
  <c r="K33" i="30"/>
  <c r="P32" i="30"/>
  <c r="S32" i="30" s="1"/>
  <c r="K32" i="30"/>
  <c r="P31" i="30"/>
  <c r="U31" i="30" s="1"/>
  <c r="K31" i="30"/>
  <c r="P30" i="30"/>
  <c r="X30" i="30" s="1"/>
  <c r="K30" i="30"/>
  <c r="P29" i="30"/>
  <c r="X29" i="30" s="1"/>
  <c r="K29" i="30"/>
  <c r="P28" i="30"/>
  <c r="W28" i="30" s="1"/>
  <c r="K28" i="30"/>
  <c r="P27" i="30"/>
  <c r="U27" i="30" s="1"/>
  <c r="K27" i="30"/>
  <c r="P26" i="30"/>
  <c r="X26" i="30" s="1"/>
  <c r="K26" i="30"/>
  <c r="P25" i="30"/>
  <c r="V25" i="30" s="1"/>
  <c r="K25" i="30"/>
  <c r="I20" i="30"/>
  <c r="O16" i="30"/>
  <c r="O119" i="30" s="1"/>
  <c r="G16" i="30"/>
  <c r="F16" i="30"/>
  <c r="E16" i="30"/>
  <c r="E20" i="30" s="1"/>
  <c r="X15" i="30"/>
  <c r="W15" i="30"/>
  <c r="V15" i="30"/>
  <c r="U15" i="30"/>
  <c r="T15" i="30"/>
  <c r="S15" i="30"/>
  <c r="R15" i="30"/>
  <c r="Q15" i="30"/>
  <c r="O14" i="30"/>
  <c r="O117" i="30" s="1"/>
  <c r="P117" i="30" s="1"/>
  <c r="K14" i="30"/>
  <c r="P13" i="30"/>
  <c r="T13" i="30" s="1"/>
  <c r="K13" i="30"/>
  <c r="P12" i="30"/>
  <c r="U12" i="30" s="1"/>
  <c r="K12" i="30"/>
  <c r="P11" i="30"/>
  <c r="X11" i="30" s="1"/>
  <c r="K11" i="30"/>
  <c r="P10" i="30"/>
  <c r="X10" i="30" s="1"/>
  <c r="K10" i="30"/>
  <c r="P9" i="30"/>
  <c r="K9" i="30"/>
  <c r="P8" i="30"/>
  <c r="U8" i="30" s="1"/>
  <c r="K8" i="30"/>
  <c r="P7" i="30"/>
  <c r="X7" i="30" s="1"/>
  <c r="K7" i="30"/>
  <c r="P6" i="30"/>
  <c r="X6" i="30" s="1"/>
  <c r="K6" i="30"/>
  <c r="P5" i="30"/>
  <c r="T5" i="30" s="1"/>
  <c r="K5" i="30"/>
  <c r="R25" i="30" l="1"/>
  <c r="R31" i="30"/>
  <c r="R69" i="30"/>
  <c r="W113" i="30"/>
  <c r="R54" i="30"/>
  <c r="R56" i="30"/>
  <c r="R76" i="30"/>
  <c r="X111" i="30"/>
  <c r="R26" i="30"/>
  <c r="W56" i="30"/>
  <c r="S92" i="30"/>
  <c r="R90" i="30"/>
  <c r="Q91" i="30"/>
  <c r="W92" i="30"/>
  <c r="R92" i="30"/>
  <c r="Q6" i="30"/>
  <c r="S57" i="30"/>
  <c r="Q94" i="30"/>
  <c r="S6" i="30"/>
  <c r="S117" i="30"/>
  <c r="R30" i="30"/>
  <c r="U94" i="30"/>
  <c r="R53" i="30"/>
  <c r="R94" i="30"/>
  <c r="V109" i="30"/>
  <c r="V113" i="30"/>
  <c r="R7" i="30"/>
  <c r="R8" i="30"/>
  <c r="W25" i="30"/>
  <c r="R29" i="30"/>
  <c r="V29" i="30"/>
  <c r="U30" i="30"/>
  <c r="R32" i="30"/>
  <c r="Z35" i="30"/>
  <c r="R52" i="30"/>
  <c r="V52" i="30"/>
  <c r="Y52" i="30" s="1"/>
  <c r="U53" i="30"/>
  <c r="R57" i="30"/>
  <c r="V77" i="30"/>
  <c r="R89" i="30"/>
  <c r="T91" i="30"/>
  <c r="V93" i="30"/>
  <c r="U109" i="30"/>
  <c r="Q109" i="30"/>
  <c r="T117" i="30"/>
  <c r="Q117" i="30"/>
  <c r="V118" i="30"/>
  <c r="R118" i="30"/>
  <c r="Q7" i="30"/>
  <c r="Q29" i="30"/>
  <c r="W32" i="30"/>
  <c r="Q52" i="30"/>
  <c r="Z52" i="30" s="1"/>
  <c r="V57" i="30"/>
  <c r="R77" i="30"/>
  <c r="S109" i="30"/>
  <c r="W109" i="30"/>
  <c r="S110" i="30"/>
  <c r="W110" i="30"/>
  <c r="S112" i="30"/>
  <c r="W112" i="30"/>
  <c r="V114" i="30"/>
  <c r="T118" i="30"/>
  <c r="X118" i="30"/>
  <c r="K109" i="30"/>
  <c r="R109" i="30" s="1"/>
  <c r="Z109" i="30" s="1"/>
  <c r="V6" i="30"/>
  <c r="Y6" i="30" s="1"/>
  <c r="U7" i="30"/>
  <c r="P14" i="30"/>
  <c r="X14" i="30" s="1"/>
  <c r="S29" i="30"/>
  <c r="Q30" i="30"/>
  <c r="T31" i="30"/>
  <c r="S52" i="30"/>
  <c r="Q53" i="30"/>
  <c r="Z53" i="30" s="1"/>
  <c r="U54" i="30"/>
  <c r="Q57" i="30"/>
  <c r="W57" i="30"/>
  <c r="S77" i="30"/>
  <c r="X108" i="30"/>
  <c r="T109" i="30"/>
  <c r="X109" i="30"/>
  <c r="T112" i="30"/>
  <c r="U118" i="30"/>
  <c r="V11" i="30"/>
  <c r="Y11" i="30" s="1"/>
  <c r="U48" i="30"/>
  <c r="U72" i="30"/>
  <c r="W76" i="30"/>
  <c r="U6" i="30"/>
  <c r="V7" i="30"/>
  <c r="Y7" i="30" s="1"/>
  <c r="Q10" i="30"/>
  <c r="V10" i="30"/>
  <c r="Y10" i="30" s="1"/>
  <c r="Q11" i="30"/>
  <c r="R12" i="30"/>
  <c r="Q14" i="30"/>
  <c r="Z15" i="30"/>
  <c r="Y15" i="30"/>
  <c r="AA15" i="30" s="1"/>
  <c r="S25" i="30"/>
  <c r="U26" i="30"/>
  <c r="T27" i="30"/>
  <c r="W29" i="30"/>
  <c r="Q33" i="30"/>
  <c r="V33" i="30"/>
  <c r="Y33" i="30" s="1"/>
  <c r="Q34" i="30"/>
  <c r="Q48" i="30"/>
  <c r="V48" i="30"/>
  <c r="Y48" i="30" s="1"/>
  <c r="Q49" i="30"/>
  <c r="R50" i="30"/>
  <c r="W52" i="30"/>
  <c r="S56" i="30"/>
  <c r="U57" i="30"/>
  <c r="W67" i="30"/>
  <c r="Q68" i="30"/>
  <c r="U69" i="30"/>
  <c r="U70" i="30"/>
  <c r="S71" i="30"/>
  <c r="Q72" i="30"/>
  <c r="V72" i="30"/>
  <c r="Y72" i="30" s="1"/>
  <c r="Q73" i="30"/>
  <c r="R74" i="30"/>
  <c r="W77" i="30"/>
  <c r="S88" i="30"/>
  <c r="U90" i="30"/>
  <c r="R93" i="30"/>
  <c r="W93" i="30"/>
  <c r="S96" i="30"/>
  <c r="R97" i="30"/>
  <c r="Q110" i="30"/>
  <c r="S111" i="30"/>
  <c r="W111" i="30"/>
  <c r="S115" i="30"/>
  <c r="W115" i="30"/>
  <c r="S118" i="30"/>
  <c r="W118" i="30"/>
  <c r="W97" i="30"/>
  <c r="V111" i="30"/>
  <c r="V115" i="30"/>
  <c r="R10" i="30"/>
  <c r="W10" i="30"/>
  <c r="R11" i="30"/>
  <c r="U14" i="30"/>
  <c r="U25" i="30"/>
  <c r="V26" i="30"/>
  <c r="Y26" i="30" s="1"/>
  <c r="R33" i="30"/>
  <c r="W33" i="30"/>
  <c r="R34" i="30"/>
  <c r="Y35" i="30"/>
  <c r="T47" i="30"/>
  <c r="R48" i="30"/>
  <c r="Z48" i="30" s="1"/>
  <c r="W48" i="30"/>
  <c r="R49" i="30"/>
  <c r="U56" i="30"/>
  <c r="S68" i="30"/>
  <c r="V69" i="30"/>
  <c r="Y69" i="30" s="1"/>
  <c r="R72" i="30"/>
  <c r="W72" i="30"/>
  <c r="R73" i="30"/>
  <c r="S76" i="30"/>
  <c r="S89" i="30"/>
  <c r="V90" i="30"/>
  <c r="Y90" i="30" s="1"/>
  <c r="V96" i="30"/>
  <c r="S97" i="30"/>
  <c r="K110" i="30"/>
  <c r="R110" i="30" s="1"/>
  <c r="Z110" i="30" s="1"/>
  <c r="T115" i="30"/>
  <c r="X115" i="30"/>
  <c r="X116" i="30"/>
  <c r="Y116" i="30" s="1"/>
  <c r="U10" i="30"/>
  <c r="U33" i="30"/>
  <c r="V34" i="30"/>
  <c r="Y34" i="30" s="1"/>
  <c r="V49" i="30"/>
  <c r="Y49" i="30" s="1"/>
  <c r="W68" i="30"/>
  <c r="V73" i="30"/>
  <c r="Y73" i="30" s="1"/>
  <c r="W89" i="30"/>
  <c r="R6" i="30"/>
  <c r="W6" i="30"/>
  <c r="K113" i="30"/>
  <c r="R113" i="30" s="1"/>
  <c r="S10" i="30"/>
  <c r="U11" i="30"/>
  <c r="V14" i="30"/>
  <c r="Y14" i="30" s="1"/>
  <c r="Q25" i="30"/>
  <c r="Z25" i="30" s="1"/>
  <c r="Q26" i="30"/>
  <c r="Z26" i="30" s="1"/>
  <c r="R27" i="30"/>
  <c r="R28" i="30"/>
  <c r="U29" i="30"/>
  <c r="V30" i="30"/>
  <c r="Y30" i="30" s="1"/>
  <c r="S33" i="30"/>
  <c r="U34" i="30"/>
  <c r="S48" i="30"/>
  <c r="U49" i="30"/>
  <c r="U52" i="30"/>
  <c r="V53" i="30"/>
  <c r="Y53" i="30" s="1"/>
  <c r="Q56" i="30"/>
  <c r="V56" i="30"/>
  <c r="Y56" i="30" s="1"/>
  <c r="R67" i="30"/>
  <c r="R68" i="30"/>
  <c r="V68" i="30"/>
  <c r="Q69" i="30"/>
  <c r="Z69" i="30" s="1"/>
  <c r="R70" i="30"/>
  <c r="S72" i="30"/>
  <c r="U73" i="30"/>
  <c r="V76" i="30"/>
  <c r="V89" i="30"/>
  <c r="Q90" i="30"/>
  <c r="Z90" i="30" s="1"/>
  <c r="S93" i="30"/>
  <c r="V94" i="30"/>
  <c r="Y94" i="30" s="1"/>
  <c r="R96" i="30"/>
  <c r="W96" i="30"/>
  <c r="V97" i="30"/>
  <c r="X112" i="30"/>
  <c r="S113" i="30"/>
  <c r="U114" i="30"/>
  <c r="U115" i="30"/>
  <c r="Q115" i="30"/>
  <c r="W116" i="30"/>
  <c r="X117" i="30"/>
  <c r="Q118" i="30"/>
  <c r="V9" i="30"/>
  <c r="U9" i="30"/>
  <c r="Q9" i="30"/>
  <c r="X9" i="30"/>
  <c r="F119" i="30"/>
  <c r="F20" i="30"/>
  <c r="V51" i="30"/>
  <c r="U51" i="30"/>
  <c r="Q51" i="30"/>
  <c r="X51" i="30"/>
  <c r="V55" i="30"/>
  <c r="U55" i="30"/>
  <c r="Q55" i="30"/>
  <c r="F62" i="30"/>
  <c r="S5" i="30"/>
  <c r="W8" i="30"/>
  <c r="S8" i="30"/>
  <c r="V8" i="30"/>
  <c r="S9" i="30"/>
  <c r="W12" i="30"/>
  <c r="S12" i="30"/>
  <c r="V12" i="30"/>
  <c r="S13" i="30"/>
  <c r="V28" i="30"/>
  <c r="U28" i="30"/>
  <c r="Q28" i="30"/>
  <c r="X28" i="30"/>
  <c r="W50" i="30"/>
  <c r="S50" i="30"/>
  <c r="V50" i="30"/>
  <c r="S51" i="30"/>
  <c r="X54" i="30"/>
  <c r="Q12" i="30"/>
  <c r="K117" i="30"/>
  <c r="R117" i="30" s="1"/>
  <c r="R14" i="30"/>
  <c r="W27" i="30"/>
  <c r="S27" i="30"/>
  <c r="V27" i="30"/>
  <c r="X27" i="30"/>
  <c r="S28" i="30"/>
  <c r="W31" i="30"/>
  <c r="S31" i="30"/>
  <c r="V31" i="30"/>
  <c r="X31" i="30"/>
  <c r="F40" i="30"/>
  <c r="Q50" i="30"/>
  <c r="Z50" i="30" s="1"/>
  <c r="T51" i="30"/>
  <c r="T55" i="30"/>
  <c r="W74" i="30"/>
  <c r="S74" i="30"/>
  <c r="V74" i="30"/>
  <c r="Y74" i="30" s="1"/>
  <c r="T74" i="30"/>
  <c r="Q74" i="30"/>
  <c r="Z74" i="30" s="1"/>
  <c r="V75" i="30"/>
  <c r="Y75" i="30" s="1"/>
  <c r="U75" i="30"/>
  <c r="Q75" i="30"/>
  <c r="W75" i="30"/>
  <c r="T75" i="30"/>
  <c r="G82" i="30"/>
  <c r="W95" i="30"/>
  <c r="S95" i="30"/>
  <c r="V95" i="30"/>
  <c r="T95" i="30"/>
  <c r="Q95" i="30"/>
  <c r="X95" i="30"/>
  <c r="U95" i="30"/>
  <c r="V110" i="30"/>
  <c r="V5" i="30"/>
  <c r="U5" i="30"/>
  <c r="Q5" i="30"/>
  <c r="X5" i="30"/>
  <c r="V13" i="30"/>
  <c r="U13" i="30"/>
  <c r="Q13" i="30"/>
  <c r="X13" i="30"/>
  <c r="Z30" i="30"/>
  <c r="Z34" i="30"/>
  <c r="V47" i="30"/>
  <c r="U47" i="30"/>
  <c r="Q47" i="30"/>
  <c r="X47" i="30"/>
  <c r="Z54" i="30"/>
  <c r="X55" i="30"/>
  <c r="X8" i="30"/>
  <c r="X12" i="30"/>
  <c r="Y29" i="30"/>
  <c r="V32" i="30"/>
  <c r="U32" i="30"/>
  <c r="Q32" i="30"/>
  <c r="Z32" i="30" s="1"/>
  <c r="X32" i="30"/>
  <c r="S47" i="30"/>
  <c r="X50" i="30"/>
  <c r="W54" i="30"/>
  <c r="S54" i="30"/>
  <c r="V54" i="30"/>
  <c r="S55" i="30"/>
  <c r="Y57" i="30"/>
  <c r="Q8" i="30"/>
  <c r="T9" i="30"/>
  <c r="K108" i="30"/>
  <c r="R5" i="30"/>
  <c r="W5" i="30"/>
  <c r="Z7" i="30"/>
  <c r="T8" i="30"/>
  <c r="K112" i="30"/>
  <c r="R112" i="30" s="1"/>
  <c r="R9" i="30"/>
  <c r="W9" i="30"/>
  <c r="T12" i="30"/>
  <c r="K116" i="30"/>
  <c r="R116" i="30" s="1"/>
  <c r="R13" i="30"/>
  <c r="W13" i="30"/>
  <c r="E119" i="30"/>
  <c r="Q27" i="30"/>
  <c r="Z27" i="30" s="1"/>
  <c r="T28" i="30"/>
  <c r="Q31" i="30"/>
  <c r="Z31" i="30" s="1"/>
  <c r="T32" i="30"/>
  <c r="G40" i="30"/>
  <c r="R47" i="30"/>
  <c r="W47" i="30"/>
  <c r="T50" i="30"/>
  <c r="R51" i="30"/>
  <c r="W51" i="30"/>
  <c r="T54" i="30"/>
  <c r="R55" i="30"/>
  <c r="W55" i="30"/>
  <c r="V67" i="30"/>
  <c r="Y67" i="30" s="1"/>
  <c r="U67" i="30"/>
  <c r="Q67" i="30"/>
  <c r="T67" i="30"/>
  <c r="S67" i="30"/>
  <c r="W70" i="30"/>
  <c r="S70" i="30"/>
  <c r="V70" i="30"/>
  <c r="Y70" i="30" s="1"/>
  <c r="T70" i="30"/>
  <c r="Q70" i="30"/>
  <c r="Z70" i="30" s="1"/>
  <c r="V71" i="30"/>
  <c r="Y71" i="30" s="1"/>
  <c r="U71" i="30"/>
  <c r="Q71" i="30"/>
  <c r="W71" i="30"/>
  <c r="T71" i="30"/>
  <c r="U74" i="30"/>
  <c r="S75" i="30"/>
  <c r="W108" i="30"/>
  <c r="W87" i="30"/>
  <c r="V87" i="30"/>
  <c r="Y87" i="30" s="1"/>
  <c r="T87" i="30"/>
  <c r="S87" i="30"/>
  <c r="T6" i="30"/>
  <c r="S7" i="30"/>
  <c r="W7" i="30"/>
  <c r="T10" i="30"/>
  <c r="K114" i="30"/>
  <c r="R114" i="30" s="1"/>
  <c r="S11" i="30"/>
  <c r="W11" i="30"/>
  <c r="S14" i="30"/>
  <c r="W14" i="30"/>
  <c r="G119" i="30"/>
  <c r="T25" i="30"/>
  <c r="X25" i="30"/>
  <c r="Y25" i="30" s="1"/>
  <c r="S26" i="30"/>
  <c r="W26" i="30"/>
  <c r="T29" i="30"/>
  <c r="S30" i="30"/>
  <c r="W30" i="30"/>
  <c r="T33" i="30"/>
  <c r="S34" i="30"/>
  <c r="W34" i="30"/>
  <c r="T48" i="30"/>
  <c r="S49" i="30"/>
  <c r="W49" i="30"/>
  <c r="T52" i="30"/>
  <c r="S53" i="30"/>
  <c r="W53" i="30"/>
  <c r="T56" i="30"/>
  <c r="T57" i="30"/>
  <c r="Q87" i="30"/>
  <c r="V88" i="30"/>
  <c r="Y88" i="30" s="1"/>
  <c r="U88" i="30"/>
  <c r="Q88" i="30"/>
  <c r="W88" i="30"/>
  <c r="T88" i="30"/>
  <c r="T111" i="30"/>
  <c r="U111" i="30"/>
  <c r="U112" i="30"/>
  <c r="Q112" i="30"/>
  <c r="S114" i="30"/>
  <c r="W114" i="30"/>
  <c r="Q114" i="30"/>
  <c r="T116" i="30"/>
  <c r="U117" i="30"/>
  <c r="V108" i="30"/>
  <c r="Y108" i="30" s="1"/>
  <c r="S116" i="30"/>
  <c r="T7" i="30"/>
  <c r="K111" i="30"/>
  <c r="R111" i="30" s="1"/>
  <c r="T11" i="30"/>
  <c r="K115" i="30"/>
  <c r="R115" i="30" s="1"/>
  <c r="T14" i="30"/>
  <c r="G20" i="30"/>
  <c r="T26" i="30"/>
  <c r="T30" i="30"/>
  <c r="T34" i="30"/>
  <c r="E62" i="30"/>
  <c r="E108" i="30"/>
  <c r="T49" i="30"/>
  <c r="T53" i="30"/>
  <c r="R71" i="30"/>
  <c r="R75" i="30"/>
  <c r="U87" i="30"/>
  <c r="R95" i="30"/>
  <c r="S108" i="30"/>
  <c r="U110" i="30"/>
  <c r="Q111" i="30"/>
  <c r="T114" i="30"/>
  <c r="X114" i="30"/>
  <c r="Y114" i="30" s="1"/>
  <c r="V117" i="30"/>
  <c r="T68" i="30"/>
  <c r="X68" i="30"/>
  <c r="S69" i="30"/>
  <c r="W69" i="30"/>
  <c r="T72" i="30"/>
  <c r="S73" i="30"/>
  <c r="W73" i="30"/>
  <c r="T76" i="30"/>
  <c r="X76" i="30"/>
  <c r="T77" i="30"/>
  <c r="X77" i="30"/>
  <c r="Y77" i="30" s="1"/>
  <c r="R91" i="30"/>
  <c r="V92" i="30"/>
  <c r="U92" i="30"/>
  <c r="Q92" i="30"/>
  <c r="Z92" i="30" s="1"/>
  <c r="X92" i="30"/>
  <c r="I123" i="30"/>
  <c r="V112" i="30"/>
  <c r="T113" i="30"/>
  <c r="X113" i="30"/>
  <c r="T69" i="30"/>
  <c r="T73" i="30"/>
  <c r="Q76" i="30"/>
  <c r="Z76" i="30" s="1"/>
  <c r="Q77" i="30"/>
  <c r="R87" i="30"/>
  <c r="R88" i="30"/>
  <c r="W91" i="30"/>
  <c r="S91" i="30"/>
  <c r="V91" i="30"/>
  <c r="X91" i="30"/>
  <c r="U108" i="30"/>
  <c r="Q108" i="30"/>
  <c r="T110" i="30"/>
  <c r="X110" i="30"/>
  <c r="U113" i="30"/>
  <c r="Q113" i="30"/>
  <c r="U116" i="30"/>
  <c r="Q116" i="30"/>
  <c r="H117" i="30"/>
  <c r="W117" i="30" s="1"/>
  <c r="T89" i="30"/>
  <c r="X89" i="30"/>
  <c r="Y89" i="30" s="1"/>
  <c r="S90" i="30"/>
  <c r="W90" i="30"/>
  <c r="T93" i="30"/>
  <c r="X93" i="30"/>
  <c r="S94" i="30"/>
  <c r="W94" i="30"/>
  <c r="T96" i="30"/>
  <c r="X96" i="30"/>
  <c r="T97" i="30"/>
  <c r="X97" i="30"/>
  <c r="Q89" i="30"/>
  <c r="T90" i="30"/>
  <c r="Q93" i="30"/>
  <c r="Z93" i="30" s="1"/>
  <c r="T94" i="30"/>
  <c r="Q96" i="30"/>
  <c r="Q97" i="30"/>
  <c r="Z97" i="30" l="1"/>
  <c r="Y111" i="30"/>
  <c r="Z56" i="30"/>
  <c r="Z6" i="30"/>
  <c r="AA6" i="30" s="1"/>
  <c r="Z89" i="30"/>
  <c r="Z28" i="30"/>
  <c r="Z72" i="30"/>
  <c r="Z11" i="30"/>
  <c r="AA11" i="30" s="1"/>
  <c r="AA35" i="30"/>
  <c r="Z94" i="30"/>
  <c r="AA94" i="30" s="1"/>
  <c r="Z8" i="30"/>
  <c r="Z118" i="30"/>
  <c r="Z77" i="30"/>
  <c r="Y112" i="30"/>
  <c r="Y76" i="30"/>
  <c r="Z57" i="30"/>
  <c r="AA57" i="30" s="1"/>
  <c r="Y93" i="30"/>
  <c r="AA93" i="30" s="1"/>
  <c r="AA52" i="30"/>
  <c r="Z12" i="30"/>
  <c r="Y54" i="30"/>
  <c r="AA54" i="30" s="1"/>
  <c r="Y27" i="30"/>
  <c r="AA27" i="30" s="1"/>
  <c r="Z68" i="30"/>
  <c r="Y68" i="30"/>
  <c r="Y50" i="30"/>
  <c r="AA50" i="30" s="1"/>
  <c r="AA90" i="30"/>
  <c r="Y113" i="30"/>
  <c r="Y117" i="30"/>
  <c r="AA53" i="30"/>
  <c r="AA48" i="30"/>
  <c r="Z67" i="30"/>
  <c r="AA67" i="30" s="1"/>
  <c r="Y51" i="30"/>
  <c r="Y97" i="30"/>
  <c r="AA97" i="30" s="1"/>
  <c r="Z73" i="30"/>
  <c r="AA73" i="30" s="1"/>
  <c r="Z49" i="30"/>
  <c r="AA49" i="30" s="1"/>
  <c r="Z10" i="30"/>
  <c r="AA10" i="30" s="1"/>
  <c r="Y118" i="30"/>
  <c r="Y96" i="30"/>
  <c r="AA96" i="30" s="1"/>
  <c r="AA56" i="30"/>
  <c r="Y115" i="30"/>
  <c r="Z29" i="30"/>
  <c r="AA29" i="30" s="1"/>
  <c r="Z96" i="30"/>
  <c r="Z113" i="30"/>
  <c r="Y5" i="30"/>
  <c r="Z33" i="30"/>
  <c r="Y109" i="30"/>
  <c r="AA109" i="30" s="1"/>
  <c r="AA26" i="30"/>
  <c r="Y92" i="30"/>
  <c r="AA92" i="30" s="1"/>
  <c r="AA30" i="30"/>
  <c r="AA70" i="30"/>
  <c r="AA34" i="30"/>
  <c r="Y110" i="30"/>
  <c r="AA110" i="30" s="1"/>
  <c r="AA89" i="30"/>
  <c r="AA69" i="30"/>
  <c r="AA7" i="30"/>
  <c r="AA74" i="30"/>
  <c r="AA72" i="30"/>
  <c r="Y28" i="30"/>
  <c r="Y9" i="30"/>
  <c r="G123" i="30"/>
  <c r="AA76" i="30"/>
  <c r="Z88" i="30"/>
  <c r="AA88" i="30" s="1"/>
  <c r="Z115" i="30"/>
  <c r="Z51" i="30"/>
  <c r="Z87" i="30"/>
  <c r="AA87" i="30" s="1"/>
  <c r="F123" i="30"/>
  <c r="Z71" i="30"/>
  <c r="AA71" i="30" s="1"/>
  <c r="Z47" i="30"/>
  <c r="Z116" i="30"/>
  <c r="AA116" i="30" s="1"/>
  <c r="Z117" i="30"/>
  <c r="Y12" i="30"/>
  <c r="AA12" i="30" s="1"/>
  <c r="Y55" i="30"/>
  <c r="AA77" i="30"/>
  <c r="Z95" i="30"/>
  <c r="Z75" i="30"/>
  <c r="AA75" i="30" s="1"/>
  <c r="Z111" i="30"/>
  <c r="AA111" i="30" s="1"/>
  <c r="AA25" i="30"/>
  <c r="Z114" i="30"/>
  <c r="AA114" i="30" s="1"/>
  <c r="Z9" i="30"/>
  <c r="R108" i="30"/>
  <c r="Y13" i="30"/>
  <c r="Y31" i="30"/>
  <c r="AA31" i="30" s="1"/>
  <c r="E123" i="30"/>
  <c r="T108" i="30"/>
  <c r="Z13" i="30"/>
  <c r="AA13" i="30" s="1"/>
  <c r="Z5" i="30"/>
  <c r="Z14" i="30"/>
  <c r="AA14" i="30" s="1"/>
  <c r="Y91" i="30"/>
  <c r="Y8" i="30"/>
  <c r="AA8" i="30" s="1"/>
  <c r="Z91" i="30"/>
  <c r="AA33" i="30"/>
  <c r="Z55" i="30"/>
  <c r="AA55" i="30" s="1"/>
  <c r="Z112" i="30"/>
  <c r="Y32" i="30"/>
  <c r="AA32" i="30" s="1"/>
  <c r="Y47" i="30"/>
  <c r="Y95" i="30"/>
  <c r="AA95" i="30" s="1"/>
  <c r="AA68" i="30" l="1"/>
  <c r="AA115" i="30"/>
  <c r="AA5" i="30"/>
  <c r="AA117" i="30"/>
  <c r="AA112" i="30"/>
  <c r="AA28" i="30"/>
  <c r="AA118" i="30"/>
  <c r="AA47" i="30"/>
  <c r="AA113" i="30"/>
  <c r="AA51" i="30"/>
  <c r="AA9" i="30"/>
  <c r="AA91" i="30"/>
  <c r="Z108" i="30"/>
  <c r="AA108" i="30" s="1"/>
  <c r="AI136" i="3" l="1"/>
  <c r="F53" i="38" s="1"/>
  <c r="G53" i="38" l="1"/>
  <c r="G62" i="38" s="1"/>
  <c r="F62" i="38"/>
  <c r="AC6" i="21"/>
  <c r="AE6" i="21" s="1"/>
  <c r="G32" i="20" l="1"/>
  <c r="G34" i="17"/>
  <c r="C23" i="28"/>
  <c r="F6" i="25" l="1"/>
  <c r="F5" i="25"/>
  <c r="L21" i="21" l="1"/>
  <c r="L22" i="21" s="1"/>
  <c r="X41" i="21" l="1"/>
  <c r="V41" i="21"/>
  <c r="U41" i="21"/>
  <c r="T41" i="21"/>
  <c r="W41" i="21"/>
  <c r="AB41" i="21"/>
  <c r="AA41" i="21"/>
  <c r="AC41" i="21"/>
  <c r="AE41" i="21"/>
  <c r="AD41" i="21"/>
  <c r="AI41" i="21"/>
  <c r="AH41" i="21"/>
  <c r="AJ41" i="21"/>
  <c r="AL41" i="21"/>
  <c r="AK41" i="21"/>
  <c r="H41" i="21" l="1"/>
  <c r="I41" i="21"/>
  <c r="G41" i="21"/>
  <c r="F41" i="21"/>
  <c r="D56" i="15" l="1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W56" i="15"/>
  <c r="X56" i="15"/>
  <c r="Y56" i="15"/>
  <c r="Z56" i="15"/>
  <c r="AA56" i="15"/>
  <c r="AB56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W57" i="15"/>
  <c r="X57" i="15"/>
  <c r="Y57" i="15"/>
  <c r="Z57" i="15"/>
  <c r="AA57" i="15"/>
  <c r="AB57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W58" i="15"/>
  <c r="X58" i="15"/>
  <c r="Y58" i="15"/>
  <c r="Z58" i="15"/>
  <c r="AA58" i="15"/>
  <c r="AB58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W59" i="15"/>
  <c r="X59" i="15"/>
  <c r="Y59" i="15"/>
  <c r="Z59" i="15"/>
  <c r="AA59" i="15"/>
  <c r="AB59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W60" i="15"/>
  <c r="X60" i="15"/>
  <c r="Y60" i="15"/>
  <c r="Z60" i="15"/>
  <c r="AA60" i="15"/>
  <c r="AB60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W61" i="15"/>
  <c r="X61" i="15"/>
  <c r="Y61" i="15"/>
  <c r="Z61" i="15"/>
  <c r="AA61" i="15"/>
  <c r="AB61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W62" i="15"/>
  <c r="X62" i="15"/>
  <c r="Y62" i="15"/>
  <c r="Z62" i="15"/>
  <c r="AA62" i="15"/>
  <c r="AB62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W63" i="15"/>
  <c r="X63" i="15"/>
  <c r="Y63" i="15"/>
  <c r="Z63" i="15"/>
  <c r="AA63" i="15"/>
  <c r="AB63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W64" i="15"/>
  <c r="X64" i="15"/>
  <c r="Y64" i="15"/>
  <c r="Z64" i="15"/>
  <c r="AA64" i="15"/>
  <c r="AB64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W65" i="15"/>
  <c r="X65" i="15"/>
  <c r="Y65" i="15"/>
  <c r="Z65" i="15"/>
  <c r="AA65" i="15"/>
  <c r="AB65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W66" i="15"/>
  <c r="X66" i="15"/>
  <c r="Y66" i="15"/>
  <c r="Z66" i="15"/>
  <c r="AA66" i="15"/>
  <c r="AB66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W67" i="15"/>
  <c r="X67" i="15"/>
  <c r="Y67" i="15"/>
  <c r="Z67" i="15"/>
  <c r="AA67" i="15"/>
  <c r="AB67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W68" i="15"/>
  <c r="X68" i="15"/>
  <c r="Y68" i="15"/>
  <c r="Z68" i="15"/>
  <c r="AA68" i="15"/>
  <c r="AB68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W69" i="15"/>
  <c r="X69" i="15"/>
  <c r="Y69" i="15"/>
  <c r="Z69" i="15"/>
  <c r="AA69" i="15"/>
  <c r="AB69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W70" i="15"/>
  <c r="X70" i="15"/>
  <c r="Y70" i="15"/>
  <c r="Z70" i="15"/>
  <c r="AA70" i="15"/>
  <c r="AB70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W71" i="15"/>
  <c r="X71" i="15"/>
  <c r="Y71" i="15"/>
  <c r="Z71" i="15"/>
  <c r="AA71" i="15"/>
  <c r="AB71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W72" i="15"/>
  <c r="X72" i="15"/>
  <c r="Y72" i="15"/>
  <c r="Z72" i="15"/>
  <c r="AA72" i="15"/>
  <c r="AB72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W73" i="15"/>
  <c r="X73" i="15"/>
  <c r="Y73" i="15"/>
  <c r="Z73" i="15"/>
  <c r="AA73" i="15"/>
  <c r="AB73" i="15"/>
  <c r="G42" i="21" l="1"/>
  <c r="F42" i="21"/>
  <c r="I42" i="21"/>
  <c r="H42" i="21"/>
  <c r="G41" i="17"/>
  <c r="H41" i="17" s="1"/>
  <c r="V40" i="17"/>
  <c r="W40" i="17"/>
  <c r="H42" i="17"/>
  <c r="G37" i="20"/>
  <c r="G38" i="20" s="1"/>
  <c r="H40" i="17" l="1"/>
  <c r="J40" i="17" s="1"/>
  <c r="E198" i="3" l="1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F121" i="15" l="1"/>
  <c r="G121" i="15"/>
  <c r="H121" i="15"/>
  <c r="I121" i="15"/>
  <c r="J121" i="15"/>
  <c r="K121" i="15"/>
  <c r="L121" i="15"/>
  <c r="M121" i="15"/>
  <c r="N121" i="15"/>
  <c r="O121" i="15"/>
  <c r="P121" i="15"/>
  <c r="Q121" i="15"/>
  <c r="R121" i="15"/>
  <c r="S121" i="15"/>
  <c r="T121" i="15"/>
  <c r="U121" i="15"/>
  <c r="V121" i="15"/>
  <c r="W121" i="15"/>
  <c r="X121" i="15"/>
  <c r="Y121" i="15"/>
  <c r="Z121" i="15"/>
  <c r="AA121" i="15"/>
  <c r="AB121" i="15"/>
  <c r="AC121" i="15"/>
  <c r="AD121" i="15"/>
  <c r="AE121" i="15"/>
  <c r="AF121" i="15"/>
  <c r="AG121" i="15"/>
  <c r="AH121" i="15"/>
  <c r="F122" i="15"/>
  <c r="G122" i="15"/>
  <c r="H122" i="15"/>
  <c r="I122" i="15"/>
  <c r="J122" i="15"/>
  <c r="K122" i="15"/>
  <c r="L122" i="15"/>
  <c r="M122" i="15"/>
  <c r="N122" i="15"/>
  <c r="O122" i="15"/>
  <c r="P122" i="15"/>
  <c r="Q122" i="15"/>
  <c r="R122" i="15"/>
  <c r="S122" i="15"/>
  <c r="T122" i="15"/>
  <c r="U122" i="15"/>
  <c r="V122" i="15"/>
  <c r="W122" i="15"/>
  <c r="X122" i="15"/>
  <c r="Y122" i="15"/>
  <c r="Z122" i="15"/>
  <c r="AA122" i="15"/>
  <c r="AB122" i="15"/>
  <c r="AC122" i="15"/>
  <c r="AD122" i="15"/>
  <c r="AE122" i="15"/>
  <c r="AF122" i="15"/>
  <c r="AG122" i="15"/>
  <c r="AH122" i="15"/>
  <c r="F123" i="15"/>
  <c r="G123" i="15"/>
  <c r="H123" i="15"/>
  <c r="I123" i="15"/>
  <c r="J123" i="15"/>
  <c r="K123" i="15"/>
  <c r="L123" i="15"/>
  <c r="M123" i="15"/>
  <c r="N123" i="15"/>
  <c r="O123" i="15"/>
  <c r="P123" i="15"/>
  <c r="Q123" i="15"/>
  <c r="R123" i="15"/>
  <c r="S123" i="15"/>
  <c r="T123" i="15"/>
  <c r="U123" i="15"/>
  <c r="V123" i="15"/>
  <c r="W123" i="15"/>
  <c r="X123" i="15"/>
  <c r="Y123" i="15"/>
  <c r="Z123" i="15"/>
  <c r="AA123" i="15"/>
  <c r="AB123" i="15"/>
  <c r="AC123" i="15"/>
  <c r="AD123" i="15"/>
  <c r="AE123" i="15"/>
  <c r="AF123" i="15"/>
  <c r="AG123" i="15"/>
  <c r="AH123" i="15"/>
  <c r="F124" i="15"/>
  <c r="G124" i="15"/>
  <c r="H124" i="15"/>
  <c r="I124" i="15"/>
  <c r="J124" i="15"/>
  <c r="K124" i="15"/>
  <c r="L124" i="15"/>
  <c r="M124" i="15"/>
  <c r="N124" i="15"/>
  <c r="O124" i="15"/>
  <c r="P124" i="15"/>
  <c r="Q124" i="15"/>
  <c r="R124" i="15"/>
  <c r="S124" i="15"/>
  <c r="T124" i="15"/>
  <c r="U124" i="15"/>
  <c r="V124" i="15"/>
  <c r="W124" i="15"/>
  <c r="X124" i="15"/>
  <c r="Y124" i="15"/>
  <c r="Z124" i="15"/>
  <c r="AA124" i="15"/>
  <c r="AB124" i="15"/>
  <c r="AC124" i="15"/>
  <c r="AD124" i="15"/>
  <c r="AE124" i="15"/>
  <c r="AF124" i="15"/>
  <c r="AG124" i="15"/>
  <c r="AH124" i="15"/>
  <c r="F125" i="15"/>
  <c r="G125" i="15"/>
  <c r="H125" i="15"/>
  <c r="I125" i="15"/>
  <c r="J125" i="15"/>
  <c r="K125" i="15"/>
  <c r="L125" i="15"/>
  <c r="M125" i="15"/>
  <c r="N125" i="15"/>
  <c r="O125" i="15"/>
  <c r="P125" i="15"/>
  <c r="Q125" i="15"/>
  <c r="R125" i="15"/>
  <c r="S125" i="15"/>
  <c r="T125" i="15"/>
  <c r="U125" i="15"/>
  <c r="V125" i="15"/>
  <c r="W125" i="15"/>
  <c r="X125" i="15"/>
  <c r="Y125" i="15"/>
  <c r="Z125" i="15"/>
  <c r="AA125" i="15"/>
  <c r="AB125" i="15"/>
  <c r="AC125" i="15"/>
  <c r="AD125" i="15"/>
  <c r="AE125" i="15"/>
  <c r="AF125" i="15"/>
  <c r="AG125" i="15"/>
  <c r="AH125" i="15"/>
  <c r="F126" i="15"/>
  <c r="G126" i="15"/>
  <c r="H126" i="15"/>
  <c r="I126" i="15"/>
  <c r="J126" i="15"/>
  <c r="K126" i="15"/>
  <c r="L126" i="15"/>
  <c r="M126" i="15"/>
  <c r="N126" i="15"/>
  <c r="O126" i="15"/>
  <c r="P126" i="15"/>
  <c r="Q126" i="15"/>
  <c r="R126" i="15"/>
  <c r="S126" i="15"/>
  <c r="T126" i="15"/>
  <c r="U126" i="15"/>
  <c r="V126" i="15"/>
  <c r="W126" i="15"/>
  <c r="X126" i="15"/>
  <c r="Y126" i="15"/>
  <c r="Z126" i="15"/>
  <c r="AA126" i="15"/>
  <c r="AB126" i="15"/>
  <c r="AC126" i="15"/>
  <c r="AD126" i="15"/>
  <c r="AE126" i="15"/>
  <c r="AF126" i="15"/>
  <c r="AG126" i="15"/>
  <c r="AH126" i="15"/>
  <c r="Y127" i="15"/>
  <c r="Z127" i="15"/>
  <c r="AA127" i="15"/>
  <c r="AB127" i="15"/>
  <c r="AC127" i="15"/>
  <c r="AD127" i="15"/>
  <c r="AE127" i="15"/>
  <c r="AF127" i="15"/>
  <c r="AG127" i="15"/>
  <c r="AH127" i="15"/>
  <c r="E121" i="15"/>
  <c r="E122" i="15"/>
  <c r="E123" i="15"/>
  <c r="E124" i="15"/>
  <c r="E125" i="15"/>
  <c r="E126" i="15"/>
  <c r="D122" i="15"/>
  <c r="D123" i="15"/>
  <c r="D125" i="15"/>
  <c r="D126" i="15"/>
  <c r="D121" i="15"/>
  <c r="AI123" i="15" l="1"/>
  <c r="AI122" i="15"/>
  <c r="AI121" i="15"/>
  <c r="AI125" i="15"/>
  <c r="I40" i="21" l="1"/>
  <c r="I43" i="21" s="1"/>
  <c r="E15" i="21"/>
  <c r="G40" i="21" s="1"/>
  <c r="E17" i="21"/>
  <c r="H40" i="21" s="1"/>
  <c r="H43" i="21" s="1"/>
  <c r="E8" i="32"/>
  <c r="F8" i="32"/>
  <c r="G8" i="32"/>
  <c r="H8" i="32"/>
  <c r="I8" i="32"/>
  <c r="J8" i="32"/>
  <c r="K8" i="32"/>
  <c r="L8" i="32"/>
  <c r="M8" i="32"/>
  <c r="N8" i="32"/>
  <c r="O8" i="32"/>
  <c r="P8" i="32"/>
  <c r="Q8" i="32"/>
  <c r="R8" i="32"/>
  <c r="S8" i="32"/>
  <c r="T8" i="32"/>
  <c r="U8" i="32"/>
  <c r="V8" i="32"/>
  <c r="W8" i="32"/>
  <c r="X8" i="32"/>
  <c r="Y8" i="32"/>
  <c r="Z8" i="32"/>
  <c r="AA8" i="32"/>
  <c r="AB8" i="32"/>
  <c r="AC8" i="32"/>
  <c r="AD8" i="32"/>
  <c r="AE8" i="32"/>
  <c r="AF8" i="32"/>
  <c r="AG8" i="32"/>
  <c r="AH8" i="32"/>
  <c r="D8" i="32"/>
  <c r="AI9" i="32"/>
  <c r="G43" i="21" l="1"/>
  <c r="G44" i="21" s="1"/>
  <c r="G38" i="21" s="1"/>
  <c r="H44" i="21"/>
  <c r="H38" i="21" s="1"/>
  <c r="I44" i="21"/>
  <c r="I38" i="21" s="1"/>
  <c r="AI8" i="32"/>
  <c r="AI183" i="3" l="1"/>
  <c r="AG21" i="21" l="1"/>
  <c r="Z21" i="21"/>
  <c r="S21" i="21"/>
  <c r="E21" i="21"/>
  <c r="E22" i="21" s="1"/>
  <c r="AP21" i="21"/>
  <c r="AG17" i="21"/>
  <c r="AG18" i="21" s="1"/>
  <c r="S17" i="21"/>
  <c r="L17" i="21"/>
  <c r="G17" i="21"/>
  <c r="I18" i="21"/>
  <c r="G18" i="21"/>
  <c r="E18" i="21"/>
  <c r="J40" i="21" l="1"/>
  <c r="J43" i="21" s="1"/>
  <c r="J44" i="21" s="1"/>
  <c r="J38" i="21" s="1"/>
  <c r="AJ40" i="21"/>
  <c r="AJ43" i="21" s="1"/>
  <c r="Z22" i="21"/>
  <c r="AE40" i="21"/>
  <c r="AE43" i="21" s="1"/>
  <c r="Z18" i="21"/>
  <c r="AC40" i="21"/>
  <c r="AC43" i="21" s="1"/>
  <c r="AG22" i="21"/>
  <c r="AL40" i="21"/>
  <c r="AL43" i="21" s="1"/>
  <c r="S18" i="21"/>
  <c r="V40" i="21"/>
  <c r="V43" i="21" s="1"/>
  <c r="Q40" i="21"/>
  <c r="L18" i="21"/>
  <c r="O40" i="21"/>
  <c r="S22" i="21"/>
  <c r="X40" i="21"/>
  <c r="X43" i="21" s="1"/>
  <c r="E9" i="21"/>
  <c r="G10" i="21"/>
  <c r="W18" i="27"/>
  <c r="D18" i="27" s="1"/>
  <c r="V18" i="27"/>
  <c r="C18" i="27" s="1"/>
  <c r="W17" i="27"/>
  <c r="D17" i="27" s="1"/>
  <c r="V17" i="27"/>
  <c r="W16" i="27"/>
  <c r="D16" i="27" s="1"/>
  <c r="V16" i="27"/>
  <c r="C16" i="27" s="1"/>
  <c r="W15" i="27"/>
  <c r="D15" i="27" s="1"/>
  <c r="V15" i="27"/>
  <c r="C15" i="27" s="1"/>
  <c r="W14" i="27"/>
  <c r="D14" i="27" s="1"/>
  <c r="V14" i="27"/>
  <c r="C14" i="27" s="1"/>
  <c r="W13" i="27"/>
  <c r="D13" i="27" s="1"/>
  <c r="V13" i="27"/>
  <c r="C13" i="27" s="1"/>
  <c r="W12" i="27"/>
  <c r="D12" i="27" s="1"/>
  <c r="V12" i="27"/>
  <c r="C12" i="27" s="1"/>
  <c r="W11" i="27"/>
  <c r="D11" i="27" s="1"/>
  <c r="D23" i="27" s="1"/>
  <c r="V11" i="27"/>
  <c r="C11" i="27" s="1"/>
  <c r="W10" i="27"/>
  <c r="D10" i="27" s="1"/>
  <c r="V10" i="27"/>
  <c r="C10" i="27" s="1"/>
  <c r="W9" i="27"/>
  <c r="D9" i="27" s="1"/>
  <c r="V9" i="27"/>
  <c r="C9" i="27" s="1"/>
  <c r="W8" i="27"/>
  <c r="V8" i="27"/>
  <c r="C8" i="27" s="1"/>
  <c r="W7" i="27"/>
  <c r="D7" i="27" s="1"/>
  <c r="V7" i="27"/>
  <c r="C7" i="27" s="1"/>
  <c r="D8" i="27"/>
  <c r="C17" i="27"/>
  <c r="W18" i="20"/>
  <c r="V18" i="20"/>
  <c r="W17" i="20"/>
  <c r="V17" i="20"/>
  <c r="W16" i="20"/>
  <c r="V16" i="20"/>
  <c r="W15" i="20"/>
  <c r="V15" i="20"/>
  <c r="W14" i="20"/>
  <c r="V14" i="20"/>
  <c r="W13" i="20"/>
  <c r="V13" i="20"/>
  <c r="W12" i="20"/>
  <c r="V12" i="20"/>
  <c r="W11" i="20"/>
  <c r="V11" i="20"/>
  <c r="W10" i="20"/>
  <c r="V10" i="20"/>
  <c r="W9" i="20"/>
  <c r="V9" i="20"/>
  <c r="W8" i="20"/>
  <c r="V8" i="20"/>
  <c r="W7" i="20"/>
  <c r="V7" i="20"/>
  <c r="Y18" i="19"/>
  <c r="X18" i="19"/>
  <c r="Y17" i="19"/>
  <c r="X17" i="19"/>
  <c r="Y16" i="19"/>
  <c r="X16" i="19"/>
  <c r="Y15" i="19"/>
  <c r="X15" i="19"/>
  <c r="Y14" i="19"/>
  <c r="X14" i="19"/>
  <c r="Y13" i="19"/>
  <c r="X13" i="19"/>
  <c r="Y12" i="19"/>
  <c r="X12" i="19"/>
  <c r="Y11" i="19"/>
  <c r="D11" i="19" s="1"/>
  <c r="X11" i="19"/>
  <c r="Y10" i="19"/>
  <c r="X10" i="19"/>
  <c r="Y9" i="19"/>
  <c r="X9" i="19"/>
  <c r="Y8" i="19"/>
  <c r="X8" i="19"/>
  <c r="Y7" i="19"/>
  <c r="X7" i="19"/>
  <c r="W18" i="17"/>
  <c r="V18" i="17"/>
  <c r="W17" i="17"/>
  <c r="V17" i="17"/>
  <c r="W16" i="17"/>
  <c r="V16" i="17"/>
  <c r="W15" i="17"/>
  <c r="V15" i="17"/>
  <c r="W14" i="17"/>
  <c r="V14" i="17"/>
  <c r="W13" i="17"/>
  <c r="V13" i="17"/>
  <c r="W12" i="17"/>
  <c r="V12" i="17"/>
  <c r="W11" i="17"/>
  <c r="D11" i="17" s="1"/>
  <c r="V11" i="17"/>
  <c r="W10" i="17"/>
  <c r="V10" i="17"/>
  <c r="W9" i="17"/>
  <c r="D9" i="17" s="1"/>
  <c r="V9" i="17"/>
  <c r="W8" i="17"/>
  <c r="V8" i="17"/>
  <c r="W7" i="17"/>
  <c r="V7" i="17"/>
  <c r="W18" i="18"/>
  <c r="V18" i="18"/>
  <c r="W17" i="18"/>
  <c r="V17" i="18"/>
  <c r="W16" i="18"/>
  <c r="V16" i="18"/>
  <c r="W15" i="18"/>
  <c r="V15" i="18"/>
  <c r="W14" i="18"/>
  <c r="V14" i="18"/>
  <c r="W13" i="18"/>
  <c r="V13" i="18"/>
  <c r="W12" i="18"/>
  <c r="V12" i="18"/>
  <c r="W11" i="18"/>
  <c r="D11" i="18" s="1"/>
  <c r="V11" i="18"/>
  <c r="W10" i="18"/>
  <c r="V10" i="18"/>
  <c r="W9" i="18"/>
  <c r="V9" i="18"/>
  <c r="W8" i="18"/>
  <c r="V8" i="18"/>
  <c r="W7" i="18"/>
  <c r="V7" i="18"/>
  <c r="W10" i="21" l="1"/>
  <c r="D41" i="27"/>
  <c r="D49" i="19"/>
  <c r="G8" i="21"/>
  <c r="D29" i="27"/>
  <c r="D19" i="27"/>
  <c r="Y51" i="15"/>
  <c r="Z51" i="15"/>
  <c r="P10" i="21" l="1"/>
  <c r="AK10" i="21"/>
  <c r="G16" i="21"/>
  <c r="E16" i="21"/>
  <c r="C30" i="28" l="1"/>
  <c r="H24" i="28"/>
  <c r="I24" i="28" s="1"/>
  <c r="K24" i="28" s="1"/>
  <c r="W57" i="28"/>
  <c r="C36" i="28"/>
  <c r="C37" i="28" s="1"/>
  <c r="D24" i="28"/>
  <c r="D29" i="28" s="1"/>
  <c r="E36" i="28"/>
  <c r="F36" i="28"/>
  <c r="G24" i="28"/>
  <c r="G29" i="28" s="1"/>
  <c r="H29" i="28"/>
  <c r="I29" i="28" s="1"/>
  <c r="K29" i="28" s="1"/>
  <c r="I7" i="28"/>
  <c r="K7" i="28" s="1"/>
  <c r="L7" i="28" s="1"/>
  <c r="I8" i="28"/>
  <c r="I9" i="28"/>
  <c r="I10" i="28"/>
  <c r="K10" i="28" s="1"/>
  <c r="N10" i="28" s="1"/>
  <c r="T10" i="28" s="1"/>
  <c r="I11" i="28"/>
  <c r="K11" i="28" s="1"/>
  <c r="I12" i="28"/>
  <c r="K12" i="28" s="1"/>
  <c r="N12" i="28" s="1"/>
  <c r="T12" i="28" s="1"/>
  <c r="I13" i="28"/>
  <c r="K13" i="28" s="1"/>
  <c r="L13" i="28" s="1"/>
  <c r="I14" i="28"/>
  <c r="K14" i="28" s="1"/>
  <c r="L14" i="28" s="1"/>
  <c r="I15" i="28"/>
  <c r="K15" i="28" s="1"/>
  <c r="N15" i="28" s="1"/>
  <c r="T15" i="28" s="1"/>
  <c r="I16" i="28"/>
  <c r="K16" i="28" s="1"/>
  <c r="N16" i="28" s="1"/>
  <c r="T16" i="28" s="1"/>
  <c r="I17" i="28"/>
  <c r="K17" i="28" s="1"/>
  <c r="I18" i="28"/>
  <c r="K18" i="28" s="1"/>
  <c r="N18" i="28" s="1"/>
  <c r="T18" i="28" s="1"/>
  <c r="C19" i="28"/>
  <c r="E19" i="28"/>
  <c r="F19" i="28"/>
  <c r="G19" i="28"/>
  <c r="H19" i="28"/>
  <c r="J19" i="28"/>
  <c r="Q32" i="28"/>
  <c r="H36" i="28"/>
  <c r="I36" i="28" s="1"/>
  <c r="K36" i="28" s="1"/>
  <c r="B47" i="28"/>
  <c r="C47" i="28"/>
  <c r="D47" i="28"/>
  <c r="E47" i="28"/>
  <c r="F47" i="28"/>
  <c r="G47" i="28"/>
  <c r="I47" i="28"/>
  <c r="K47" i="28" s="1"/>
  <c r="B48" i="28"/>
  <c r="C48" i="28"/>
  <c r="D48" i="28"/>
  <c r="E48" i="28"/>
  <c r="F48" i="28"/>
  <c r="G48" i="28"/>
  <c r="I48" i="28"/>
  <c r="K48" i="28" s="1"/>
  <c r="B49" i="28"/>
  <c r="C49" i="28"/>
  <c r="E49" i="28"/>
  <c r="F49" i="28"/>
  <c r="G49" i="28"/>
  <c r="I49" i="28"/>
  <c r="K49" i="28" s="1"/>
  <c r="B50" i="28"/>
  <c r="C50" i="28"/>
  <c r="D50" i="28"/>
  <c r="E50" i="28"/>
  <c r="F50" i="28"/>
  <c r="G50" i="28"/>
  <c r="I50" i="28"/>
  <c r="K50" i="28" s="1"/>
  <c r="B51" i="28"/>
  <c r="C51" i="28"/>
  <c r="D51" i="28"/>
  <c r="E51" i="28"/>
  <c r="F51" i="28"/>
  <c r="G51" i="28"/>
  <c r="I51" i="28"/>
  <c r="K51" i="28" s="1"/>
  <c r="B52" i="28"/>
  <c r="C52" i="28"/>
  <c r="D52" i="28"/>
  <c r="E52" i="28"/>
  <c r="F52" i="28"/>
  <c r="G52" i="28"/>
  <c r="I52" i="28"/>
  <c r="K52" i="28" s="1"/>
  <c r="B53" i="28"/>
  <c r="C53" i="28"/>
  <c r="D53" i="28"/>
  <c r="E53" i="28"/>
  <c r="F53" i="28"/>
  <c r="G53" i="28"/>
  <c r="I53" i="28"/>
  <c r="K53" i="28" s="1"/>
  <c r="B54" i="28"/>
  <c r="C54" i="28"/>
  <c r="D54" i="28"/>
  <c r="E54" i="28"/>
  <c r="F54" i="28"/>
  <c r="G54" i="28"/>
  <c r="I54" i="28"/>
  <c r="K54" i="28" s="1"/>
  <c r="B55" i="28"/>
  <c r="C55" i="28"/>
  <c r="D55" i="28"/>
  <c r="E55" i="28"/>
  <c r="F55" i="28"/>
  <c r="G55" i="28"/>
  <c r="I55" i="28"/>
  <c r="K55" i="28" s="1"/>
  <c r="B56" i="28"/>
  <c r="C56" i="28"/>
  <c r="D56" i="28"/>
  <c r="E56" i="28"/>
  <c r="F56" i="28"/>
  <c r="G56" i="28"/>
  <c r="I56" i="28"/>
  <c r="K56" i="28" s="1"/>
  <c r="H58" i="28"/>
  <c r="I58" i="28" s="1"/>
  <c r="K58" i="28" s="1"/>
  <c r="N58" i="28" s="1"/>
  <c r="T58" i="28" s="1"/>
  <c r="H59" i="28"/>
  <c r="I59" i="28" s="1"/>
  <c r="K59" i="28" s="1"/>
  <c r="O59" i="28" s="1"/>
  <c r="U59" i="28" s="1"/>
  <c r="H60" i="28"/>
  <c r="I60" i="28" s="1"/>
  <c r="K60" i="28" s="1"/>
  <c r="H61" i="28"/>
  <c r="I61" i="28" s="1"/>
  <c r="K61" i="28" s="1"/>
  <c r="H62" i="28"/>
  <c r="I62" i="28" s="1"/>
  <c r="K62" i="28" s="1"/>
  <c r="H63" i="28"/>
  <c r="I63" i="28" s="1"/>
  <c r="K63" i="28" s="1"/>
  <c r="H64" i="28"/>
  <c r="I64" i="28" s="1"/>
  <c r="K64" i="28" s="1"/>
  <c r="L64" i="28" s="1"/>
  <c r="R64" i="28" s="1"/>
  <c r="H65" i="28"/>
  <c r="I65" i="28" s="1"/>
  <c r="K65" i="28" s="1"/>
  <c r="O65" i="28" s="1"/>
  <c r="U65" i="28" s="1"/>
  <c r="H66" i="28"/>
  <c r="I66" i="28" s="1"/>
  <c r="K66" i="28" s="1"/>
  <c r="L66" i="28" s="1"/>
  <c r="R66" i="28" s="1"/>
  <c r="H67" i="28"/>
  <c r="I67" i="28" s="1"/>
  <c r="K67" i="28" s="1"/>
  <c r="M67" i="28" s="1"/>
  <c r="S67" i="28" s="1"/>
  <c r="L11" i="28" l="1"/>
  <c r="L23" i="28" s="1"/>
  <c r="K23" i="28"/>
  <c r="K9" i="28"/>
  <c r="I23" i="28"/>
  <c r="D30" i="28"/>
  <c r="E30" i="28"/>
  <c r="L10" i="28"/>
  <c r="R10" i="28" s="1"/>
  <c r="G36" i="28"/>
  <c r="G37" i="28" s="1"/>
  <c r="E24" i="28"/>
  <c r="M24" i="28" s="1"/>
  <c r="S24" i="28" s="1"/>
  <c r="C24" i="28"/>
  <c r="C29" i="28" s="1"/>
  <c r="R13" i="28"/>
  <c r="O47" i="28"/>
  <c r="U47" i="28" s="1"/>
  <c r="L29" i="28"/>
  <c r="R29" i="28" s="1"/>
  <c r="N11" i="28"/>
  <c r="M54" i="28"/>
  <c r="S54" i="28" s="1"/>
  <c r="N55" i="28"/>
  <c r="T55" i="28" s="1"/>
  <c r="N59" i="28"/>
  <c r="T59" i="28" s="1"/>
  <c r="N49" i="28"/>
  <c r="T49" i="28" s="1"/>
  <c r="M49" i="28"/>
  <c r="S49" i="28" s="1"/>
  <c r="L47" i="28"/>
  <c r="R47" i="28" s="1"/>
  <c r="L15" i="28"/>
  <c r="O62" i="28"/>
  <c r="U62" i="28" s="1"/>
  <c r="N62" i="28"/>
  <c r="T62" i="28" s="1"/>
  <c r="M47" i="28"/>
  <c r="S47" i="28" s="1"/>
  <c r="M53" i="28"/>
  <c r="S53" i="28" s="1"/>
  <c r="O56" i="28"/>
  <c r="U56" i="28" s="1"/>
  <c r="O55" i="28"/>
  <c r="U55" i="28" s="1"/>
  <c r="O49" i="28"/>
  <c r="U49" i="28" s="1"/>
  <c r="O24" i="28"/>
  <c r="U24" i="28" s="1"/>
  <c r="L24" i="28"/>
  <c r="R24" i="28" s="1"/>
  <c r="M56" i="28"/>
  <c r="S56" i="28" s="1"/>
  <c r="N53" i="28"/>
  <c r="T53" i="28" s="1"/>
  <c r="N56" i="28"/>
  <c r="T56" i="28" s="1"/>
  <c r="N47" i="28"/>
  <c r="T47" i="28" s="1"/>
  <c r="L18" i="28"/>
  <c r="M52" i="28"/>
  <c r="S52" i="28" s="1"/>
  <c r="O53" i="28"/>
  <c r="U53" i="28" s="1"/>
  <c r="O52" i="28"/>
  <c r="U52" i="28" s="1"/>
  <c r="M48" i="28"/>
  <c r="S48" i="28" s="1"/>
  <c r="N7" i="28"/>
  <c r="T7" i="28" s="1"/>
  <c r="M50" i="28"/>
  <c r="S50" i="28" s="1"/>
  <c r="O48" i="28"/>
  <c r="U48" i="28" s="1"/>
  <c r="D36" i="28"/>
  <c r="D37" i="28" s="1"/>
  <c r="F24" i="28"/>
  <c r="N24" i="28" s="1"/>
  <c r="T24" i="28" s="1"/>
  <c r="F37" i="28"/>
  <c r="N36" i="28"/>
  <c r="N41" i="28" s="1"/>
  <c r="O29" i="28"/>
  <c r="U29" i="28" s="1"/>
  <c r="H30" i="28"/>
  <c r="I30" i="28" s="1"/>
  <c r="K30" i="28" s="1"/>
  <c r="H38" i="28"/>
  <c r="I38" i="28" s="1"/>
  <c r="K38" i="28" s="1"/>
  <c r="N38" i="28" s="1"/>
  <c r="T38" i="28" s="1"/>
  <c r="O61" i="28"/>
  <c r="U61" i="28" s="1"/>
  <c r="L61" i="28"/>
  <c r="M61" i="28"/>
  <c r="S61" i="28" s="1"/>
  <c r="N61" i="28"/>
  <c r="T61" i="28" s="1"/>
  <c r="N51" i="28"/>
  <c r="T51" i="28" s="1"/>
  <c r="O51" i="28"/>
  <c r="U51" i="28" s="1"/>
  <c r="R14" i="28"/>
  <c r="M63" i="28"/>
  <c r="S63" i="28" s="1"/>
  <c r="N63" i="28"/>
  <c r="T63" i="28" s="1"/>
  <c r="N60" i="28"/>
  <c r="T60" i="28" s="1"/>
  <c r="L60" i="28"/>
  <c r="M60" i="28"/>
  <c r="S60" i="28" s="1"/>
  <c r="O67" i="28"/>
  <c r="U67" i="28" s="1"/>
  <c r="O66" i="28"/>
  <c r="U66" i="28" s="1"/>
  <c r="N64" i="28"/>
  <c r="T64" i="28" s="1"/>
  <c r="O64" i="28"/>
  <c r="U64" i="28" s="1"/>
  <c r="L67" i="28"/>
  <c r="M66" i="28"/>
  <c r="S66" i="28" s="1"/>
  <c r="L65" i="28"/>
  <c r="M64" i="28"/>
  <c r="S64" i="28" s="1"/>
  <c r="L63" i="28"/>
  <c r="O60" i="28"/>
  <c r="U60" i="28" s="1"/>
  <c r="L52" i="28"/>
  <c r="L51" i="28"/>
  <c r="N50" i="28"/>
  <c r="T50" i="28" s="1"/>
  <c r="O50" i="28"/>
  <c r="U50" i="28" s="1"/>
  <c r="N48" i="28"/>
  <c r="T48" i="28" s="1"/>
  <c r="R11" i="28"/>
  <c r="O9" i="28"/>
  <c r="M9" i="28"/>
  <c r="N9" i="28"/>
  <c r="L9" i="28"/>
  <c r="L58" i="28"/>
  <c r="M58" i="28"/>
  <c r="S58" i="28" s="1"/>
  <c r="L48" i="28"/>
  <c r="M16" i="28"/>
  <c r="S16" i="28" s="1"/>
  <c r="O16" i="28"/>
  <c r="U16" i="28" s="1"/>
  <c r="L16" i="28"/>
  <c r="M14" i="28"/>
  <c r="S14" i="28" s="1"/>
  <c r="O14" i="28"/>
  <c r="U14" i="28" s="1"/>
  <c r="N14" i="28"/>
  <c r="T14" i="28" s="1"/>
  <c r="N65" i="28"/>
  <c r="T65" i="28" s="1"/>
  <c r="L62" i="28"/>
  <c r="M62" i="28"/>
  <c r="S62" i="28" s="1"/>
  <c r="M55" i="28"/>
  <c r="S55" i="28" s="1"/>
  <c r="O17" i="28"/>
  <c r="U17" i="28" s="1"/>
  <c r="M17" i="28"/>
  <c r="S17" i="28" s="1"/>
  <c r="N17" i="28"/>
  <c r="T17" i="28" s="1"/>
  <c r="L17" i="28"/>
  <c r="N67" i="28"/>
  <c r="T67" i="28" s="1"/>
  <c r="N66" i="28"/>
  <c r="T66" i="28" s="1"/>
  <c r="M65" i="28"/>
  <c r="S65" i="28" s="1"/>
  <c r="O63" i="28"/>
  <c r="U63" i="28" s="1"/>
  <c r="M59" i="28"/>
  <c r="S59" i="28" s="1"/>
  <c r="L59" i="28"/>
  <c r="O58" i="28"/>
  <c r="U58" i="28" s="1"/>
  <c r="L56" i="28"/>
  <c r="L55" i="28"/>
  <c r="N54" i="28"/>
  <c r="T54" i="28" s="1"/>
  <c r="O54" i="28"/>
  <c r="U54" i="28" s="1"/>
  <c r="N52" i="28"/>
  <c r="T52" i="28" s="1"/>
  <c r="M51" i="28"/>
  <c r="S51" i="28" s="1"/>
  <c r="K8" i="28"/>
  <c r="I19" i="28"/>
  <c r="K19" i="28" s="1"/>
  <c r="L54" i="28"/>
  <c r="L50" i="28"/>
  <c r="O13" i="28"/>
  <c r="U13" i="28" s="1"/>
  <c r="M13" i="28"/>
  <c r="N13" i="28"/>
  <c r="T13" i="28" s="1"/>
  <c r="R7" i="28"/>
  <c r="L53" i="28"/>
  <c r="M36" i="28"/>
  <c r="S36" i="28" s="1"/>
  <c r="E37" i="28"/>
  <c r="M18" i="28"/>
  <c r="S18" i="28" s="1"/>
  <c r="O18" i="28"/>
  <c r="U18" i="28" s="1"/>
  <c r="M12" i="28"/>
  <c r="S12" i="28" s="1"/>
  <c r="O12" i="28"/>
  <c r="U12" i="28" s="1"/>
  <c r="M10" i="28"/>
  <c r="S10" i="28" s="1"/>
  <c r="O10" i="28"/>
  <c r="U10" i="28" s="1"/>
  <c r="O15" i="28"/>
  <c r="U15" i="28" s="1"/>
  <c r="M15" i="28"/>
  <c r="O11" i="28"/>
  <c r="U11" i="28" s="1"/>
  <c r="M11" i="28"/>
  <c r="O7" i="28"/>
  <c r="M7" i="28"/>
  <c r="S11" i="28" l="1"/>
  <c r="M23" i="28"/>
  <c r="T11" i="28"/>
  <c r="N23" i="28"/>
  <c r="T9" i="28"/>
  <c r="T23" i="28" s="1"/>
  <c r="U9" i="28"/>
  <c r="U23" i="28" s="1"/>
  <c r="O23" i="28"/>
  <c r="S9" i="28"/>
  <c r="S23" i="28" s="1"/>
  <c r="O36" i="28"/>
  <c r="U36" i="28" s="1"/>
  <c r="P7" i="28"/>
  <c r="AH7" i="28" s="1"/>
  <c r="P17" i="28"/>
  <c r="E29" i="28"/>
  <c r="M29" i="28" s="1"/>
  <c r="S29" i="28" s="1"/>
  <c r="P13" i="28"/>
  <c r="AF13" i="28" s="1"/>
  <c r="R18" i="28"/>
  <c r="P18" i="28"/>
  <c r="P10" i="28"/>
  <c r="P16" i="28"/>
  <c r="AH17" i="28"/>
  <c r="AF17" i="28"/>
  <c r="W17" i="28"/>
  <c r="R15" i="28"/>
  <c r="P15" i="28"/>
  <c r="P14" i="28"/>
  <c r="P9" i="28"/>
  <c r="P23" i="28" s="1"/>
  <c r="P11" i="28"/>
  <c r="F29" i="28"/>
  <c r="N29" i="28" s="1"/>
  <c r="T29" i="28" s="1"/>
  <c r="P47" i="28"/>
  <c r="L36" i="28"/>
  <c r="R36" i="28" s="1"/>
  <c r="P24" i="28"/>
  <c r="P64" i="28"/>
  <c r="O38" i="28"/>
  <c r="U38" i="28" s="1"/>
  <c r="P66" i="28"/>
  <c r="M38" i="28"/>
  <c r="S38" i="28" s="1"/>
  <c r="L38" i="28"/>
  <c r="R38" i="28" s="1"/>
  <c r="N40" i="28"/>
  <c r="W23" i="28"/>
  <c r="T36" i="28"/>
  <c r="L30" i="28"/>
  <c r="S13" i="28"/>
  <c r="P54" i="28"/>
  <c r="W54" i="28" s="1"/>
  <c r="R54" i="28"/>
  <c r="S7" i="28"/>
  <c r="S15" i="28"/>
  <c r="P53" i="28"/>
  <c r="W53" i="28" s="1"/>
  <c r="R53" i="28"/>
  <c r="P50" i="28"/>
  <c r="W50" i="28" s="1"/>
  <c r="R50" i="28"/>
  <c r="P56" i="28"/>
  <c r="W56" i="28" s="1"/>
  <c r="R56" i="28"/>
  <c r="P62" i="28"/>
  <c r="W62" i="28" s="1"/>
  <c r="R62" i="28"/>
  <c r="P58" i="28"/>
  <c r="W58" i="28" s="1"/>
  <c r="R58" i="28"/>
  <c r="R63" i="28"/>
  <c r="P63" i="28"/>
  <c r="W63" i="28" s="1"/>
  <c r="R67" i="28"/>
  <c r="P67" i="28"/>
  <c r="W67" i="28" s="1"/>
  <c r="U7" i="28"/>
  <c r="R17" i="28"/>
  <c r="P51" i="28"/>
  <c r="W51" i="28" s="1"/>
  <c r="R51" i="28"/>
  <c r="P59" i="28"/>
  <c r="W59" i="28" s="1"/>
  <c r="R59" i="28"/>
  <c r="P48" i="28"/>
  <c r="W48" i="28" s="1"/>
  <c r="R48" i="28"/>
  <c r="R9" i="28"/>
  <c r="R23" i="28" s="1"/>
  <c r="P52" i="28"/>
  <c r="W52" i="28" s="1"/>
  <c r="R52" i="28"/>
  <c r="R65" i="28"/>
  <c r="P65" i="28"/>
  <c r="W65" i="28" s="1"/>
  <c r="R60" i="28"/>
  <c r="P60" i="28"/>
  <c r="W60" i="28" s="1"/>
  <c r="P61" i="28"/>
  <c r="W61" i="28" s="1"/>
  <c r="R61" i="28"/>
  <c r="M8" i="28"/>
  <c r="S8" i="28" s="1"/>
  <c r="O8" i="28"/>
  <c r="U8" i="28" s="1"/>
  <c r="L8" i="28"/>
  <c r="N8" i="28"/>
  <c r="P55" i="28"/>
  <c r="W55" i="28" s="1"/>
  <c r="R55" i="28"/>
  <c r="R16" i="28"/>
  <c r="AH13" i="28" l="1"/>
  <c r="W7" i="28"/>
  <c r="AF7" i="28"/>
  <c r="W13" i="28"/>
  <c r="V66" i="28"/>
  <c r="W66" i="28"/>
  <c r="Q64" i="28"/>
  <c r="W64" i="28"/>
  <c r="AH15" i="28"/>
  <c r="AF15" i="28"/>
  <c r="W15" i="28"/>
  <c r="P8" i="28"/>
  <c r="AH11" i="28"/>
  <c r="AF11" i="28"/>
  <c r="W11" i="28"/>
  <c r="AH16" i="28"/>
  <c r="AF16" i="28"/>
  <c r="W16" i="28"/>
  <c r="AH9" i="28"/>
  <c r="AF9" i="28"/>
  <c r="W9" i="28"/>
  <c r="AH10" i="28"/>
  <c r="AF10" i="28"/>
  <c r="W10" i="28"/>
  <c r="V47" i="28"/>
  <c r="W47" i="28"/>
  <c r="AH14" i="28"/>
  <c r="AF14" i="28"/>
  <c r="W14" i="28"/>
  <c r="AH18" i="28"/>
  <c r="AF18" i="28"/>
  <c r="W18" i="28"/>
  <c r="Q24" i="28"/>
  <c r="Y24" i="28" s="1"/>
  <c r="W24" i="28"/>
  <c r="N26" i="28" s="1"/>
  <c r="E46" i="21" s="1"/>
  <c r="V24" i="28"/>
  <c r="Q47" i="28"/>
  <c r="P36" i="28"/>
  <c r="V64" i="28"/>
  <c r="Q66" i="28"/>
  <c r="U19" i="28"/>
  <c r="P29" i="28"/>
  <c r="P38" i="28"/>
  <c r="S19" i="28"/>
  <c r="O19" i="28"/>
  <c r="R30" i="28"/>
  <c r="T8" i="28"/>
  <c r="T19" i="28" s="1"/>
  <c r="N19" i="28"/>
  <c r="Q52" i="28"/>
  <c r="V52" i="28"/>
  <c r="Q59" i="28"/>
  <c r="V59" i="28"/>
  <c r="V51" i="28"/>
  <c r="Q51" i="28"/>
  <c r="Q17" i="28"/>
  <c r="Y17" i="28" s="1"/>
  <c r="V17" i="28"/>
  <c r="Q63" i="28"/>
  <c r="V63" i="28"/>
  <c r="Q7" i="28"/>
  <c r="V7" i="28"/>
  <c r="V54" i="28"/>
  <c r="Q54" i="28"/>
  <c r="Q16" i="28"/>
  <c r="Y16" i="28" s="1"/>
  <c r="V16" i="28"/>
  <c r="R8" i="28"/>
  <c r="Q18" i="28"/>
  <c r="Y18" i="28" s="1"/>
  <c r="V18" i="28"/>
  <c r="Q65" i="28"/>
  <c r="V65" i="28"/>
  <c r="Q11" i="28"/>
  <c r="Y11" i="28" s="1"/>
  <c r="V11" i="28"/>
  <c r="Q48" i="28"/>
  <c r="V48" i="28"/>
  <c r="N32" i="28"/>
  <c r="Q62" i="28"/>
  <c r="V62" i="28"/>
  <c r="Q50" i="28"/>
  <c r="V50" i="28"/>
  <c r="Q15" i="28"/>
  <c r="Y15" i="28" s="1"/>
  <c r="V15" i="28"/>
  <c r="Q13" i="28"/>
  <c r="Y13" i="28" s="1"/>
  <c r="V13" i="28"/>
  <c r="Q10" i="28"/>
  <c r="V10" i="28"/>
  <c r="Q61" i="28"/>
  <c r="V61" i="28"/>
  <c r="Q67" i="28"/>
  <c r="V67" i="28"/>
  <c r="Q53" i="28"/>
  <c r="V53" i="28"/>
  <c r="Q14" i="28"/>
  <c r="Y14" i="28" s="1"/>
  <c r="V14" i="28"/>
  <c r="V55" i="28"/>
  <c r="Q55" i="28"/>
  <c r="Q60" i="28"/>
  <c r="V60" i="28"/>
  <c r="Q9" i="28"/>
  <c r="V9" i="28"/>
  <c r="V23" i="28" s="1"/>
  <c r="M32" i="28"/>
  <c r="Q58" i="28"/>
  <c r="V58" i="28"/>
  <c r="Q56" i="28"/>
  <c r="V56" i="28"/>
  <c r="M19" i="28"/>
  <c r="Y9" i="28" l="1"/>
  <c r="Q23" i="28"/>
  <c r="Y23" i="28" s="1"/>
  <c r="AH8" i="28"/>
  <c r="AF8" i="28"/>
  <c r="W8" i="28"/>
  <c r="M26" i="28"/>
  <c r="Q29" i="28"/>
  <c r="Y29" i="28" s="1"/>
  <c r="W29" i="28"/>
  <c r="V38" i="28"/>
  <c r="W38" i="28"/>
  <c r="V36" i="28"/>
  <c r="W36" i="28"/>
  <c r="Q38" i="28"/>
  <c r="Y38" i="28" s="1"/>
  <c r="Q36" i="28"/>
  <c r="Y36" i="28" s="1"/>
  <c r="V29" i="28"/>
  <c r="Y10" i="28"/>
  <c r="X58" i="28"/>
  <c r="X47" i="28"/>
  <c r="X52" i="28"/>
  <c r="X63" i="28"/>
  <c r="X48" i="28"/>
  <c r="X59" i="28"/>
  <c r="X55" i="28"/>
  <c r="X66" i="28"/>
  <c r="Q8" i="28"/>
  <c r="Y8" i="28" s="1"/>
  <c r="V8" i="28"/>
  <c r="X65" i="28"/>
  <c r="X54" i="28"/>
  <c r="X51" i="28"/>
  <c r="X62" i="28"/>
  <c r="X53" i="28"/>
  <c r="X64" i="28"/>
  <c r="X56" i="28"/>
  <c r="X67" i="28"/>
  <c r="X61" i="28"/>
  <c r="X50" i="28"/>
  <c r="Y7" i="28"/>
  <c r="M41" i="28" l="1"/>
  <c r="Y47" i="28"/>
  <c r="F7" i="21" l="1"/>
  <c r="T7" i="21"/>
  <c r="AA7" i="21"/>
  <c r="AH7" i="21"/>
  <c r="T10" i="21"/>
  <c r="AA10" i="21"/>
  <c r="AA8" i="21" s="1"/>
  <c r="AH10" i="21"/>
  <c r="D27" i="18" s="1"/>
  <c r="N40" i="21"/>
  <c r="S15" i="21"/>
  <c r="U40" i="21" s="1"/>
  <c r="U43" i="21" s="1"/>
  <c r="Z15" i="21"/>
  <c r="AB40" i="21" s="1"/>
  <c r="AB43" i="21" s="1"/>
  <c r="AG15" i="21"/>
  <c r="AI40" i="21" s="1"/>
  <c r="AI43" i="21" s="1"/>
  <c r="S19" i="21"/>
  <c r="AG19" i="21"/>
  <c r="AI193" i="3"/>
  <c r="AI192" i="3"/>
  <c r="AI191" i="3"/>
  <c r="F105" i="38" s="1"/>
  <c r="AI190" i="3"/>
  <c r="AI189" i="3"/>
  <c r="AI188" i="3"/>
  <c r="H37" i="28" s="1"/>
  <c r="I37" i="28" s="1"/>
  <c r="K37" i="28" s="1"/>
  <c r="AI182" i="3"/>
  <c r="AI180" i="3"/>
  <c r="AI179" i="3"/>
  <c r="AI178" i="3"/>
  <c r="G21" i="21" l="1"/>
  <c r="F106" i="38"/>
  <c r="G105" i="38"/>
  <c r="F114" i="38"/>
  <c r="F118" i="38"/>
  <c r="G118" i="38" s="1"/>
  <c r="J10" i="21" s="1"/>
  <c r="H10" i="21"/>
  <c r="G19" i="21"/>
  <c r="AH8" i="21"/>
  <c r="AB44" i="21"/>
  <c r="AI44" i="21"/>
  <c r="AC44" i="21"/>
  <c r="AE44" i="21"/>
  <c r="AG20" i="21"/>
  <c r="AK40" i="21"/>
  <c r="AK43" i="21" s="1"/>
  <c r="AK44" i="21" s="1"/>
  <c r="AJ44" i="21"/>
  <c r="AL44" i="21"/>
  <c r="Z20" i="21"/>
  <c r="AD40" i="21"/>
  <c r="AD43" i="21" s="1"/>
  <c r="AD44" i="21" s="1"/>
  <c r="S20" i="21"/>
  <c r="W40" i="21"/>
  <c r="W43" i="21" s="1"/>
  <c r="U44" i="21"/>
  <c r="V42" i="21"/>
  <c r="U42" i="21"/>
  <c r="X42" i="21"/>
  <c r="W42" i="21"/>
  <c r="T42" i="21"/>
  <c r="X44" i="21"/>
  <c r="V44" i="21"/>
  <c r="L20" i="21"/>
  <c r="P40" i="21"/>
  <c r="E127" i="15"/>
  <c r="I127" i="15"/>
  <c r="M127" i="15"/>
  <c r="Q127" i="15"/>
  <c r="U127" i="15"/>
  <c r="F127" i="15"/>
  <c r="J127" i="15"/>
  <c r="N127" i="15"/>
  <c r="R127" i="15"/>
  <c r="V127" i="15"/>
  <c r="AI181" i="3"/>
  <c r="D198" i="3"/>
  <c r="AI198" i="3" s="1"/>
  <c r="D124" i="15"/>
  <c r="AI124" i="15" s="1"/>
  <c r="G127" i="15"/>
  <c r="K127" i="15"/>
  <c r="O127" i="15"/>
  <c r="S127" i="15"/>
  <c r="W127" i="15"/>
  <c r="H127" i="15"/>
  <c r="L127" i="15"/>
  <c r="P127" i="15"/>
  <c r="T127" i="15"/>
  <c r="X127" i="15"/>
  <c r="L9" i="21"/>
  <c r="G9" i="21"/>
  <c r="AG16" i="21"/>
  <c r="AG9" i="21"/>
  <c r="S16" i="21"/>
  <c r="S9" i="21"/>
  <c r="Z16" i="21"/>
  <c r="Z9" i="21"/>
  <c r="L16" i="21"/>
  <c r="G22" i="21"/>
  <c r="O37" i="28"/>
  <c r="U37" i="28" s="1"/>
  <c r="L37" i="28"/>
  <c r="N37" i="28"/>
  <c r="T37" i="28" s="1"/>
  <c r="M37" i="28"/>
  <c r="S37" i="28" s="1"/>
  <c r="AI187" i="3"/>
  <c r="F100" i="38" s="1"/>
  <c r="T8" i="21"/>
  <c r="AI195" i="3"/>
  <c r="D127" i="15"/>
  <c r="AI186" i="3"/>
  <c r="H8" i="21" s="1"/>
  <c r="AI194" i="3"/>
  <c r="G106" i="38" l="1"/>
  <c r="F115" i="38"/>
  <c r="I19" i="21"/>
  <c r="G114" i="38"/>
  <c r="G100" i="38"/>
  <c r="G109" i="38" s="1"/>
  <c r="G112" i="38" s="1"/>
  <c r="I13" i="21" s="1"/>
  <c r="F109" i="38"/>
  <c r="F112" i="38" s="1"/>
  <c r="H6" i="21"/>
  <c r="H7" i="21" s="1"/>
  <c r="F102" i="38"/>
  <c r="G20" i="21"/>
  <c r="C78" i="30"/>
  <c r="C58" i="30"/>
  <c r="C119" i="30"/>
  <c r="C36" i="30"/>
  <c r="C98" i="30"/>
  <c r="C16" i="30"/>
  <c r="AI42" i="21"/>
  <c r="AI38" i="21" s="1"/>
  <c r="AH42" i="21"/>
  <c r="AL42" i="21"/>
  <c r="AL38" i="21" s="1"/>
  <c r="AJ42" i="21"/>
  <c r="AJ38" i="21" s="1"/>
  <c r="AK42" i="21"/>
  <c r="AK38" i="21" s="1"/>
  <c r="AD42" i="21"/>
  <c r="AD38" i="21" s="1"/>
  <c r="AE42" i="21"/>
  <c r="AE38" i="21" s="1"/>
  <c r="AB42" i="21"/>
  <c r="AB38" i="21" s="1"/>
  <c r="AA42" i="21"/>
  <c r="AC42" i="21"/>
  <c r="AC38" i="21" s="1"/>
  <c r="V38" i="21"/>
  <c r="X38" i="21"/>
  <c r="U38" i="21"/>
  <c r="W44" i="21"/>
  <c r="W38" i="21" s="1"/>
  <c r="AJ181" i="3"/>
  <c r="R37" i="28"/>
  <c r="P37" i="28"/>
  <c r="E14" i="21"/>
  <c r="AI185" i="3"/>
  <c r="AI196" i="3"/>
  <c r="AI184" i="3"/>
  <c r="I21" i="21" l="1"/>
  <c r="I9" i="21" s="1"/>
  <c r="G115" i="38"/>
  <c r="G102" i="38"/>
  <c r="F111" i="38"/>
  <c r="C123" i="30"/>
  <c r="P119" i="30"/>
  <c r="C20" i="30"/>
  <c r="P16" i="30"/>
  <c r="K16" i="30"/>
  <c r="C62" i="30"/>
  <c r="P58" i="30"/>
  <c r="K58" i="30"/>
  <c r="C102" i="30"/>
  <c r="K98" i="30"/>
  <c r="P98" i="30"/>
  <c r="C82" i="30"/>
  <c r="K78" i="30"/>
  <c r="P78" i="30"/>
  <c r="C40" i="30"/>
  <c r="P36" i="30"/>
  <c r="K36" i="30"/>
  <c r="V37" i="28"/>
  <c r="M40" i="28" s="1"/>
  <c r="Q37" i="28"/>
  <c r="Y37" i="28" s="1"/>
  <c r="W37" i="28"/>
  <c r="E7" i="21"/>
  <c r="E13" i="21" s="1"/>
  <c r="J6" i="21" l="1"/>
  <c r="G111" i="38"/>
  <c r="T98" i="30"/>
  <c r="W98" i="30"/>
  <c r="U98" i="30"/>
  <c r="X98" i="30"/>
  <c r="V98" i="30"/>
  <c r="P102" i="30"/>
  <c r="X58" i="30"/>
  <c r="W58" i="30"/>
  <c r="U58" i="30"/>
  <c r="P62" i="30"/>
  <c r="V58" i="30"/>
  <c r="T58" i="30"/>
  <c r="W78" i="30"/>
  <c r="T78" i="30"/>
  <c r="X78" i="30"/>
  <c r="V78" i="30"/>
  <c r="P82" i="30"/>
  <c r="U78" i="30"/>
  <c r="K102" i="30"/>
  <c r="R98" i="30"/>
  <c r="X119" i="30"/>
  <c r="P123" i="30"/>
  <c r="V119" i="30"/>
  <c r="T119" i="30"/>
  <c r="U119" i="30"/>
  <c r="R36" i="30"/>
  <c r="K40" i="30"/>
  <c r="K82" i="30"/>
  <c r="R78" i="30"/>
  <c r="K119" i="30"/>
  <c r="K20" i="30"/>
  <c r="R16" i="30"/>
  <c r="U36" i="30"/>
  <c r="W36" i="30"/>
  <c r="V36" i="30"/>
  <c r="T36" i="30"/>
  <c r="X36" i="30"/>
  <c r="P40" i="30"/>
  <c r="R58" i="30"/>
  <c r="K62" i="30"/>
  <c r="U16" i="30"/>
  <c r="X16" i="30"/>
  <c r="V16" i="30"/>
  <c r="T16" i="30"/>
  <c r="P20" i="30"/>
  <c r="E12" i="21"/>
  <c r="E23" i="21" s="1"/>
  <c r="E37" i="21"/>
  <c r="G7" i="21"/>
  <c r="E36" i="21" l="1"/>
  <c r="F40" i="21" s="1"/>
  <c r="F43" i="21" s="1"/>
  <c r="F44" i="21" s="1"/>
  <c r="F38" i="21" s="1"/>
  <c r="G13" i="21"/>
  <c r="Y58" i="30"/>
  <c r="Y119" i="30"/>
  <c r="Y16" i="30"/>
  <c r="R62" i="30"/>
  <c r="Y98" i="30"/>
  <c r="Y36" i="30"/>
  <c r="R102" i="30"/>
  <c r="V20" i="30"/>
  <c r="U20" i="30"/>
  <c r="X20" i="30"/>
  <c r="T20" i="30"/>
  <c r="K123" i="30"/>
  <c r="R119" i="30"/>
  <c r="T82" i="30"/>
  <c r="X82" i="30"/>
  <c r="U82" i="30"/>
  <c r="V82" i="30"/>
  <c r="W82" i="30"/>
  <c r="W62" i="30"/>
  <c r="V62" i="30"/>
  <c r="X62" i="30"/>
  <c r="T62" i="30"/>
  <c r="U62" i="30"/>
  <c r="X40" i="30"/>
  <c r="T40" i="30"/>
  <c r="W40" i="30"/>
  <c r="V40" i="30"/>
  <c r="U40" i="30"/>
  <c r="R82" i="30"/>
  <c r="R20" i="30"/>
  <c r="R40" i="30"/>
  <c r="X123" i="30"/>
  <c r="U123" i="30"/>
  <c r="V123" i="30"/>
  <c r="T123" i="30"/>
  <c r="Y78" i="30"/>
  <c r="T102" i="30"/>
  <c r="W102" i="30"/>
  <c r="X102" i="30"/>
  <c r="V102" i="30"/>
  <c r="U102" i="30"/>
  <c r="G12" i="21"/>
  <c r="G14" i="21"/>
  <c r="Y40" i="30" l="1"/>
  <c r="Y20" i="30"/>
  <c r="Y82" i="30"/>
  <c r="R123" i="30"/>
  <c r="Y123" i="30"/>
  <c r="Y102" i="30"/>
  <c r="Y62" i="30"/>
  <c r="AI104" i="3"/>
  <c r="E23" i="27"/>
  <c r="E29" i="27"/>
  <c r="F29" i="27" s="1"/>
  <c r="C29" i="27"/>
  <c r="C30" i="27" s="1"/>
  <c r="P32" i="27"/>
  <c r="Q29" i="27" l="1"/>
  <c r="D24" i="27" l="1"/>
  <c r="E24" i="27" s="1"/>
  <c r="F24" i="27" s="1"/>
  <c r="G23" i="27"/>
  <c r="H23" i="27" s="1"/>
  <c r="I24" i="27"/>
  <c r="H24" i="27"/>
  <c r="C23" i="27"/>
  <c r="C24" i="27" s="1"/>
  <c r="I23" i="27"/>
  <c r="F23" i="27"/>
  <c r="AI160" i="3"/>
  <c r="D30" i="27" s="1"/>
  <c r="J24" i="27" l="1"/>
  <c r="K24" i="27" s="1"/>
  <c r="J23" i="27"/>
  <c r="K23" i="27" s="1"/>
  <c r="M23" i="27" s="1"/>
  <c r="E30" i="27"/>
  <c r="F30" i="27" s="1"/>
  <c r="Q30" i="27"/>
  <c r="O24" i="27" l="1"/>
  <c r="M24" i="27"/>
  <c r="N24" i="27"/>
  <c r="O23" i="27"/>
  <c r="N23" i="27"/>
  <c r="L23" i="27"/>
  <c r="L24" i="27"/>
  <c r="Q32" i="27" l="1"/>
  <c r="P20" i="27"/>
  <c r="U19" i="27"/>
  <c r="T19" i="27"/>
  <c r="S19" i="27"/>
  <c r="R19" i="27"/>
  <c r="C19" i="27"/>
  <c r="O18" i="27"/>
  <c r="I18" i="27"/>
  <c r="G18" i="27"/>
  <c r="H18" i="27" s="1"/>
  <c r="E18" i="27"/>
  <c r="F18" i="27" s="1"/>
  <c r="O17" i="27"/>
  <c r="I17" i="27"/>
  <c r="G17" i="27"/>
  <c r="H17" i="27" s="1"/>
  <c r="E17" i="27"/>
  <c r="F17" i="27" s="1"/>
  <c r="O16" i="27"/>
  <c r="I16" i="27"/>
  <c r="G16" i="27"/>
  <c r="H16" i="27" s="1"/>
  <c r="E16" i="27"/>
  <c r="F16" i="27" s="1"/>
  <c r="O15" i="27"/>
  <c r="I15" i="27"/>
  <c r="G15" i="27"/>
  <c r="H15" i="27" s="1"/>
  <c r="E15" i="27"/>
  <c r="F15" i="27" s="1"/>
  <c r="O14" i="27"/>
  <c r="I14" i="27"/>
  <c r="G14" i="27"/>
  <c r="H14" i="27" s="1"/>
  <c r="E14" i="27"/>
  <c r="F14" i="27" s="1"/>
  <c r="O13" i="27"/>
  <c r="I13" i="27"/>
  <c r="G13" i="27"/>
  <c r="H13" i="27" s="1"/>
  <c r="E13" i="27"/>
  <c r="F13" i="27" s="1"/>
  <c r="O12" i="27"/>
  <c r="I12" i="27"/>
  <c r="G12" i="27"/>
  <c r="H12" i="27" s="1"/>
  <c r="E12" i="27"/>
  <c r="F12" i="27" s="1"/>
  <c r="O11" i="27"/>
  <c r="I11" i="27"/>
  <c r="G11" i="27"/>
  <c r="H11" i="27" s="1"/>
  <c r="E11" i="27"/>
  <c r="F11" i="27" s="1"/>
  <c r="O10" i="27"/>
  <c r="I10" i="27"/>
  <c r="G10" i="27"/>
  <c r="H10" i="27" s="1"/>
  <c r="E10" i="27"/>
  <c r="F10" i="27" s="1"/>
  <c r="O9" i="27"/>
  <c r="I9" i="27"/>
  <c r="G9" i="27"/>
  <c r="H9" i="27" s="1"/>
  <c r="E9" i="27"/>
  <c r="F9" i="27" s="1"/>
  <c r="O8" i="27"/>
  <c r="I8" i="27"/>
  <c r="G8" i="27"/>
  <c r="E8" i="27"/>
  <c r="F8" i="27" s="1"/>
  <c r="W19" i="27"/>
  <c r="V19" i="27"/>
  <c r="Q7" i="27"/>
  <c r="P7" i="27"/>
  <c r="O7" i="27"/>
  <c r="I7" i="27"/>
  <c r="G7" i="27"/>
  <c r="G19" i="27" s="1"/>
  <c r="E7" i="27"/>
  <c r="P2" i="27"/>
  <c r="P3" i="27" s="1"/>
  <c r="H7" i="27" l="1"/>
  <c r="H8" i="27"/>
  <c r="H19" i="27" s="1"/>
  <c r="G30" i="27"/>
  <c r="H30" i="27" s="1"/>
  <c r="J30" i="27" s="1"/>
  <c r="K30" i="27" s="1"/>
  <c r="E19" i="27"/>
  <c r="J9" i="27"/>
  <c r="K9" i="27" s="1"/>
  <c r="J17" i="27"/>
  <c r="K17" i="27" s="1"/>
  <c r="J11" i="27"/>
  <c r="K11" i="27" s="1"/>
  <c r="J15" i="27"/>
  <c r="K15" i="27" s="1"/>
  <c r="J13" i="27"/>
  <c r="K13" i="27" s="1"/>
  <c r="J12" i="27"/>
  <c r="K12" i="27" s="1"/>
  <c r="J16" i="27"/>
  <c r="K16" i="27" s="1"/>
  <c r="I19" i="27"/>
  <c r="J10" i="27"/>
  <c r="J14" i="27"/>
  <c r="K14" i="27" s="1"/>
  <c r="J18" i="27"/>
  <c r="K18" i="27" s="1"/>
  <c r="F7" i="27"/>
  <c r="J7" i="27"/>
  <c r="M9" i="27" l="1"/>
  <c r="J8" i="27"/>
  <c r="K8" i="27" s="1"/>
  <c r="AA8" i="27" s="1"/>
  <c r="M30" i="27"/>
  <c r="L30" i="27"/>
  <c r="N30" i="27"/>
  <c r="N33" i="27" s="1"/>
  <c r="Z14" i="27"/>
  <c r="AA14" i="27"/>
  <c r="AA16" i="27"/>
  <c r="Z16" i="27"/>
  <c r="Z15" i="27"/>
  <c r="AA15" i="27"/>
  <c r="Z11" i="27"/>
  <c r="AA11" i="27"/>
  <c r="AA18" i="27"/>
  <c r="Z18" i="27"/>
  <c r="AA12" i="27"/>
  <c r="Z12" i="27"/>
  <c r="Z17" i="27"/>
  <c r="AA17" i="27"/>
  <c r="M17" i="27"/>
  <c r="Z13" i="27"/>
  <c r="AA13" i="27"/>
  <c r="Z9" i="27"/>
  <c r="AA9" i="27"/>
  <c r="K7" i="27"/>
  <c r="K10" i="27"/>
  <c r="M13" i="27"/>
  <c r="L13" i="27"/>
  <c r="L9" i="27"/>
  <c r="M16" i="27"/>
  <c r="L16" i="27"/>
  <c r="M12" i="27"/>
  <c r="L12" i="27"/>
  <c r="L17" i="27"/>
  <c r="M18" i="27"/>
  <c r="L18" i="27"/>
  <c r="L14" i="27"/>
  <c r="M14" i="27"/>
  <c r="J19" i="27"/>
  <c r="M15" i="27"/>
  <c r="L15" i="27"/>
  <c r="M11" i="27"/>
  <c r="L11" i="27"/>
  <c r="F19" i="27"/>
  <c r="N8" i="27" l="1"/>
  <c r="L10" i="27"/>
  <c r="M8" i="27"/>
  <c r="L8" i="27"/>
  <c r="Z8" i="27"/>
  <c r="P30" i="27"/>
  <c r="O30" i="27"/>
  <c r="K19" i="27"/>
  <c r="L21" i="27"/>
  <c r="AA10" i="27"/>
  <c r="Z10" i="27"/>
  <c r="AA7" i="27"/>
  <c r="Z7" i="27"/>
  <c r="M10" i="27"/>
  <c r="M33" i="27"/>
  <c r="N26" i="27"/>
  <c r="N25" i="27"/>
  <c r="M7" i="27"/>
  <c r="L7" i="27"/>
  <c r="M26" i="27" l="1"/>
  <c r="M25" i="27"/>
  <c r="L19" i="27"/>
  <c r="M19" i="27"/>
  <c r="L20" i="27"/>
  <c r="Q35" i="19"/>
  <c r="I23" i="18" l="1"/>
  <c r="AI137" i="3" l="1"/>
  <c r="F69" i="38" s="1"/>
  <c r="G69" i="38" s="1"/>
  <c r="AE10" i="21" s="1"/>
  <c r="AI138" i="3"/>
  <c r="AI139" i="3"/>
  <c r="AI140" i="3"/>
  <c r="AI144" i="3"/>
  <c r="AI146" i="3"/>
  <c r="AB15" i="21" s="1"/>
  <c r="AI147" i="3"/>
  <c r="F56" i="38" s="1"/>
  <c r="AI148" i="3"/>
  <c r="F55" i="38" s="1"/>
  <c r="AI149" i="3"/>
  <c r="F58" i="38" s="1"/>
  <c r="AI156" i="3"/>
  <c r="AI157" i="3"/>
  <c r="AI158" i="3"/>
  <c r="G55" i="38" l="1"/>
  <c r="F65" i="38"/>
  <c r="G56" i="38"/>
  <c r="G66" i="38" s="1"/>
  <c r="F66" i="38"/>
  <c r="G58" i="38"/>
  <c r="F68" i="38"/>
  <c r="AB19" i="21"/>
  <c r="AC10" i="21"/>
  <c r="AC8" i="21" s="1"/>
  <c r="AB17" i="21"/>
  <c r="AJ148" i="3"/>
  <c r="AI164" i="3"/>
  <c r="AB16" i="21"/>
  <c r="AC7" i="21"/>
  <c r="AI166" i="3"/>
  <c r="AI159" i="3"/>
  <c r="AI141" i="3"/>
  <c r="AI142" i="3"/>
  <c r="AI165" i="3"/>
  <c r="AD17" i="21" l="1"/>
  <c r="G65" i="38"/>
  <c r="AD19" i="21"/>
  <c r="G68" i="38"/>
  <c r="AB18" i="21"/>
  <c r="M41" i="21"/>
  <c r="Q41" i="21"/>
  <c r="Q43" i="21" s="1"/>
  <c r="Q44" i="21" s="1"/>
  <c r="O41" i="21"/>
  <c r="O43" i="21" s="1"/>
  <c r="O44" i="21" s="1"/>
  <c r="P41" i="21"/>
  <c r="P43" i="21" s="1"/>
  <c r="P44" i="21" s="1"/>
  <c r="N41" i="21"/>
  <c r="N43" i="21" s="1"/>
  <c r="N44" i="21" s="1"/>
  <c r="M7" i="21"/>
  <c r="O42" i="21"/>
  <c r="N42" i="21"/>
  <c r="P42" i="21"/>
  <c r="Q42" i="21"/>
  <c r="M42" i="21"/>
  <c r="M8" i="21"/>
  <c r="AI163" i="3"/>
  <c r="AB20" i="21"/>
  <c r="Q38" i="21" l="1"/>
  <c r="P38" i="21"/>
  <c r="O38" i="21"/>
  <c r="N38" i="21"/>
  <c r="J23" i="15" l="1"/>
  <c r="AI100" i="3" l="1"/>
  <c r="AI99" i="3"/>
  <c r="AI97" i="3"/>
  <c r="O10" i="21" s="1"/>
  <c r="D40" i="19" s="1"/>
  <c r="AI67" i="3"/>
  <c r="AI63" i="3"/>
  <c r="AI60" i="3"/>
  <c r="F22" i="38" s="1"/>
  <c r="G22" i="38" s="1"/>
  <c r="X10" i="21" s="1"/>
  <c r="AI30" i="3"/>
  <c r="AI31" i="3"/>
  <c r="AI32" i="3"/>
  <c r="AI15" i="21" s="1"/>
  <c r="AI16" i="21" s="1"/>
  <c r="V10" i="21" l="1"/>
  <c r="AI21" i="21"/>
  <c r="AJ31" i="3"/>
  <c r="AK15" i="21"/>
  <c r="D41" i="17" l="1"/>
  <c r="AI22" i="21"/>
  <c r="N30" i="15" l="1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AM4" i="21"/>
  <c r="AP13" i="21" l="1"/>
  <c r="AB24" i="15" l="1"/>
  <c r="AC23" i="15"/>
  <c r="AB110" i="15" l="1"/>
  <c r="AC110" i="15"/>
  <c r="AD110" i="15"/>
  <c r="AE110" i="15"/>
  <c r="AF110" i="15"/>
  <c r="AG110" i="15"/>
  <c r="AH110" i="15"/>
  <c r="AB111" i="15"/>
  <c r="AC111" i="15"/>
  <c r="AD111" i="15"/>
  <c r="AE111" i="15"/>
  <c r="AF111" i="15"/>
  <c r="AG111" i="15"/>
  <c r="AH111" i="15"/>
  <c r="AB112" i="15"/>
  <c r="AC112" i="15"/>
  <c r="AD112" i="15"/>
  <c r="AE112" i="15"/>
  <c r="AF112" i="15"/>
  <c r="AG112" i="15"/>
  <c r="AH112" i="15"/>
  <c r="AB113" i="15"/>
  <c r="AC113" i="15"/>
  <c r="AD113" i="15"/>
  <c r="AE113" i="15"/>
  <c r="AF113" i="15"/>
  <c r="AG113" i="15"/>
  <c r="AH113" i="15"/>
  <c r="AB114" i="15"/>
  <c r="AB4" i="32" s="1"/>
  <c r="AB6" i="32" s="1"/>
  <c r="AC114" i="15"/>
  <c r="AC4" i="32" s="1"/>
  <c r="AC6" i="32" s="1"/>
  <c r="AD114" i="15"/>
  <c r="AD4" i="32" s="1"/>
  <c r="AD6" i="32" s="1"/>
  <c r="AE114" i="15"/>
  <c r="AE4" i="32" s="1"/>
  <c r="AE6" i="32" s="1"/>
  <c r="AF114" i="15"/>
  <c r="AF4" i="32" s="1"/>
  <c r="AF6" i="32" s="1"/>
  <c r="AG114" i="15"/>
  <c r="AG4" i="32" s="1"/>
  <c r="AG6" i="32" s="1"/>
  <c r="AH114" i="15"/>
  <c r="AH4" i="32" s="1"/>
  <c r="AH6" i="32" s="1"/>
  <c r="AB115" i="15"/>
  <c r="AC115" i="15"/>
  <c r="AD115" i="15"/>
  <c r="AE115" i="15"/>
  <c r="AF115" i="15"/>
  <c r="AG115" i="15"/>
  <c r="AH115" i="15"/>
  <c r="AB116" i="15"/>
  <c r="AC116" i="15"/>
  <c r="AD116" i="15"/>
  <c r="AE116" i="15"/>
  <c r="AF116" i="15"/>
  <c r="AG116" i="15"/>
  <c r="AH116" i="15"/>
  <c r="AB117" i="15"/>
  <c r="AB5" i="32" s="1"/>
  <c r="AC117" i="15"/>
  <c r="AC5" i="32" s="1"/>
  <c r="AD117" i="15"/>
  <c r="AD5" i="32" s="1"/>
  <c r="AE117" i="15"/>
  <c r="AE5" i="32" s="1"/>
  <c r="AF117" i="15"/>
  <c r="AF5" i="32" s="1"/>
  <c r="AG117" i="15"/>
  <c r="AG5" i="32" s="1"/>
  <c r="AH117" i="15"/>
  <c r="AH5" i="32" s="1"/>
  <c r="AB118" i="15"/>
  <c r="AC118" i="15"/>
  <c r="AD118" i="15"/>
  <c r="AE118" i="15"/>
  <c r="AF118" i="15"/>
  <c r="AG118" i="15"/>
  <c r="AH118" i="15"/>
  <c r="Z110" i="15" l="1"/>
  <c r="AA110" i="15"/>
  <c r="Z111" i="15"/>
  <c r="AA111" i="15"/>
  <c r="Z112" i="15"/>
  <c r="AA112" i="15"/>
  <c r="Z113" i="15"/>
  <c r="AA113" i="15"/>
  <c r="Z114" i="15"/>
  <c r="Z4" i="32" s="1"/>
  <c r="Z6" i="32" s="1"/>
  <c r="AA114" i="15"/>
  <c r="AA4" i="32" s="1"/>
  <c r="AA6" i="32" s="1"/>
  <c r="Z115" i="15"/>
  <c r="AA115" i="15"/>
  <c r="Z116" i="15"/>
  <c r="AA116" i="15"/>
  <c r="Z117" i="15"/>
  <c r="Z5" i="32" s="1"/>
  <c r="AA117" i="15"/>
  <c r="AA5" i="32" s="1"/>
  <c r="Z118" i="15"/>
  <c r="AA118" i="15"/>
  <c r="G25" i="19" l="1"/>
  <c r="H27" i="19" s="1"/>
  <c r="Y110" i="15"/>
  <c r="X111" i="15"/>
  <c r="Y111" i="15"/>
  <c r="X112" i="15"/>
  <c r="Y112" i="15"/>
  <c r="X113" i="15"/>
  <c r="Y113" i="15"/>
  <c r="X114" i="15"/>
  <c r="X4" i="32" s="1"/>
  <c r="X6" i="32" s="1"/>
  <c r="Y114" i="15"/>
  <c r="Y4" i="32" s="1"/>
  <c r="Y6" i="32" s="1"/>
  <c r="X115" i="15"/>
  <c r="Y115" i="15"/>
  <c r="X116" i="15"/>
  <c r="Y116" i="15"/>
  <c r="X117" i="15"/>
  <c r="X5" i="32" s="1"/>
  <c r="Y117" i="15"/>
  <c r="Y5" i="32" s="1"/>
  <c r="X118" i="15"/>
  <c r="Y118" i="15"/>
  <c r="W111" i="15"/>
  <c r="W112" i="15"/>
  <c r="W113" i="15"/>
  <c r="W114" i="15"/>
  <c r="W4" i="32" s="1"/>
  <c r="W6" i="32" s="1"/>
  <c r="W115" i="15"/>
  <c r="W116" i="15"/>
  <c r="W117" i="15"/>
  <c r="W5" i="32" s="1"/>
  <c r="W118" i="15"/>
  <c r="G25" i="20" l="1"/>
  <c r="G24" i="17"/>
  <c r="H26" i="17" s="1"/>
  <c r="J26" i="17" s="1"/>
  <c r="H23" i="18"/>
  <c r="AQ12" i="21" l="1"/>
  <c r="V110" i="15" l="1"/>
  <c r="V111" i="15"/>
  <c r="V112" i="15"/>
  <c r="V113" i="15"/>
  <c r="V114" i="15"/>
  <c r="V4" i="32" s="1"/>
  <c r="V6" i="32" s="1"/>
  <c r="V115" i="15"/>
  <c r="V116" i="15"/>
  <c r="V117" i="15"/>
  <c r="V5" i="32" s="1"/>
  <c r="V118" i="15"/>
  <c r="U110" i="15" l="1"/>
  <c r="U111" i="15"/>
  <c r="U112" i="15"/>
  <c r="U113" i="15"/>
  <c r="U114" i="15"/>
  <c r="U4" i="32" s="1"/>
  <c r="U6" i="32" s="1"/>
  <c r="U115" i="15"/>
  <c r="U116" i="15"/>
  <c r="U117" i="15"/>
  <c r="U5" i="32" s="1"/>
  <c r="U118" i="15"/>
  <c r="S110" i="15" l="1"/>
  <c r="T110" i="15"/>
  <c r="S111" i="15"/>
  <c r="T111" i="15"/>
  <c r="S112" i="15"/>
  <c r="T112" i="15"/>
  <c r="S113" i="15"/>
  <c r="T113" i="15"/>
  <c r="S114" i="15"/>
  <c r="S4" i="32" s="1"/>
  <c r="S6" i="32" s="1"/>
  <c r="T114" i="15"/>
  <c r="T4" i="32" s="1"/>
  <c r="T6" i="32" s="1"/>
  <c r="S115" i="15"/>
  <c r="T115" i="15"/>
  <c r="S116" i="15"/>
  <c r="T116" i="15"/>
  <c r="S117" i="15"/>
  <c r="S5" i="32" s="1"/>
  <c r="T117" i="15"/>
  <c r="T5" i="32" s="1"/>
  <c r="S118" i="15"/>
  <c r="T118" i="15"/>
  <c r="H48" i="18"/>
  <c r="R110" i="15" l="1"/>
  <c r="R111" i="15"/>
  <c r="R112" i="15"/>
  <c r="R113" i="15"/>
  <c r="R114" i="15"/>
  <c r="R4" i="32" s="1"/>
  <c r="R6" i="32" s="1"/>
  <c r="R115" i="15"/>
  <c r="R116" i="15"/>
  <c r="R117" i="15"/>
  <c r="R5" i="32" s="1"/>
  <c r="R118" i="15"/>
  <c r="P110" i="15" l="1"/>
  <c r="Q110" i="15"/>
  <c r="P111" i="15"/>
  <c r="Q111" i="15"/>
  <c r="P112" i="15"/>
  <c r="Q112" i="15"/>
  <c r="P113" i="15"/>
  <c r="Q113" i="15"/>
  <c r="P114" i="15"/>
  <c r="P4" i="32" s="1"/>
  <c r="P6" i="32" s="1"/>
  <c r="Q114" i="15"/>
  <c r="Q4" i="32" s="1"/>
  <c r="Q6" i="32" s="1"/>
  <c r="P115" i="15"/>
  <c r="Q115" i="15"/>
  <c r="P116" i="15"/>
  <c r="Q116" i="15"/>
  <c r="P117" i="15"/>
  <c r="P5" i="32" s="1"/>
  <c r="Q117" i="15"/>
  <c r="Q5" i="32" s="1"/>
  <c r="P118" i="15"/>
  <c r="Q118" i="15"/>
  <c r="AP10" i="21" l="1"/>
  <c r="P48" i="15" l="1"/>
  <c r="P50" i="15"/>
  <c r="AQ10" i="21" l="1"/>
  <c r="AP12" i="21"/>
  <c r="I114" i="15" l="1"/>
  <c r="I4" i="32" s="1"/>
  <c r="I6" i="32" s="1"/>
  <c r="J114" i="15"/>
  <c r="J4" i="32" s="1"/>
  <c r="J6" i="32" s="1"/>
  <c r="K114" i="15"/>
  <c r="K4" i="32" s="1"/>
  <c r="K6" i="32" s="1"/>
  <c r="L114" i="15"/>
  <c r="L4" i="32" s="1"/>
  <c r="L6" i="32" s="1"/>
  <c r="M114" i="15"/>
  <c r="M4" i="32" s="1"/>
  <c r="M6" i="32" s="1"/>
  <c r="N114" i="15"/>
  <c r="N4" i="32" s="1"/>
  <c r="N6" i="32" s="1"/>
  <c r="O114" i="15"/>
  <c r="O4" i="32" s="1"/>
  <c r="O6" i="32" s="1"/>
  <c r="I115" i="15"/>
  <c r="J115" i="15"/>
  <c r="K115" i="15"/>
  <c r="L115" i="15"/>
  <c r="M115" i="15"/>
  <c r="N115" i="15"/>
  <c r="O115" i="15"/>
  <c r="M116" i="15"/>
  <c r="N116" i="15"/>
  <c r="O116" i="15"/>
  <c r="I117" i="15"/>
  <c r="I5" i="32" s="1"/>
  <c r="J117" i="15"/>
  <c r="J5" i="32" s="1"/>
  <c r="K117" i="15"/>
  <c r="K5" i="32" s="1"/>
  <c r="L117" i="15"/>
  <c r="L5" i="32" s="1"/>
  <c r="M117" i="15"/>
  <c r="M5" i="32" s="1"/>
  <c r="N117" i="15"/>
  <c r="N5" i="32" s="1"/>
  <c r="O117" i="15"/>
  <c r="O5" i="32" s="1"/>
  <c r="L118" i="15"/>
  <c r="M118" i="15"/>
  <c r="N118" i="15"/>
  <c r="O118" i="15"/>
  <c r="H114" i="15"/>
  <c r="H4" i="32" s="1"/>
  <c r="H6" i="32" s="1"/>
  <c r="H115" i="15"/>
  <c r="H117" i="15"/>
  <c r="H5" i="32" s="1"/>
  <c r="G114" i="15"/>
  <c r="G4" i="32" s="1"/>
  <c r="G6" i="32" s="1"/>
  <c r="G115" i="15"/>
  <c r="G117" i="15"/>
  <c r="G5" i="32" s="1"/>
  <c r="F114" i="15"/>
  <c r="F4" i="32" s="1"/>
  <c r="F6" i="32" s="1"/>
  <c r="F115" i="15"/>
  <c r="F117" i="15"/>
  <c r="F5" i="32" s="1"/>
  <c r="E114" i="15"/>
  <c r="E4" i="32" s="1"/>
  <c r="E6" i="32" s="1"/>
  <c r="E115" i="15"/>
  <c r="E117" i="15"/>
  <c r="E5" i="32" s="1"/>
  <c r="D117" i="15"/>
  <c r="D5" i="32" s="1"/>
  <c r="D115" i="15"/>
  <c r="N110" i="15"/>
  <c r="O110" i="15"/>
  <c r="N111" i="15"/>
  <c r="O111" i="15"/>
  <c r="N112" i="15"/>
  <c r="O112" i="15"/>
  <c r="N113" i="15"/>
  <c r="O113" i="15"/>
  <c r="M110" i="15"/>
  <c r="M111" i="15"/>
  <c r="M112" i="15"/>
  <c r="M113" i="15"/>
  <c r="AI115" i="15" l="1"/>
  <c r="AI5" i="32" a="1"/>
  <c r="AI5" i="32" s="1"/>
  <c r="AI117" i="15"/>
  <c r="L110" i="15" l="1"/>
  <c r="L111" i="15"/>
  <c r="L112" i="15"/>
  <c r="L113" i="15"/>
  <c r="L116" i="15"/>
  <c r="E118" i="15"/>
  <c r="G118" i="15"/>
  <c r="H118" i="15"/>
  <c r="I118" i="15"/>
  <c r="J118" i="15"/>
  <c r="K118" i="15"/>
  <c r="K116" i="15"/>
  <c r="J116" i="15"/>
  <c r="I116" i="15"/>
  <c r="H116" i="15"/>
  <c r="G116" i="15"/>
  <c r="F116" i="15"/>
  <c r="E116" i="15"/>
  <c r="D116" i="15"/>
  <c r="AI170" i="3"/>
  <c r="AI169" i="3"/>
  <c r="AI171" i="3"/>
  <c r="AI172" i="3"/>
  <c r="AI109" i="3"/>
  <c r="AI108" i="3"/>
  <c r="AI106" i="3"/>
  <c r="AI105" i="3"/>
  <c r="N21" i="21" s="1"/>
  <c r="AI68" i="3"/>
  <c r="AI35" i="3"/>
  <c r="AI34" i="3"/>
  <c r="AI33" i="3"/>
  <c r="AI72" i="3"/>
  <c r="AI71" i="3"/>
  <c r="AI70" i="3"/>
  <c r="U19" i="21" s="1"/>
  <c r="AI69" i="3"/>
  <c r="U15" i="21" s="1"/>
  <c r="AI115" i="3"/>
  <c r="AI116" i="3"/>
  <c r="AI117" i="3"/>
  <c r="AI118" i="3"/>
  <c r="K110" i="15"/>
  <c r="K111" i="15"/>
  <c r="K112" i="15"/>
  <c r="K113" i="15"/>
  <c r="J110" i="15"/>
  <c r="J111" i="15"/>
  <c r="J112" i="15"/>
  <c r="J113" i="15"/>
  <c r="H25" i="20"/>
  <c r="J25" i="20" s="1"/>
  <c r="D26" i="20"/>
  <c r="H25" i="19"/>
  <c r="D26" i="19"/>
  <c r="D27" i="19" s="1"/>
  <c r="H24" i="17"/>
  <c r="J24" i="17" s="1"/>
  <c r="H26" i="18"/>
  <c r="J26" i="18" s="1"/>
  <c r="G40" i="19"/>
  <c r="H40" i="19" s="1"/>
  <c r="J40" i="19" s="1"/>
  <c r="J74" i="15"/>
  <c r="I110" i="15"/>
  <c r="I111" i="15"/>
  <c r="I112" i="15"/>
  <c r="I113" i="15"/>
  <c r="I74" i="15"/>
  <c r="H110" i="15"/>
  <c r="H111" i="15"/>
  <c r="H112" i="15"/>
  <c r="H113" i="15"/>
  <c r="H74" i="15"/>
  <c r="E110" i="15"/>
  <c r="F110" i="15"/>
  <c r="G110" i="15"/>
  <c r="E111" i="15"/>
  <c r="F111" i="15"/>
  <c r="G111" i="15"/>
  <c r="E112" i="15"/>
  <c r="F112" i="15"/>
  <c r="G112" i="15"/>
  <c r="E113" i="15"/>
  <c r="F113" i="15"/>
  <c r="G113" i="15"/>
  <c r="D111" i="15"/>
  <c r="D112" i="15"/>
  <c r="D113" i="15"/>
  <c r="D110" i="15"/>
  <c r="D114" i="15"/>
  <c r="E74" i="15"/>
  <c r="H38" i="18"/>
  <c r="J38" i="18" s="1"/>
  <c r="H26" i="20"/>
  <c r="J26" i="20" s="1"/>
  <c r="H32" i="20"/>
  <c r="J32" i="20" s="1"/>
  <c r="C16" i="20"/>
  <c r="H33" i="18"/>
  <c r="J33" i="18" s="1"/>
  <c r="H27" i="18"/>
  <c r="J27" i="18" s="1"/>
  <c r="H33" i="19"/>
  <c r="J33" i="19" s="1"/>
  <c r="I25" i="19"/>
  <c r="I26" i="19" s="1"/>
  <c r="I27" i="19" s="1"/>
  <c r="J27" i="19" s="1"/>
  <c r="AN15" i="21"/>
  <c r="H26" i="19"/>
  <c r="H25" i="17"/>
  <c r="J25" i="17" s="1"/>
  <c r="W24" i="17"/>
  <c r="AH82" i="15"/>
  <c r="AH83" i="15"/>
  <c r="AH84" i="15"/>
  <c r="AH85" i="15"/>
  <c r="AH86" i="15"/>
  <c r="AH87" i="15"/>
  <c r="AH88" i="15"/>
  <c r="AH89" i="15"/>
  <c r="AH90" i="15"/>
  <c r="AH91" i="15"/>
  <c r="AH92" i="15"/>
  <c r="AH93" i="15"/>
  <c r="AH94" i="15"/>
  <c r="AH95" i="15"/>
  <c r="AH96" i="15"/>
  <c r="AH97" i="15"/>
  <c r="AH98" i="15"/>
  <c r="AH99" i="15"/>
  <c r="AH100" i="15"/>
  <c r="AH101" i="15"/>
  <c r="AH102" i="15"/>
  <c r="AH103" i="15"/>
  <c r="AH104" i="15"/>
  <c r="AH105" i="15"/>
  <c r="AH106" i="15"/>
  <c r="AH107" i="15"/>
  <c r="AH56" i="15"/>
  <c r="AH57" i="15"/>
  <c r="AH58" i="15"/>
  <c r="AH59" i="15"/>
  <c r="AH60" i="15"/>
  <c r="AH61" i="15"/>
  <c r="AH62" i="15"/>
  <c r="AH63" i="15"/>
  <c r="AH64" i="15"/>
  <c r="AH65" i="15"/>
  <c r="AH66" i="15"/>
  <c r="AH67" i="15"/>
  <c r="AH68" i="15"/>
  <c r="AH69" i="15"/>
  <c r="AH70" i="15"/>
  <c r="AH71" i="15"/>
  <c r="AH72" i="15"/>
  <c r="AH73" i="15"/>
  <c r="AH74" i="15"/>
  <c r="AH75" i="15"/>
  <c r="AH76" i="15"/>
  <c r="AH77" i="15"/>
  <c r="AH9" i="32" s="1"/>
  <c r="AH10" i="32" s="1"/>
  <c r="AH7" i="32" s="1"/>
  <c r="AH78" i="15"/>
  <c r="AH30" i="15"/>
  <c r="AH31" i="15"/>
  <c r="AH32" i="15"/>
  <c r="AH33" i="15"/>
  <c r="AH34" i="15"/>
  <c r="AH35" i="15"/>
  <c r="AH36" i="15"/>
  <c r="AH37" i="15"/>
  <c r="AH38" i="15"/>
  <c r="AH39" i="15"/>
  <c r="AH40" i="15"/>
  <c r="AH41" i="15"/>
  <c r="AH42" i="15"/>
  <c r="AH43" i="15"/>
  <c r="AH44" i="15"/>
  <c r="AH45" i="15"/>
  <c r="AH46" i="15"/>
  <c r="AH47" i="15"/>
  <c r="AH48" i="15"/>
  <c r="AH49" i="15"/>
  <c r="AH50" i="15"/>
  <c r="AH51" i="15"/>
  <c r="AH52" i="15"/>
  <c r="AE4" i="15"/>
  <c r="AF4" i="15"/>
  <c r="AG4" i="15"/>
  <c r="AH4" i="15"/>
  <c r="AE5" i="15"/>
  <c r="AF5" i="15"/>
  <c r="AG5" i="15"/>
  <c r="AH5" i="15"/>
  <c r="AE6" i="15"/>
  <c r="AF6" i="15"/>
  <c r="AG6" i="15"/>
  <c r="AH6" i="15"/>
  <c r="AE7" i="15"/>
  <c r="AF7" i="15"/>
  <c r="AG7" i="15"/>
  <c r="AH7" i="15"/>
  <c r="AE8" i="15"/>
  <c r="AF8" i="15"/>
  <c r="AG8" i="15"/>
  <c r="AH8" i="15"/>
  <c r="AE9" i="15"/>
  <c r="AF9" i="15"/>
  <c r="AG9" i="15"/>
  <c r="AH9" i="15"/>
  <c r="AE10" i="15"/>
  <c r="AF10" i="15"/>
  <c r="AG10" i="15"/>
  <c r="AH10" i="15"/>
  <c r="AE11" i="15"/>
  <c r="AF11" i="15"/>
  <c r="AG11" i="15"/>
  <c r="AH11" i="15"/>
  <c r="AE12" i="15"/>
  <c r="AF12" i="15"/>
  <c r="AG12" i="15"/>
  <c r="AH12" i="15"/>
  <c r="AE13" i="15"/>
  <c r="AF13" i="15"/>
  <c r="AG13" i="15"/>
  <c r="AH13" i="15"/>
  <c r="AE14" i="15"/>
  <c r="AF14" i="15"/>
  <c r="AG14" i="15"/>
  <c r="AH14" i="15"/>
  <c r="AE15" i="15"/>
  <c r="AF15" i="15"/>
  <c r="AG15" i="15"/>
  <c r="AH15" i="15"/>
  <c r="AE16" i="15"/>
  <c r="AF16" i="15"/>
  <c r="AG16" i="15"/>
  <c r="AH16" i="15"/>
  <c r="AE17" i="15"/>
  <c r="AF17" i="15"/>
  <c r="AG17" i="15"/>
  <c r="AH17" i="15"/>
  <c r="AE18" i="15"/>
  <c r="AF18" i="15"/>
  <c r="AG18" i="15"/>
  <c r="AH18" i="15"/>
  <c r="AE19" i="15"/>
  <c r="AF19" i="15"/>
  <c r="AG19" i="15"/>
  <c r="AH19" i="15"/>
  <c r="AE20" i="15"/>
  <c r="AF20" i="15"/>
  <c r="AG20" i="15"/>
  <c r="AH20" i="15"/>
  <c r="AE21" i="15"/>
  <c r="AF21" i="15"/>
  <c r="AG21" i="15"/>
  <c r="AH21" i="15"/>
  <c r="AE22" i="15"/>
  <c r="AF22" i="15"/>
  <c r="AG22" i="15"/>
  <c r="AH22" i="15"/>
  <c r="AE23" i="15"/>
  <c r="AF23" i="15"/>
  <c r="AG23" i="15"/>
  <c r="AH23" i="15"/>
  <c r="AE24" i="15"/>
  <c r="AF24" i="15"/>
  <c r="AG24" i="15"/>
  <c r="AH24" i="15"/>
  <c r="AE25" i="15"/>
  <c r="AF25" i="15"/>
  <c r="AG25" i="15"/>
  <c r="AH25" i="15"/>
  <c r="AE26" i="15"/>
  <c r="AF26" i="15"/>
  <c r="AG26" i="15"/>
  <c r="AH26" i="15"/>
  <c r="N21" i="20"/>
  <c r="AB4" i="15"/>
  <c r="AC4" i="15"/>
  <c r="AD4" i="15"/>
  <c r="M21" i="17"/>
  <c r="N8" i="15"/>
  <c r="P18" i="20"/>
  <c r="H34" i="17"/>
  <c r="J34" i="17" s="1"/>
  <c r="AG82" i="15"/>
  <c r="AG83" i="15"/>
  <c r="AG84" i="15"/>
  <c r="AG85" i="15"/>
  <c r="AG86" i="15"/>
  <c r="AG87" i="15"/>
  <c r="AG88" i="15"/>
  <c r="AG89" i="15"/>
  <c r="AG90" i="15"/>
  <c r="AG91" i="15"/>
  <c r="AG92" i="15"/>
  <c r="AG93" i="15"/>
  <c r="AG94" i="15"/>
  <c r="AG95" i="15"/>
  <c r="AG96" i="15"/>
  <c r="AG97" i="15"/>
  <c r="AG98" i="15"/>
  <c r="AG99" i="15"/>
  <c r="AG100" i="15"/>
  <c r="AG101" i="15"/>
  <c r="AG102" i="15"/>
  <c r="AG103" i="15"/>
  <c r="AG104" i="15"/>
  <c r="AG105" i="15"/>
  <c r="AG106" i="15"/>
  <c r="AG107" i="15"/>
  <c r="AG56" i="15"/>
  <c r="AG57" i="15"/>
  <c r="AG58" i="15"/>
  <c r="AG59" i="15"/>
  <c r="AG60" i="15"/>
  <c r="AG61" i="15"/>
  <c r="AG62" i="15"/>
  <c r="AG63" i="15"/>
  <c r="AG64" i="15"/>
  <c r="AG65" i="15"/>
  <c r="AG66" i="15"/>
  <c r="AG67" i="15"/>
  <c r="AG68" i="15"/>
  <c r="AG69" i="15"/>
  <c r="AG70" i="15"/>
  <c r="AG71" i="15"/>
  <c r="AG72" i="15"/>
  <c r="AG73" i="15"/>
  <c r="AG74" i="15"/>
  <c r="AG75" i="15"/>
  <c r="AG76" i="15"/>
  <c r="AG77" i="15"/>
  <c r="AG9" i="32" s="1"/>
  <c r="AG10" i="32" s="1"/>
  <c r="AG7" i="32" s="1"/>
  <c r="AG78" i="15"/>
  <c r="AG30" i="15"/>
  <c r="AG31" i="15"/>
  <c r="AG32" i="15"/>
  <c r="AG33" i="15"/>
  <c r="AG34" i="15"/>
  <c r="AG35" i="15"/>
  <c r="AG36" i="15"/>
  <c r="AG37" i="15"/>
  <c r="AG38" i="15"/>
  <c r="AG39" i="15"/>
  <c r="AG40" i="15"/>
  <c r="AG41" i="15"/>
  <c r="AG42" i="15"/>
  <c r="AG43" i="15"/>
  <c r="AG44" i="15"/>
  <c r="AG45" i="15"/>
  <c r="AG46" i="15"/>
  <c r="AG47" i="15"/>
  <c r="AG48" i="15"/>
  <c r="AG49" i="15"/>
  <c r="AG50" i="15"/>
  <c r="AG51" i="15"/>
  <c r="AG52" i="15"/>
  <c r="Z16" i="18"/>
  <c r="Z16" i="17"/>
  <c r="Z16" i="19"/>
  <c r="AE82" i="15"/>
  <c r="AF82" i="15"/>
  <c r="AE83" i="15"/>
  <c r="AF83" i="15"/>
  <c r="AE84" i="15"/>
  <c r="AF84" i="15"/>
  <c r="AE85" i="15"/>
  <c r="AF85" i="15"/>
  <c r="AE86" i="15"/>
  <c r="AF86" i="15"/>
  <c r="AE87" i="15"/>
  <c r="AF87" i="15"/>
  <c r="AE88" i="15"/>
  <c r="AF88" i="15"/>
  <c r="AE89" i="15"/>
  <c r="AF89" i="15"/>
  <c r="AE90" i="15"/>
  <c r="AF90" i="15"/>
  <c r="AE91" i="15"/>
  <c r="AF91" i="15"/>
  <c r="AE92" i="15"/>
  <c r="AF92" i="15"/>
  <c r="AE93" i="15"/>
  <c r="AF93" i="15"/>
  <c r="AE94" i="15"/>
  <c r="AF94" i="15"/>
  <c r="AE95" i="15"/>
  <c r="AF95" i="15"/>
  <c r="AE96" i="15"/>
  <c r="AF96" i="15"/>
  <c r="AE97" i="15"/>
  <c r="AF97" i="15"/>
  <c r="AE98" i="15"/>
  <c r="AF98" i="15"/>
  <c r="AE99" i="15"/>
  <c r="AF99" i="15"/>
  <c r="AE100" i="15"/>
  <c r="AF100" i="15"/>
  <c r="AE101" i="15"/>
  <c r="AF101" i="15"/>
  <c r="AE102" i="15"/>
  <c r="AF102" i="15"/>
  <c r="AE103" i="15"/>
  <c r="AF103" i="15"/>
  <c r="AE104" i="15"/>
  <c r="AF104" i="15"/>
  <c r="AE105" i="15"/>
  <c r="AF105" i="15"/>
  <c r="AE106" i="15"/>
  <c r="AF106" i="15"/>
  <c r="AE107" i="15"/>
  <c r="AF107" i="15"/>
  <c r="AE56" i="15"/>
  <c r="AF56" i="15"/>
  <c r="AE57" i="15"/>
  <c r="AF57" i="15"/>
  <c r="AE58" i="15"/>
  <c r="AF58" i="15"/>
  <c r="AE59" i="15"/>
  <c r="AF59" i="15"/>
  <c r="AE60" i="15"/>
  <c r="AF60" i="15"/>
  <c r="AE61" i="15"/>
  <c r="AF61" i="15"/>
  <c r="AE62" i="15"/>
  <c r="AF62" i="15"/>
  <c r="AE63" i="15"/>
  <c r="AF63" i="15"/>
  <c r="AE64" i="15"/>
  <c r="AF64" i="15"/>
  <c r="AE65" i="15"/>
  <c r="AF65" i="15"/>
  <c r="AE66" i="15"/>
  <c r="AF66" i="15"/>
  <c r="AE67" i="15"/>
  <c r="AF67" i="15"/>
  <c r="AE68" i="15"/>
  <c r="AF68" i="15"/>
  <c r="AE69" i="15"/>
  <c r="AF69" i="15"/>
  <c r="AE70" i="15"/>
  <c r="AF70" i="15"/>
  <c r="AE71" i="15"/>
  <c r="AF71" i="15"/>
  <c r="AE72" i="15"/>
  <c r="AF72" i="15"/>
  <c r="AE73" i="15"/>
  <c r="AF73" i="15"/>
  <c r="AE74" i="15"/>
  <c r="AF74" i="15"/>
  <c r="AE75" i="15"/>
  <c r="AF75" i="15"/>
  <c r="AE76" i="15"/>
  <c r="AF76" i="15"/>
  <c r="AE77" i="15"/>
  <c r="AE9" i="32" s="1"/>
  <c r="AE10" i="32" s="1"/>
  <c r="AE7" i="32" s="1"/>
  <c r="AF77" i="15"/>
  <c r="AF9" i="32" s="1"/>
  <c r="AF10" i="32" s="1"/>
  <c r="AF7" i="32" s="1"/>
  <c r="AE78" i="15"/>
  <c r="AF78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D82" i="15"/>
  <c r="AD83" i="15"/>
  <c r="AD84" i="15"/>
  <c r="AD85" i="15"/>
  <c r="AD86" i="15"/>
  <c r="AD87" i="15"/>
  <c r="AD88" i="15"/>
  <c r="AD89" i="15"/>
  <c r="AD90" i="15"/>
  <c r="AD91" i="15"/>
  <c r="AD92" i="15"/>
  <c r="AD93" i="15"/>
  <c r="AD94" i="15"/>
  <c r="AD95" i="15"/>
  <c r="AD96" i="15"/>
  <c r="AD97" i="15"/>
  <c r="AD98" i="15"/>
  <c r="AD99" i="15"/>
  <c r="AD100" i="15"/>
  <c r="AD101" i="15"/>
  <c r="AD102" i="15"/>
  <c r="AD103" i="15"/>
  <c r="AD104" i="15"/>
  <c r="AD105" i="15"/>
  <c r="AD106" i="15"/>
  <c r="AD107" i="15"/>
  <c r="AD56" i="15"/>
  <c r="AD57" i="15"/>
  <c r="AD58" i="15"/>
  <c r="AD59" i="15"/>
  <c r="AD60" i="15"/>
  <c r="AD61" i="15"/>
  <c r="AD62" i="15"/>
  <c r="AD63" i="15"/>
  <c r="AD64" i="15"/>
  <c r="AD65" i="15"/>
  <c r="AD66" i="15"/>
  <c r="AD67" i="15"/>
  <c r="AD68" i="15"/>
  <c r="AD69" i="15"/>
  <c r="AD70" i="15"/>
  <c r="AD71" i="15"/>
  <c r="AD72" i="15"/>
  <c r="AD73" i="15"/>
  <c r="AD74" i="15"/>
  <c r="AD75" i="15"/>
  <c r="AD76" i="15"/>
  <c r="AD77" i="15"/>
  <c r="AD9" i="32" s="1"/>
  <c r="AD10" i="32" s="1"/>
  <c r="AD7" i="32" s="1"/>
  <c r="AD78" i="15"/>
  <c r="AD5" i="15"/>
  <c r="AD6" i="15"/>
  <c r="AD7" i="15"/>
  <c r="AD8" i="15"/>
  <c r="AD9" i="15"/>
  <c r="AD10" i="15"/>
  <c r="AD11" i="15"/>
  <c r="AD12" i="15"/>
  <c r="AD13" i="15"/>
  <c r="AD14" i="15"/>
  <c r="AD15" i="15"/>
  <c r="AD16" i="15"/>
  <c r="AD17" i="15"/>
  <c r="AD18" i="15"/>
  <c r="AD19" i="15"/>
  <c r="AD20" i="15"/>
  <c r="AD21" i="15"/>
  <c r="AD22" i="15"/>
  <c r="AD23" i="15"/>
  <c r="AD24" i="15"/>
  <c r="AD25" i="15"/>
  <c r="AD26" i="15"/>
  <c r="AG1" i="23"/>
  <c r="AC82" i="15"/>
  <c r="AC83" i="15"/>
  <c r="AC84" i="15"/>
  <c r="AC85" i="15"/>
  <c r="AC86" i="15"/>
  <c r="AC87" i="15"/>
  <c r="AC88" i="15"/>
  <c r="AC89" i="15"/>
  <c r="AC90" i="15"/>
  <c r="AC91" i="15"/>
  <c r="AC92" i="15"/>
  <c r="AC93" i="15"/>
  <c r="AC94" i="15"/>
  <c r="AC95" i="15"/>
  <c r="AC96" i="15"/>
  <c r="AC97" i="15"/>
  <c r="AC98" i="15"/>
  <c r="AC99" i="15"/>
  <c r="AC100" i="15"/>
  <c r="AC101" i="15"/>
  <c r="AC102" i="15"/>
  <c r="AC103" i="15"/>
  <c r="AC104" i="15"/>
  <c r="AC105" i="15"/>
  <c r="AC106" i="15"/>
  <c r="AC107" i="15"/>
  <c r="AC56" i="15"/>
  <c r="AC57" i="15"/>
  <c r="AC58" i="15"/>
  <c r="AC59" i="15"/>
  <c r="AC60" i="15"/>
  <c r="AC61" i="15"/>
  <c r="AC62" i="15"/>
  <c r="AC63" i="15"/>
  <c r="AC64" i="15"/>
  <c r="AC65" i="15"/>
  <c r="AC66" i="15"/>
  <c r="AC67" i="15"/>
  <c r="AC68" i="15"/>
  <c r="AC69" i="15"/>
  <c r="AC70" i="15"/>
  <c r="AC71" i="15"/>
  <c r="AC72" i="15"/>
  <c r="AC73" i="15"/>
  <c r="AC74" i="15"/>
  <c r="AC75" i="15"/>
  <c r="AC76" i="15"/>
  <c r="AC77" i="15"/>
  <c r="AC9" i="32" s="1"/>
  <c r="AC10" i="32" s="1"/>
  <c r="AC7" i="32" s="1"/>
  <c r="AC78" i="15"/>
  <c r="AC5" i="15"/>
  <c r="AC6" i="15"/>
  <c r="AC7" i="15"/>
  <c r="AC8" i="15"/>
  <c r="AC9" i="15"/>
  <c r="AC10" i="15"/>
  <c r="AC11" i="15"/>
  <c r="AC12" i="15"/>
  <c r="AC13" i="15"/>
  <c r="AC14" i="15"/>
  <c r="AC15" i="15"/>
  <c r="AC16" i="15"/>
  <c r="AC17" i="15"/>
  <c r="AC18" i="15"/>
  <c r="AC19" i="15"/>
  <c r="AC20" i="15"/>
  <c r="AC21" i="15"/>
  <c r="AC22" i="15"/>
  <c r="AC24" i="15"/>
  <c r="AC25" i="15"/>
  <c r="AC26" i="15"/>
  <c r="N49" i="18"/>
  <c r="N50" i="18" s="1"/>
  <c r="N51" i="18" s="1"/>
  <c r="L50" i="18"/>
  <c r="AB82" i="15"/>
  <c r="AB83" i="15"/>
  <c r="AB84" i="15"/>
  <c r="AB85" i="15"/>
  <c r="AB86" i="15"/>
  <c r="AB87" i="15"/>
  <c r="AB88" i="15"/>
  <c r="AB89" i="15"/>
  <c r="AB90" i="15"/>
  <c r="AB91" i="15"/>
  <c r="AB92" i="15"/>
  <c r="AB93" i="15"/>
  <c r="AB94" i="15"/>
  <c r="AB95" i="15"/>
  <c r="AB96" i="15"/>
  <c r="AB97" i="15"/>
  <c r="AB98" i="15"/>
  <c r="AB99" i="15"/>
  <c r="AB100" i="15"/>
  <c r="AB101" i="15"/>
  <c r="AB102" i="15"/>
  <c r="AB103" i="15"/>
  <c r="AB104" i="15"/>
  <c r="AB105" i="15"/>
  <c r="AB106" i="15"/>
  <c r="AB107" i="15"/>
  <c r="AB74" i="15"/>
  <c r="AB75" i="15"/>
  <c r="AB76" i="15"/>
  <c r="AB77" i="15"/>
  <c r="AB9" i="32" s="1"/>
  <c r="AB10" i="32" s="1"/>
  <c r="AB7" i="32" s="1"/>
  <c r="AB78" i="15"/>
  <c r="AB5" i="15"/>
  <c r="AB6" i="15"/>
  <c r="AB7" i="15"/>
  <c r="AB8" i="15"/>
  <c r="AB9" i="15"/>
  <c r="AB10" i="15"/>
  <c r="AB11" i="15"/>
  <c r="AB12" i="15"/>
  <c r="AB13" i="15"/>
  <c r="AB14" i="15"/>
  <c r="AB15" i="15"/>
  <c r="AB16" i="15"/>
  <c r="AB17" i="15"/>
  <c r="AB18" i="15"/>
  <c r="AB19" i="15"/>
  <c r="AB20" i="15"/>
  <c r="AB21" i="15"/>
  <c r="AB22" i="15"/>
  <c r="AB23" i="15"/>
  <c r="AB25" i="15"/>
  <c r="AB26" i="15"/>
  <c r="AB106" i="21"/>
  <c r="AA105" i="21" s="1"/>
  <c r="AA4" i="15"/>
  <c r="P63" i="18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82" i="15"/>
  <c r="AA83" i="15"/>
  <c r="AA84" i="15"/>
  <c r="AA85" i="15"/>
  <c r="AA86" i="15"/>
  <c r="AA87" i="15"/>
  <c r="AA88" i="15"/>
  <c r="AA89" i="15"/>
  <c r="AA90" i="15"/>
  <c r="AA91" i="15"/>
  <c r="AA92" i="15"/>
  <c r="AA93" i="15"/>
  <c r="AA94" i="15"/>
  <c r="AA95" i="15"/>
  <c r="AA96" i="15"/>
  <c r="AA97" i="15"/>
  <c r="AA98" i="15"/>
  <c r="AA99" i="15"/>
  <c r="AA100" i="15"/>
  <c r="AA101" i="15"/>
  <c r="AA102" i="15"/>
  <c r="AA103" i="15"/>
  <c r="AA104" i="15"/>
  <c r="AA105" i="15"/>
  <c r="AA106" i="15"/>
  <c r="AA107" i="15"/>
  <c r="Z39" i="17"/>
  <c r="AA46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7" i="15"/>
  <c r="AA48" i="15"/>
  <c r="AA49" i="15"/>
  <c r="AA50" i="15"/>
  <c r="AA51" i="15"/>
  <c r="AA52" i="15"/>
  <c r="AA74" i="15"/>
  <c r="AA75" i="15"/>
  <c r="AA76" i="15"/>
  <c r="AA77" i="15"/>
  <c r="AA9" i="32" s="1"/>
  <c r="AA10" i="32" s="1"/>
  <c r="AA7" i="32" s="1"/>
  <c r="AA78" i="15"/>
  <c r="P21" i="18"/>
  <c r="P17" i="18"/>
  <c r="Q17" i="18"/>
  <c r="Z82" i="15"/>
  <c r="Z83" i="15"/>
  <c r="Z84" i="15"/>
  <c r="Z85" i="15"/>
  <c r="Z86" i="15"/>
  <c r="Z87" i="15"/>
  <c r="Z88" i="15"/>
  <c r="Z89" i="15"/>
  <c r="Z90" i="15"/>
  <c r="Z91" i="15"/>
  <c r="Z92" i="15"/>
  <c r="Z93" i="15"/>
  <c r="Z94" i="15"/>
  <c r="Z95" i="15"/>
  <c r="Z96" i="15"/>
  <c r="Z97" i="15"/>
  <c r="Z98" i="15"/>
  <c r="Z99" i="15"/>
  <c r="Z100" i="15"/>
  <c r="Z101" i="15"/>
  <c r="Z102" i="15"/>
  <c r="Z103" i="15"/>
  <c r="Z104" i="15"/>
  <c r="Z105" i="15"/>
  <c r="Z106" i="15"/>
  <c r="Z107" i="15"/>
  <c r="Z74" i="15"/>
  <c r="Z75" i="15"/>
  <c r="Z76" i="15"/>
  <c r="Z77" i="15"/>
  <c r="Z9" i="32" s="1"/>
  <c r="Z10" i="32" s="1"/>
  <c r="Z7" i="32" s="1"/>
  <c r="Z78" i="15"/>
  <c r="Z30" i="15"/>
  <c r="Z31" i="15"/>
  <c r="Z32" i="15"/>
  <c r="Z33" i="15"/>
  <c r="Z34" i="15"/>
  <c r="Z35" i="15"/>
  <c r="Z36" i="15"/>
  <c r="Z37" i="15"/>
  <c r="Z38" i="15"/>
  <c r="Z39" i="15"/>
  <c r="Z40" i="15"/>
  <c r="Z41" i="15"/>
  <c r="Z42" i="15"/>
  <c r="Z43" i="15"/>
  <c r="Z44" i="15"/>
  <c r="Z45" i="15"/>
  <c r="Z46" i="15"/>
  <c r="Z47" i="15"/>
  <c r="Z48" i="15"/>
  <c r="Z49" i="15"/>
  <c r="Z50" i="15"/>
  <c r="Z52" i="15"/>
  <c r="Z4" i="15"/>
  <c r="Z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X4" i="15"/>
  <c r="Y4" i="15"/>
  <c r="X5" i="15"/>
  <c r="Y5" i="15"/>
  <c r="X6" i="15"/>
  <c r="Y6" i="15"/>
  <c r="X7" i="15"/>
  <c r="Y7" i="15"/>
  <c r="X8" i="15"/>
  <c r="Y8" i="15"/>
  <c r="X9" i="15"/>
  <c r="Y9" i="15"/>
  <c r="X10" i="15"/>
  <c r="Y10" i="15"/>
  <c r="X11" i="15"/>
  <c r="Y11" i="15"/>
  <c r="X12" i="15"/>
  <c r="Y12" i="15"/>
  <c r="X13" i="15"/>
  <c r="Y13" i="15"/>
  <c r="X14" i="15"/>
  <c r="Y14" i="15"/>
  <c r="X15" i="15"/>
  <c r="Y15" i="15"/>
  <c r="X16" i="15"/>
  <c r="Y16" i="15"/>
  <c r="X17" i="15"/>
  <c r="Y17" i="15"/>
  <c r="X18" i="15"/>
  <c r="Y18" i="15"/>
  <c r="X19" i="15"/>
  <c r="Y19" i="15"/>
  <c r="X20" i="15"/>
  <c r="Y20" i="15"/>
  <c r="X21" i="15"/>
  <c r="Y21" i="15"/>
  <c r="Y22" i="15"/>
  <c r="Y23" i="15"/>
  <c r="Y24" i="15"/>
  <c r="Y25" i="15"/>
  <c r="Y26" i="15"/>
  <c r="Y77" i="15"/>
  <c r="Y9" i="32" s="1"/>
  <c r="Y10" i="32" s="1"/>
  <c r="Y7" i="32" s="1"/>
  <c r="Y78" i="15"/>
  <c r="X82" i="15"/>
  <c r="Y82" i="15"/>
  <c r="X83" i="15"/>
  <c r="Y83" i="15"/>
  <c r="X84" i="15"/>
  <c r="Y84" i="15"/>
  <c r="X85" i="15"/>
  <c r="Y85" i="15"/>
  <c r="X86" i="15"/>
  <c r="Y86" i="15"/>
  <c r="X87" i="15"/>
  <c r="Y87" i="15"/>
  <c r="X88" i="15"/>
  <c r="Y88" i="15"/>
  <c r="X89" i="15"/>
  <c r="Y89" i="15"/>
  <c r="X90" i="15"/>
  <c r="Y90" i="15"/>
  <c r="X91" i="15"/>
  <c r="Y91" i="15"/>
  <c r="X92" i="15"/>
  <c r="Y92" i="15"/>
  <c r="X93" i="15"/>
  <c r="Y93" i="15"/>
  <c r="X94" i="15"/>
  <c r="Y94" i="15"/>
  <c r="X95" i="15"/>
  <c r="Y95" i="15"/>
  <c r="X96" i="15"/>
  <c r="Y96" i="15"/>
  <c r="X97" i="15"/>
  <c r="Y97" i="15"/>
  <c r="X98" i="15"/>
  <c r="Y98" i="15"/>
  <c r="X99" i="15"/>
  <c r="Y99" i="15"/>
  <c r="X100" i="15"/>
  <c r="Y100" i="15"/>
  <c r="X101" i="15"/>
  <c r="Y101" i="15"/>
  <c r="X102" i="15"/>
  <c r="Y102" i="15"/>
  <c r="X103" i="15"/>
  <c r="Y103" i="15"/>
  <c r="X104" i="15"/>
  <c r="Y104" i="15"/>
  <c r="X105" i="15"/>
  <c r="Y105" i="15"/>
  <c r="X106" i="15"/>
  <c r="Y106" i="15"/>
  <c r="X107" i="15"/>
  <c r="Y107" i="15"/>
  <c r="X78" i="15"/>
  <c r="X74" i="15"/>
  <c r="Y74" i="15"/>
  <c r="X75" i="15"/>
  <c r="Y75" i="15"/>
  <c r="X76" i="15"/>
  <c r="Y76" i="15"/>
  <c r="X77" i="15"/>
  <c r="X9" i="32" s="1"/>
  <c r="X10" i="32" s="1"/>
  <c r="X7" i="32" s="1"/>
  <c r="X30" i="15"/>
  <c r="Y30" i="15"/>
  <c r="X31" i="15"/>
  <c r="Y31" i="15"/>
  <c r="X32" i="15"/>
  <c r="Y32" i="15"/>
  <c r="X33" i="15"/>
  <c r="Y33" i="15"/>
  <c r="X34" i="15"/>
  <c r="Y34" i="15"/>
  <c r="X35" i="15"/>
  <c r="Y35" i="15"/>
  <c r="X36" i="15"/>
  <c r="Y36" i="15"/>
  <c r="X37" i="15"/>
  <c r="Y37" i="15"/>
  <c r="X38" i="15"/>
  <c r="Y38" i="15"/>
  <c r="X39" i="15"/>
  <c r="Y39" i="15"/>
  <c r="X40" i="15"/>
  <c r="Y40" i="15"/>
  <c r="X41" i="15"/>
  <c r="Y41" i="15"/>
  <c r="X42" i="15"/>
  <c r="Y42" i="15"/>
  <c r="X43" i="15"/>
  <c r="Y43" i="15"/>
  <c r="X44" i="15"/>
  <c r="Y44" i="15"/>
  <c r="X45" i="15"/>
  <c r="Y45" i="15"/>
  <c r="X46" i="15"/>
  <c r="Y46" i="15"/>
  <c r="X47" i="15"/>
  <c r="Y47" i="15"/>
  <c r="X48" i="15"/>
  <c r="Y48" i="15"/>
  <c r="X49" i="15"/>
  <c r="Y49" i="15"/>
  <c r="X50" i="15"/>
  <c r="Y50" i="15"/>
  <c r="X51" i="15"/>
  <c r="X52" i="15"/>
  <c r="Y52" i="15"/>
  <c r="X22" i="15"/>
  <c r="X23" i="15"/>
  <c r="X24" i="15"/>
  <c r="X25" i="15"/>
  <c r="X26" i="15"/>
  <c r="W82" i="15"/>
  <c r="W83" i="15"/>
  <c r="W84" i="15"/>
  <c r="W85" i="15"/>
  <c r="W86" i="15"/>
  <c r="W87" i="15"/>
  <c r="W88" i="15"/>
  <c r="W89" i="15"/>
  <c r="W90" i="15"/>
  <c r="W91" i="15"/>
  <c r="W92" i="15"/>
  <c r="W93" i="15"/>
  <c r="W94" i="15"/>
  <c r="W95" i="15"/>
  <c r="W96" i="15"/>
  <c r="W97" i="15"/>
  <c r="W98" i="15"/>
  <c r="W99" i="15"/>
  <c r="W100" i="15"/>
  <c r="W101" i="15"/>
  <c r="W102" i="15"/>
  <c r="W103" i="15"/>
  <c r="W104" i="15"/>
  <c r="W105" i="15"/>
  <c r="W106" i="15"/>
  <c r="W107" i="15"/>
  <c r="W74" i="15"/>
  <c r="W75" i="15"/>
  <c r="W76" i="15"/>
  <c r="W77" i="15"/>
  <c r="W9" i="32" s="1"/>
  <c r="W10" i="32" s="1"/>
  <c r="W7" i="32" s="1"/>
  <c r="W78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V82" i="15"/>
  <c r="V83" i="15"/>
  <c r="V84" i="15"/>
  <c r="V85" i="15"/>
  <c r="V86" i="15"/>
  <c r="V87" i="15"/>
  <c r="V88" i="15"/>
  <c r="V89" i="15"/>
  <c r="V90" i="15"/>
  <c r="V91" i="15"/>
  <c r="V92" i="15"/>
  <c r="V93" i="15"/>
  <c r="V94" i="15"/>
  <c r="V95" i="15"/>
  <c r="V96" i="15"/>
  <c r="V97" i="15"/>
  <c r="V98" i="15"/>
  <c r="V99" i="15"/>
  <c r="V100" i="15"/>
  <c r="V101" i="15"/>
  <c r="V102" i="15"/>
  <c r="V103" i="15"/>
  <c r="V104" i="15"/>
  <c r="V105" i="15"/>
  <c r="V106" i="15"/>
  <c r="V107" i="15"/>
  <c r="V9" i="32"/>
  <c r="V10" i="32" s="1"/>
  <c r="V7" i="32" s="1"/>
  <c r="V30" i="15"/>
  <c r="V31" i="15"/>
  <c r="V32" i="15"/>
  <c r="V33" i="15"/>
  <c r="V34" i="15"/>
  <c r="V35" i="15"/>
  <c r="V36" i="15"/>
  <c r="V37" i="15"/>
  <c r="V38" i="15"/>
  <c r="V39" i="15"/>
  <c r="V40" i="15"/>
  <c r="V41" i="15"/>
  <c r="V42" i="15"/>
  <c r="V43" i="15"/>
  <c r="V44" i="15"/>
  <c r="V45" i="15"/>
  <c r="V46" i="15"/>
  <c r="V47" i="15"/>
  <c r="V48" i="15"/>
  <c r="V49" i="15"/>
  <c r="V50" i="15"/>
  <c r="V51" i="15"/>
  <c r="V52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24" i="15"/>
  <c r="V25" i="15"/>
  <c r="V26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9" i="32"/>
  <c r="U10" i="32" s="1"/>
  <c r="U7" i="32" s="1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T82" i="15"/>
  <c r="T83" i="15"/>
  <c r="T84" i="15"/>
  <c r="T85" i="15"/>
  <c r="T86" i="15"/>
  <c r="T87" i="15"/>
  <c r="T88" i="15"/>
  <c r="T89" i="15"/>
  <c r="T90" i="15"/>
  <c r="T91" i="15"/>
  <c r="T92" i="15"/>
  <c r="T93" i="15"/>
  <c r="T94" i="15"/>
  <c r="T95" i="15"/>
  <c r="T96" i="15"/>
  <c r="T97" i="15"/>
  <c r="T98" i="15"/>
  <c r="T99" i="15"/>
  <c r="T100" i="15"/>
  <c r="T101" i="15"/>
  <c r="T102" i="15"/>
  <c r="T103" i="15"/>
  <c r="T104" i="15"/>
  <c r="T105" i="15"/>
  <c r="T106" i="15"/>
  <c r="T107" i="15"/>
  <c r="T74" i="15"/>
  <c r="T75" i="15"/>
  <c r="T76" i="15"/>
  <c r="T77" i="15"/>
  <c r="T9" i="32" s="1"/>
  <c r="T10" i="32" s="1"/>
  <c r="T7" i="32" s="1"/>
  <c r="T78" i="15"/>
  <c r="T30" i="15"/>
  <c r="T31" i="15"/>
  <c r="T32" i="15"/>
  <c r="T33" i="15"/>
  <c r="T34" i="15"/>
  <c r="T35" i="15"/>
  <c r="T36" i="15"/>
  <c r="T37" i="15"/>
  <c r="T38" i="15"/>
  <c r="T39" i="15"/>
  <c r="T40" i="15"/>
  <c r="T41" i="15"/>
  <c r="T42" i="15"/>
  <c r="T43" i="15"/>
  <c r="T44" i="15"/>
  <c r="T45" i="15"/>
  <c r="T46" i="15"/>
  <c r="T47" i="15"/>
  <c r="T48" i="15"/>
  <c r="T49" i="15"/>
  <c r="T50" i="15"/>
  <c r="T51" i="15"/>
  <c r="T52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S107" i="15"/>
  <c r="S82" i="15"/>
  <c r="S83" i="15"/>
  <c r="S84" i="15"/>
  <c r="S85" i="15"/>
  <c r="S86" i="15"/>
  <c r="S87" i="15"/>
  <c r="S88" i="15"/>
  <c r="S89" i="15"/>
  <c r="S90" i="15"/>
  <c r="S91" i="15"/>
  <c r="S92" i="15"/>
  <c r="S93" i="15"/>
  <c r="S94" i="15"/>
  <c r="S95" i="15"/>
  <c r="S96" i="15"/>
  <c r="S97" i="15"/>
  <c r="S98" i="15"/>
  <c r="S99" i="15"/>
  <c r="S100" i="15"/>
  <c r="S101" i="15"/>
  <c r="S102" i="15"/>
  <c r="S103" i="15"/>
  <c r="S104" i="15"/>
  <c r="S105" i="15"/>
  <c r="S106" i="15"/>
  <c r="S74" i="15"/>
  <c r="S75" i="15"/>
  <c r="S76" i="15"/>
  <c r="S77" i="15"/>
  <c r="S9" i="32" s="1"/>
  <c r="S10" i="32" s="1"/>
  <c r="S7" i="32" s="1"/>
  <c r="S78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Q82" i="15"/>
  <c r="R82" i="15"/>
  <c r="Q83" i="15"/>
  <c r="R83" i="15"/>
  <c r="Q84" i="15"/>
  <c r="R84" i="15"/>
  <c r="Q85" i="15"/>
  <c r="R85" i="15"/>
  <c r="Q86" i="15"/>
  <c r="R86" i="15"/>
  <c r="Q87" i="15"/>
  <c r="R87" i="15"/>
  <c r="Q88" i="15"/>
  <c r="R88" i="15"/>
  <c r="Q89" i="15"/>
  <c r="R89" i="15"/>
  <c r="Q90" i="15"/>
  <c r="R90" i="15"/>
  <c r="Q91" i="15"/>
  <c r="R91" i="15"/>
  <c r="Q92" i="15"/>
  <c r="R92" i="15"/>
  <c r="Q93" i="15"/>
  <c r="R93" i="15"/>
  <c r="Q94" i="15"/>
  <c r="R94" i="15"/>
  <c r="Q95" i="15"/>
  <c r="R95" i="15"/>
  <c r="Q96" i="15"/>
  <c r="R96" i="15"/>
  <c r="Q97" i="15"/>
  <c r="R97" i="15"/>
  <c r="Q98" i="15"/>
  <c r="R98" i="15"/>
  <c r="Q99" i="15"/>
  <c r="R99" i="15"/>
  <c r="Q100" i="15"/>
  <c r="R100" i="15"/>
  <c r="Q101" i="15"/>
  <c r="R101" i="15"/>
  <c r="Q102" i="15"/>
  <c r="R102" i="15"/>
  <c r="Q103" i="15"/>
  <c r="R103" i="15"/>
  <c r="Q104" i="15"/>
  <c r="R104" i="15"/>
  <c r="Q105" i="15"/>
  <c r="R105" i="15"/>
  <c r="Q106" i="15"/>
  <c r="R106" i="15"/>
  <c r="Q107" i="15"/>
  <c r="R107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P30" i="15"/>
  <c r="Q30" i="15"/>
  <c r="P31" i="15"/>
  <c r="Q31" i="15"/>
  <c r="P32" i="15"/>
  <c r="Q32" i="15"/>
  <c r="P33" i="15"/>
  <c r="Q33" i="15"/>
  <c r="P34" i="15"/>
  <c r="Q34" i="15"/>
  <c r="P35" i="15"/>
  <c r="Q35" i="15"/>
  <c r="P36" i="15"/>
  <c r="Q36" i="15"/>
  <c r="P37" i="15"/>
  <c r="Q37" i="15"/>
  <c r="P38" i="15"/>
  <c r="Q38" i="15"/>
  <c r="P39" i="15"/>
  <c r="Q39" i="15"/>
  <c r="P40" i="15"/>
  <c r="Q40" i="15"/>
  <c r="P41" i="15"/>
  <c r="Q41" i="15"/>
  <c r="P42" i="15"/>
  <c r="Q42" i="15"/>
  <c r="P43" i="15"/>
  <c r="Q43" i="15"/>
  <c r="P44" i="15"/>
  <c r="Q44" i="15"/>
  <c r="P45" i="15"/>
  <c r="Q45" i="15"/>
  <c r="P46" i="15"/>
  <c r="Q46" i="15"/>
  <c r="P47" i="15"/>
  <c r="Q47" i="15"/>
  <c r="Q48" i="15"/>
  <c r="P49" i="15"/>
  <c r="Q49" i="15"/>
  <c r="Q50" i="15"/>
  <c r="P51" i="15"/>
  <c r="Q51" i="15"/>
  <c r="P52" i="15"/>
  <c r="Q52" i="15"/>
  <c r="P4" i="15"/>
  <c r="Q4" i="15"/>
  <c r="R4" i="15"/>
  <c r="P5" i="15"/>
  <c r="Q5" i="15"/>
  <c r="R5" i="15"/>
  <c r="P6" i="15"/>
  <c r="Q6" i="15"/>
  <c r="R6" i="15"/>
  <c r="P7" i="15"/>
  <c r="Q7" i="15"/>
  <c r="R7" i="15"/>
  <c r="P8" i="15"/>
  <c r="Q8" i="15"/>
  <c r="R8" i="15"/>
  <c r="P9" i="15"/>
  <c r="Q9" i="15"/>
  <c r="R9" i="15"/>
  <c r="P10" i="15"/>
  <c r="Q10" i="15"/>
  <c r="R10" i="15"/>
  <c r="P11" i="15"/>
  <c r="Q11" i="15"/>
  <c r="R11" i="15"/>
  <c r="P12" i="15"/>
  <c r="Q12" i="15"/>
  <c r="R12" i="15"/>
  <c r="P13" i="15"/>
  <c r="Q13" i="15"/>
  <c r="R13" i="15"/>
  <c r="P14" i="15"/>
  <c r="Q14" i="15"/>
  <c r="R14" i="15"/>
  <c r="P15" i="15"/>
  <c r="Q15" i="15"/>
  <c r="R15" i="15"/>
  <c r="P16" i="15"/>
  <c r="Q16" i="15"/>
  <c r="R16" i="15"/>
  <c r="P17" i="15"/>
  <c r="Q17" i="15"/>
  <c r="R17" i="15"/>
  <c r="P18" i="15"/>
  <c r="Q18" i="15"/>
  <c r="R18" i="15"/>
  <c r="P19" i="15"/>
  <c r="Q19" i="15"/>
  <c r="R19" i="15"/>
  <c r="P20" i="15"/>
  <c r="Q20" i="15"/>
  <c r="R20" i="15"/>
  <c r="P21" i="15"/>
  <c r="Q21" i="15"/>
  <c r="R21" i="15"/>
  <c r="P22" i="15"/>
  <c r="Q22" i="15"/>
  <c r="R22" i="15"/>
  <c r="P23" i="15"/>
  <c r="Q23" i="15"/>
  <c r="R23" i="15"/>
  <c r="P24" i="15"/>
  <c r="Q24" i="15"/>
  <c r="R24" i="15"/>
  <c r="P25" i="15"/>
  <c r="Q25" i="15"/>
  <c r="R25" i="15"/>
  <c r="P26" i="15"/>
  <c r="Q26" i="15"/>
  <c r="R26" i="15"/>
  <c r="O26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W39" i="20"/>
  <c r="V39" i="20"/>
  <c r="H39" i="20"/>
  <c r="J39" i="20" s="1"/>
  <c r="W38" i="20"/>
  <c r="V38" i="20"/>
  <c r="W37" i="20"/>
  <c r="V37" i="20"/>
  <c r="G19" i="20"/>
  <c r="I19" i="20"/>
  <c r="Y41" i="19"/>
  <c r="X41" i="19"/>
  <c r="C41" i="19" s="1"/>
  <c r="H41" i="19"/>
  <c r="J41" i="19" s="1"/>
  <c r="Y40" i="19"/>
  <c r="X40" i="19"/>
  <c r="C40" i="19" s="1"/>
  <c r="Q40" i="19" s="1"/>
  <c r="Y39" i="19"/>
  <c r="X39" i="19"/>
  <c r="C39" i="19" s="1"/>
  <c r="G19" i="19"/>
  <c r="I19" i="19"/>
  <c r="J42" i="17"/>
  <c r="W42" i="17"/>
  <c r="V42" i="17"/>
  <c r="W41" i="17"/>
  <c r="V41" i="17"/>
  <c r="J41" i="17"/>
  <c r="G19" i="17"/>
  <c r="I19" i="17"/>
  <c r="W32" i="20"/>
  <c r="V32" i="20"/>
  <c r="W31" i="20"/>
  <c r="V31" i="20"/>
  <c r="G31" i="20"/>
  <c r="H31" i="20" s="1"/>
  <c r="J31" i="20" s="1"/>
  <c r="W26" i="20"/>
  <c r="V26" i="20"/>
  <c r="W25" i="20"/>
  <c r="V25" i="20"/>
  <c r="Y33" i="19"/>
  <c r="X33" i="19"/>
  <c r="Y32" i="19"/>
  <c r="X32" i="19"/>
  <c r="D34" i="17"/>
  <c r="G32" i="18"/>
  <c r="H32" i="18" s="1"/>
  <c r="J32" i="18" s="1"/>
  <c r="W33" i="18"/>
  <c r="V33" i="18"/>
  <c r="W32" i="18"/>
  <c r="V32" i="18"/>
  <c r="AN3" i="21"/>
  <c r="AP3" i="21"/>
  <c r="AP2" i="21"/>
  <c r="G33" i="17"/>
  <c r="H33" i="17" s="1"/>
  <c r="J33" i="17" s="1"/>
  <c r="W34" i="17"/>
  <c r="V34" i="17"/>
  <c r="W33" i="17"/>
  <c r="V33" i="17"/>
  <c r="W25" i="17"/>
  <c r="V25" i="17"/>
  <c r="W27" i="18"/>
  <c r="V27" i="18"/>
  <c r="W26" i="18"/>
  <c r="V26" i="18"/>
  <c r="U19" i="20"/>
  <c r="T19" i="20"/>
  <c r="R19" i="20"/>
  <c r="D18" i="20"/>
  <c r="C18" i="20"/>
  <c r="H18" i="20"/>
  <c r="J18" i="20" s="1"/>
  <c r="D17" i="20"/>
  <c r="C17" i="20"/>
  <c r="H17" i="20"/>
  <c r="J17" i="20" s="1"/>
  <c r="D16" i="20"/>
  <c r="H16" i="20"/>
  <c r="J16" i="20" s="1"/>
  <c r="D15" i="20"/>
  <c r="C15" i="20"/>
  <c r="H15" i="20"/>
  <c r="J15" i="20" s="1"/>
  <c r="D14" i="20"/>
  <c r="C14" i="20"/>
  <c r="H14" i="20"/>
  <c r="J14" i="20" s="1"/>
  <c r="D13" i="20"/>
  <c r="C13" i="20"/>
  <c r="H13" i="20"/>
  <c r="J13" i="20" s="1"/>
  <c r="C12" i="20"/>
  <c r="H12" i="20"/>
  <c r="J12" i="20" s="1"/>
  <c r="C11" i="20"/>
  <c r="H11" i="20"/>
  <c r="J11" i="20" s="1"/>
  <c r="D10" i="20"/>
  <c r="H10" i="20"/>
  <c r="J10" i="20" s="1"/>
  <c r="C10" i="20"/>
  <c r="C9" i="20"/>
  <c r="H9" i="20"/>
  <c r="J9" i="20" s="1"/>
  <c r="D8" i="20"/>
  <c r="C8" i="20"/>
  <c r="H8" i="20"/>
  <c r="J8" i="20" s="1"/>
  <c r="D7" i="20"/>
  <c r="H7" i="20"/>
  <c r="J7" i="20" s="1"/>
  <c r="P2" i="20"/>
  <c r="P1" i="20"/>
  <c r="P4" i="20" s="1"/>
  <c r="W19" i="19"/>
  <c r="V19" i="19"/>
  <c r="T19" i="19"/>
  <c r="D18" i="19"/>
  <c r="C18" i="19"/>
  <c r="H18" i="19"/>
  <c r="J18" i="19" s="1"/>
  <c r="D17" i="19"/>
  <c r="C17" i="19"/>
  <c r="H17" i="19"/>
  <c r="J17" i="19" s="1"/>
  <c r="D16" i="19"/>
  <c r="C16" i="19"/>
  <c r="H16" i="19"/>
  <c r="J16" i="19" s="1"/>
  <c r="D15" i="19"/>
  <c r="C15" i="19"/>
  <c r="H15" i="19"/>
  <c r="J15" i="19" s="1"/>
  <c r="D14" i="19"/>
  <c r="C14" i="19"/>
  <c r="H14" i="19"/>
  <c r="J14" i="19" s="1"/>
  <c r="D13" i="19"/>
  <c r="C13" i="19"/>
  <c r="H13" i="19"/>
  <c r="J13" i="19" s="1"/>
  <c r="H12" i="19"/>
  <c r="J12" i="19" s="1"/>
  <c r="C11" i="19"/>
  <c r="C25" i="19" s="1"/>
  <c r="H11" i="19"/>
  <c r="J11" i="19" s="1"/>
  <c r="C10" i="19"/>
  <c r="H10" i="19"/>
  <c r="D9" i="19"/>
  <c r="C9" i="19"/>
  <c r="C32" i="19" s="1"/>
  <c r="H9" i="19"/>
  <c r="J9" i="19" s="1"/>
  <c r="C8" i="19"/>
  <c r="H8" i="19"/>
  <c r="J8" i="19" s="1"/>
  <c r="D7" i="19"/>
  <c r="C7" i="19"/>
  <c r="H7" i="19"/>
  <c r="J7" i="19" s="1"/>
  <c r="R4" i="19"/>
  <c r="R2" i="19"/>
  <c r="R3" i="19" s="1"/>
  <c r="U19" i="18"/>
  <c r="T19" i="18"/>
  <c r="S19" i="18"/>
  <c r="R19" i="18"/>
  <c r="I19" i="18"/>
  <c r="I37" i="18" s="1"/>
  <c r="G19" i="18"/>
  <c r="G37" i="18" s="1"/>
  <c r="G39" i="18" s="1"/>
  <c r="D18" i="18"/>
  <c r="C18" i="18"/>
  <c r="H18" i="18"/>
  <c r="J18" i="18" s="1"/>
  <c r="D17" i="18"/>
  <c r="C17" i="18"/>
  <c r="H17" i="18"/>
  <c r="J17" i="18" s="1"/>
  <c r="D16" i="18"/>
  <c r="C16" i="18"/>
  <c r="H16" i="18"/>
  <c r="J16" i="18" s="1"/>
  <c r="C15" i="18"/>
  <c r="H15" i="18"/>
  <c r="J15" i="18" s="1"/>
  <c r="D14" i="18"/>
  <c r="H14" i="18"/>
  <c r="J14" i="18" s="1"/>
  <c r="D13" i="18"/>
  <c r="C13" i="18"/>
  <c r="H13" i="18"/>
  <c r="J13" i="18" s="1"/>
  <c r="C12" i="18"/>
  <c r="H12" i="18"/>
  <c r="J12" i="18" s="1"/>
  <c r="C11" i="18"/>
  <c r="H11" i="18"/>
  <c r="J11" i="18" s="1"/>
  <c r="C10" i="18"/>
  <c r="H10" i="18"/>
  <c r="J10" i="18" s="1"/>
  <c r="D9" i="18"/>
  <c r="C9" i="18"/>
  <c r="H9" i="18"/>
  <c r="D8" i="18"/>
  <c r="AI10" i="21" s="1"/>
  <c r="C8" i="18"/>
  <c r="H8" i="18"/>
  <c r="J8" i="18" s="1"/>
  <c r="D7" i="18"/>
  <c r="C7" i="18"/>
  <c r="H7" i="18"/>
  <c r="J7" i="18" s="1"/>
  <c r="P4" i="18"/>
  <c r="P2" i="18"/>
  <c r="P3" i="18" s="1"/>
  <c r="E25" i="18" s="1"/>
  <c r="F25" i="18" s="1"/>
  <c r="K25" i="18" s="1"/>
  <c r="U19" i="17"/>
  <c r="T19" i="17"/>
  <c r="S19" i="17"/>
  <c r="R19" i="17"/>
  <c r="D18" i="17"/>
  <c r="C18" i="17"/>
  <c r="H18" i="17"/>
  <c r="J18" i="17" s="1"/>
  <c r="D17" i="17"/>
  <c r="C17" i="17"/>
  <c r="H17" i="17"/>
  <c r="J17" i="17" s="1"/>
  <c r="D16" i="17"/>
  <c r="C16" i="17"/>
  <c r="H16" i="17"/>
  <c r="J16" i="17" s="1"/>
  <c r="D15" i="17"/>
  <c r="C15" i="17"/>
  <c r="H15" i="17"/>
  <c r="J15" i="17" s="1"/>
  <c r="D14" i="17"/>
  <c r="C14" i="17"/>
  <c r="H14" i="17"/>
  <c r="D13" i="17"/>
  <c r="H13" i="17"/>
  <c r="J13" i="17" s="1"/>
  <c r="C12" i="17"/>
  <c r="H12" i="17"/>
  <c r="J12" i="17" s="1"/>
  <c r="C11" i="17"/>
  <c r="C24" i="17" s="1"/>
  <c r="H11" i="17"/>
  <c r="J11" i="17" s="1"/>
  <c r="C10" i="17"/>
  <c r="H10" i="17"/>
  <c r="J10" i="17" s="1"/>
  <c r="C9" i="17"/>
  <c r="H9" i="17"/>
  <c r="J9" i="17" s="1"/>
  <c r="D8" i="17"/>
  <c r="U10" i="21" s="1"/>
  <c r="C8" i="17"/>
  <c r="H8" i="17"/>
  <c r="J8" i="17" s="1"/>
  <c r="C7" i="17"/>
  <c r="H7" i="17"/>
  <c r="J7" i="17" s="1"/>
  <c r="P4" i="17"/>
  <c r="P2" i="17"/>
  <c r="P3" i="17" s="1"/>
  <c r="N48" i="15"/>
  <c r="N49" i="15"/>
  <c r="N50" i="15"/>
  <c r="N51" i="15"/>
  <c r="N52" i="15"/>
  <c r="N4" i="15"/>
  <c r="N5" i="15"/>
  <c r="N6" i="15"/>
  <c r="N7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4" i="15"/>
  <c r="J25" i="15"/>
  <c r="J26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F106" i="15"/>
  <c r="F107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E107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30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3" i="15"/>
  <c r="D24" i="15"/>
  <c r="D25" i="15"/>
  <c r="D26" i="15"/>
  <c r="D4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E84" i="15"/>
  <c r="F84" i="15"/>
  <c r="G84" i="15"/>
  <c r="H84" i="15"/>
  <c r="I84" i="15"/>
  <c r="J84" i="15"/>
  <c r="K84" i="15"/>
  <c r="L84" i="15"/>
  <c r="M84" i="15"/>
  <c r="N84" i="15"/>
  <c r="O84" i="15"/>
  <c r="P84" i="15"/>
  <c r="E85" i="15"/>
  <c r="F85" i="15"/>
  <c r="G85" i="15"/>
  <c r="H85" i="15"/>
  <c r="I85" i="15"/>
  <c r="J85" i="15"/>
  <c r="K85" i="15"/>
  <c r="L85" i="15"/>
  <c r="M85" i="15"/>
  <c r="N85" i="15"/>
  <c r="O85" i="15"/>
  <c r="P85" i="15"/>
  <c r="E86" i="15"/>
  <c r="F86" i="15"/>
  <c r="G86" i="15"/>
  <c r="H86" i="15"/>
  <c r="I86" i="15"/>
  <c r="J86" i="15"/>
  <c r="K86" i="15"/>
  <c r="L86" i="15"/>
  <c r="M86" i="15"/>
  <c r="N86" i="15"/>
  <c r="O86" i="15"/>
  <c r="P86" i="15"/>
  <c r="E87" i="15"/>
  <c r="F87" i="15"/>
  <c r="G87" i="15"/>
  <c r="J87" i="15"/>
  <c r="K87" i="15"/>
  <c r="L87" i="15"/>
  <c r="M87" i="15"/>
  <c r="N87" i="15"/>
  <c r="O87" i="15"/>
  <c r="P87" i="15"/>
  <c r="E88" i="15"/>
  <c r="F88" i="15"/>
  <c r="G88" i="15"/>
  <c r="H88" i="15"/>
  <c r="I88" i="15"/>
  <c r="J88" i="15"/>
  <c r="K88" i="15"/>
  <c r="L88" i="15"/>
  <c r="M88" i="15"/>
  <c r="N88" i="15"/>
  <c r="O88" i="15"/>
  <c r="P88" i="15"/>
  <c r="E89" i="15"/>
  <c r="F89" i="15"/>
  <c r="G89" i="15"/>
  <c r="H89" i="15"/>
  <c r="I89" i="15"/>
  <c r="J89" i="15"/>
  <c r="K89" i="15"/>
  <c r="L89" i="15"/>
  <c r="M89" i="15"/>
  <c r="N89" i="15"/>
  <c r="O89" i="15"/>
  <c r="P89" i="15"/>
  <c r="E90" i="15"/>
  <c r="F90" i="15"/>
  <c r="G90" i="15"/>
  <c r="H90" i="15"/>
  <c r="I90" i="15"/>
  <c r="J90" i="15"/>
  <c r="K90" i="15"/>
  <c r="L90" i="15"/>
  <c r="M90" i="15"/>
  <c r="N90" i="15"/>
  <c r="O90" i="15"/>
  <c r="P90" i="15"/>
  <c r="E91" i="15"/>
  <c r="F91" i="15"/>
  <c r="G91" i="15"/>
  <c r="H91" i="15"/>
  <c r="I91" i="15"/>
  <c r="J91" i="15"/>
  <c r="K91" i="15"/>
  <c r="L91" i="15"/>
  <c r="M91" i="15"/>
  <c r="N91" i="15"/>
  <c r="O91" i="15"/>
  <c r="P91" i="15"/>
  <c r="E92" i="15"/>
  <c r="F92" i="15"/>
  <c r="G92" i="15"/>
  <c r="H92" i="15"/>
  <c r="I92" i="15"/>
  <c r="J92" i="15"/>
  <c r="K92" i="15"/>
  <c r="L92" i="15"/>
  <c r="M92" i="15"/>
  <c r="N92" i="15"/>
  <c r="O92" i="15"/>
  <c r="P92" i="15"/>
  <c r="E93" i="15"/>
  <c r="F93" i="15"/>
  <c r="G93" i="15"/>
  <c r="H93" i="15"/>
  <c r="I93" i="15"/>
  <c r="J93" i="15"/>
  <c r="K93" i="15"/>
  <c r="L93" i="15"/>
  <c r="M93" i="15"/>
  <c r="N93" i="15"/>
  <c r="O93" i="15"/>
  <c r="P93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E99" i="15"/>
  <c r="F99" i="15"/>
  <c r="G99" i="15"/>
  <c r="H99" i="15"/>
  <c r="I99" i="15"/>
  <c r="J99" i="15"/>
  <c r="K99" i="15"/>
  <c r="L99" i="15"/>
  <c r="M99" i="15"/>
  <c r="N99" i="15"/>
  <c r="O99" i="15"/>
  <c r="P99" i="15"/>
  <c r="E100" i="15"/>
  <c r="F100" i="15"/>
  <c r="G100" i="15"/>
  <c r="H100" i="15"/>
  <c r="I100" i="15"/>
  <c r="J100" i="15"/>
  <c r="K100" i="15"/>
  <c r="L100" i="15"/>
  <c r="M100" i="15"/>
  <c r="N100" i="15"/>
  <c r="O100" i="15"/>
  <c r="P100" i="15"/>
  <c r="E101" i="15"/>
  <c r="F101" i="15"/>
  <c r="G101" i="15"/>
  <c r="H101" i="15"/>
  <c r="I101" i="15"/>
  <c r="J101" i="15"/>
  <c r="K101" i="15"/>
  <c r="L101" i="15"/>
  <c r="M101" i="15"/>
  <c r="N101" i="15"/>
  <c r="O101" i="15"/>
  <c r="P101" i="15"/>
  <c r="E102" i="15"/>
  <c r="F102" i="15"/>
  <c r="G102" i="15"/>
  <c r="H102" i="15"/>
  <c r="I102" i="15"/>
  <c r="J102" i="15"/>
  <c r="K102" i="15"/>
  <c r="L102" i="15"/>
  <c r="M102" i="15"/>
  <c r="N102" i="15"/>
  <c r="O102" i="15"/>
  <c r="P102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E106" i="15"/>
  <c r="G106" i="15"/>
  <c r="H106" i="15"/>
  <c r="I106" i="15"/>
  <c r="J106" i="15"/>
  <c r="K106" i="15"/>
  <c r="L106" i="15"/>
  <c r="M106" i="15"/>
  <c r="N106" i="15"/>
  <c r="O106" i="15"/>
  <c r="P106" i="15"/>
  <c r="G107" i="15"/>
  <c r="H107" i="15"/>
  <c r="I107" i="15"/>
  <c r="J107" i="15"/>
  <c r="K107" i="15"/>
  <c r="L107" i="15"/>
  <c r="M107" i="15"/>
  <c r="N107" i="15"/>
  <c r="O107" i="15"/>
  <c r="P107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6" i="15"/>
  <c r="D107" i="15"/>
  <c r="D82" i="15"/>
  <c r="F74" i="15"/>
  <c r="K74" i="15"/>
  <c r="L74" i="15"/>
  <c r="M74" i="15"/>
  <c r="N74" i="15"/>
  <c r="O74" i="15"/>
  <c r="P74" i="15"/>
  <c r="Q74" i="15"/>
  <c r="R74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E77" i="15"/>
  <c r="E9" i="32" s="1"/>
  <c r="E10" i="32" s="1"/>
  <c r="E7" i="32" s="1"/>
  <c r="F77" i="15"/>
  <c r="F9" i="32" s="1"/>
  <c r="F10" i="32" s="1"/>
  <c r="F7" i="32" s="1"/>
  <c r="G77" i="15"/>
  <c r="G9" i="32" s="1"/>
  <c r="G10" i="32" s="1"/>
  <c r="G7" i="32" s="1"/>
  <c r="H77" i="15"/>
  <c r="H9" i="32" s="1"/>
  <c r="H10" i="32" s="1"/>
  <c r="H7" i="32" s="1"/>
  <c r="I77" i="15"/>
  <c r="I9" i="32" s="1"/>
  <c r="I10" i="32" s="1"/>
  <c r="I7" i="32" s="1"/>
  <c r="J77" i="15"/>
  <c r="J9" i="32" s="1"/>
  <c r="J10" i="32" s="1"/>
  <c r="J7" i="32" s="1"/>
  <c r="K77" i="15"/>
  <c r="K9" i="32" s="1"/>
  <c r="K10" i="32" s="1"/>
  <c r="K7" i="32" s="1"/>
  <c r="L77" i="15"/>
  <c r="L9" i="32" s="1"/>
  <c r="L10" i="32" s="1"/>
  <c r="L7" i="32" s="1"/>
  <c r="M77" i="15"/>
  <c r="M9" i="32" s="1"/>
  <c r="M10" i="32" s="1"/>
  <c r="M7" i="32" s="1"/>
  <c r="N77" i="15"/>
  <c r="N9" i="32" s="1"/>
  <c r="N10" i="32" s="1"/>
  <c r="N7" i="32" s="1"/>
  <c r="O77" i="15"/>
  <c r="O9" i="32" s="1"/>
  <c r="O10" i="32" s="1"/>
  <c r="O7" i="32" s="1"/>
  <c r="P77" i="15"/>
  <c r="P9" i="32" s="1"/>
  <c r="P10" i="32" s="1"/>
  <c r="P7" i="32" s="1"/>
  <c r="Q77" i="15"/>
  <c r="Q9" i="32" s="1"/>
  <c r="Q10" i="32" s="1"/>
  <c r="Q7" i="32" s="1"/>
  <c r="R77" i="15"/>
  <c r="R9" i="32" s="1"/>
  <c r="R10" i="32" s="1"/>
  <c r="R7" i="32" s="1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D74" i="15"/>
  <c r="D75" i="15"/>
  <c r="D76" i="15"/>
  <c r="D77" i="15"/>
  <c r="D9" i="32" s="1"/>
  <c r="D10" i="32" s="1"/>
  <c r="D78" i="15"/>
  <c r="AI24" i="3"/>
  <c r="G7" i="12"/>
  <c r="E12" i="8"/>
  <c r="I10" i="8"/>
  <c r="I7" i="8"/>
  <c r="J6" i="8"/>
  <c r="I6" i="8"/>
  <c r="G5" i="8"/>
  <c r="G7" i="8" s="1"/>
  <c r="H6" i="8"/>
  <c r="E7" i="8"/>
  <c r="F6" i="8"/>
  <c r="E6" i="8"/>
  <c r="AI135" i="3"/>
  <c r="AI134" i="3"/>
  <c r="AI133" i="3"/>
  <c r="AI132" i="3"/>
  <c r="AI131" i="3"/>
  <c r="F93" i="38" s="1"/>
  <c r="G93" i="38" s="1"/>
  <c r="AI130" i="3"/>
  <c r="AI129" i="3"/>
  <c r="AI128" i="3"/>
  <c r="AI127" i="3"/>
  <c r="AI126" i="3"/>
  <c r="AI125" i="3"/>
  <c r="AI124" i="3"/>
  <c r="AI123" i="3"/>
  <c r="AI122" i="3"/>
  <c r="AI121" i="3"/>
  <c r="AI120" i="3"/>
  <c r="AI119" i="3"/>
  <c r="AI98" i="3"/>
  <c r="D33" i="19"/>
  <c r="AI95" i="3"/>
  <c r="AI94" i="3"/>
  <c r="AI93" i="3"/>
  <c r="AI92" i="3"/>
  <c r="AI91" i="3"/>
  <c r="AI90" i="3"/>
  <c r="AI89" i="3"/>
  <c r="AI88" i="3"/>
  <c r="AI87" i="3"/>
  <c r="AI86" i="3"/>
  <c r="AI85" i="3"/>
  <c r="AI84" i="3"/>
  <c r="AI83" i="3"/>
  <c r="AI82" i="3"/>
  <c r="AI81" i="3"/>
  <c r="AI80" i="3"/>
  <c r="AI79" i="3"/>
  <c r="AI78" i="3"/>
  <c r="AI61" i="3"/>
  <c r="AI59" i="3"/>
  <c r="AI58" i="3"/>
  <c r="AI57" i="3"/>
  <c r="AI56" i="3"/>
  <c r="AI55" i="3"/>
  <c r="AI54" i="3"/>
  <c r="AI53" i="3"/>
  <c r="AI52" i="3"/>
  <c r="AI51" i="3"/>
  <c r="AI50" i="3"/>
  <c r="AI49" i="3"/>
  <c r="AI48" i="3"/>
  <c r="AI47" i="3"/>
  <c r="AI46" i="3"/>
  <c r="AI45" i="3"/>
  <c r="AI44" i="3"/>
  <c r="AI43" i="3"/>
  <c r="AI42" i="3"/>
  <c r="AI41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C29" i="6"/>
  <c r="C30" i="6"/>
  <c r="C31" i="6"/>
  <c r="C32" i="6"/>
  <c r="C7" i="20"/>
  <c r="C25" i="20" s="1"/>
  <c r="G6" i="8"/>
  <c r="V24" i="17"/>
  <c r="X25" i="19"/>
  <c r="X26" i="19"/>
  <c r="Y25" i="19"/>
  <c r="D25" i="17"/>
  <c r="D26" i="17" s="1"/>
  <c r="G74" i="15"/>
  <c r="J9" i="18"/>
  <c r="AI96" i="3"/>
  <c r="O6" i="21" s="1"/>
  <c r="H37" i="20"/>
  <c r="J37" i="20" s="1"/>
  <c r="H38" i="20"/>
  <c r="J38" i="20" s="1"/>
  <c r="U17" i="21" l="1"/>
  <c r="F8" i="38"/>
  <c r="U21" i="21"/>
  <c r="U9" i="21" s="1"/>
  <c r="F10" i="38"/>
  <c r="V6" i="21"/>
  <c r="V7" i="21" s="1"/>
  <c r="F6" i="38"/>
  <c r="AI17" i="21"/>
  <c r="AI18" i="21" s="1"/>
  <c r="F79" i="38"/>
  <c r="I20" i="21"/>
  <c r="AK22" i="21"/>
  <c r="AJ135" i="3"/>
  <c r="AL135" i="3" s="1"/>
  <c r="AJ59" i="3"/>
  <c r="AL59" i="3" s="1"/>
  <c r="AJ21" i="3"/>
  <c r="E26" i="17"/>
  <c r="F26" i="17" s="1"/>
  <c r="K26" i="17" s="1"/>
  <c r="N26" i="17" s="1"/>
  <c r="C25" i="18"/>
  <c r="C26" i="18"/>
  <c r="C32" i="18" s="1"/>
  <c r="C33" i="18" s="1"/>
  <c r="C27" i="18"/>
  <c r="O27" i="18" s="1"/>
  <c r="Q17" i="19"/>
  <c r="D38" i="20"/>
  <c r="O38" i="20" s="1"/>
  <c r="AD10" i="21"/>
  <c r="E27" i="19"/>
  <c r="F27" i="19" s="1"/>
  <c r="K27" i="19" s="1"/>
  <c r="N27" i="19" s="1"/>
  <c r="G23" i="21"/>
  <c r="L25" i="18"/>
  <c r="N25" i="18"/>
  <c r="M25" i="18"/>
  <c r="E15" i="19"/>
  <c r="F15" i="19" s="1"/>
  <c r="E25" i="19"/>
  <c r="F25" i="19" s="1"/>
  <c r="N22" i="21"/>
  <c r="P22" i="21"/>
  <c r="AJ106" i="3"/>
  <c r="AI167" i="3"/>
  <c r="G32" i="19" s="1"/>
  <c r="H32" i="19" s="1"/>
  <c r="J32" i="19" s="1"/>
  <c r="N17" i="21"/>
  <c r="AI76" i="15"/>
  <c r="Y26" i="19"/>
  <c r="AI103" i="15"/>
  <c r="D6" i="32"/>
  <c r="AI6" i="32" s="1"/>
  <c r="E8" i="8"/>
  <c r="E33" i="19"/>
  <c r="F33" i="19" s="1"/>
  <c r="K33" i="19" s="1"/>
  <c r="E9" i="19"/>
  <c r="F9" i="19" s="1"/>
  <c r="K9" i="19" s="1"/>
  <c r="AI200" i="3"/>
  <c r="AJ95" i="3"/>
  <c r="C33" i="17"/>
  <c r="C25" i="17"/>
  <c r="D37" i="20"/>
  <c r="O14" i="20"/>
  <c r="D19" i="19"/>
  <c r="E13" i="17"/>
  <c r="F13" i="17" s="1"/>
  <c r="K13" i="17" s="1"/>
  <c r="AD13" i="17" s="1"/>
  <c r="O16" i="17"/>
  <c r="O17" i="17"/>
  <c r="E11" i="17"/>
  <c r="F11" i="17" s="1"/>
  <c r="K11" i="17" s="1"/>
  <c r="K15" i="19"/>
  <c r="AE15" i="19" s="1"/>
  <c r="O12" i="20"/>
  <c r="AI114" i="15"/>
  <c r="D4" i="32"/>
  <c r="AI4" i="32" s="1"/>
  <c r="D7" i="32"/>
  <c r="AI10" i="32"/>
  <c r="AI19" i="21"/>
  <c r="N15" i="21"/>
  <c r="I22" i="21"/>
  <c r="U18" i="21"/>
  <c r="O7" i="20"/>
  <c r="O13" i="20"/>
  <c r="O8" i="20"/>
  <c r="AB10" i="21"/>
  <c r="O11" i="20"/>
  <c r="O15" i="20"/>
  <c r="Q11" i="19"/>
  <c r="Q18" i="19"/>
  <c r="Q14" i="19"/>
  <c r="O9" i="17"/>
  <c r="O12" i="17"/>
  <c r="O18" i="18"/>
  <c r="O17" i="18"/>
  <c r="O16" i="18"/>
  <c r="I16" i="21"/>
  <c r="J7" i="21"/>
  <c r="I7" i="21"/>
  <c r="AK16" i="21"/>
  <c r="AJ10" i="21"/>
  <c r="W15" i="21"/>
  <c r="W16" i="21" s="1"/>
  <c r="U16" i="21"/>
  <c r="W20" i="21"/>
  <c r="U20" i="21"/>
  <c r="O10" i="18"/>
  <c r="O13" i="18"/>
  <c r="O12" i="18"/>
  <c r="O11" i="18"/>
  <c r="O8" i="18"/>
  <c r="O9" i="18"/>
  <c r="O18" i="17"/>
  <c r="E8" i="18"/>
  <c r="F8" i="18" s="1"/>
  <c r="Q7" i="19"/>
  <c r="E11" i="18"/>
  <c r="F11" i="18" s="1"/>
  <c r="K11" i="18" s="1"/>
  <c r="E18" i="18"/>
  <c r="F18" i="18" s="1"/>
  <c r="E14" i="18"/>
  <c r="F14" i="18" s="1"/>
  <c r="K14" i="18" s="1"/>
  <c r="AC14" i="18" s="1"/>
  <c r="E12" i="18"/>
  <c r="F12" i="18" s="1"/>
  <c r="E13" i="18"/>
  <c r="F13" i="18" s="1"/>
  <c r="K13" i="18" s="1"/>
  <c r="AC13" i="18" s="1"/>
  <c r="E17" i="18"/>
  <c r="F17" i="18" s="1"/>
  <c r="E7" i="18"/>
  <c r="F7" i="18" s="1"/>
  <c r="K7" i="18" s="1"/>
  <c r="AC7" i="18" s="1"/>
  <c r="O7" i="18"/>
  <c r="E41" i="17"/>
  <c r="F41" i="17" s="1"/>
  <c r="K41" i="17" s="1"/>
  <c r="E16" i="17"/>
  <c r="F16" i="17" s="1"/>
  <c r="K16" i="17" s="1"/>
  <c r="AD16" i="17" s="1"/>
  <c r="E8" i="17"/>
  <c r="F8" i="17" s="1"/>
  <c r="K8" i="17" s="1"/>
  <c r="E17" i="17"/>
  <c r="F17" i="17" s="1"/>
  <c r="K17" i="17" s="1"/>
  <c r="AD17" i="17" s="1"/>
  <c r="E12" i="17"/>
  <c r="F12" i="17" s="1"/>
  <c r="K12" i="17" s="1"/>
  <c r="AD12" i="17" s="1"/>
  <c r="E10" i="17"/>
  <c r="F10" i="17" s="1"/>
  <c r="K10" i="17" s="1"/>
  <c r="E10" i="18"/>
  <c r="F10" i="18" s="1"/>
  <c r="K10" i="18" s="1"/>
  <c r="D19" i="20"/>
  <c r="J25" i="19"/>
  <c r="H19" i="18"/>
  <c r="J19" i="18" s="1"/>
  <c r="J37" i="18" s="1"/>
  <c r="G8" i="8"/>
  <c r="G12" i="8" s="1"/>
  <c r="O11" i="17"/>
  <c r="O10" i="20"/>
  <c r="J26" i="19"/>
  <c r="H19" i="20"/>
  <c r="E14" i="19"/>
  <c r="F14" i="19" s="1"/>
  <c r="E25" i="17"/>
  <c r="F25" i="17" s="1"/>
  <c r="P25" i="17" s="1"/>
  <c r="Q9" i="19"/>
  <c r="Q10" i="19"/>
  <c r="Q15" i="19"/>
  <c r="P3" i="20"/>
  <c r="E18" i="20" s="1"/>
  <c r="F18" i="20" s="1"/>
  <c r="K18" i="20" s="1"/>
  <c r="H39" i="19"/>
  <c r="J39" i="19" s="1"/>
  <c r="C31" i="20"/>
  <c r="C32" i="20" s="1"/>
  <c r="C26" i="20"/>
  <c r="O26" i="20" s="1"/>
  <c r="V19" i="20"/>
  <c r="O15" i="17"/>
  <c r="E15" i="17"/>
  <c r="F15" i="17" s="1"/>
  <c r="K15" i="17" s="1"/>
  <c r="AD15" i="17" s="1"/>
  <c r="C14" i="18"/>
  <c r="C38" i="18" s="1"/>
  <c r="V19" i="18"/>
  <c r="D15" i="18"/>
  <c r="D38" i="18" s="1"/>
  <c r="W19" i="18"/>
  <c r="E40" i="19"/>
  <c r="F40" i="19" s="1"/>
  <c r="K40" i="19" s="1"/>
  <c r="E7" i="19"/>
  <c r="F7" i="19" s="1"/>
  <c r="K7" i="19" s="1"/>
  <c r="E16" i="19"/>
  <c r="F16" i="19" s="1"/>
  <c r="K16" i="19" s="1"/>
  <c r="E17" i="19"/>
  <c r="F17" i="19" s="1"/>
  <c r="K17" i="19" s="1"/>
  <c r="E10" i="19"/>
  <c r="E11" i="19"/>
  <c r="F11" i="19" s="1"/>
  <c r="Q13" i="19"/>
  <c r="E13" i="19"/>
  <c r="F13" i="19" s="1"/>
  <c r="K13" i="19" s="1"/>
  <c r="O18" i="20"/>
  <c r="E9" i="17"/>
  <c r="F9" i="17" s="1"/>
  <c r="K9" i="17" s="1"/>
  <c r="AD9" i="17" s="1"/>
  <c r="I8" i="8"/>
  <c r="I12" i="8" s="1"/>
  <c r="D19" i="17"/>
  <c r="J14" i="17"/>
  <c r="J19" i="17" s="1"/>
  <c r="H19" i="17"/>
  <c r="D8" i="19"/>
  <c r="N10" i="21" s="1"/>
  <c r="Y19" i="19"/>
  <c r="J10" i="19"/>
  <c r="J19" i="19" s="1"/>
  <c r="H19" i="19"/>
  <c r="C12" i="19"/>
  <c r="C19" i="19" s="1"/>
  <c r="X19" i="19"/>
  <c r="D9" i="20"/>
  <c r="W19" i="20"/>
  <c r="E12" i="19"/>
  <c r="F12" i="19" s="1"/>
  <c r="K12" i="19" s="1"/>
  <c r="O17" i="20"/>
  <c r="D7" i="17"/>
  <c r="W19" i="17"/>
  <c r="O8" i="17"/>
  <c r="O10" i="17"/>
  <c r="C13" i="17"/>
  <c r="I20" i="17" s="1"/>
  <c r="V19" i="17"/>
  <c r="C19" i="20"/>
  <c r="J19" i="20"/>
  <c r="O16" i="20"/>
  <c r="E9" i="18"/>
  <c r="E16" i="18"/>
  <c r="F16" i="18" s="1"/>
  <c r="K16" i="18" s="1"/>
  <c r="AC16" i="18" s="1"/>
  <c r="C33" i="19"/>
  <c r="Q33" i="19" s="1"/>
  <c r="C26" i="19"/>
  <c r="E18" i="19"/>
  <c r="F18" i="19" s="1"/>
  <c r="K18" i="19" s="1"/>
  <c r="I20" i="20"/>
  <c r="O14" i="17"/>
  <c r="E14" i="17"/>
  <c r="E18" i="17"/>
  <c r="F18" i="17" s="1"/>
  <c r="K18" i="17" s="1"/>
  <c r="AD18" i="17" s="1"/>
  <c r="Q16" i="19"/>
  <c r="E27" i="18"/>
  <c r="F27" i="18" s="1"/>
  <c r="K27" i="18" s="1"/>
  <c r="N27" i="18" s="1"/>
  <c r="N30" i="18" s="1"/>
  <c r="AI101" i="3"/>
  <c r="AI113" i="15"/>
  <c r="AI37" i="3"/>
  <c r="AI66" i="3"/>
  <c r="F4" i="38" s="1"/>
  <c r="AI64" i="3"/>
  <c r="AI65" i="3"/>
  <c r="AI102" i="3"/>
  <c r="F118" i="15"/>
  <c r="AI116" i="15"/>
  <c r="AI112" i="15"/>
  <c r="AI111" i="15"/>
  <c r="AP4" i="21"/>
  <c r="AQ3" i="21" s="1"/>
  <c r="J8" i="21" s="1"/>
  <c r="AI73" i="3"/>
  <c r="AI50" i="15"/>
  <c r="AI67" i="15"/>
  <c r="AI92" i="15"/>
  <c r="AI102" i="15"/>
  <c r="AI16" i="15"/>
  <c r="AI8" i="15"/>
  <c r="AI30" i="15"/>
  <c r="AI11" i="15"/>
  <c r="AI96" i="15"/>
  <c r="AI60" i="15"/>
  <c r="AI46" i="15"/>
  <c r="AI42" i="15"/>
  <c r="AI38" i="15"/>
  <c r="AI34" i="15"/>
  <c r="AI39" i="15"/>
  <c r="AI31" i="15"/>
  <c r="AI47" i="15"/>
  <c r="AI19" i="15"/>
  <c r="AI98" i="15"/>
  <c r="AI45" i="15"/>
  <c r="AI41" i="15"/>
  <c r="AI37" i="15"/>
  <c r="AI33" i="15"/>
  <c r="AI32" i="15"/>
  <c r="AI7" i="15"/>
  <c r="AI24" i="15"/>
  <c r="AI15" i="15"/>
  <c r="AI44" i="15"/>
  <c r="AI40" i="15"/>
  <c r="AI36" i="15"/>
  <c r="AI43" i="15"/>
  <c r="AI35" i="15"/>
  <c r="AI71" i="15"/>
  <c r="AI58" i="15"/>
  <c r="AI5" i="15"/>
  <c r="AI21" i="15"/>
  <c r="AI17" i="15"/>
  <c r="AI13" i="15"/>
  <c r="AI9" i="15"/>
  <c r="AI36" i="3"/>
  <c r="AI68" i="15"/>
  <c r="AI65" i="15"/>
  <c r="AI56" i="15"/>
  <c r="AI85" i="15"/>
  <c r="AI83" i="15"/>
  <c r="AI18" i="15"/>
  <c r="AI14" i="15"/>
  <c r="AI10" i="15"/>
  <c r="AI6" i="15"/>
  <c r="AI75" i="15"/>
  <c r="AI63" i="15"/>
  <c r="AI66" i="15"/>
  <c r="AI59" i="15"/>
  <c r="AI57" i="15"/>
  <c r="AI104" i="15"/>
  <c r="AI86" i="15"/>
  <c r="AI95" i="15"/>
  <c r="AI94" i="15"/>
  <c r="AI93" i="15"/>
  <c r="AI87" i="15"/>
  <c r="AI23" i="15"/>
  <c r="AI20" i="15"/>
  <c r="AI12" i="15"/>
  <c r="AI4" i="15"/>
  <c r="AI74" i="15"/>
  <c r="AI73" i="15"/>
  <c r="AI69" i="15"/>
  <c r="AI64" i="15"/>
  <c r="AI62" i="15"/>
  <c r="AI72" i="15"/>
  <c r="AI70" i="15"/>
  <c r="AI61" i="15"/>
  <c r="D22" i="15"/>
  <c r="AI22" i="15" s="1"/>
  <c r="AI105" i="15"/>
  <c r="AI48" i="15"/>
  <c r="AI100" i="15"/>
  <c r="AI97" i="15"/>
  <c r="AI90" i="15"/>
  <c r="AI88" i="15"/>
  <c r="AI82" i="15"/>
  <c r="AI101" i="15"/>
  <c r="AI99" i="15"/>
  <c r="AI91" i="15"/>
  <c r="AI89" i="15"/>
  <c r="AI84" i="15"/>
  <c r="AI49" i="15"/>
  <c r="AI22" i="3"/>
  <c r="AI25" i="15"/>
  <c r="AI26" i="15"/>
  <c r="AI107" i="15"/>
  <c r="AI106" i="15"/>
  <c r="AI52" i="15"/>
  <c r="AI78" i="15"/>
  <c r="AI77" i="15"/>
  <c r="E26" i="19"/>
  <c r="F26" i="19" s="1"/>
  <c r="AI173" i="3"/>
  <c r="AI51" i="15"/>
  <c r="D32" i="20"/>
  <c r="E34" i="17"/>
  <c r="F34" i="17" s="1"/>
  <c r="U22" i="21" l="1"/>
  <c r="F18" i="38"/>
  <c r="G8" i="38"/>
  <c r="V8" i="21"/>
  <c r="F20" i="38"/>
  <c r="G10" i="38"/>
  <c r="F13" i="38"/>
  <c r="F16" i="38" s="1"/>
  <c r="G4" i="38"/>
  <c r="G13" i="38" s="1"/>
  <c r="G16" i="38" s="1"/>
  <c r="W13" i="21" s="1"/>
  <c r="F15" i="38"/>
  <c r="G6" i="38"/>
  <c r="G79" i="38"/>
  <c r="F88" i="38"/>
  <c r="AJ6" i="21"/>
  <c r="AJ7" i="21" s="1"/>
  <c r="F77" i="38"/>
  <c r="L26" i="17"/>
  <c r="M26" i="17"/>
  <c r="Q7" i="21"/>
  <c r="Q8" i="21"/>
  <c r="P16" i="21"/>
  <c r="P18" i="21"/>
  <c r="K11" i="19"/>
  <c r="AF11" i="19" s="1"/>
  <c r="AC11" i="18"/>
  <c r="AF11" i="18"/>
  <c r="AD11" i="17"/>
  <c r="AR11" i="17"/>
  <c r="M27" i="19"/>
  <c r="L27" i="19"/>
  <c r="Q26" i="19"/>
  <c r="C27" i="19"/>
  <c r="P13" i="17"/>
  <c r="AK20" i="21"/>
  <c r="AI20" i="21"/>
  <c r="C34" i="17"/>
  <c r="O34" i="17" s="1"/>
  <c r="C26" i="17"/>
  <c r="AJ74" i="15"/>
  <c r="G29" i="27"/>
  <c r="H29" i="27" s="1"/>
  <c r="J29" i="27" s="1"/>
  <c r="K29" i="27" s="1"/>
  <c r="N29" i="27" s="1"/>
  <c r="N32" i="27" s="1"/>
  <c r="AC10" i="18"/>
  <c r="AD10" i="17"/>
  <c r="O33" i="18"/>
  <c r="D39" i="18"/>
  <c r="E39" i="18" s="1"/>
  <c r="F39" i="18" s="1"/>
  <c r="AJ48" i="15"/>
  <c r="AK114" i="15" s="1"/>
  <c r="P11" i="17"/>
  <c r="D40" i="17"/>
  <c r="D42" i="17" s="1"/>
  <c r="AE9" i="19"/>
  <c r="L9" i="19"/>
  <c r="O9" i="19" s="1"/>
  <c r="AF9" i="19"/>
  <c r="M9" i="19"/>
  <c r="E26" i="20"/>
  <c r="F26" i="20" s="1"/>
  <c r="K26" i="20" s="1"/>
  <c r="N26" i="20" s="1"/>
  <c r="N29" i="20" s="1"/>
  <c r="E38" i="20"/>
  <c r="F38" i="20" s="1"/>
  <c r="K38" i="20" s="1"/>
  <c r="N38" i="20" s="1"/>
  <c r="O7" i="21"/>
  <c r="O8" i="21"/>
  <c r="AE8" i="21"/>
  <c r="AE7" i="21"/>
  <c r="L15" i="19"/>
  <c r="O15" i="19" s="1"/>
  <c r="C19" i="18"/>
  <c r="C37" i="18" s="1"/>
  <c r="C41" i="17"/>
  <c r="C40" i="17" s="1"/>
  <c r="N9" i="19"/>
  <c r="AI7" i="32"/>
  <c r="C42" i="17"/>
  <c r="AI9" i="21"/>
  <c r="I12" i="21"/>
  <c r="N16" i="21"/>
  <c r="E15" i="20"/>
  <c r="F15" i="20" s="1"/>
  <c r="K15" i="20" s="1"/>
  <c r="N15" i="20" s="1"/>
  <c r="E7" i="20"/>
  <c r="F7" i="20" s="1"/>
  <c r="K7" i="20" s="1"/>
  <c r="AB7" i="20" s="1"/>
  <c r="AF15" i="19"/>
  <c r="P41" i="17"/>
  <c r="M15" i="19"/>
  <c r="N15" i="19"/>
  <c r="N18" i="21"/>
  <c r="AD18" i="21"/>
  <c r="AD16" i="21"/>
  <c r="AD20" i="21"/>
  <c r="AB18" i="20"/>
  <c r="AA18" i="20"/>
  <c r="AF13" i="19"/>
  <c r="AE13" i="19"/>
  <c r="AF17" i="19"/>
  <c r="AE17" i="19"/>
  <c r="AF16" i="19"/>
  <c r="AE16" i="19"/>
  <c r="AF18" i="19"/>
  <c r="AE18" i="19"/>
  <c r="AF7" i="19"/>
  <c r="AE7" i="19"/>
  <c r="AF12" i="19"/>
  <c r="AE12" i="19"/>
  <c r="K14" i="19"/>
  <c r="M14" i="19" s="1"/>
  <c r="AD8" i="17"/>
  <c r="L10" i="18"/>
  <c r="K18" i="18"/>
  <c r="AC18" i="18" s="1"/>
  <c r="M10" i="18"/>
  <c r="K17" i="18"/>
  <c r="N17" i="18" s="1"/>
  <c r="K8" i="18"/>
  <c r="N10" i="18"/>
  <c r="K12" i="18"/>
  <c r="L12" i="18" s="1"/>
  <c r="L33" i="19"/>
  <c r="P33" i="19" s="1"/>
  <c r="N33" i="19"/>
  <c r="M33" i="19"/>
  <c r="C39" i="18"/>
  <c r="K25" i="17"/>
  <c r="L25" i="17" s="1"/>
  <c r="AI174" i="3"/>
  <c r="E16" i="20"/>
  <c r="F16" i="20" s="1"/>
  <c r="K16" i="20" s="1"/>
  <c r="E12" i="20"/>
  <c r="F12" i="20" s="1"/>
  <c r="K12" i="20" s="1"/>
  <c r="E10" i="20"/>
  <c r="F10" i="20" s="1"/>
  <c r="P10" i="17"/>
  <c r="P16" i="17"/>
  <c r="AI38" i="3"/>
  <c r="E13" i="20"/>
  <c r="F13" i="20" s="1"/>
  <c r="E8" i="20"/>
  <c r="F8" i="20" s="1"/>
  <c r="K8" i="20" s="1"/>
  <c r="L8" i="20" s="1"/>
  <c r="E17" i="20"/>
  <c r="F17" i="20" s="1"/>
  <c r="K17" i="20" s="1"/>
  <c r="M17" i="20" s="1"/>
  <c r="H37" i="18"/>
  <c r="H39" i="18" s="1"/>
  <c r="J39" i="18" s="1"/>
  <c r="P12" i="17"/>
  <c r="M13" i="18"/>
  <c r="L13" i="18"/>
  <c r="N13" i="18"/>
  <c r="Q12" i="19"/>
  <c r="P17" i="17"/>
  <c r="N11" i="18"/>
  <c r="M11" i="18"/>
  <c r="L11" i="18"/>
  <c r="N13" i="17"/>
  <c r="M13" i="17"/>
  <c r="L13" i="17"/>
  <c r="K26" i="19"/>
  <c r="N26" i="19" s="1"/>
  <c r="N30" i="19" s="1"/>
  <c r="AI74" i="3"/>
  <c r="E11" i="20"/>
  <c r="F11" i="20" s="1"/>
  <c r="E14" i="20"/>
  <c r="F14" i="20" s="1"/>
  <c r="K14" i="20" s="1"/>
  <c r="N14" i="20" s="1"/>
  <c r="P8" i="17"/>
  <c r="N7" i="18"/>
  <c r="L7" i="18"/>
  <c r="M7" i="18"/>
  <c r="M14" i="18"/>
  <c r="N14" i="18"/>
  <c r="L14" i="18"/>
  <c r="P18" i="17"/>
  <c r="D39" i="20"/>
  <c r="O37" i="20"/>
  <c r="E37" i="20"/>
  <c r="F37" i="20" s="1"/>
  <c r="K37" i="20" s="1"/>
  <c r="D33" i="17"/>
  <c r="O24" i="17"/>
  <c r="E24" i="17"/>
  <c r="F24" i="17" s="1"/>
  <c r="F14" i="17"/>
  <c r="K14" i="17" s="1"/>
  <c r="AD14" i="17" s="1"/>
  <c r="E19" i="17"/>
  <c r="E26" i="18"/>
  <c r="F26" i="18" s="1"/>
  <c r="K26" i="18" s="1"/>
  <c r="O26" i="18"/>
  <c r="D32" i="18"/>
  <c r="P9" i="17"/>
  <c r="M7" i="19"/>
  <c r="N7" i="19"/>
  <c r="L7" i="19"/>
  <c r="O25" i="17"/>
  <c r="D31" i="20"/>
  <c r="E25" i="20"/>
  <c r="F25" i="20" s="1"/>
  <c r="K25" i="20" s="1"/>
  <c r="N25" i="20" s="1"/>
  <c r="N28" i="20" s="1"/>
  <c r="O25" i="20"/>
  <c r="N16" i="18"/>
  <c r="L16" i="18"/>
  <c r="M16" i="18"/>
  <c r="O7" i="17"/>
  <c r="E7" i="17"/>
  <c r="F7" i="17" s="1"/>
  <c r="K7" i="17" s="1"/>
  <c r="AD7" i="17" s="1"/>
  <c r="L12" i="19"/>
  <c r="N12" i="19"/>
  <c r="M12" i="19"/>
  <c r="E19" i="19"/>
  <c r="F10" i="19"/>
  <c r="M40" i="19"/>
  <c r="L40" i="19"/>
  <c r="N40" i="19"/>
  <c r="O14" i="18"/>
  <c r="I20" i="18"/>
  <c r="N16" i="19"/>
  <c r="L16" i="19"/>
  <c r="M16" i="19"/>
  <c r="O15" i="18"/>
  <c r="E15" i="18"/>
  <c r="F15" i="18" s="1"/>
  <c r="K15" i="18" s="1"/>
  <c r="AC15" i="18" s="1"/>
  <c r="D19" i="18"/>
  <c r="D37" i="18" s="1"/>
  <c r="AI75" i="3"/>
  <c r="E9" i="20"/>
  <c r="F9" i="20" s="1"/>
  <c r="K9" i="20" s="1"/>
  <c r="O9" i="20"/>
  <c r="N11" i="19"/>
  <c r="N18" i="19"/>
  <c r="M18" i="19"/>
  <c r="L18" i="19"/>
  <c r="F9" i="18"/>
  <c r="K9" i="18" s="1"/>
  <c r="O13" i="17"/>
  <c r="C19" i="17"/>
  <c r="E32" i="19"/>
  <c r="Q8" i="19"/>
  <c r="D39" i="19"/>
  <c r="E8" i="19"/>
  <c r="F8" i="19" s="1"/>
  <c r="N11" i="17"/>
  <c r="L11" i="17"/>
  <c r="M11" i="17"/>
  <c r="L18" i="20"/>
  <c r="N18" i="20"/>
  <c r="M18" i="20"/>
  <c r="L13" i="19"/>
  <c r="N13" i="19"/>
  <c r="M13" i="19"/>
  <c r="L17" i="19"/>
  <c r="N17" i="19"/>
  <c r="M17" i="19"/>
  <c r="P15" i="17"/>
  <c r="L41" i="17"/>
  <c r="M41" i="17"/>
  <c r="N41" i="17"/>
  <c r="D118" i="15"/>
  <c r="AI118" i="15" s="1"/>
  <c r="AI175" i="3"/>
  <c r="L27" i="18"/>
  <c r="M27" i="18"/>
  <c r="M30" i="18" s="1"/>
  <c r="O32" i="20"/>
  <c r="E32" i="20"/>
  <c r="F32" i="20" s="1"/>
  <c r="K32" i="20" s="1"/>
  <c r="P34" i="17"/>
  <c r="K34" i="17"/>
  <c r="W17" i="21" l="1"/>
  <c r="W18" i="21" s="1"/>
  <c r="G18" i="38"/>
  <c r="W21" i="21"/>
  <c r="G20" i="38"/>
  <c r="X6" i="21"/>
  <c r="G15" i="38"/>
  <c r="AK17" i="21"/>
  <c r="AK18" i="21" s="1"/>
  <c r="G88" i="38"/>
  <c r="AJ8" i="21"/>
  <c r="G77" i="38"/>
  <c r="F86" i="38"/>
  <c r="I23" i="21"/>
  <c r="L14" i="20"/>
  <c r="L15" i="20"/>
  <c r="AJ11" i="19"/>
  <c r="M11" i="19"/>
  <c r="AE11" i="19"/>
  <c r="L11" i="19"/>
  <c r="P11" i="19" s="1"/>
  <c r="K11" i="20"/>
  <c r="AI11" i="20" s="1"/>
  <c r="E40" i="17"/>
  <c r="F40" i="17" s="1"/>
  <c r="P40" i="17" s="1"/>
  <c r="P15" i="19"/>
  <c r="E33" i="18"/>
  <c r="F33" i="18" s="1"/>
  <c r="K33" i="18" s="1"/>
  <c r="N33" i="18" s="1"/>
  <c r="N36" i="18" s="1"/>
  <c r="O40" i="17"/>
  <c r="L29" i="27"/>
  <c r="P29" i="27" s="1"/>
  <c r="K10" i="19"/>
  <c r="AF10" i="19" s="1"/>
  <c r="K39" i="18"/>
  <c r="M39" i="18" s="1"/>
  <c r="O39" i="18"/>
  <c r="M29" i="27"/>
  <c r="M32" i="27" s="1"/>
  <c r="M26" i="20"/>
  <c r="M29" i="20" s="1"/>
  <c r="P9" i="19"/>
  <c r="L26" i="20"/>
  <c r="L38" i="20"/>
  <c r="M38" i="20"/>
  <c r="M15" i="20"/>
  <c r="M18" i="18"/>
  <c r="AA15" i="20"/>
  <c r="O41" i="17"/>
  <c r="L17" i="20"/>
  <c r="M14" i="20"/>
  <c r="M17" i="18"/>
  <c r="AB15" i="20"/>
  <c r="N17" i="20"/>
  <c r="M7" i="20"/>
  <c r="N8" i="20"/>
  <c r="AA7" i="20"/>
  <c r="N7" i="20"/>
  <c r="L7" i="20"/>
  <c r="AB9" i="20"/>
  <c r="AA9" i="20"/>
  <c r="AB8" i="20"/>
  <c r="AA8" i="20"/>
  <c r="E19" i="20"/>
  <c r="K13" i="20"/>
  <c r="K10" i="20"/>
  <c r="Z8" i="21" s="1"/>
  <c r="Z37" i="21" s="1"/>
  <c r="AB12" i="20"/>
  <c r="AA12" i="20"/>
  <c r="M8" i="20"/>
  <c r="AB14" i="20"/>
  <c r="AA14" i="20"/>
  <c r="AB17" i="20"/>
  <c r="AA17" i="20"/>
  <c r="AB16" i="20"/>
  <c r="AA16" i="20"/>
  <c r="K8" i="19"/>
  <c r="L8" i="19" s="1"/>
  <c r="AF14" i="19"/>
  <c r="AE14" i="19"/>
  <c r="N14" i="19"/>
  <c r="L14" i="19"/>
  <c r="U6" i="21"/>
  <c r="S7" i="21"/>
  <c r="S13" i="21" s="1"/>
  <c r="S8" i="21"/>
  <c r="AC8" i="18"/>
  <c r="AC9" i="18"/>
  <c r="L9" i="18"/>
  <c r="N8" i="18"/>
  <c r="M8" i="18"/>
  <c r="AC17" i="18"/>
  <c r="L17" i="18"/>
  <c r="L18" i="18"/>
  <c r="AC12" i="18"/>
  <c r="N12" i="18"/>
  <c r="M12" i="18"/>
  <c r="L8" i="18"/>
  <c r="N18" i="18"/>
  <c r="O21" i="18" s="1"/>
  <c r="O22" i="18" s="1"/>
  <c r="O33" i="19"/>
  <c r="N25" i="17"/>
  <c r="M25" i="17"/>
  <c r="L26" i="19"/>
  <c r="P26" i="19" s="1"/>
  <c r="M26" i="19"/>
  <c r="M30" i="19" s="1"/>
  <c r="L12" i="17"/>
  <c r="N12" i="17"/>
  <c r="M12" i="17"/>
  <c r="M16" i="17"/>
  <c r="N16" i="17"/>
  <c r="L16" i="17"/>
  <c r="L25" i="20"/>
  <c r="M12" i="20"/>
  <c r="L12" i="20"/>
  <c r="N12" i="20"/>
  <c r="M17" i="17"/>
  <c r="N17" i="17"/>
  <c r="O20" i="17" s="1"/>
  <c r="L17" i="17"/>
  <c r="L10" i="17"/>
  <c r="M10" i="17"/>
  <c r="N10" i="17"/>
  <c r="N16" i="20"/>
  <c r="M16" i="20"/>
  <c r="L16" i="20"/>
  <c r="L8" i="17"/>
  <c r="N8" i="17"/>
  <c r="M8" i="17"/>
  <c r="N9" i="20"/>
  <c r="M9" i="20"/>
  <c r="L9" i="20"/>
  <c r="O16" i="19"/>
  <c r="P16" i="19"/>
  <c r="R16" i="19" s="1"/>
  <c r="F19" i="20"/>
  <c r="N37" i="20"/>
  <c r="N42" i="20" s="1"/>
  <c r="M37" i="20"/>
  <c r="L37" i="20"/>
  <c r="P13" i="19"/>
  <c r="O13" i="19"/>
  <c r="F32" i="19"/>
  <c r="K32" i="19" s="1"/>
  <c r="L32" i="19" s="1"/>
  <c r="Q32" i="19"/>
  <c r="M15" i="18"/>
  <c r="N15" i="18"/>
  <c r="L15" i="18"/>
  <c r="O7" i="19"/>
  <c r="P7" i="19"/>
  <c r="E32" i="18"/>
  <c r="F32" i="18" s="1"/>
  <c r="K32" i="18" s="1"/>
  <c r="O32" i="18"/>
  <c r="P14" i="17"/>
  <c r="F19" i="17"/>
  <c r="M25" i="20"/>
  <c r="M28" i="20" s="1"/>
  <c r="O17" i="19"/>
  <c r="P17" i="19"/>
  <c r="D41" i="19"/>
  <c r="Q39" i="19"/>
  <c r="E39" i="19"/>
  <c r="F39" i="19" s="1"/>
  <c r="K39" i="19" s="1"/>
  <c r="F19" i="18"/>
  <c r="F37" i="18" s="1"/>
  <c r="F19" i="19"/>
  <c r="O12" i="19"/>
  <c r="P12" i="19"/>
  <c r="O31" i="20"/>
  <c r="E31" i="20"/>
  <c r="F31" i="20" s="1"/>
  <c r="K31" i="20" s="1"/>
  <c r="P24" i="17"/>
  <c r="K24" i="17"/>
  <c r="O39" i="20"/>
  <c r="E39" i="20"/>
  <c r="F39" i="20" s="1"/>
  <c r="K39" i="20" s="1"/>
  <c r="Q25" i="19"/>
  <c r="K25" i="19"/>
  <c r="O18" i="19"/>
  <c r="P18" i="19"/>
  <c r="O40" i="19"/>
  <c r="P40" i="19"/>
  <c r="L9" i="17"/>
  <c r="M9" i="17"/>
  <c r="N9" i="17"/>
  <c r="E33" i="17"/>
  <c r="F33" i="17" s="1"/>
  <c r="O33" i="17"/>
  <c r="M18" i="17"/>
  <c r="N18" i="17"/>
  <c r="L18" i="17"/>
  <c r="O11" i="19"/>
  <c r="L15" i="17"/>
  <c r="N15" i="17"/>
  <c r="M15" i="17"/>
  <c r="E19" i="18"/>
  <c r="E37" i="18" s="1"/>
  <c r="O38" i="18"/>
  <c r="E38" i="18"/>
  <c r="F38" i="18" s="1"/>
  <c r="K38" i="18" s="1"/>
  <c r="P7" i="17"/>
  <c r="P19" i="17" s="1"/>
  <c r="M26" i="18"/>
  <c r="M29" i="18" s="1"/>
  <c r="L26" i="18"/>
  <c r="N26" i="18"/>
  <c r="N29" i="18" s="1"/>
  <c r="O42" i="17"/>
  <c r="E42" i="17"/>
  <c r="F42" i="17" s="1"/>
  <c r="N32" i="20"/>
  <c r="M32" i="20"/>
  <c r="L32" i="20"/>
  <c r="N34" i="17"/>
  <c r="M34" i="17"/>
  <c r="L34" i="17"/>
  <c r="AK9" i="21" l="1"/>
  <c r="W22" i="21"/>
  <c r="W9" i="21"/>
  <c r="X8" i="21"/>
  <c r="X7" i="21"/>
  <c r="AL6" i="21"/>
  <c r="G86" i="38"/>
  <c r="M29" i="17"/>
  <c r="N29" i="17"/>
  <c r="K40" i="17"/>
  <c r="L40" i="17" s="1"/>
  <c r="AE10" i="19"/>
  <c r="N37" i="17"/>
  <c r="AA11" i="20"/>
  <c r="AB11" i="20"/>
  <c r="O29" i="27"/>
  <c r="AG46" i="21"/>
  <c r="L33" i="18"/>
  <c r="M33" i="18"/>
  <c r="M36" i="18" s="1"/>
  <c r="N39" i="18"/>
  <c r="L39" i="18"/>
  <c r="M37" i="17"/>
  <c r="U8" i="21"/>
  <c r="S37" i="21"/>
  <c r="M42" i="20"/>
  <c r="N35" i="20"/>
  <c r="M40" i="17"/>
  <c r="M45" i="17" s="1"/>
  <c r="N40" i="17"/>
  <c r="N45" i="17" s="1"/>
  <c r="M8" i="19"/>
  <c r="M36" i="19" s="1"/>
  <c r="S12" i="21"/>
  <c r="S23" i="21" s="1"/>
  <c r="AA13" i="20"/>
  <c r="AB13" i="20"/>
  <c r="M13" i="20"/>
  <c r="L13" i="20"/>
  <c r="N13" i="20"/>
  <c r="AB10" i="20"/>
  <c r="AA10" i="20"/>
  <c r="M10" i="20"/>
  <c r="L10" i="20"/>
  <c r="N10" i="20"/>
  <c r="AB6" i="21"/>
  <c r="AB8" i="21"/>
  <c r="Z7" i="21"/>
  <c r="Z13" i="21" s="1"/>
  <c r="O14" i="19"/>
  <c r="P14" i="19"/>
  <c r="AF8" i="19"/>
  <c r="AE8" i="19"/>
  <c r="N8" i="19"/>
  <c r="U7" i="21"/>
  <c r="U13" i="21" s="1"/>
  <c r="L20" i="18"/>
  <c r="AI6" i="21"/>
  <c r="AG8" i="21"/>
  <c r="O26" i="19"/>
  <c r="M39" i="19"/>
  <c r="M44" i="19" s="1"/>
  <c r="L39" i="19"/>
  <c r="N39" i="19"/>
  <c r="L10" i="19"/>
  <c r="N10" i="19"/>
  <c r="M10" i="19"/>
  <c r="K19" i="19"/>
  <c r="F23" i="19" s="1"/>
  <c r="N32" i="18"/>
  <c r="N35" i="18" s="1"/>
  <c r="M32" i="18"/>
  <c r="M35" i="18" s="1"/>
  <c r="L32" i="18"/>
  <c r="L38" i="18"/>
  <c r="M38" i="18"/>
  <c r="N38" i="18"/>
  <c r="O8" i="19"/>
  <c r="P8" i="19"/>
  <c r="P33" i="17"/>
  <c r="K33" i="17"/>
  <c r="M39" i="20"/>
  <c r="M41" i="20" s="1"/>
  <c r="AD14" i="21" s="1"/>
  <c r="N39" i="20"/>
  <c r="N41" i="20" s="1"/>
  <c r="L39" i="20"/>
  <c r="L24" i="17"/>
  <c r="M24" i="17"/>
  <c r="M28" i="17" s="1"/>
  <c r="N24" i="17"/>
  <c r="N28" i="17" s="1"/>
  <c r="Q41" i="19"/>
  <c r="E41" i="19"/>
  <c r="F41" i="19" s="1"/>
  <c r="K41" i="19" s="1"/>
  <c r="N32" i="19"/>
  <c r="M32" i="19"/>
  <c r="L31" i="20"/>
  <c r="M31" i="20"/>
  <c r="M34" i="20" s="1"/>
  <c r="AB14" i="21" s="1"/>
  <c r="N31" i="20"/>
  <c r="N34" i="20" s="1"/>
  <c r="L11" i="20"/>
  <c r="M11" i="20"/>
  <c r="Z46" i="21" s="1"/>
  <c r="N11" i="20"/>
  <c r="K19" i="20"/>
  <c r="L7" i="17"/>
  <c r="N7" i="17"/>
  <c r="M7" i="17"/>
  <c r="N25" i="19"/>
  <c r="N29" i="19" s="1"/>
  <c r="M25" i="19"/>
  <c r="M29" i="19" s="1"/>
  <c r="L25" i="19"/>
  <c r="L14" i="17"/>
  <c r="L19" i="17" s="1"/>
  <c r="N14" i="17"/>
  <c r="N19" i="17" s="1"/>
  <c r="M14" i="17"/>
  <c r="M19" i="17" s="1"/>
  <c r="K19" i="17"/>
  <c r="P42" i="17"/>
  <c r="K42" i="17"/>
  <c r="N9" i="18"/>
  <c r="L19" i="18"/>
  <c r="L37" i="18" s="1"/>
  <c r="M9" i="18"/>
  <c r="M19" i="18" s="1"/>
  <c r="M37" i="18" s="1"/>
  <c r="M42" i="18" s="1"/>
  <c r="K19" i="18"/>
  <c r="M35" i="20"/>
  <c r="AL7" i="21" l="1"/>
  <c r="AL8" i="21"/>
  <c r="O28" i="20"/>
  <c r="AM10" i="21"/>
  <c r="S46" i="21"/>
  <c r="M31" i="19"/>
  <c r="L46" i="21"/>
  <c r="Z14" i="21"/>
  <c r="AI7" i="21"/>
  <c r="AI13" i="21" s="1"/>
  <c r="AG14" i="21"/>
  <c r="N19" i="19"/>
  <c r="M19" i="19"/>
  <c r="U12" i="21"/>
  <c r="N36" i="19"/>
  <c r="N35" i="19"/>
  <c r="AM8" i="21"/>
  <c r="M19" i="20"/>
  <c r="M35" i="19"/>
  <c r="N14" i="21" s="1"/>
  <c r="AG12" i="21"/>
  <c r="AG23" i="21" s="1"/>
  <c r="O29" i="18"/>
  <c r="Z12" i="21"/>
  <c r="Z23" i="21" s="1"/>
  <c r="L19" i="20"/>
  <c r="AD8" i="21"/>
  <c r="AB7" i="21"/>
  <c r="AB13" i="21" s="1"/>
  <c r="N19" i="20"/>
  <c r="AM7" i="21"/>
  <c r="N6" i="21"/>
  <c r="L8" i="21"/>
  <c r="L7" i="21"/>
  <c r="W8" i="21"/>
  <c r="W7" i="21"/>
  <c r="AI8" i="21"/>
  <c r="AG37" i="21"/>
  <c r="AI14" i="21"/>
  <c r="S36" i="21"/>
  <c r="M41" i="18"/>
  <c r="AK14" i="21" s="1"/>
  <c r="P32" i="19"/>
  <c r="O32" i="19"/>
  <c r="K37" i="18"/>
  <c r="N19" i="18"/>
  <c r="N37" i="18" s="1"/>
  <c r="N42" i="18" s="1"/>
  <c r="L41" i="19"/>
  <c r="N41" i="19"/>
  <c r="M41" i="19"/>
  <c r="M43" i="19" s="1"/>
  <c r="P14" i="21" s="1"/>
  <c r="L19" i="19"/>
  <c r="M21" i="27" s="1"/>
  <c r="O10" i="19"/>
  <c r="P10" i="19"/>
  <c r="N44" i="19"/>
  <c r="N43" i="19"/>
  <c r="O25" i="19"/>
  <c r="P25" i="19"/>
  <c r="L33" i="17"/>
  <c r="M33" i="17"/>
  <c r="N33" i="17"/>
  <c r="N36" i="17" s="1"/>
  <c r="N42" i="17"/>
  <c r="N44" i="17" s="1"/>
  <c r="M42" i="17"/>
  <c r="M44" i="17" s="1"/>
  <c r="W14" i="21" s="1"/>
  <c r="L42" i="17"/>
  <c r="O39" i="19"/>
  <c r="P39" i="19"/>
  <c r="AI107" i="3"/>
  <c r="L13" i="21" l="1"/>
  <c r="L12" i="21"/>
  <c r="P7" i="21"/>
  <c r="P8" i="21"/>
  <c r="W12" i="21"/>
  <c r="AK7" i="21"/>
  <c r="AK8" i="21"/>
  <c r="AB12" i="21"/>
  <c r="AI12" i="21"/>
  <c r="AI23" i="21" s="1"/>
  <c r="L14" i="21"/>
  <c r="S14" i="21"/>
  <c r="P35" i="19"/>
  <c r="U23" i="21"/>
  <c r="M36" i="17"/>
  <c r="U14" i="21" s="1"/>
  <c r="Y28" i="17"/>
  <c r="O29" i="19"/>
  <c r="P29" i="19" s="1"/>
  <c r="Y17" i="17"/>
  <c r="Z17" i="17" s="1"/>
  <c r="AA17" i="17" s="1"/>
  <c r="T40" i="21"/>
  <c r="T43" i="21" s="1"/>
  <c r="T44" i="21" s="1"/>
  <c r="T38" i="21" s="1"/>
  <c r="AH29" i="19"/>
  <c r="M20" i="27"/>
  <c r="N19" i="21"/>
  <c r="AD7" i="21"/>
  <c r="N8" i="21"/>
  <c r="L37" i="21"/>
  <c r="N7" i="21"/>
  <c r="N13" i="21" s="1"/>
  <c r="AI46" i="21"/>
  <c r="AG36" i="21"/>
  <c r="AH40" i="21" s="1"/>
  <c r="AH43" i="21" s="1"/>
  <c r="AH44" i="21" s="1"/>
  <c r="AH38" i="21" s="1"/>
  <c r="N41" i="18"/>
  <c r="P41" i="19"/>
  <c r="O41" i="19"/>
  <c r="AI111" i="3"/>
  <c r="AI112" i="3"/>
  <c r="AI110" i="3"/>
  <c r="W23" i="21" l="1"/>
  <c r="N12" i="21"/>
  <c r="AK12" i="21"/>
  <c r="AD12" i="21"/>
  <c r="N9" i="21"/>
  <c r="P20" i="21"/>
  <c r="L23" i="21"/>
  <c r="N20" i="21"/>
  <c r="N23" i="21" l="1"/>
  <c r="AK23" i="21"/>
  <c r="P9" i="21"/>
  <c r="Z36" i="21"/>
  <c r="AA40" i="21" s="1"/>
  <c r="AA43" i="21" s="1"/>
  <c r="AA44" i="21" s="1"/>
  <c r="AA38" i="21" s="1"/>
  <c r="AI145" i="3"/>
  <c r="AB21" i="21" l="1"/>
  <c r="AB9" i="21" s="1"/>
  <c r="F57" i="38"/>
  <c r="AI150" i="3"/>
  <c r="AI151" i="3"/>
  <c r="AB22" i="21" l="1"/>
  <c r="AB23" i="21" s="1"/>
  <c r="G57" i="38"/>
  <c r="F67" i="38"/>
  <c r="AI152" i="3"/>
  <c r="AD21" i="21" l="1"/>
  <c r="G67" i="38"/>
  <c r="X110" i="15"/>
  <c r="W110" i="15"/>
  <c r="AD22" i="21" l="1"/>
  <c r="AD23" i="21" s="1"/>
  <c r="AD9" i="21"/>
  <c r="AI110" i="15"/>
  <c r="AI155" i="3"/>
  <c r="F30" i="28"/>
  <c r="N30" i="28" s="1"/>
  <c r="T30" i="28" s="1"/>
  <c r="M30" i="28"/>
  <c r="G30" i="28"/>
  <c r="O30" i="28" s="1"/>
  <c r="U30" i="28" s="1"/>
  <c r="P30" i="28" l="1"/>
  <c r="S30" i="28"/>
  <c r="M33" i="28"/>
  <c r="N33" i="28"/>
  <c r="V30" i="28" l="1"/>
  <c r="Q30" i="28"/>
  <c r="Y30" i="28" s="1"/>
  <c r="W30" i="28"/>
  <c r="N27" i="28" s="1"/>
  <c r="V31" i="28" l="1"/>
  <c r="M27" i="28"/>
  <c r="P32" i="28" l="1"/>
  <c r="O26" i="28"/>
  <c r="P26" i="28" s="1"/>
  <c r="AI26" i="28"/>
  <c r="H16" i="30" l="1"/>
  <c r="H20" i="30" l="1"/>
  <c r="W20" i="30" s="1"/>
  <c r="H119" i="30"/>
  <c r="W16" i="30"/>
  <c r="H123" i="30" l="1"/>
  <c r="W123" i="30" s="1"/>
  <c r="W119" i="30"/>
  <c r="D58" i="30" l="1"/>
  <c r="D62" i="30" l="1"/>
  <c r="S62" i="30" s="1"/>
  <c r="S58" i="30"/>
  <c r="D98" i="30"/>
  <c r="J98" i="30"/>
  <c r="D102" i="30" l="1"/>
  <c r="S102" i="30" s="1"/>
  <c r="S98" i="30"/>
  <c r="Q98" i="30"/>
  <c r="Z98" i="30" s="1"/>
  <c r="J102" i="30"/>
  <c r="Q102" i="30" s="1"/>
  <c r="Z102" i="30" s="1"/>
  <c r="AA98" i="30" l="1"/>
  <c r="AA102" i="30"/>
  <c r="J58" i="30" l="1"/>
  <c r="J62" i="30" l="1"/>
  <c r="Q62" i="30" s="1"/>
  <c r="Z62" i="30" s="1"/>
  <c r="AA62" i="30" s="1"/>
  <c r="Q58" i="30"/>
  <c r="Z58" i="30" s="1"/>
  <c r="AA58" i="30" s="1"/>
  <c r="D16" i="30"/>
  <c r="D78" i="30"/>
  <c r="D36" i="30"/>
  <c r="S78" i="30" l="1"/>
  <c r="D82" i="30"/>
  <c r="S82" i="30" s="1"/>
  <c r="D40" i="30"/>
  <c r="S40" i="30" s="1"/>
  <c r="S36" i="30"/>
  <c r="D119" i="30"/>
  <c r="D20" i="30"/>
  <c r="S20" i="30" s="1"/>
  <c r="P12" i="21" s="1"/>
  <c r="P23" i="21" s="1"/>
  <c r="S16" i="30"/>
  <c r="L36" i="21"/>
  <c r="J16" i="30"/>
  <c r="J36" i="30"/>
  <c r="J78" i="30"/>
  <c r="Q78" i="30" l="1"/>
  <c r="Z78" i="30" s="1"/>
  <c r="AA78" i="30" s="1"/>
  <c r="J82" i="30"/>
  <c r="Q82" i="30" s="1"/>
  <c r="Z82" i="30" s="1"/>
  <c r="AA82" i="30" s="1"/>
  <c r="D123" i="30"/>
  <c r="S119" i="30"/>
  <c r="J20" i="30"/>
  <c r="Q20" i="30" s="1"/>
  <c r="Z20" i="30" s="1"/>
  <c r="AA20" i="30" s="1"/>
  <c r="J119" i="30"/>
  <c r="Q16" i="30"/>
  <c r="Z16" i="30" s="1"/>
  <c r="AA16" i="30" s="1"/>
  <c r="M40" i="21"/>
  <c r="M43" i="21" s="1"/>
  <c r="M44" i="21" s="1"/>
  <c r="M38" i="21" s="1"/>
  <c r="AI17" i="19"/>
  <c r="AJ17" i="19" s="1"/>
  <c r="AK17" i="19" s="1"/>
  <c r="Q36" i="30"/>
  <c r="Z36" i="30" s="1"/>
  <c r="AA36" i="30" s="1"/>
  <c r="J40" i="30"/>
  <c r="Q40" i="30" s="1"/>
  <c r="Z40" i="30" s="1"/>
  <c r="AA40" i="30" s="1"/>
  <c r="J123" i="30" l="1"/>
  <c r="Q123" i="30" s="1"/>
  <c r="Q119" i="30"/>
  <c r="Z119" i="30" s="1"/>
  <c r="AA119" i="30" s="1"/>
  <c r="S123" i="30"/>
  <c r="Z123" i="30" l="1"/>
  <c r="AA123" i="30" s="1"/>
  <c r="Q126" i="30" l="1"/>
  <c r="D127" i="30" l="1"/>
  <c r="D126" i="30"/>
  <c r="K127" i="30" l="1"/>
  <c r="K126" i="30" l="1"/>
  <c r="I8" i="21"/>
  <c r="D49" i="28"/>
  <c r="L49" i="28" s="1"/>
  <c r="P49" i="28" l="1"/>
  <c r="R49" i="28"/>
  <c r="L12" i="28"/>
  <c r="D19" i="28"/>
  <c r="P12" i="28" l="1"/>
  <c r="Q12" i="28" s="1"/>
  <c r="L19" i="28"/>
  <c r="R12" i="28"/>
  <c r="R19" i="28" s="1"/>
  <c r="W49" i="28"/>
  <c r="Q49" i="28"/>
  <c r="V49" i="28"/>
  <c r="AF12" i="28" l="1"/>
  <c r="W12" i="28"/>
  <c r="V12" i="28"/>
  <c r="AH12" i="28"/>
  <c r="P19" i="28"/>
  <c r="X49" i="28" l="1"/>
  <c r="X57" i="28" s="1"/>
  <c r="I14" i="21" s="1"/>
  <c r="V19" i="28"/>
  <c r="X60" i="28"/>
  <c r="X69" i="28" s="1"/>
  <c r="Q20" i="28"/>
  <c r="Q19" i="28"/>
  <c r="Y12" i="28"/>
</calcChain>
</file>

<file path=xl/sharedStrings.xml><?xml version="1.0" encoding="utf-8"?>
<sst xmlns="http://schemas.openxmlformats.org/spreadsheetml/2006/main" count="3094" uniqueCount="368">
  <si>
    <t>%</t>
  </si>
  <si>
    <t>Castamet</t>
  </si>
  <si>
    <t>Date</t>
  </si>
  <si>
    <t>UOM</t>
  </si>
  <si>
    <t>Todate</t>
  </si>
  <si>
    <t>Inverter-1</t>
  </si>
  <si>
    <t>KwH</t>
  </si>
  <si>
    <t>Inverter-2</t>
  </si>
  <si>
    <t>Inverter-3</t>
  </si>
  <si>
    <t>Inverter-4</t>
  </si>
  <si>
    <t>Inverter-5</t>
  </si>
  <si>
    <t>Inverter-6</t>
  </si>
  <si>
    <t>Inverter-7</t>
  </si>
  <si>
    <t>Inverter-8</t>
  </si>
  <si>
    <t>Inverter-9</t>
  </si>
  <si>
    <t>Inverter-10</t>
  </si>
  <si>
    <t>Inverter-11</t>
  </si>
  <si>
    <t>Inverter-12</t>
  </si>
  <si>
    <t>Inverter-13</t>
  </si>
  <si>
    <t>Inverter-14</t>
  </si>
  <si>
    <t>Inverter-15</t>
  </si>
  <si>
    <t>Inverter-16</t>
  </si>
  <si>
    <t>Inverter-17</t>
  </si>
  <si>
    <t>Inverter-18</t>
  </si>
  <si>
    <t>Actual Solar Gen</t>
  </si>
  <si>
    <t>Actial Irradition</t>
  </si>
  <si>
    <t>Kwh/m2/Day</t>
  </si>
  <si>
    <t>Plant Consumption</t>
  </si>
  <si>
    <t>Target PLF based on Actual Irradiation</t>
  </si>
  <si>
    <t>Remarks</t>
  </si>
  <si>
    <t>RGU</t>
  </si>
  <si>
    <t>PGU</t>
  </si>
  <si>
    <t>Location</t>
  </si>
  <si>
    <t>Panipat</t>
  </si>
  <si>
    <t>Roorkee</t>
  </si>
  <si>
    <t>Actual PLF based on Actual Irradiation</t>
  </si>
  <si>
    <t>Jharkhand</t>
  </si>
  <si>
    <t>Inverter-19</t>
  </si>
  <si>
    <t>Inverter-20</t>
  </si>
  <si>
    <t>Inverter-21</t>
  </si>
  <si>
    <t>Sr No</t>
  </si>
  <si>
    <t>Beawar</t>
  </si>
  <si>
    <t>Target - March</t>
  </si>
  <si>
    <t>Target - Feb</t>
  </si>
  <si>
    <t>Generation Target</t>
  </si>
  <si>
    <t>Irradiation Target</t>
  </si>
  <si>
    <t>Irradiation Actual</t>
  </si>
  <si>
    <t>% Irradiation Difference</t>
  </si>
  <si>
    <t>Actual - Feb</t>
  </si>
  <si>
    <t>Actual - March</t>
  </si>
  <si>
    <t>Feb</t>
  </si>
  <si>
    <t>March</t>
  </si>
  <si>
    <t>S.NO</t>
  </si>
  <si>
    <t>Particular</t>
  </si>
  <si>
    <t>Panipat Grinding Unit</t>
  </si>
  <si>
    <t>Jharkhand Grinding Unit</t>
  </si>
  <si>
    <t>Target</t>
  </si>
  <si>
    <t>Actual</t>
  </si>
  <si>
    <t>Power Generation</t>
  </si>
  <si>
    <t>KWH</t>
  </si>
  <si>
    <t>% PLF</t>
  </si>
  <si>
    <t>Difference
(Target to Actual)</t>
  </si>
  <si>
    <t>Dust Losses</t>
  </si>
  <si>
    <t>Action Taken</t>
  </si>
  <si>
    <t>Action to be taken</t>
  </si>
  <si>
    <t>iii)Chemical ready for cleaning &amp; will shifted immediately if required</t>
  </si>
  <si>
    <t>i)Additional 03 Nos manpower from M/S Hawa Singh deployed for cleaning from 09-Oct.</t>
  </si>
  <si>
    <t>ii)WO for cleaning on daily basis Under progress &amp; will be released by 09-Oct</t>
  </si>
  <si>
    <t>iii)One portable compressor shifted to blow away dry dust</t>
  </si>
  <si>
    <t>iv)Chemical procured from Local market to clean cement dust from module</t>
  </si>
  <si>
    <t xml:space="preserve">i)Chemical cleaning of complete plant (Target Date-13-Oct) </t>
  </si>
  <si>
    <t>ii)Daily cleaning of all solar module (Regular basis)</t>
  </si>
  <si>
    <t>ii)Chemical dispacthed,Expected to reach by 11-Oct</t>
  </si>
  <si>
    <t>i)Additional 05 Nos manpower from M/S Gensol deployed for cleaning from 08-Oct.</t>
  </si>
  <si>
    <t xml:space="preserve">i)Chemical cleaning of complete plant (Target Date-15-Oct) </t>
  </si>
  <si>
    <t>SOLAR PLANT GENERATION SUMMARY &amp; ACTION PLAN TO ACHIEVE TARGET GENERATION</t>
  </si>
  <si>
    <t>Other Losses i.e. Deemed,Outage.</t>
  </si>
  <si>
    <t>i)Water Cleaning of all module carried out on 08-Oct (Evening).</t>
  </si>
  <si>
    <t>iii) 48% of cleaning completed &amp; compare to last month data at same irradiation 5.8KW/M2 i.e. 12-Sep achieved gain of apporx 1.84% and 900KWH per day</t>
  </si>
  <si>
    <t>ii)Continue monitoring &amp; cleaning of dusty module on regular basis</t>
  </si>
  <si>
    <t>i)Fix sheet arrangement to be done to avoid dust travelling from W/S to Solar plant</t>
  </si>
  <si>
    <t>Reason of Dust Losses</t>
  </si>
  <si>
    <t>Dus Generating from Shackout vibrator &amp; Knock out in Machine.</t>
  </si>
  <si>
    <t>i)Change in wind direction i.e. from packing plant side to Solar plant (West to East) ii)Dew factor in very early morning/Dawn time Dew iii)Problem in roller press and other plant issue</t>
  </si>
  <si>
    <t>i)Dust generating from  vehicle moving on road ii)Modules in front row near to  Fly ash pond are dusty iii)Cleaning done first time since module installation</t>
  </si>
  <si>
    <t>ii)Temprarory covering provided on Shed to avoid dust transfer from Workshop to Solar Module</t>
  </si>
  <si>
    <t>Total Generation Loss</t>
  </si>
  <si>
    <t>Action Plan</t>
  </si>
  <si>
    <t>Status of action plan</t>
  </si>
  <si>
    <t>Today</t>
  </si>
  <si>
    <t>Monthly</t>
  </si>
  <si>
    <t>Yearly</t>
  </si>
  <si>
    <t>Today Major Observation</t>
  </si>
  <si>
    <t>Target Date</t>
  </si>
  <si>
    <t>Problem &amp; General issue</t>
  </si>
  <si>
    <t>Action taken</t>
  </si>
  <si>
    <t>Target                      (PV Syst)</t>
  </si>
  <si>
    <t>Performance Ratio (PR)</t>
  </si>
  <si>
    <t>Generation (Today)</t>
  </si>
  <si>
    <t xml:space="preserve"> Loss Due to Low Irradiance</t>
  </si>
  <si>
    <t xml:space="preserve">Loss Due to Dust </t>
  </si>
  <si>
    <t>Loss Due to Deemed</t>
  </si>
  <si>
    <t>Loss Due to BD</t>
  </si>
  <si>
    <t>Loss Due to GRID outage</t>
  </si>
  <si>
    <t>4a</t>
  </si>
  <si>
    <t>4b</t>
  </si>
  <si>
    <t>4c</t>
  </si>
  <si>
    <t>4d</t>
  </si>
  <si>
    <t>4e</t>
  </si>
  <si>
    <t>Target PLF based on KWH</t>
  </si>
  <si>
    <t>Difference between Target to Actual</t>
  </si>
  <si>
    <t>Performance Ration</t>
  </si>
  <si>
    <t>Performance Ratio</t>
  </si>
  <si>
    <t>Target to actual PLF %</t>
  </si>
  <si>
    <t xml:space="preserve">Area of Concern                           </t>
  </si>
  <si>
    <t>Irradiance(Inclined)</t>
  </si>
  <si>
    <t>Unaccountable/ Misc Losses</t>
  </si>
  <si>
    <t>Loss due to higher ambinet temp.</t>
  </si>
  <si>
    <t>Roorkee Solar Plant - Target Power Generation</t>
  </si>
  <si>
    <t>Nos of Module</t>
  </si>
  <si>
    <t>Nos</t>
  </si>
  <si>
    <t>Month</t>
  </si>
  <si>
    <t>Days</t>
  </si>
  <si>
    <t>Solar Irradiation</t>
  </si>
  <si>
    <r>
      <t xml:space="preserve">Gross Power generation </t>
    </r>
    <r>
      <rPr>
        <sz val="11"/>
        <color theme="1"/>
        <rFont val="Calibri"/>
        <family val="2"/>
        <scheme val="minor"/>
      </rPr>
      <t>(with Module Efficiency of 19.16%- As per Data Sheet)</t>
    </r>
  </si>
  <si>
    <t>Average Ambeint Temp</t>
  </si>
  <si>
    <t>Losses</t>
  </si>
  <si>
    <r>
      <t xml:space="preserve">Calculated Net Power Gen. Based on Radiation
</t>
    </r>
    <r>
      <rPr>
        <sz val="11"/>
        <color theme="1"/>
        <rFont val="Calibri"/>
        <family val="2"/>
        <scheme val="minor"/>
      </rPr>
      <t xml:space="preserve"> (net of Losses)</t>
    </r>
  </si>
  <si>
    <t>PLF (%)</t>
  </si>
  <si>
    <t>PR (%)</t>
  </si>
  <si>
    <t>Area of Module</t>
  </si>
  <si>
    <t>Sq. Mtr</t>
  </si>
  <si>
    <t>Horizontal Global Irradaiution</t>
  </si>
  <si>
    <r>
      <t xml:space="preserve">Seasonal Tilt
</t>
    </r>
    <r>
      <rPr>
        <sz val="11"/>
        <color theme="1"/>
        <rFont val="Calibri"/>
        <family val="2"/>
        <scheme val="minor"/>
      </rPr>
      <t>(Solar Panel Area - 5215.2Sqr Mtr)</t>
    </r>
  </si>
  <si>
    <r>
      <t xml:space="preserve">At SCL Solar Plant
</t>
    </r>
    <r>
      <rPr>
        <sz val="11"/>
        <color theme="1"/>
        <rFont val="Calibri"/>
        <family val="2"/>
        <scheme val="minor"/>
      </rPr>
      <t>(Total Solar Panel Area-5215.2 Sqr mtr)</t>
    </r>
  </si>
  <si>
    <t>Loss due to  Ambient Temperature</t>
  </si>
  <si>
    <r>
      <t xml:space="preserve">Other Losses
</t>
    </r>
    <r>
      <rPr>
        <sz val="11"/>
        <color theme="1"/>
        <rFont val="Calibri"/>
        <family val="2"/>
        <scheme val="minor"/>
      </rPr>
      <t>(Annex-1)</t>
    </r>
  </si>
  <si>
    <t>Total Losses</t>
  </si>
  <si>
    <t>Total Area of Module</t>
  </si>
  <si>
    <t>Global Horizontal</t>
  </si>
  <si>
    <t>T-Ambient</t>
  </si>
  <si>
    <t>Global Inclide</t>
  </si>
  <si>
    <t>E_Grid</t>
  </si>
  <si>
    <t>KWH/m2/Day</t>
  </si>
  <si>
    <t>KwH/Day</t>
  </si>
  <si>
    <t>DegC</t>
  </si>
  <si>
    <t>Plant Capacity</t>
  </si>
  <si>
    <t>Kwh/m2</t>
  </si>
  <si>
    <t>Deg C</t>
  </si>
  <si>
    <t>MWH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</si>
  <si>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</si>
  <si>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</si>
  <si>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</si>
  <si>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</si>
  <si>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</si>
  <si>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</si>
  <si>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</si>
  <si>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</si>
  <si>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</si>
  <si>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</si>
  <si>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</si>
  <si>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</si>
  <si>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Module efficiency</t>
  </si>
  <si>
    <t>Note-1</t>
  </si>
  <si>
    <t>(B x 5215.2 Sqr mtr)</t>
  </si>
  <si>
    <t>C X 19.16%</t>
  </si>
  <si>
    <t>Note-2</t>
  </si>
  <si>
    <t>F + G</t>
  </si>
  <si>
    <t>D X H</t>
  </si>
  <si>
    <t>I x Days</t>
  </si>
  <si>
    <t>I / (999.4*24)</t>
  </si>
  <si>
    <t>I / (B * 999.4)</t>
  </si>
  <si>
    <t>Module Wattage</t>
  </si>
  <si>
    <t>GHI</t>
  </si>
  <si>
    <t>Inclined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</si>
  <si>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</si>
  <si>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</si>
  <si>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</si>
  <si>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</si>
  <si>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</si>
  <si>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</si>
  <si>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</si>
  <si>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</si>
  <si>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</si>
  <si>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</si>
  <si>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</si>
  <si>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Weighted Average</t>
  </si>
  <si>
    <t>Note</t>
  </si>
  <si>
    <t>Horizontal Global &amp; Seasonal Tilt Irradiance taken from PVSYST Software report</t>
  </si>
  <si>
    <t>Solar Panels are designed for 25 DegC. Actual temperature on solar panel is 20DegC higher than ambient temperature. Temperature loss is 0.37% for every DegC as per data sheet.</t>
  </si>
  <si>
    <t>Castamet Solar Plant - Target Power Generation</t>
  </si>
  <si>
    <r>
      <t xml:space="preserve">Gross Power generation </t>
    </r>
    <r>
      <rPr>
        <sz val="11"/>
        <color theme="1"/>
        <rFont val="Calibri"/>
        <family val="2"/>
        <scheme val="minor"/>
      </rPr>
      <t>(with Module Efficiency of 18.87%- As per Data Sheet)</t>
    </r>
  </si>
  <si>
    <r>
      <t xml:space="preserve">5 Deg Fix Tilt
</t>
    </r>
    <r>
      <rPr>
        <sz val="11"/>
        <color theme="1"/>
        <rFont val="Calibri"/>
        <family val="2"/>
        <scheme val="minor"/>
      </rPr>
      <t>(Solar Panel Area - 5312.7 Sqr Mtr)</t>
    </r>
  </si>
  <si>
    <r>
      <t xml:space="preserve">At SCL Solar Plant
</t>
    </r>
    <r>
      <rPr>
        <sz val="11"/>
        <color theme="1"/>
        <rFont val="Calibri"/>
        <family val="2"/>
        <scheme val="minor"/>
      </rPr>
      <t>(Total Solar Panel Area-5312.7Sqr mtr)</t>
    </r>
  </si>
  <si>
    <t>Efficiency</t>
  </si>
  <si>
    <t>(B x 5312.7 Sqr mtr)</t>
  </si>
  <si>
    <t>C X 18.87%</t>
  </si>
  <si>
    <t>I / (999.37*24)</t>
  </si>
  <si>
    <t>I / (B * 999.37)</t>
  </si>
  <si>
    <t>Horizontal Global &amp; 5 Deg Fix Tilt Irradiance taken from PVSYST Software report</t>
  </si>
  <si>
    <t>Solar Panels are designed for 25 DegC. Actual temperature on solar panel is 20DegC higher than ambient temperature. Temperature loss is 0.39% for every DegC as per data sheet.</t>
  </si>
  <si>
    <t>Panipat Solar Plant - Target Power Generation</t>
  </si>
  <si>
    <t>M</t>
  </si>
  <si>
    <t>N</t>
  </si>
  <si>
    <t>Jharkhand Solar Plant - Target Power Generation</t>
  </si>
  <si>
    <r>
      <t xml:space="preserve">Gross Power generation </t>
    </r>
    <r>
      <rPr>
        <sz val="11"/>
        <color theme="1"/>
        <rFont val="Calibri"/>
        <family val="2"/>
        <scheme val="minor"/>
      </rPr>
      <t>(with Module Efficiency of 19.58%- As per Data Sheet)</t>
    </r>
  </si>
  <si>
    <r>
      <t xml:space="preserve">Seasonal Tilt
</t>
    </r>
    <r>
      <rPr>
        <sz val="11"/>
        <color theme="1"/>
        <rFont val="Calibri"/>
        <family val="2"/>
        <scheme val="minor"/>
      </rPr>
      <t>(Solar Panel Area - 10206.5Sqr Mtr)</t>
    </r>
  </si>
  <si>
    <r>
      <t xml:space="preserve">At SCL Solar Plant
</t>
    </r>
    <r>
      <rPr>
        <sz val="11"/>
        <color theme="1"/>
        <rFont val="Calibri"/>
        <family val="2"/>
        <scheme val="minor"/>
      </rPr>
      <t>(Total Solar Panel Area-10206.5Sqr mtr)</t>
    </r>
  </si>
  <si>
    <t>(B x 10206.5 Sqr mtr)</t>
  </si>
  <si>
    <t>C X 19.58%</t>
  </si>
  <si>
    <t>I / (1998.8*24)</t>
  </si>
  <si>
    <t>I / (B * 1998.8)</t>
  </si>
  <si>
    <t>Solar Panels are designed for 25 DegC. Actual temperature on solar panel is 20DegC higher than ambient temperature. Temperature loss is 0.3739% for every DegC as per data sheet.</t>
  </si>
  <si>
    <t>Average Ambinet Temp</t>
  </si>
  <si>
    <t>Loss due to Higher Temperature</t>
  </si>
  <si>
    <t>Loss due to Irradition</t>
  </si>
  <si>
    <t>PLF %</t>
  </si>
  <si>
    <t>PR %</t>
  </si>
  <si>
    <t>Loss Due to External Factor</t>
  </si>
  <si>
    <t xml:space="preserve">Ii)Cement mill started at 02:45AM
ii)Cloudt Weather wholed day.
iii)Achieved capacity achieved by diverting string from 50KW inverter to 80KW inverter.
Iv)Harmonics audit scheduled from today.
</t>
  </si>
  <si>
    <r>
      <t xml:space="preserve">Total difference in PR-6.9 % 
a)3.1% due to unaccountable losses
b)5.4 % due to External account (1 No's inverter sent to Jharkhand, Impact of 246 KWH &amp; 1.00% PLF)
c) 0.2% due to grid outage.
</t>
    </r>
    <r>
      <rPr>
        <sz val="8"/>
        <color indexed="8"/>
        <rFont val="Century Gothic"/>
        <family val="2"/>
      </rPr>
      <t xml:space="preserve">
</t>
    </r>
  </si>
  <si>
    <r>
      <rPr>
        <b/>
        <sz val="8"/>
        <color indexed="8"/>
        <rFont val="Century Gothic"/>
        <family val="2"/>
      </rPr>
      <t>Total difference in PR-5.1 % 
a)1.4% due to unaccountable losses
b)2.2% due to ambient temp high
c)1.4% due to dust impact</t>
    </r>
    <r>
      <rPr>
        <sz val="8"/>
        <color indexed="8"/>
        <rFont val="Century Gothic"/>
        <family val="2"/>
      </rPr>
      <t xml:space="preserve">
Ii)Dust impact on Invertert 1 and 2, cleaning cycle will be started from tomorrow(29.11.2020)</t>
    </r>
  </si>
  <si>
    <r>
      <t xml:space="preserve">i) Wet cleaning of all modules from inverter-01 to Inverter-18
</t>
    </r>
    <r>
      <rPr>
        <b/>
        <sz val="8"/>
        <color indexed="8"/>
        <rFont val="Century Gothic"/>
        <family val="2"/>
      </rPr>
      <t xml:space="preserve">iii) Total PR difference is 0.8%
</t>
    </r>
  </si>
  <si>
    <r>
      <t xml:space="preserve">ii)Cloudy Weather wholed day.
iii)Installed capacity achieved .
Iv)Harmonics audit done on (27.11.2020) by govt authorities.
</t>
    </r>
    <r>
      <rPr>
        <b/>
        <sz val="8"/>
        <color indexed="8"/>
        <rFont val="Century Gothic"/>
        <family val="2"/>
      </rPr>
      <t>V) Total PR difference is 15.2%
a) 2.1% due to unaccountable losss.
B) 2.1% dust impact</t>
    </r>
  </si>
  <si>
    <t xml:space="preserve">
</t>
  </si>
  <si>
    <t>Jan</t>
  </si>
  <si>
    <t>Molnthly</t>
  </si>
  <si>
    <t>Panipat_248</t>
  </si>
  <si>
    <t>JHK</t>
  </si>
  <si>
    <t>248 PGU</t>
  </si>
  <si>
    <t>kWh/m2</t>
  </si>
  <si>
    <t>4f</t>
  </si>
  <si>
    <r>
      <t xml:space="preserve">Gross Power generation </t>
    </r>
    <r>
      <rPr>
        <sz val="11"/>
        <color theme="1"/>
        <rFont val="Calibri"/>
        <family val="2"/>
        <scheme val="minor"/>
      </rPr>
      <t>(with Module Efficiency of 19.92%- As per Data Sheet)</t>
    </r>
  </si>
  <si>
    <r>
      <t xml:space="preserve">5 Deg Fix Tilt
</t>
    </r>
    <r>
      <rPr>
        <sz val="11"/>
        <color theme="1"/>
        <rFont val="Calibri"/>
        <family val="2"/>
        <scheme val="minor"/>
      </rPr>
      <t>(Solar Panel Area - 1231 Sqr Mtr)</t>
    </r>
  </si>
  <si>
    <r>
      <t xml:space="preserve">At SCL Solar Plant
</t>
    </r>
    <r>
      <rPr>
        <sz val="11"/>
        <color theme="1"/>
        <rFont val="Calibri"/>
        <family val="2"/>
        <scheme val="minor"/>
      </rPr>
      <t>(Total Solar Panel Area-1231Sqr mtr)</t>
    </r>
  </si>
  <si>
    <t>(B x 1231 Sqr mtr)</t>
  </si>
  <si>
    <t>C X 19.92%</t>
  </si>
  <si>
    <t>I / (248*24)</t>
  </si>
  <si>
    <t>Average Ambeint Temp
(Actual)</t>
  </si>
  <si>
    <t>Target Generation</t>
  </si>
  <si>
    <t>Target PLF</t>
  </si>
  <si>
    <t>No of Days</t>
  </si>
  <si>
    <t>Horizontal Global Irradaiution
(Calculated)</t>
  </si>
  <si>
    <t>Seasonal Tilt
Irradiation
(Solar Panel Area - 124.4 Sqr Mtr)
(PV Syst)</t>
  </si>
  <si>
    <r>
      <t xml:space="preserve">Horizontal Single Axis
</t>
    </r>
    <r>
      <rPr>
        <sz val="11"/>
        <color theme="1"/>
        <rFont val="Calibri"/>
        <family val="2"/>
        <scheme val="minor"/>
      </rPr>
      <t>(Solar Panel Area - 70 Sqr Mtr)
(Calculated)</t>
    </r>
  </si>
  <si>
    <r>
      <t xml:space="preserve">Tilted Single Axis
</t>
    </r>
    <r>
      <rPr>
        <sz val="11"/>
        <color theme="1"/>
        <rFont val="Calibri"/>
        <family val="2"/>
        <scheme val="minor"/>
      </rPr>
      <t>(Solar Panel Area - 70 Sqr Mtr)
(Calculated)</t>
    </r>
  </si>
  <si>
    <r>
      <t xml:space="preserve">Dual Axis
</t>
    </r>
    <r>
      <rPr>
        <sz val="11"/>
        <color theme="1"/>
        <rFont val="Calibri"/>
        <family val="2"/>
        <scheme val="minor"/>
      </rPr>
      <t>(Solar Panel Area - 124.4 Sqr Mtr)
(Calculated)</t>
    </r>
  </si>
  <si>
    <t>Seasonal Tilt
Generation</t>
  </si>
  <si>
    <t>Horizontal Single Axis
Generation</t>
  </si>
  <si>
    <t>Tilted  Single Axis
Generation</t>
  </si>
  <si>
    <t>Dual Axis
Generation</t>
  </si>
  <si>
    <t>Total Generation</t>
  </si>
  <si>
    <t>KWh/day</t>
  </si>
  <si>
    <t>KWh/Month</t>
  </si>
  <si>
    <t>KWh</t>
  </si>
  <si>
    <t>C1</t>
  </si>
  <si>
    <t>C2</t>
  </si>
  <si>
    <t>H + I</t>
  </si>
  <si>
    <t>(B*124.4*16%)*(1+J)</t>
  </si>
  <si>
    <t>(C1*124.4*16%)*(1+J)</t>
  </si>
  <si>
    <t>(C2*124.4*16%)*(1+J)</t>
  </si>
  <si>
    <t>(D*124.4*16%)*(1+J)</t>
  </si>
  <si>
    <t>K+L+M+N</t>
  </si>
  <si>
    <t>Temperature</t>
  </si>
  <si>
    <t>Irradiation</t>
  </si>
  <si>
    <t>Inverter-1(Seasonal Axis Generation)</t>
  </si>
  <si>
    <t>Inverter-2 (Single Axis Generation)</t>
  </si>
  <si>
    <t>Inverter-3 (Dual Axis Generation)</t>
  </si>
  <si>
    <t>Actual Irradition</t>
  </si>
  <si>
    <t>Irradiation Factor</t>
  </si>
  <si>
    <t xml:space="preserve"> Misc Losses</t>
  </si>
  <si>
    <t>Deemed</t>
  </si>
  <si>
    <t>Grid</t>
  </si>
  <si>
    <t>Breakdown</t>
  </si>
  <si>
    <t>Dust</t>
  </si>
  <si>
    <t>External</t>
  </si>
  <si>
    <t>Irradtion Target</t>
  </si>
  <si>
    <t>Monthly Target</t>
  </si>
  <si>
    <t>Day Gen Target</t>
  </si>
  <si>
    <t>Capacity</t>
  </si>
  <si>
    <t>Total Breakdown</t>
  </si>
  <si>
    <t>Daily</t>
  </si>
  <si>
    <t>KW</t>
  </si>
  <si>
    <t>Bwr Solar</t>
  </si>
  <si>
    <t>Panipat 248 KW Plant</t>
  </si>
  <si>
    <t>Actual Solar Gen 248 KW</t>
  </si>
  <si>
    <t>Target PLF based on Actual Irradiation 248 KW</t>
  </si>
  <si>
    <t>Total Solar (999 +248) Solar Gen</t>
  </si>
  <si>
    <t>Capacity(999 +248) Solar Gen</t>
  </si>
  <si>
    <t>Irraditon Target Gen</t>
  </si>
  <si>
    <t>Irraditon Target 999.4KW%</t>
  </si>
  <si>
    <t>Irraditon Target 248KW%</t>
  </si>
  <si>
    <t>Runnind Days</t>
  </si>
  <si>
    <t>248_PGU</t>
  </si>
  <si>
    <t>Misc</t>
  </si>
  <si>
    <t>Deem</t>
  </si>
  <si>
    <t>BD</t>
  </si>
  <si>
    <t>PR</t>
  </si>
  <si>
    <t>Degree</t>
  </si>
  <si>
    <t>Temprature Impact</t>
  </si>
  <si>
    <t>PGU(999.4)</t>
  </si>
  <si>
    <t>PGU(248)</t>
  </si>
  <si>
    <t>PGU(999.4+248KW)</t>
  </si>
  <si>
    <t>Beawar Generation Zero for 28Feb , due to Grid outage</t>
  </si>
  <si>
    <t>Remark:-</t>
  </si>
  <si>
    <t>Inverter-22</t>
  </si>
  <si>
    <t>Panipat Solar</t>
  </si>
  <si>
    <t>Actual Gross Gen</t>
  </si>
  <si>
    <t xml:space="preserve"> Irradiation impact</t>
  </si>
  <si>
    <t>Roorkee Solar</t>
  </si>
  <si>
    <t>Jharkhand Solar</t>
  </si>
  <si>
    <t>Castamet Solar</t>
  </si>
  <si>
    <t>Solar Overall</t>
  </si>
  <si>
    <t>Gridout</t>
  </si>
  <si>
    <t>Total</t>
  </si>
  <si>
    <t>Panipat_999.4</t>
  </si>
  <si>
    <t xml:space="preserve">Target   (As per     FY 20-21)                    </t>
  </si>
  <si>
    <t xml:space="preserve">Target   (As per    FY 20-21)                    </t>
  </si>
  <si>
    <t>Row-01 to Row-15</t>
  </si>
  <si>
    <t>Row-16 to Row-20A (01 Table pending)</t>
  </si>
  <si>
    <t>(Excluding Supervisor)</t>
  </si>
  <si>
    <t>Row-20 A (01 Table) (Half day consider)</t>
  </si>
  <si>
    <t>Last Manpower Involved in Tilt angle changing (Actual)</t>
  </si>
  <si>
    <t>Work Done</t>
  </si>
  <si>
    <t>Manpower</t>
  </si>
  <si>
    <t>Rate</t>
  </si>
  <si>
    <t>Total Amount for Tilt angle changing work at Panipat</t>
  </si>
  <si>
    <t>Remark</t>
  </si>
  <si>
    <t>Solar Generation</t>
  </si>
  <si>
    <t>Auxiliary Consumption</t>
  </si>
  <si>
    <t>FMR</t>
  </si>
  <si>
    <t>IMR</t>
  </si>
  <si>
    <t>MF</t>
  </si>
  <si>
    <t>Generation</t>
  </si>
  <si>
    <t>Consumption</t>
  </si>
  <si>
    <t>SJHCP</t>
  </si>
  <si>
    <t>Jharkhand Meter change on 17 Oct as Visit of JERC Official</t>
  </si>
  <si>
    <t>`</t>
  </si>
  <si>
    <t xml:space="preserve">i)Freyer O&amp;M manpower not available from 16-Dec-2020.
</t>
  </si>
  <si>
    <t xml:space="preserve">i)Freyer O&amp;M manpower not available from 16-Dec-2020 &amp; Cleaning cycle pending                                        </t>
  </si>
  <si>
    <t xml:space="preserve">i)Additonal manpower deployed for cleaning </t>
  </si>
  <si>
    <t xml:space="preserve">i)Modules in front row near to  Fly ash pond are dusty &amp; Required frequent cleaning 
</t>
  </si>
  <si>
    <t xml:space="preserve">i)Frequent cleaning of front row modules started with additional manpower
ii)Barricating wall work under progress
</t>
  </si>
  <si>
    <t>Panipat_1247.4 KW</t>
  </si>
  <si>
    <t>Target Per day</t>
  </si>
  <si>
    <t>999.4 KW</t>
  </si>
  <si>
    <t>248 KW</t>
  </si>
  <si>
    <t>Roorkee 999.4 KW</t>
  </si>
  <si>
    <t>Jharkhand 1998.8 KW</t>
  </si>
  <si>
    <t>1998.8 KW</t>
  </si>
  <si>
    <t>Castamet 999.37 KW</t>
  </si>
  <si>
    <t>999.37 KW</t>
  </si>
  <si>
    <t>Beawar 62 KW</t>
  </si>
  <si>
    <t>62 KW</t>
  </si>
  <si>
    <t>Month Irradiation</t>
  </si>
  <si>
    <t>PANIPAT</t>
  </si>
  <si>
    <t>Loss due to irradition</t>
  </si>
  <si>
    <t>JHARKHAND</t>
  </si>
  <si>
    <t>CASTAMET</t>
  </si>
  <si>
    <t>BEAWAR</t>
  </si>
  <si>
    <r>
      <rPr>
        <b/>
        <sz val="26"/>
        <color theme="1"/>
        <rFont val="Century Gothic"/>
        <family val="2"/>
      </rPr>
      <t>i) Total PR difference : 4.75%</t>
    </r>
    <r>
      <rPr>
        <sz val="26"/>
        <color theme="1"/>
        <rFont val="Century Gothic"/>
        <family val="2"/>
      </rPr>
      <t xml:space="preserve">
a)1.0% Misc losses
b)-0.5% due to temp. difference
</t>
    </r>
  </si>
  <si>
    <r>
      <rPr>
        <b/>
        <sz val="26"/>
        <color indexed="8"/>
        <rFont val="Century Gothic"/>
        <family val="2"/>
      </rPr>
      <t>i) Total PR difference :2.76 %</t>
    </r>
    <r>
      <rPr>
        <sz val="26"/>
        <color indexed="8"/>
        <rFont val="Century Gothic"/>
        <family val="2"/>
      </rPr>
      <t xml:space="preserve">
a)0.7% due to Misc losses
b)0.3% due to temp difference
c)0.9% due to dust impact 
ii)Dust impact of 69 KWH &amp; 0.29% PLF
</t>
    </r>
  </si>
  <si>
    <r>
      <rPr>
        <b/>
        <sz val="26"/>
        <color indexed="8"/>
        <rFont val="Century Gothic"/>
        <family val="2"/>
      </rPr>
      <t>i) Total PR difference: -0.1 %</t>
    </r>
    <r>
      <rPr>
        <sz val="26"/>
        <color indexed="8"/>
        <rFont val="Century Gothic"/>
        <family val="2"/>
      </rPr>
      <t xml:space="preserve">
</t>
    </r>
    <r>
      <rPr>
        <sz val="24"/>
        <color indexed="8"/>
        <rFont val="Century Gothic"/>
        <family val="2"/>
      </rPr>
      <t>a)1.6% due to misc loss
b)-0.8% due to temp difference
c)1.5% due to dust impact
ii)Dust impact of 101 KWH &amp; 0.21% PLF
iii)Overall generation low due to cloudy and rainy weather whole day.</t>
    </r>
    <r>
      <rPr>
        <sz val="26"/>
        <color indexed="8"/>
        <rFont val="Century Gothic"/>
        <family val="2"/>
      </rPr>
      <t xml:space="preserve">
</t>
    </r>
    <r>
      <rPr>
        <b/>
        <sz val="26"/>
        <color indexed="8"/>
        <rFont val="Century Gothic"/>
        <family val="2"/>
      </rPr>
      <t xml:space="preserve">
</t>
    </r>
  </si>
  <si>
    <r>
      <rPr>
        <b/>
        <sz val="26"/>
        <color indexed="8"/>
        <rFont val="Century Gothic"/>
        <family val="2"/>
      </rPr>
      <t xml:space="preserve">i) Total PR difference : 5.32%
</t>
    </r>
    <r>
      <rPr>
        <sz val="26"/>
        <color indexed="8"/>
        <rFont val="Century Gothic"/>
        <family val="2"/>
      </rPr>
      <t xml:space="preserve">a)0.5% due to misc loss
b)0.4% due to temp difference
c)2.8% due to grid outage
ii) Grid outage from 12:33 hrs to 12:50 hrs  and generation loss is 200 Kwh  and PLF is 0.83%.
</t>
    </r>
  </si>
  <si>
    <r>
      <rPr>
        <b/>
        <sz val="24"/>
        <color indexed="8"/>
        <rFont val="Century Gothic"/>
        <family val="2"/>
      </rPr>
      <t>i) Total PR difference : 24.27 %</t>
    </r>
    <r>
      <rPr>
        <sz val="24"/>
        <color indexed="8"/>
        <rFont val="Century Gothic"/>
        <family val="2"/>
      </rPr>
      <t xml:space="preserve">
a)0.6% due to misc losses
b)0.1% due to temp difference.
c)4.4% due to dust impact
d)13.6% due to deemed generation
e)5.3% due to grid outage
ii)Dust impact of 370 KWH &amp; 1.2% PLF due to strong wind blows after cleaning.
iii)Grid outage from 13:00 Hrs to 17:00 Hrs,DG made started and solar plant operated with DG with restricted load.Impact of 450KWH &amp; 1.5% PLF
iii)Deemed generation due to load restriction is 1144 KWH &amp; 3.8% PLF
</t>
    </r>
  </si>
  <si>
    <t>P</t>
  </si>
  <si>
    <t>R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</si>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</sst>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 * #,##0.00_ ;_ * \-#,##0.00_ ;_ * &quot;-&quot;??_ ;_ @_ "/>
    <numFmt numFmtId="165" formatCode="0.0%"/>
    <numFmt numFmtId="166" formatCode="0.0"/>
    <numFmt numFmtId="167" formatCode="#,##0.0"/>
    <numFmt numFmtId="168" formatCode="0.000%"/>
    <numFmt numFmtId="169" formatCode="#,##0.000"/>
    <numFmt numFmtId="170" formatCode="0.0000000000000%"/>
    <numFmt numFmtId="171" formatCode="0.0000"/>
    <numFmt numFmtId="172" formatCode="0.0000000000000000%"/>
    <numFmt numFmtId="173" formatCode="0.00000000000"/>
    <numFmt numFmtId="174" formatCode="[$-14009]dd\ mmmm\ yyyy;@"/>
    <numFmt numFmtId="175" formatCode="0.0000%"/>
  </numFmts>
  <fonts count="9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8"/>
      <name val="Century Gothic"/>
      <family val="2"/>
    </font>
    <font>
      <sz val="8"/>
      <color indexed="8"/>
      <name val="Century Gothic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entury Gothic"/>
      <family val="2"/>
    </font>
    <font>
      <sz val="22"/>
      <color theme="1"/>
      <name val="Century Gothic"/>
      <family val="2"/>
    </font>
    <font>
      <sz val="22"/>
      <color theme="1"/>
      <name val="Calibri"/>
      <family val="2"/>
      <scheme val="minor"/>
    </font>
    <font>
      <b/>
      <sz val="12"/>
      <color theme="1"/>
      <name val="Arial"/>
      <family val="2"/>
    </font>
    <font>
      <sz val="26"/>
      <color theme="1"/>
      <name val="Calibri"/>
      <family val="2"/>
      <scheme val="minor"/>
    </font>
    <font>
      <sz val="26"/>
      <color theme="1"/>
      <name val="Arial"/>
      <family val="2"/>
    </font>
    <font>
      <sz val="28"/>
      <color theme="1"/>
      <name val="Calibri"/>
      <family val="2"/>
      <scheme val="minor"/>
    </font>
    <font>
      <sz val="2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theme="1"/>
      <name val="Century Gothic"/>
      <family val="2"/>
    </font>
    <font>
      <sz val="24"/>
      <color theme="1"/>
      <name val="Calibri"/>
      <family val="2"/>
      <scheme val="minor"/>
    </font>
    <font>
      <sz val="24"/>
      <color theme="1"/>
      <name val="Century Gothic"/>
      <family val="2"/>
    </font>
    <font>
      <sz val="18"/>
      <color theme="1"/>
      <name val="Century Gothic"/>
      <family val="2"/>
    </font>
    <font>
      <sz val="36"/>
      <color theme="1"/>
      <name val="Calibri"/>
      <family val="2"/>
      <scheme val="minor"/>
    </font>
    <font>
      <sz val="10"/>
      <name val="Arial"/>
      <family val="2"/>
    </font>
    <font>
      <sz val="28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6"/>
      <color theme="1"/>
      <name val="Century Gothic"/>
      <family val="2"/>
    </font>
    <font>
      <b/>
      <sz val="26"/>
      <color theme="1"/>
      <name val="Century Gothic"/>
      <family val="2"/>
    </font>
    <font>
      <sz val="26"/>
      <color indexed="8"/>
      <name val="Century Gothic"/>
      <family val="2"/>
    </font>
    <font>
      <b/>
      <sz val="26"/>
      <color indexed="8"/>
      <name val="Century Gothic"/>
      <family val="2"/>
    </font>
    <font>
      <b/>
      <sz val="26"/>
      <color theme="1"/>
      <name val="Calibri"/>
      <family val="2"/>
      <scheme val="minor"/>
    </font>
    <font>
      <sz val="23"/>
      <color theme="1"/>
      <name val="Century Gothic"/>
      <family val="2"/>
    </font>
    <font>
      <sz val="48"/>
      <color theme="1"/>
      <name val="Calibri"/>
      <family val="2"/>
      <scheme val="minor"/>
    </font>
    <font>
      <sz val="25"/>
      <color theme="1"/>
      <name val="Century Gothic"/>
      <family val="2"/>
    </font>
    <font>
      <b/>
      <sz val="25"/>
      <color theme="1"/>
      <name val="Century Gothic"/>
      <family val="2"/>
    </font>
    <font>
      <b/>
      <sz val="22"/>
      <color theme="1"/>
      <name val="Century Gothic"/>
      <family val="2"/>
    </font>
    <font>
      <b/>
      <sz val="26"/>
      <color theme="7"/>
      <name val="Century Gothic"/>
      <family val="2"/>
    </font>
    <font>
      <b/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entury Gothic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4"/>
      <color indexed="8"/>
      <name val="Century Gothic"/>
      <family val="2"/>
    </font>
    <font>
      <b/>
      <sz val="24"/>
      <color indexed="8"/>
      <name val="Century Gothic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1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6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0" applyNumberFormat="0" applyAlignment="0" applyProtection="0"/>
    <xf numFmtId="0" fontId="13" fillId="28" borderId="4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2" applyNumberFormat="0" applyFill="0" applyAlignment="0" applyProtection="0"/>
    <xf numFmtId="0" fontId="17" fillId="0" borderId="43" applyNumberFormat="0" applyFill="0" applyAlignment="0" applyProtection="0"/>
    <xf numFmtId="0" fontId="18" fillId="0" borderId="44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0" applyNumberFormat="0" applyAlignment="0" applyProtection="0"/>
    <xf numFmtId="0" fontId="20" fillId="0" borderId="45" applyNumberFormat="0" applyFill="0" applyAlignment="0" applyProtection="0"/>
    <xf numFmtId="0" fontId="2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32" borderId="46" applyNumberFormat="0" applyFont="0" applyAlignment="0" applyProtection="0"/>
    <xf numFmtId="0" fontId="22" fillId="27" borderId="47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48" applyNumberFormat="0" applyFill="0" applyAlignment="0" applyProtection="0"/>
    <xf numFmtId="0" fontId="2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1" fillId="0" borderId="0"/>
    <xf numFmtId="164" fontId="61" fillId="0" borderId="0" applyFont="0" applyFill="0" applyBorder="0" applyAlignment="0" applyProtection="0"/>
    <xf numFmtId="0" fontId="15" fillId="29" borderId="0" applyNumberFormat="0" applyBorder="0" applyAlignment="0" applyProtection="0"/>
    <xf numFmtId="0" fontId="11" fillId="26" borderId="0" applyNumberFormat="0" applyBorder="0" applyAlignment="0" applyProtection="0"/>
    <xf numFmtId="0" fontId="21" fillId="31" borderId="0" applyNumberFormat="0" applyBorder="0" applyAlignment="0" applyProtection="0"/>
    <xf numFmtId="0" fontId="19" fillId="30" borderId="40" applyNumberFormat="0" applyAlignment="0" applyProtection="0"/>
    <xf numFmtId="0" fontId="22" fillId="27" borderId="47" applyNumberFormat="0" applyAlignment="0" applyProtection="0"/>
    <xf numFmtId="0" fontId="12" fillId="27" borderId="40" applyNumberFormat="0" applyAlignment="0" applyProtection="0"/>
    <xf numFmtId="0" fontId="13" fillId="28" borderId="41" applyNumberFormat="0" applyAlignment="0" applyProtection="0"/>
    <xf numFmtId="0" fontId="9" fillId="32" borderId="46" applyNumberFormat="0" applyFont="0" applyAlignment="0" applyProtection="0"/>
    <xf numFmtId="0" fontId="10" fillId="20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22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10" fillId="17" borderId="0" applyNumberFormat="0" applyBorder="0" applyAlignment="0" applyProtection="0"/>
    <xf numFmtId="0" fontId="10" fillId="2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10" fillId="18" borderId="0" applyNumberFormat="0" applyBorder="0" applyAlignment="0" applyProtection="0"/>
    <xf numFmtId="0" fontId="10" fillId="25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10" fillId="19" borderId="0" applyNumberFormat="0" applyBorder="0" applyAlignment="0" applyProtection="0"/>
    <xf numFmtId="0" fontId="82" fillId="0" borderId="0"/>
    <xf numFmtId="164" fontId="82" fillId="0" borderId="0" applyFont="0" applyFill="0" applyBorder="0" applyAlignment="0" applyProtection="0"/>
  </cellStyleXfs>
  <cellXfs count="90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26" fillId="33" borderId="1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67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167" fontId="26" fillId="33" borderId="1" xfId="0" applyNumberFormat="1" applyFont="1" applyFill="1" applyBorder="1" applyAlignment="1">
      <alignment horizontal="center"/>
    </xf>
    <xf numFmtId="165" fontId="26" fillId="33" borderId="1" xfId="121" applyNumberFormat="1" applyFont="1" applyFill="1" applyBorder="1" applyAlignment="1">
      <alignment horizontal="center" vertical="center"/>
    </xf>
    <xf numFmtId="0" fontId="24" fillId="33" borderId="0" xfId="0" applyFont="1" applyFill="1"/>
    <xf numFmtId="165" fontId="9" fillId="0" borderId="1" xfId="121" applyNumberFormat="1" applyFont="1" applyBorder="1" applyAlignment="1">
      <alignment horizontal="center"/>
    </xf>
    <xf numFmtId="10" fontId="9" fillId="0" borderId="1" xfId="12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0" fontId="0" fillId="0" borderId="0" xfId="0" applyNumberFormat="1"/>
    <xf numFmtId="0" fontId="28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3" fontId="26" fillId="33" borderId="3" xfId="0" applyNumberFormat="1" applyFont="1" applyFill="1" applyBorder="1" applyAlignment="1">
      <alignment horizontal="center"/>
    </xf>
    <xf numFmtId="167" fontId="26" fillId="33" borderId="3" xfId="0" applyNumberFormat="1" applyFont="1" applyFill="1" applyBorder="1" applyAlignment="1">
      <alignment horizontal="center"/>
    </xf>
    <xf numFmtId="0" fontId="0" fillId="0" borderId="2" xfId="0" applyBorder="1" applyAlignment="1">
      <alignment wrapText="1"/>
    </xf>
    <xf numFmtId="165" fontId="26" fillId="33" borderId="3" xfId="121" applyNumberFormat="1" applyFont="1" applyFill="1" applyBorder="1" applyAlignment="1">
      <alignment horizontal="center" vertical="center"/>
    </xf>
    <xf numFmtId="1" fontId="0" fillId="34" borderId="1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9" fillId="0" borderId="0" xfId="0" applyFont="1"/>
    <xf numFmtId="15" fontId="29" fillId="0" borderId="0" xfId="0" applyNumberFormat="1" applyFont="1"/>
    <xf numFmtId="0" fontId="30" fillId="0" borderId="1" xfId="0" applyFont="1" applyBorder="1" applyAlignment="1">
      <alignment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1" fontId="31" fillId="0" borderId="1" xfId="0" applyNumberFormat="1" applyFont="1" applyBorder="1" applyAlignment="1">
      <alignment horizontal="center" vertical="center"/>
    </xf>
    <xf numFmtId="1" fontId="31" fillId="0" borderId="3" xfId="0" applyNumberFormat="1" applyFont="1" applyBorder="1" applyAlignment="1">
      <alignment horizontal="center" vertical="center"/>
    </xf>
    <xf numFmtId="10" fontId="31" fillId="0" borderId="1" xfId="121" applyNumberFormat="1" applyFont="1" applyBorder="1" applyAlignment="1">
      <alignment horizontal="center" vertical="center"/>
    </xf>
    <xf numFmtId="165" fontId="31" fillId="0" borderId="1" xfId="121" applyNumberFormat="1" applyFont="1" applyBorder="1" applyAlignment="1">
      <alignment horizontal="center" vertical="center"/>
    </xf>
    <xf numFmtId="10" fontId="31" fillId="0" borderId="3" xfId="121" applyNumberFormat="1" applyFont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4" fillId="0" borderId="2" xfId="0" applyFont="1" applyBorder="1" applyAlignment="1">
      <alignment horizontal="center" vertical="center" wrapText="1"/>
    </xf>
    <xf numFmtId="165" fontId="35" fillId="36" borderId="1" xfId="121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vertical="center"/>
    </xf>
    <xf numFmtId="0" fontId="34" fillId="0" borderId="2" xfId="0" applyFont="1" applyBorder="1" applyAlignment="1">
      <alignment horizontal="center" vertical="center"/>
    </xf>
    <xf numFmtId="0" fontId="36" fillId="0" borderId="0" xfId="0" applyFont="1" applyBorder="1"/>
    <xf numFmtId="0" fontId="37" fillId="0" borderId="0" xfId="0" applyFont="1"/>
    <xf numFmtId="0" fontId="36" fillId="0" borderId="0" xfId="0" applyFont="1"/>
    <xf numFmtId="0" fontId="38" fillId="0" borderId="0" xfId="0" applyFont="1" applyBorder="1"/>
    <xf numFmtId="0" fontId="39" fillId="33" borderId="0" xfId="0" applyFont="1" applyFill="1" applyAlignment="1">
      <alignment horizontal="center"/>
    </xf>
    <xf numFmtId="0" fontId="39" fillId="0" borderId="0" xfId="0" applyFont="1"/>
    <xf numFmtId="0" fontId="38" fillId="0" borderId="0" xfId="0" applyFont="1"/>
    <xf numFmtId="15" fontId="37" fillId="0" borderId="0" xfId="0" applyNumberFormat="1" applyFont="1" applyAlignment="1">
      <alignment horizontal="center"/>
    </xf>
    <xf numFmtId="0" fontId="34" fillId="0" borderId="5" xfId="0" applyFont="1" applyBorder="1" applyAlignment="1">
      <alignment horizontal="center" vertical="center" wrapText="1"/>
    </xf>
    <xf numFmtId="0" fontId="33" fillId="0" borderId="2" xfId="0" applyFont="1" applyBorder="1" applyAlignment="1">
      <alignment vertical="center" wrapText="1"/>
    </xf>
    <xf numFmtId="1" fontId="33" fillId="0" borderId="2" xfId="0" applyNumberFormat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7" xfId="0" applyBorder="1"/>
    <xf numFmtId="165" fontId="35" fillId="36" borderId="12" xfId="121" applyNumberFormat="1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0" fontId="9" fillId="0" borderId="1" xfId="121" applyNumberFormat="1" applyFont="1" applyBorder="1" applyAlignment="1">
      <alignment horizontal="center" vertical="center"/>
    </xf>
    <xf numFmtId="10" fontId="29" fillId="0" borderId="0" xfId="0" applyNumberFormat="1" applyFont="1"/>
    <xf numFmtId="1" fontId="0" fillId="0" borderId="7" xfId="0" applyNumberFormat="1" applyBorder="1" applyAlignment="1">
      <alignment horizontal="center"/>
    </xf>
    <xf numFmtId="165" fontId="9" fillId="0" borderId="7" xfId="121" applyNumberFormat="1" applyFont="1" applyBorder="1" applyAlignment="1">
      <alignment horizontal="center" vertical="center"/>
    </xf>
    <xf numFmtId="3" fontId="26" fillId="33" borderId="16" xfId="0" applyNumberFormat="1" applyFont="1" applyFill="1" applyBorder="1" applyAlignment="1">
      <alignment horizontal="center"/>
    </xf>
    <xf numFmtId="0" fontId="0" fillId="0" borderId="9" xfId="0" applyBorder="1" applyAlignment="1">
      <alignment wrapText="1"/>
    </xf>
    <xf numFmtId="165" fontId="9" fillId="0" borderId="11" xfId="121" applyNumberFormat="1" applyFon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165" fontId="35" fillId="36" borderId="17" xfId="121" applyNumberFormat="1" applyFont="1" applyFill="1" applyBorder="1" applyAlignment="1">
      <alignment horizontal="center" vertical="center" wrapText="1"/>
    </xf>
    <xf numFmtId="10" fontId="9" fillId="0" borderId="0" xfId="121" applyNumberFormat="1" applyFont="1"/>
    <xf numFmtId="0" fontId="34" fillId="0" borderId="10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 wrapText="1"/>
    </xf>
    <xf numFmtId="2" fontId="0" fillId="0" borderId="0" xfId="0" applyNumberFormat="1" applyBorder="1"/>
    <xf numFmtId="0" fontId="0" fillId="0" borderId="21" xfId="0" applyBorder="1" applyAlignment="1">
      <alignment wrapText="1"/>
    </xf>
    <xf numFmtId="0" fontId="0" fillId="0" borderId="6" xfId="0" applyBorder="1"/>
    <xf numFmtId="165" fontId="9" fillId="0" borderId="6" xfId="121" applyNumberFormat="1" applyFont="1" applyBorder="1" applyAlignment="1">
      <alignment horizontal="center" vertical="center"/>
    </xf>
    <xf numFmtId="165" fontId="26" fillId="33" borderId="22" xfId="121" applyNumberFormat="1" applyFont="1" applyFill="1" applyBorder="1" applyAlignment="1">
      <alignment horizontal="center" vertical="center"/>
    </xf>
    <xf numFmtId="10" fontId="9" fillId="0" borderId="1" xfId="121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/>
    </xf>
    <xf numFmtId="10" fontId="9" fillId="0" borderId="1" xfId="121" applyNumberFormat="1" applyFont="1" applyBorder="1" applyAlignment="1">
      <alignment horizontal="center"/>
    </xf>
    <xf numFmtId="168" fontId="30" fillId="0" borderId="0" xfId="0" applyNumberFormat="1" applyFont="1" applyBorder="1"/>
    <xf numFmtId="165" fontId="31" fillId="0" borderId="0" xfId="0" applyNumberFormat="1" applyFont="1" applyBorder="1"/>
    <xf numFmtId="166" fontId="9" fillId="0" borderId="1" xfId="12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41" fillId="0" borderId="0" xfId="0" applyNumberFormat="1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24" fillId="38" borderId="0" xfId="0" applyNumberFormat="1" applyFont="1" applyFill="1" applyBorder="1" applyAlignment="1">
      <alignment horizontal="center" vertical="center" wrapText="1"/>
    </xf>
    <xf numFmtId="169" fontId="24" fillId="38" borderId="0" xfId="0" applyNumberFormat="1" applyFont="1" applyFill="1" applyBorder="1" applyAlignment="1">
      <alignment horizontal="center" vertical="center" wrapText="1"/>
    </xf>
    <xf numFmtId="3" fontId="26" fillId="38" borderId="0" xfId="0" applyNumberFormat="1" applyFont="1" applyFill="1" applyBorder="1" applyAlignment="1">
      <alignment horizontal="center" vertical="center" wrapText="1"/>
    </xf>
    <xf numFmtId="3" fontId="47" fillId="38" borderId="0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167" fontId="24" fillId="38" borderId="1" xfId="0" applyNumberFormat="1" applyFont="1" applyFill="1" applyBorder="1" applyAlignment="1">
      <alignment horizontal="center" vertical="center" wrapText="1"/>
    </xf>
    <xf numFmtId="3" fontId="24" fillId="38" borderId="1" xfId="0" applyNumberFormat="1" applyFont="1" applyFill="1" applyBorder="1" applyAlignment="1">
      <alignment horizontal="center" vertical="center" wrapText="1"/>
    </xf>
    <xf numFmtId="9" fontId="24" fillId="38" borderId="1" xfId="0" applyNumberFormat="1" applyFont="1" applyFill="1" applyBorder="1" applyAlignment="1">
      <alignment horizontal="center" vertical="center" wrapText="1"/>
    </xf>
    <xf numFmtId="0" fontId="24" fillId="38" borderId="1" xfId="0" applyFont="1" applyFill="1" applyBorder="1" applyAlignment="1">
      <alignment horizontal="center" vertical="center" wrapText="1"/>
    </xf>
    <xf numFmtId="167" fontId="24" fillId="38" borderId="0" xfId="0" applyNumberFormat="1" applyFont="1" applyFill="1" applyBorder="1" applyAlignment="1">
      <alignment horizontal="center" vertical="center" wrapText="1"/>
    </xf>
    <xf numFmtId="3" fontId="24" fillId="34" borderId="0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0" fontId="24" fillId="38" borderId="0" xfId="121" applyNumberFormat="1" applyFont="1" applyFill="1" applyBorder="1" applyAlignment="1">
      <alignment horizontal="center" vertical="center" wrapText="1"/>
    </xf>
    <xf numFmtId="0" fontId="24" fillId="34" borderId="1" xfId="0" applyFont="1" applyFill="1" applyBorder="1" applyAlignment="1">
      <alignment horizontal="center" vertical="center" wrapText="1"/>
    </xf>
    <xf numFmtId="167" fontId="24" fillId="34" borderId="1" xfId="0" applyNumberFormat="1" applyFont="1" applyFill="1" applyBorder="1" applyAlignment="1">
      <alignment horizontal="center" vertical="center" wrapText="1"/>
    </xf>
    <xf numFmtId="3" fontId="0" fillId="34" borderId="1" xfId="0" applyNumberFormat="1" applyFont="1" applyFill="1" applyBorder="1" applyAlignment="1">
      <alignment horizontal="center" vertical="center" wrapText="1"/>
    </xf>
    <xf numFmtId="3" fontId="24" fillId="39" borderId="1" xfId="0" applyNumberFormat="1" applyFont="1" applyFill="1" applyBorder="1" applyAlignment="1">
      <alignment horizontal="center" vertical="center" wrapText="1"/>
    </xf>
    <xf numFmtId="3" fontId="24" fillId="34" borderId="1" xfId="0" applyNumberFormat="1" applyFont="1" applyFill="1" applyBorder="1" applyAlignment="1">
      <alignment horizontal="center" vertical="center" wrapText="1"/>
    </xf>
    <xf numFmtId="3" fontId="26" fillId="34" borderId="0" xfId="0" applyNumberFormat="1" applyFont="1" applyFill="1" applyBorder="1" applyAlignment="1">
      <alignment horizontal="center" vertical="center" wrapText="1"/>
    </xf>
    <xf numFmtId="0" fontId="24" fillId="34" borderId="0" xfId="0" applyFont="1" applyFill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7" fontId="29" fillId="0" borderId="1" xfId="0" applyNumberFormat="1" applyFont="1" applyBorder="1" applyAlignment="1">
      <alignment horizontal="center" vertical="center" wrapText="1"/>
    </xf>
    <xf numFmtId="3" fontId="29" fillId="0" borderId="1" xfId="0" applyNumberFormat="1" applyFont="1" applyBorder="1" applyAlignment="1">
      <alignment horizontal="center" vertical="center" wrapText="1"/>
    </xf>
    <xf numFmtId="9" fontId="29" fillId="0" borderId="1" xfId="0" applyNumberFormat="1" applyFont="1" applyBorder="1" applyAlignment="1">
      <alignment horizontal="center" vertical="center" wrapText="1"/>
    </xf>
    <xf numFmtId="165" fontId="29" fillId="0" borderId="1" xfId="121" applyNumberFormat="1" applyFont="1" applyBorder="1" applyAlignment="1">
      <alignment horizontal="center" vertical="center" wrapText="1"/>
    </xf>
    <xf numFmtId="4" fontId="29" fillId="0" borderId="0" xfId="0" applyNumberFormat="1" applyFont="1" applyBorder="1" applyAlignment="1">
      <alignment horizontal="center" vertical="center" wrapText="1"/>
    </xf>
    <xf numFmtId="3" fontId="29" fillId="0" borderId="0" xfId="0" applyNumberFormat="1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 wrapText="1"/>
    </xf>
    <xf numFmtId="3" fontId="25" fillId="0" borderId="0" xfId="0" applyNumberFormat="1" applyFont="1" applyBorder="1" applyAlignment="1">
      <alignment horizontal="center" vertical="center" wrapText="1"/>
    </xf>
    <xf numFmtId="167" fontId="48" fillId="0" borderId="0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 wrapText="1"/>
    </xf>
    <xf numFmtId="0" fontId="0" fillId="33" borderId="1" xfId="0" applyFill="1" applyBorder="1" applyAlignment="1">
      <alignment vertical="center" wrapText="1"/>
    </xf>
    <xf numFmtId="3" fontId="29" fillId="33" borderId="1" xfId="0" applyNumberFormat="1" applyFont="1" applyFill="1" applyBorder="1" applyAlignment="1">
      <alignment horizontal="center" vertical="center" wrapText="1"/>
    </xf>
    <xf numFmtId="0" fontId="24" fillId="33" borderId="1" xfId="0" applyFont="1" applyFill="1" applyBorder="1" applyAlignment="1">
      <alignment vertical="center" wrapText="1"/>
    </xf>
    <xf numFmtId="167" fontId="49" fillId="33" borderId="1" xfId="0" applyNumberFormat="1" applyFont="1" applyFill="1" applyBorder="1" applyAlignment="1">
      <alignment horizontal="center" vertical="center" wrapText="1"/>
    </xf>
    <xf numFmtId="3" fontId="49" fillId="33" borderId="1" xfId="0" applyNumberFormat="1" applyFont="1" applyFill="1" applyBorder="1" applyAlignment="1">
      <alignment horizontal="center" vertical="center" wrapText="1"/>
    </xf>
    <xf numFmtId="165" fontId="49" fillId="33" borderId="1" xfId="0" applyNumberFormat="1" applyFont="1" applyFill="1" applyBorder="1" applyAlignment="1">
      <alignment horizontal="center" vertical="center" wrapText="1"/>
    </xf>
    <xf numFmtId="165" fontId="49" fillId="39" borderId="1" xfId="0" applyNumberFormat="1" applyFont="1" applyFill="1" applyBorder="1" applyAlignment="1">
      <alignment horizontal="center" vertical="center" wrapText="1"/>
    </xf>
    <xf numFmtId="3" fontId="49" fillId="33" borderId="0" xfId="0" applyNumberFormat="1" applyFont="1" applyFill="1" applyBorder="1" applyAlignment="1">
      <alignment horizontal="center" vertical="center" wrapText="1"/>
    </xf>
    <xf numFmtId="167" fontId="24" fillId="33" borderId="0" xfId="0" applyNumberFormat="1" applyFont="1" applyFill="1" applyBorder="1" applyAlignment="1">
      <alignment horizontal="center" vertical="center" wrapText="1"/>
    </xf>
    <xf numFmtId="3" fontId="24" fillId="33" borderId="0" xfId="0" applyNumberFormat="1" applyFont="1" applyFill="1" applyBorder="1" applyAlignment="1">
      <alignment horizontal="center" vertical="center" wrapText="1"/>
    </xf>
    <xf numFmtId="0" fontId="24" fillId="33" borderId="0" xfId="0" applyFont="1" applyFill="1" applyAlignment="1">
      <alignment vertical="center" wrapText="1"/>
    </xf>
    <xf numFmtId="0" fontId="50" fillId="0" borderId="0" xfId="0" applyFont="1" applyBorder="1" applyAlignment="1">
      <alignment vertical="center" wrapText="1"/>
    </xf>
    <xf numFmtId="0" fontId="29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170" fontId="29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25" fillId="0" borderId="0" xfId="0" applyNumberFormat="1" applyFont="1" applyAlignment="1">
      <alignment horizontal="center" vertical="center" wrapText="1"/>
    </xf>
    <xf numFmtId="3" fontId="48" fillId="0" borderId="0" xfId="0" applyNumberFormat="1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167" fontId="29" fillId="0" borderId="0" xfId="0" applyNumberFormat="1" applyFont="1" applyBorder="1" applyAlignment="1">
      <alignment horizontal="left" vertical="center" wrapText="1"/>
    </xf>
    <xf numFmtId="16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left" vertical="center" wrapText="1"/>
    </xf>
    <xf numFmtId="2" fontId="44" fillId="0" borderId="0" xfId="0" applyNumberFormat="1" applyFont="1" applyAlignment="1">
      <alignment horizontal="center" vertical="center" wrapText="1"/>
    </xf>
    <xf numFmtId="3" fontId="47" fillId="34" borderId="0" xfId="0" applyNumberFormat="1" applyFont="1" applyFill="1" applyBorder="1" applyAlignment="1">
      <alignment horizontal="center" vertical="center" wrapText="1"/>
    </xf>
    <xf numFmtId="165" fontId="29" fillId="0" borderId="0" xfId="121" applyNumberFormat="1" applyFont="1" applyBorder="1" applyAlignment="1">
      <alignment horizontal="center" vertical="center" wrapText="1"/>
    </xf>
    <xf numFmtId="10" fontId="29" fillId="0" borderId="0" xfId="121" applyNumberFormat="1" applyFont="1" applyBorder="1" applyAlignment="1">
      <alignment horizontal="center" vertical="center" wrapText="1"/>
    </xf>
    <xf numFmtId="165" fontId="49" fillId="33" borderId="0" xfId="0" applyNumberFormat="1" applyFont="1" applyFill="1" applyBorder="1" applyAlignment="1">
      <alignment horizontal="center" vertical="center" wrapText="1"/>
    </xf>
    <xf numFmtId="171" fontId="44" fillId="0" borderId="0" xfId="0" applyNumberFormat="1" applyFont="1" applyAlignment="1">
      <alignment horizontal="center" vertical="center" wrapText="1"/>
    </xf>
    <xf numFmtId="165" fontId="29" fillId="0" borderId="0" xfId="121" applyNumberFormat="1" applyFont="1" applyAlignment="1">
      <alignment horizontal="left" vertical="center" wrapText="1"/>
    </xf>
    <xf numFmtId="0" fontId="29" fillId="0" borderId="13" xfId="0" applyFont="1" applyBorder="1" applyAlignment="1">
      <alignment vertical="center" wrapText="1"/>
    </xf>
    <xf numFmtId="167" fontId="29" fillId="0" borderId="0" xfId="0" applyNumberFormat="1" applyFont="1" applyAlignment="1">
      <alignment horizontal="left" vertical="center" wrapText="1"/>
    </xf>
    <xf numFmtId="3" fontId="51" fillId="33" borderId="1" xfId="0" applyNumberFormat="1" applyFont="1" applyFill="1" applyBorder="1" applyAlignment="1">
      <alignment horizontal="center" vertical="center" wrapText="1"/>
    </xf>
    <xf numFmtId="167" fontId="51" fillId="33" borderId="1" xfId="0" applyNumberFormat="1" applyFont="1" applyFill="1" applyBorder="1" applyAlignment="1">
      <alignment horizontal="center" vertical="center" wrapText="1"/>
    </xf>
    <xf numFmtId="10" fontId="29" fillId="0" borderId="0" xfId="121" applyNumberFormat="1" applyFont="1" applyAlignment="1">
      <alignment horizontal="left" vertical="center" wrapText="1"/>
    </xf>
    <xf numFmtId="165" fontId="9" fillId="0" borderId="1" xfId="121" applyNumberFormat="1" applyFont="1" applyBorder="1" applyAlignment="1">
      <alignment horizontal="center"/>
    </xf>
    <xf numFmtId="0" fontId="29" fillId="0" borderId="1" xfId="0" applyFont="1" applyBorder="1"/>
    <xf numFmtId="10" fontId="0" fillId="0" borderId="0" xfId="0" applyNumberFormat="1" applyAlignment="1">
      <alignment vertical="center" wrapText="1"/>
    </xf>
    <xf numFmtId="172" fontId="0" fillId="0" borderId="0" xfId="0" applyNumberFormat="1" applyAlignment="1">
      <alignment vertical="center" wrapText="1"/>
    </xf>
    <xf numFmtId="165" fontId="9" fillId="0" borderId="1" xfId="121" applyNumberFormat="1" applyFont="1" applyBorder="1" applyAlignment="1">
      <alignment horizontal="center"/>
    </xf>
    <xf numFmtId="10" fontId="9" fillId="0" borderId="0" xfId="121" applyNumberFormat="1" applyFont="1"/>
    <xf numFmtId="4" fontId="51" fillId="33" borderId="1" xfId="0" applyNumberFormat="1" applyFont="1" applyFill="1" applyBorder="1" applyAlignment="1">
      <alignment horizontal="center" vertical="center" wrapText="1"/>
    </xf>
    <xf numFmtId="165" fontId="9" fillId="0" borderId="0" xfId="121" applyNumberFormat="1" applyFont="1" applyAlignment="1">
      <alignment vertical="center" wrapText="1"/>
    </xf>
    <xf numFmtId="10" fontId="9" fillId="0" borderId="0" xfId="121" applyNumberFormat="1" applyFont="1" applyAlignment="1">
      <alignment vertical="center" wrapText="1"/>
    </xf>
    <xf numFmtId="173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28" fillId="0" borderId="1" xfId="0" applyNumberFormat="1" applyFont="1" applyBorder="1" applyAlignment="1">
      <alignment horizontal="center"/>
    </xf>
    <xf numFmtId="0" fontId="52" fillId="0" borderId="1" xfId="0" applyFont="1" applyBorder="1" applyAlignment="1">
      <alignment horizontal="center" vertical="center"/>
    </xf>
    <xf numFmtId="165" fontId="9" fillId="0" borderId="1" xfId="12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left" indent="1"/>
    </xf>
    <xf numFmtId="4" fontId="0" fillId="0" borderId="0" xfId="0" applyNumberFormat="1" applyAlignment="1">
      <alignment horizontal="center" vertical="center" wrapText="1"/>
    </xf>
    <xf numFmtId="0" fontId="53" fillId="0" borderId="0" xfId="0" applyFont="1"/>
    <xf numFmtId="0" fontId="53" fillId="0" borderId="0" xfId="0" applyFont="1" applyBorder="1"/>
    <xf numFmtId="169" fontId="0" fillId="0" borderId="0" xfId="0" applyNumberFormat="1" applyAlignment="1">
      <alignment horizontal="center" vertical="center" wrapText="1"/>
    </xf>
    <xf numFmtId="10" fontId="29" fillId="0" borderId="1" xfId="121" applyNumberFormat="1" applyFont="1" applyBorder="1" applyAlignment="1">
      <alignment horizontal="center" vertical="center" wrapText="1"/>
    </xf>
    <xf numFmtId="168" fontId="29" fillId="0" borderId="1" xfId="121" applyNumberFormat="1" applyFont="1" applyBorder="1" applyAlignment="1">
      <alignment horizontal="center" vertical="center" wrapText="1"/>
    </xf>
    <xf numFmtId="0" fontId="54" fillId="0" borderId="5" xfId="0" applyFont="1" applyBorder="1" applyAlignment="1">
      <alignment horizontal="left" vertical="top" wrapText="1"/>
    </xf>
    <xf numFmtId="0" fontId="55" fillId="35" borderId="8" xfId="0" applyFont="1" applyFill="1" applyBorder="1" applyAlignment="1">
      <alignment horizontal="left" vertical="top"/>
    </xf>
    <xf numFmtId="0" fontId="56" fillId="35" borderId="8" xfId="0" applyFont="1" applyFill="1" applyBorder="1" applyAlignment="1">
      <alignment horizontal="left" vertical="top" wrapText="1"/>
    </xf>
    <xf numFmtId="0" fontId="54" fillId="0" borderId="0" xfId="0" applyFont="1" applyBorder="1" applyAlignment="1">
      <alignment horizontal="left" vertical="top"/>
    </xf>
    <xf numFmtId="0" fontId="54" fillId="0" borderId="0" xfId="0" applyFont="1" applyAlignment="1">
      <alignment horizontal="left" vertical="top"/>
    </xf>
    <xf numFmtId="49" fontId="9" fillId="0" borderId="1" xfId="121" applyNumberFormat="1" applyFont="1" applyBorder="1" applyAlignment="1">
      <alignment horizontal="center" vertical="center"/>
    </xf>
    <xf numFmtId="4" fontId="29" fillId="0" borderId="1" xfId="0" applyNumberFormat="1" applyFont="1" applyBorder="1" applyAlignment="1">
      <alignment horizontal="center" vertical="center" wrapText="1"/>
    </xf>
    <xf numFmtId="165" fontId="53" fillId="0" borderId="0" xfId="0" applyNumberFormat="1" applyFont="1" applyBorder="1"/>
    <xf numFmtId="10" fontId="29" fillId="0" borderId="0" xfId="121" applyNumberFormat="1" applyFont="1"/>
    <xf numFmtId="165" fontId="29" fillId="0" borderId="0" xfId="121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" fontId="28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left" vertical="center" wrapText="1"/>
    </xf>
    <xf numFmtId="4" fontId="49" fillId="33" borderId="1" xfId="0" applyNumberFormat="1" applyFont="1" applyFill="1" applyBorder="1" applyAlignment="1">
      <alignment horizontal="center" vertical="center" wrapText="1"/>
    </xf>
    <xf numFmtId="2" fontId="9" fillId="0" borderId="1" xfId="121" applyNumberFormat="1" applyFont="1" applyBorder="1" applyAlignment="1">
      <alignment horizontal="center" vertical="center"/>
    </xf>
    <xf numFmtId="0" fontId="30" fillId="0" borderId="0" xfId="0" applyFont="1" applyBorder="1"/>
    <xf numFmtId="0" fontId="24" fillId="0" borderId="0" xfId="0" applyFont="1"/>
    <xf numFmtId="0" fontId="28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wrapText="1"/>
    </xf>
    <xf numFmtId="9" fontId="9" fillId="0" borderId="1" xfId="121" applyFont="1" applyBorder="1" applyAlignment="1">
      <alignment horizontal="center"/>
    </xf>
    <xf numFmtId="1" fontId="0" fillId="40" borderId="1" xfId="0" applyNumberFormat="1" applyFill="1" applyBorder="1" applyAlignment="1">
      <alignment horizontal="center"/>
    </xf>
    <xf numFmtId="10" fontId="9" fillId="0" borderId="1" xfId="121" applyNumberFormat="1" applyFont="1" applyBorder="1" applyAlignment="1">
      <alignment horizontal="center"/>
    </xf>
    <xf numFmtId="10" fontId="26" fillId="33" borderId="1" xfId="121" applyNumberFormat="1" applyFont="1" applyFill="1" applyBorder="1" applyAlignment="1">
      <alignment horizontal="center"/>
    </xf>
    <xf numFmtId="1" fontId="0" fillId="42" borderId="1" xfId="0" applyNumberFormat="1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49" fontId="9" fillId="42" borderId="1" xfId="121" applyNumberFormat="1" applyFont="1" applyFill="1" applyBorder="1" applyAlignment="1">
      <alignment horizontal="center" vertical="center"/>
    </xf>
    <xf numFmtId="2" fontId="0" fillId="42" borderId="1" xfId="0" applyNumberFormat="1" applyFill="1" applyBorder="1" applyAlignment="1">
      <alignment horizontal="center"/>
    </xf>
    <xf numFmtId="168" fontId="9" fillId="0" borderId="1" xfId="121" applyNumberFormat="1" applyFont="1" applyBorder="1" applyAlignment="1">
      <alignment horizontal="center" vertical="center"/>
    </xf>
    <xf numFmtId="165" fontId="0" fillId="0" borderId="1" xfId="121" applyNumberFormat="1" applyFont="1" applyBorder="1" applyAlignment="1">
      <alignment horizontal="center" vertical="center"/>
    </xf>
    <xf numFmtId="172" fontId="0" fillId="0" borderId="0" xfId="0" applyNumberFormat="1" applyBorder="1"/>
    <xf numFmtId="49" fontId="0" fillId="0" borderId="1" xfId="121" applyNumberFormat="1" applyFont="1" applyBorder="1" applyAlignment="1">
      <alignment horizontal="center" vertical="center"/>
    </xf>
    <xf numFmtId="165" fontId="0" fillId="0" borderId="0" xfId="0" applyNumberFormat="1" applyBorder="1"/>
    <xf numFmtId="4" fontId="26" fillId="33" borderId="1" xfId="0" applyNumberFormat="1" applyFont="1" applyFill="1" applyBorder="1" applyAlignment="1">
      <alignment horizontal="center"/>
    </xf>
    <xf numFmtId="3" fontId="0" fillId="42" borderId="1" xfId="0" applyNumberFormat="1" applyFont="1" applyFill="1" applyBorder="1" applyAlignment="1">
      <alignment horizontal="center" vertical="center" wrapText="1"/>
    </xf>
    <xf numFmtId="4" fontId="0" fillId="34" borderId="1" xfId="0" applyNumberFormat="1" applyFont="1" applyFill="1" applyBorder="1" applyAlignment="1">
      <alignment horizontal="center" vertical="center" wrapText="1"/>
    </xf>
    <xf numFmtId="167" fontId="0" fillId="34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31" fillId="0" borderId="0" xfId="121" applyNumberFormat="1" applyFont="1" applyBorder="1"/>
    <xf numFmtId="0" fontId="34" fillId="34" borderId="0" xfId="0" applyFont="1" applyFill="1" applyBorder="1" applyAlignment="1">
      <alignment vertical="center" wrapText="1"/>
    </xf>
    <xf numFmtId="0" fontId="36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vertical="center"/>
    </xf>
    <xf numFmtId="167" fontId="29" fillId="0" borderId="0" xfId="0" applyNumberFormat="1" applyFon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67" fontId="24" fillId="38" borderId="1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3" fontId="24" fillId="38" borderId="1" xfId="0" applyNumberFormat="1" applyFont="1" applyFill="1" applyBorder="1" applyAlignment="1">
      <alignment horizontal="center" vertical="center" wrapText="1"/>
    </xf>
    <xf numFmtId="9" fontId="49" fillId="33" borderId="1" xfId="0" applyNumberFormat="1" applyFont="1" applyFill="1" applyBorder="1" applyAlignment="1">
      <alignment horizontal="center" vertical="center" wrapText="1"/>
    </xf>
    <xf numFmtId="9" fontId="29" fillId="0" borderId="0" xfId="0" applyNumberFormat="1" applyFont="1" applyBorder="1" applyAlignment="1">
      <alignment horizontal="center" vertical="center" wrapText="1"/>
    </xf>
    <xf numFmtId="10" fontId="0" fillId="0" borderId="0" xfId="121" applyNumberFormat="1" applyFont="1" applyAlignment="1">
      <alignment horizontal="center" vertical="center" wrapText="1"/>
    </xf>
    <xf numFmtId="167" fontId="29" fillId="33" borderId="1" xfId="0" applyNumberFormat="1" applyFont="1" applyFill="1" applyBorder="1" applyAlignment="1">
      <alignment horizontal="center" vertical="center" wrapText="1"/>
    </xf>
    <xf numFmtId="10" fontId="0" fillId="0" borderId="0" xfId="121" applyNumberFormat="1" applyFont="1" applyAlignment="1">
      <alignment horizontal="left" vertical="center" wrapText="1"/>
    </xf>
    <xf numFmtId="1" fontId="0" fillId="0" borderId="0" xfId="0" applyNumberFormat="1" applyBorder="1"/>
    <xf numFmtId="167" fontId="0" fillId="0" borderId="0" xfId="0" applyNumberFormat="1" applyAlignment="1">
      <alignment horizontal="left" vertical="center" wrapText="1"/>
    </xf>
    <xf numFmtId="0" fontId="34" fillId="0" borderId="0" xfId="0" applyFont="1"/>
    <xf numFmtId="1" fontId="36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left" vertical="center" wrapText="1"/>
    </xf>
    <xf numFmtId="167" fontId="24" fillId="38" borderId="1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3" fontId="24" fillId="38" borderId="1" xfId="0" applyNumberFormat="1" applyFont="1" applyFill="1" applyBorder="1" applyAlignment="1">
      <alignment horizontal="center" vertical="center" wrapText="1"/>
    </xf>
    <xf numFmtId="0" fontId="24" fillId="38" borderId="11" xfId="0" applyFont="1" applyFill="1" applyBorder="1" applyAlignment="1">
      <alignment horizontal="center" vertical="center" wrapText="1"/>
    </xf>
    <xf numFmtId="0" fontId="24" fillId="38" borderId="6" xfId="0" applyFont="1" applyFill="1" applyBorder="1" applyAlignment="1">
      <alignment horizontal="center" vertical="center" wrapText="1"/>
    </xf>
    <xf numFmtId="0" fontId="24" fillId="38" borderId="7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3" fontId="24" fillId="38" borderId="39" xfId="0" applyNumberFormat="1" applyFont="1" applyFill="1" applyBorder="1" applyAlignment="1">
      <alignment horizontal="center" vertical="center" wrapText="1"/>
    </xf>
    <xf numFmtId="17" fontId="63" fillId="34" borderId="1" xfId="0" applyNumberFormat="1" applyFont="1" applyFill="1" applyBorder="1" applyAlignment="1">
      <alignment horizontal="center" vertical="center" wrapText="1"/>
    </xf>
    <xf numFmtId="4" fontId="24" fillId="34" borderId="1" xfId="0" applyNumberFormat="1" applyFont="1" applyFill="1" applyBorder="1" applyAlignment="1">
      <alignment horizontal="center" vertical="center" wrapText="1"/>
    </xf>
    <xf numFmtId="3" fontId="0" fillId="34" borderId="1" xfId="0" applyNumberFormat="1" applyFill="1" applyBorder="1" applyAlignment="1">
      <alignment horizontal="center" vertical="center" wrapText="1"/>
    </xf>
    <xf numFmtId="165" fontId="64" fillId="34" borderId="1" xfId="121" applyNumberFormat="1" applyFont="1" applyFill="1" applyBorder="1" applyAlignment="1">
      <alignment horizontal="center" vertical="center" wrapText="1"/>
    </xf>
    <xf numFmtId="165" fontId="49" fillId="34" borderId="1" xfId="121" applyNumberFormat="1" applyFont="1" applyFill="1" applyBorder="1" applyAlignment="1">
      <alignment horizontal="center" vertical="center" wrapText="1"/>
    </xf>
    <xf numFmtId="3" fontId="24" fillId="34" borderId="0" xfId="0" applyNumberFormat="1" applyFont="1" applyFill="1" applyAlignment="1">
      <alignment vertical="center" wrapText="1"/>
    </xf>
    <xf numFmtId="15" fontId="29" fillId="0" borderId="0" xfId="0" applyNumberFormat="1" applyFont="1" applyAlignment="1">
      <alignment horizontal="center"/>
    </xf>
    <xf numFmtId="9" fontId="49" fillId="33" borderId="1" xfId="121" applyFont="1" applyFill="1" applyBorder="1" applyAlignment="1">
      <alignment horizontal="center" vertical="center" wrapText="1"/>
    </xf>
    <xf numFmtId="165" fontId="49" fillId="33" borderId="1" xfId="121" applyNumberFormat="1" applyFont="1" applyFill="1" applyBorder="1" applyAlignment="1">
      <alignment horizontal="center" vertical="center" wrapText="1"/>
    </xf>
    <xf numFmtId="167" fontId="29" fillId="0" borderId="56" xfId="0" applyNumberFormat="1" applyFont="1" applyBorder="1" applyAlignment="1">
      <alignment horizontal="center" vertical="center" wrapText="1"/>
    </xf>
    <xf numFmtId="167" fontId="29" fillId="0" borderId="56" xfId="0" applyNumberFormat="1" applyFont="1" applyBorder="1" applyAlignment="1">
      <alignment vertical="center" wrapText="1"/>
    </xf>
    <xf numFmtId="0" fontId="29" fillId="33" borderId="0" xfId="0" applyFont="1" applyFill="1" applyAlignment="1">
      <alignment horizontal="center" vertical="center" wrapText="1"/>
    </xf>
    <xf numFmtId="167" fontId="49" fillId="0" borderId="1" xfId="0" applyNumberFormat="1" applyFont="1" applyBorder="1" applyAlignment="1">
      <alignment horizontal="center" vertical="center" wrapText="1"/>
    </xf>
    <xf numFmtId="165" fontId="24" fillId="34" borderId="0" xfId="121" applyNumberFormat="1" applyFont="1" applyFill="1" applyAlignment="1">
      <alignment horizontal="center" vertical="center" wrapText="1"/>
    </xf>
    <xf numFmtId="0" fontId="24" fillId="0" borderId="1" xfId="0" applyFont="1" applyBorder="1"/>
    <xf numFmtId="165" fontId="26" fillId="33" borderId="1" xfId="121" applyNumberFormat="1" applyFont="1" applyFill="1" applyBorder="1" applyAlignment="1">
      <alignment horizontal="center"/>
    </xf>
    <xf numFmtId="0" fontId="24" fillId="0" borderId="1" xfId="0" applyFont="1" applyBorder="1" applyAlignment="1">
      <alignment wrapText="1"/>
    </xf>
    <xf numFmtId="165" fontId="49" fillId="34" borderId="0" xfId="121" applyNumberFormat="1" applyFont="1" applyFill="1" applyBorder="1" applyAlignment="1">
      <alignment horizontal="center" vertical="center" wrapText="1"/>
    </xf>
    <xf numFmtId="165" fontId="49" fillId="33" borderId="0" xfId="121" applyNumberFormat="1" applyFont="1" applyFill="1" applyBorder="1" applyAlignment="1">
      <alignment horizontal="center" vertical="center" wrapText="1"/>
    </xf>
    <xf numFmtId="3" fontId="29" fillId="34" borderId="1" xfId="0" applyNumberFormat="1" applyFont="1" applyFill="1" applyBorder="1" applyAlignment="1">
      <alignment horizontal="center" vertical="center" wrapText="1"/>
    </xf>
    <xf numFmtId="167" fontId="49" fillId="34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17" fontId="63" fillId="34" borderId="1" xfId="0" applyNumberFormat="1" applyFont="1" applyFill="1" applyBorder="1" applyAlignment="1">
      <alignment horizontal="center" vertical="center" wrapText="1"/>
    </xf>
    <xf numFmtId="167" fontId="29" fillId="0" borderId="1" xfId="0" applyNumberFormat="1" applyFont="1" applyBorder="1" applyAlignment="1">
      <alignment horizontal="center" vertical="center" wrapText="1"/>
    </xf>
    <xf numFmtId="3" fontId="29" fillId="0" borderId="1" xfId="0" applyNumberFormat="1" applyFont="1" applyBorder="1" applyAlignment="1">
      <alignment horizontal="center" vertical="center" wrapText="1"/>
    </xf>
    <xf numFmtId="167" fontId="49" fillId="33" borderId="1" xfId="0" applyNumberFormat="1" applyFont="1" applyFill="1" applyBorder="1" applyAlignment="1">
      <alignment horizontal="center" vertical="center" wrapText="1"/>
    </xf>
    <xf numFmtId="3" fontId="28" fillId="38" borderId="1" xfId="0" applyNumberFormat="1" applyFont="1" applyFill="1" applyBorder="1" applyAlignment="1">
      <alignment horizontal="center" vertical="center" wrapText="1"/>
    </xf>
    <xf numFmtId="2" fontId="30" fillId="43" borderId="1" xfId="0" applyNumberFormat="1" applyFont="1" applyFill="1" applyBorder="1" applyAlignment="1">
      <alignment horizontal="center" vertical="center" wrapText="1"/>
    </xf>
    <xf numFmtId="17" fontId="49" fillId="34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3" fontId="0" fillId="0" borderId="0" xfId="0" applyNumberFormat="1" applyAlignment="1">
      <alignment vertical="center" wrapText="1"/>
    </xf>
    <xf numFmtId="4" fontId="24" fillId="34" borderId="0" xfId="0" applyNumberFormat="1" applyFont="1" applyFill="1" applyAlignment="1">
      <alignment vertical="center" wrapText="1"/>
    </xf>
    <xf numFmtId="0" fontId="34" fillId="34" borderId="58" xfId="0" applyFont="1" applyFill="1" applyBorder="1" applyAlignment="1">
      <alignment vertical="center" wrapText="1"/>
    </xf>
    <xf numFmtId="0" fontId="34" fillId="34" borderId="59" xfId="0" applyFont="1" applyFill="1" applyBorder="1" applyAlignment="1">
      <alignment vertical="center" wrapText="1"/>
    </xf>
    <xf numFmtId="167" fontId="0" fillId="0" borderId="0" xfId="0" applyNumberFormat="1"/>
    <xf numFmtId="10" fontId="34" fillId="34" borderId="0" xfId="0" applyNumberFormat="1" applyFont="1" applyFill="1" applyBorder="1" applyAlignment="1">
      <alignment vertical="center" wrapText="1"/>
    </xf>
    <xf numFmtId="9" fontId="0" fillId="0" borderId="0" xfId="121" applyFont="1" applyAlignment="1">
      <alignment horizontal="center"/>
    </xf>
    <xf numFmtId="168" fontId="24" fillId="34" borderId="0" xfId="121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4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2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33" borderId="1" xfId="0" applyFont="1" applyFill="1" applyBorder="1" applyAlignment="1">
      <alignment vertical="center"/>
    </xf>
    <xf numFmtId="0" fontId="66" fillId="33" borderId="1" xfId="0" applyFont="1" applyFill="1" applyBorder="1" applyAlignment="1">
      <alignment vertical="center"/>
    </xf>
    <xf numFmtId="0" fontId="66" fillId="33" borderId="1" xfId="0" applyFont="1" applyFill="1" applyBorder="1" applyAlignment="1">
      <alignment horizontal="center" vertical="center"/>
    </xf>
    <xf numFmtId="3" fontId="26" fillId="33" borderId="1" xfId="0" applyNumberFormat="1" applyFont="1" applyFill="1" applyBorder="1" applyAlignment="1">
      <alignment horizontal="center" vertical="center"/>
    </xf>
    <xf numFmtId="165" fontId="24" fillId="0" borderId="1" xfId="121" applyNumberFormat="1" applyFont="1" applyBorder="1" applyAlignment="1">
      <alignment horizontal="center" vertical="center"/>
    </xf>
    <xf numFmtId="165" fontId="24" fillId="33" borderId="1" xfId="121" applyNumberFormat="1" applyFont="1" applyFill="1" applyBorder="1" applyAlignment="1">
      <alignment horizontal="center" vertical="center"/>
    </xf>
    <xf numFmtId="0" fontId="66" fillId="33" borderId="0" xfId="0" applyFont="1" applyFill="1" applyAlignment="1">
      <alignment vertical="center"/>
    </xf>
    <xf numFmtId="9" fontId="26" fillId="33" borderId="1" xfId="121" applyFont="1" applyFill="1" applyBorder="1" applyAlignment="1">
      <alignment horizontal="center"/>
    </xf>
    <xf numFmtId="9" fontId="0" fillId="0" borderId="1" xfId="121" applyFont="1" applyBorder="1" applyAlignment="1">
      <alignment horizontal="center"/>
    </xf>
    <xf numFmtId="165" fontId="0" fillId="0" borderId="1" xfId="121" applyNumberFormat="1" applyFont="1" applyBorder="1" applyAlignment="1">
      <alignment horizontal="center"/>
    </xf>
    <xf numFmtId="0" fontId="57" fillId="0" borderId="1" xfId="0" applyFont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/>
    </xf>
    <xf numFmtId="10" fontId="57" fillId="0" borderId="1" xfId="0" applyNumberFormat="1" applyFont="1" applyFill="1" applyBorder="1" applyAlignment="1">
      <alignment horizontal="center" vertical="center"/>
    </xf>
    <xf numFmtId="0" fontId="57" fillId="34" borderId="3" xfId="0" applyFont="1" applyFill="1" applyBorder="1" applyAlignment="1">
      <alignment horizontal="center" vertical="center"/>
    </xf>
    <xf numFmtId="10" fontId="71" fillId="0" borderId="1" xfId="0" applyNumberFormat="1" applyFont="1" applyBorder="1" applyAlignment="1">
      <alignment horizontal="left" vertical="center" wrapText="1"/>
    </xf>
    <xf numFmtId="167" fontId="29" fillId="0" borderId="0" xfId="0" applyNumberFormat="1" applyFont="1" applyBorder="1" applyAlignment="1">
      <alignment vertical="center" wrapText="1"/>
    </xf>
    <xf numFmtId="167" fontId="29" fillId="0" borderId="0" xfId="0" applyNumberFormat="1" applyFont="1" applyBorder="1" applyAlignment="1">
      <alignment horizontal="center" vertical="center" wrapText="1"/>
    </xf>
    <xf numFmtId="0" fontId="67" fillId="0" borderId="1" xfId="0" applyFont="1" applyBorder="1" applyAlignment="1">
      <alignment vertical="center"/>
    </xf>
    <xf numFmtId="0" fontId="67" fillId="0" borderId="20" xfId="0" applyFont="1" applyBorder="1" applyAlignment="1">
      <alignment horizontal="center" vertical="center"/>
    </xf>
    <xf numFmtId="0" fontId="67" fillId="0" borderId="20" xfId="0" applyFont="1" applyBorder="1" applyAlignment="1">
      <alignment vertical="center"/>
    </xf>
    <xf numFmtId="0" fontId="67" fillId="0" borderId="20" xfId="0" applyFont="1" applyFill="1" applyBorder="1" applyAlignment="1">
      <alignment vertical="center"/>
    </xf>
    <xf numFmtId="0" fontId="72" fillId="0" borderId="1" xfId="0" applyFont="1" applyBorder="1" applyAlignment="1">
      <alignment vertical="center" wrapText="1"/>
    </xf>
    <xf numFmtId="0" fontId="72" fillId="0" borderId="11" xfId="0" applyFont="1" applyBorder="1" applyAlignment="1">
      <alignment vertical="center" wrapText="1"/>
    </xf>
    <xf numFmtId="1" fontId="75" fillId="37" borderId="1" xfId="0" applyNumberFormat="1" applyFont="1" applyFill="1" applyBorder="1" applyAlignment="1">
      <alignment horizontal="center" vertical="center"/>
    </xf>
    <xf numFmtId="1" fontId="74" fillId="34" borderId="1" xfId="0" applyNumberFormat="1" applyFont="1" applyFill="1" applyBorder="1" applyAlignment="1">
      <alignment horizontal="center" vertical="center"/>
    </xf>
    <xf numFmtId="165" fontId="74" fillId="0" borderId="1" xfId="121" applyNumberFormat="1" applyFont="1" applyBorder="1" applyAlignment="1">
      <alignment horizontal="center" vertical="center"/>
    </xf>
    <xf numFmtId="165" fontId="74" fillId="34" borderId="1" xfId="121" applyNumberFormat="1" applyFont="1" applyFill="1" applyBorder="1" applyAlignment="1">
      <alignment horizontal="center" vertical="center"/>
    </xf>
    <xf numFmtId="165" fontId="74" fillId="0" borderId="1" xfId="121" applyNumberFormat="1" applyFont="1" applyFill="1" applyBorder="1" applyAlignment="1">
      <alignment horizontal="center" vertical="center"/>
    </xf>
    <xf numFmtId="166" fontId="74" fillId="34" borderId="1" xfId="0" applyNumberFormat="1" applyFont="1" applyFill="1" applyBorder="1" applyAlignment="1">
      <alignment horizontal="center" vertical="center"/>
    </xf>
    <xf numFmtId="166" fontId="75" fillId="37" borderId="1" xfId="0" applyNumberFormat="1" applyFont="1" applyFill="1" applyBorder="1" applyAlignment="1">
      <alignment horizontal="center" vertical="center"/>
    </xf>
    <xf numFmtId="166" fontId="74" fillId="0" borderId="1" xfId="0" applyNumberFormat="1" applyFont="1" applyBorder="1" applyAlignment="1">
      <alignment horizontal="center" vertical="center"/>
    </xf>
    <xf numFmtId="1" fontId="74" fillId="0" borderId="3" xfId="0" applyNumberFormat="1" applyFont="1" applyFill="1" applyBorder="1" applyAlignment="1">
      <alignment horizontal="center" vertical="center"/>
    </xf>
    <xf numFmtId="1" fontId="74" fillId="34" borderId="3" xfId="0" applyNumberFormat="1" applyFont="1" applyFill="1" applyBorder="1" applyAlignment="1">
      <alignment horizontal="center" vertical="center"/>
    </xf>
    <xf numFmtId="165" fontId="74" fillId="34" borderId="3" xfId="121" applyNumberFormat="1" applyFont="1" applyFill="1" applyBorder="1" applyAlignment="1">
      <alignment horizontal="center" vertical="center"/>
    </xf>
    <xf numFmtId="2" fontId="0" fillId="0" borderId="0" xfId="0" applyNumberFormat="1"/>
    <xf numFmtId="3" fontId="0" fillId="0" borderId="0" xfId="0" applyNumberFormat="1" applyAlignment="1">
      <alignment horizontal="center"/>
    </xf>
    <xf numFmtId="174" fontId="36" fillId="0" borderId="0" xfId="0" applyNumberFormat="1" applyFont="1"/>
    <xf numFmtId="2" fontId="80" fillId="0" borderId="1" xfId="0" applyNumberFormat="1" applyFont="1" applyBorder="1" applyAlignment="1">
      <alignment horizontal="center" vertical="center"/>
    </xf>
    <xf numFmtId="1" fontId="80" fillId="0" borderId="1" xfId="0" applyNumberFormat="1" applyFont="1" applyBorder="1" applyAlignment="1">
      <alignment horizontal="center" vertical="center"/>
    </xf>
    <xf numFmtId="165" fontId="80" fillId="34" borderId="1" xfId="121" applyNumberFormat="1" applyFont="1" applyFill="1" applyBorder="1" applyAlignment="1">
      <alignment horizontal="center" vertical="center"/>
    </xf>
    <xf numFmtId="0" fontId="81" fillId="0" borderId="13" xfId="0" applyFont="1" applyBorder="1"/>
    <xf numFmtId="14" fontId="79" fillId="0" borderId="2" xfId="0" applyNumberFormat="1" applyFont="1" applyBorder="1" applyAlignment="1">
      <alignment horizontal="center" vertical="center"/>
    </xf>
    <xf numFmtId="2" fontId="79" fillId="0" borderId="1" xfId="0" applyNumberFormat="1" applyFont="1" applyBorder="1" applyAlignment="1">
      <alignment horizontal="center" vertical="center"/>
    </xf>
    <xf numFmtId="2" fontId="79" fillId="0" borderId="3" xfId="0" applyNumberFormat="1" applyFont="1" applyBorder="1" applyAlignment="1">
      <alignment horizontal="center" vertical="center"/>
    </xf>
    <xf numFmtId="14" fontId="79" fillId="0" borderId="5" xfId="0" applyNumberFormat="1" applyFont="1" applyBorder="1" applyAlignment="1">
      <alignment horizontal="center" vertical="center"/>
    </xf>
    <xf numFmtId="2" fontId="79" fillId="0" borderId="4" xfId="0" applyNumberFormat="1" applyFont="1" applyBorder="1" applyAlignment="1">
      <alignment horizontal="center" vertical="center"/>
    </xf>
    <xf numFmtId="2" fontId="79" fillId="0" borderId="12" xfId="0" applyNumberFormat="1" applyFont="1" applyBorder="1" applyAlignment="1">
      <alignment horizontal="center" vertical="center"/>
    </xf>
    <xf numFmtId="0" fontId="81" fillId="0" borderId="14" xfId="0" applyFont="1" applyBorder="1" applyAlignment="1">
      <alignment horizontal="center"/>
    </xf>
    <xf numFmtId="0" fontId="81" fillId="0" borderId="14" xfId="0" applyFont="1" applyBorder="1" applyAlignment="1">
      <alignment horizontal="left"/>
    </xf>
    <xf numFmtId="0" fontId="81" fillId="0" borderId="15" xfId="0" applyFont="1" applyBorder="1" applyAlignment="1">
      <alignment horizontal="left"/>
    </xf>
    <xf numFmtId="0" fontId="27" fillId="0" borderId="1" xfId="0" applyFont="1" applyBorder="1" applyAlignment="1">
      <alignment horizontal="center" vertical="center"/>
    </xf>
    <xf numFmtId="10" fontId="0" fillId="0" borderId="0" xfId="121" applyNumberFormat="1" applyFont="1"/>
    <xf numFmtId="0" fontId="0" fillId="44" borderId="1" xfId="0" applyFill="1" applyBorder="1" applyAlignment="1">
      <alignment vertical="center" wrapText="1"/>
    </xf>
    <xf numFmtId="0" fontId="0" fillId="44" borderId="0" xfId="0" applyFill="1" applyAlignment="1">
      <alignment vertical="center" wrapText="1"/>
    </xf>
    <xf numFmtId="17" fontId="83" fillId="0" borderId="1" xfId="0" applyNumberFormat="1" applyFont="1" applyBorder="1" applyAlignment="1">
      <alignment vertical="center" wrapText="1"/>
    </xf>
    <xf numFmtId="167" fontId="83" fillId="0" borderId="1" xfId="0" applyNumberFormat="1" applyFont="1" applyBorder="1" applyAlignment="1">
      <alignment vertical="center" wrapText="1"/>
    </xf>
    <xf numFmtId="3" fontId="83" fillId="0" borderId="1" xfId="0" applyNumberFormat="1" applyFont="1" applyBorder="1" applyAlignment="1">
      <alignment vertical="center" wrapText="1"/>
    </xf>
    <xf numFmtId="3" fontId="83" fillId="0" borderId="1" xfId="0" applyNumberFormat="1" applyFont="1" applyBorder="1" applyAlignment="1">
      <alignment horizontal="center" vertical="center" wrapText="1"/>
    </xf>
    <xf numFmtId="0" fontId="83" fillId="0" borderId="0" xfId="0" applyFont="1" applyAlignment="1">
      <alignment vertical="center" wrapText="1"/>
    </xf>
    <xf numFmtId="2" fontId="83" fillId="0" borderId="1" xfId="0" applyNumberFormat="1" applyFont="1" applyBorder="1" applyAlignment="1">
      <alignment vertical="center" wrapText="1"/>
    </xf>
    <xf numFmtId="1" fontId="83" fillId="0" borderId="1" xfId="0" applyNumberFormat="1" applyFont="1" applyBorder="1" applyAlignment="1">
      <alignment vertical="center" wrapText="1"/>
    </xf>
    <xf numFmtId="165" fontId="83" fillId="0" borderId="1" xfId="121" applyNumberFormat="1" applyFont="1" applyBorder="1" applyAlignment="1">
      <alignment horizontal="center" vertical="center" wrapText="1"/>
    </xf>
    <xf numFmtId="165" fontId="83" fillId="0" borderId="0" xfId="121" applyNumberFormat="1" applyFont="1" applyBorder="1" applyAlignment="1">
      <alignment horizontal="center" vertical="center" wrapText="1"/>
    </xf>
    <xf numFmtId="0" fontId="83" fillId="0" borderId="1" xfId="0" applyFont="1" applyBorder="1" applyAlignment="1">
      <alignment vertical="center" wrapText="1"/>
    </xf>
    <xf numFmtId="0" fontId="83" fillId="0" borderId="1" xfId="0" applyFont="1" applyBorder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4" fillId="0" borderId="1" xfId="0" applyFont="1" applyBorder="1" applyAlignment="1">
      <alignment vertical="center" wrapText="1"/>
    </xf>
    <xf numFmtId="3" fontId="84" fillId="0" borderId="1" xfId="0" applyNumberFormat="1" applyFont="1" applyBorder="1" applyAlignment="1">
      <alignment vertical="center" wrapText="1"/>
    </xf>
    <xf numFmtId="3" fontId="84" fillId="0" borderId="1" xfId="0" applyNumberFormat="1" applyFont="1" applyBorder="1" applyAlignment="1">
      <alignment horizontal="center" vertical="center" wrapText="1"/>
    </xf>
    <xf numFmtId="0" fontId="84" fillId="0" borderId="0" xfId="0" applyFont="1" applyAlignment="1">
      <alignment vertical="center" wrapText="1"/>
    </xf>
    <xf numFmtId="3" fontId="83" fillId="33" borderId="1" xfId="0" applyNumberFormat="1" applyFont="1" applyFill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60" xfId="0" applyBorder="1"/>
    <xf numFmtId="0" fontId="0" fillId="0" borderId="33" xfId="0" applyBorder="1"/>
    <xf numFmtId="0" fontId="29" fillId="0" borderId="33" xfId="0" applyFont="1" applyBorder="1"/>
    <xf numFmtId="0" fontId="29" fillId="0" borderId="35" xfId="0" applyFont="1" applyBorder="1"/>
    <xf numFmtId="0" fontId="0" fillId="0" borderId="27" xfId="0" applyBorder="1" applyAlignment="1">
      <alignment horizontal="center"/>
    </xf>
    <xf numFmtId="0" fontId="28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/>
    </xf>
    <xf numFmtId="15" fontId="30" fillId="33" borderId="0" xfId="0" applyNumberFormat="1" applyFont="1" applyFill="1" applyAlignment="1">
      <alignment horizontal="center"/>
    </xf>
    <xf numFmtId="0" fontId="30" fillId="0" borderId="0" xfId="0" applyFont="1"/>
    <xf numFmtId="3" fontId="29" fillId="0" borderId="0" xfId="0" applyNumberFormat="1" applyFont="1" applyBorder="1" applyAlignment="1">
      <alignment horizontal="center" vertical="center" wrapText="1"/>
    </xf>
    <xf numFmtId="0" fontId="49" fillId="46" borderId="1" xfId="0" applyFont="1" applyFill="1" applyBorder="1" applyAlignment="1">
      <alignment vertical="center" wrapText="1"/>
    </xf>
    <xf numFmtId="0" fontId="24" fillId="46" borderId="1" xfId="0" applyFont="1" applyFill="1" applyBorder="1" applyAlignment="1">
      <alignment vertical="center" wrapText="1"/>
    </xf>
    <xf numFmtId="167" fontId="49" fillId="46" borderId="1" xfId="0" applyNumberFormat="1" applyFont="1" applyFill="1" applyBorder="1" applyAlignment="1">
      <alignment horizontal="center" vertical="center" wrapText="1"/>
    </xf>
    <xf numFmtId="3" fontId="49" fillId="46" borderId="1" xfId="0" applyNumberFormat="1" applyFont="1" applyFill="1" applyBorder="1" applyAlignment="1">
      <alignment horizontal="center" vertical="center" wrapText="1"/>
    </xf>
    <xf numFmtId="9" fontId="49" fillId="46" borderId="1" xfId="0" applyNumberFormat="1" applyFont="1" applyFill="1" applyBorder="1" applyAlignment="1">
      <alignment horizontal="center" vertical="center" wrapText="1"/>
    </xf>
    <xf numFmtId="165" fontId="49" fillId="46" borderId="1" xfId="121" applyNumberFormat="1" applyFont="1" applyFill="1" applyBorder="1" applyAlignment="1">
      <alignment horizontal="center" vertical="center" wrapText="1"/>
    </xf>
    <xf numFmtId="3" fontId="24" fillId="38" borderId="1" xfId="0" applyNumberFormat="1" applyFont="1" applyFill="1" applyBorder="1" applyAlignment="1">
      <alignment horizontal="center" vertical="center" wrapText="1"/>
    </xf>
    <xf numFmtId="3" fontId="49" fillId="38" borderId="1" xfId="0" applyNumberFormat="1" applyFont="1" applyFill="1" applyBorder="1" applyAlignment="1">
      <alignment horizontal="center" vertical="center" wrapText="1"/>
    </xf>
    <xf numFmtId="167" fontId="49" fillId="38" borderId="1" xfId="0" applyNumberFormat="1" applyFont="1" applyFill="1" applyBorder="1" applyAlignment="1">
      <alignment horizontal="center" vertical="center" wrapText="1"/>
    </xf>
    <xf numFmtId="9" fontId="49" fillId="38" borderId="1" xfId="0" applyNumberFormat="1" applyFont="1" applyFill="1" applyBorder="1" applyAlignment="1">
      <alignment horizontal="center" vertical="center" wrapText="1"/>
    </xf>
    <xf numFmtId="4" fontId="24" fillId="38" borderId="1" xfId="0" applyNumberFormat="1" applyFont="1" applyFill="1" applyBorder="1" applyAlignment="1">
      <alignment horizontal="center" vertical="center" wrapText="1"/>
    </xf>
    <xf numFmtId="165" fontId="64" fillId="38" borderId="1" xfId="121" applyNumberFormat="1" applyFont="1" applyFill="1" applyBorder="1" applyAlignment="1">
      <alignment horizontal="center" vertical="center" wrapText="1"/>
    </xf>
    <xf numFmtId="165" fontId="49" fillId="38" borderId="1" xfId="12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7" fillId="0" borderId="1" xfId="0" applyFont="1" applyBorder="1" applyAlignment="1">
      <alignment horizontal="left" vertical="center" wrapText="1"/>
    </xf>
    <xf numFmtId="165" fontId="29" fillId="0" borderId="0" xfId="0" applyNumberFormat="1" applyFont="1"/>
    <xf numFmtId="0" fontId="0" fillId="0" borderId="1" xfId="0" applyFill="1" applyBorder="1"/>
    <xf numFmtId="0" fontId="87" fillId="0" borderId="1" xfId="0" applyFont="1" applyBorder="1" applyAlignment="1">
      <alignment vertical="center" wrapText="1"/>
    </xf>
    <xf numFmtId="0" fontId="87" fillId="0" borderId="1" xfId="0" applyFont="1" applyBorder="1" applyAlignment="1">
      <alignment horizontal="left" vertical="center" wrapText="1"/>
    </xf>
    <xf numFmtId="15" fontId="87" fillId="0" borderId="1" xfId="0" applyNumberFormat="1" applyFont="1" applyBorder="1" applyAlignment="1">
      <alignment horizontal="left" vertical="center" wrapText="1"/>
    </xf>
    <xf numFmtId="0" fontId="88" fillId="0" borderId="1" xfId="0" applyFont="1" applyBorder="1" applyAlignment="1">
      <alignment horizontal="center"/>
    </xf>
    <xf numFmtId="0" fontId="88" fillId="0" borderId="1" xfId="0" applyFont="1" applyBorder="1" applyAlignment="1">
      <alignment horizontal="left"/>
    </xf>
    <xf numFmtId="3" fontId="29" fillId="0" borderId="0" xfId="0" applyNumberFormat="1" applyFont="1" applyBorder="1" applyAlignment="1">
      <alignment horizontal="center" vertical="center" wrapText="1"/>
    </xf>
    <xf numFmtId="9" fontId="0" fillId="0" borderId="0" xfId="121" applyFont="1" applyAlignment="1">
      <alignment horizontal="left" vertical="center" wrapText="1"/>
    </xf>
    <xf numFmtId="175" fontId="0" fillId="0" borderId="0" xfId="121" applyNumberFormat="1" applyFont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165" fontId="9" fillId="0" borderId="1" xfId="121" applyNumberFormat="1" applyFont="1" applyBorder="1" applyAlignment="1">
      <alignment horizontal="center"/>
    </xf>
    <xf numFmtId="10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9" fillId="0" borderId="1" xfId="12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166" fontId="9" fillId="0" borderId="1" xfId="121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9" fillId="0" borderId="13" xfId="0" applyFont="1" applyBorder="1"/>
    <xf numFmtId="0" fontId="89" fillId="0" borderId="2" xfId="0" applyFont="1" applyBorder="1"/>
    <xf numFmtId="0" fontId="89" fillId="0" borderId="1" xfId="0" applyFont="1" applyBorder="1"/>
    <xf numFmtId="0" fontId="89" fillId="0" borderId="3" xfId="0" applyFont="1" applyBorder="1"/>
    <xf numFmtId="0" fontId="89" fillId="47" borderId="1" xfId="0" applyFont="1" applyFill="1" applyBorder="1"/>
    <xf numFmtId="0" fontId="89" fillId="47" borderId="3" xfId="0" applyFont="1" applyFill="1" applyBorder="1"/>
    <xf numFmtId="0" fontId="0" fillId="0" borderId="11" xfId="0" applyBorder="1" applyAlignment="1">
      <alignment horizontal="center"/>
    </xf>
    <xf numFmtId="0" fontId="89" fillId="0" borderId="5" xfId="0" applyFont="1" applyBorder="1"/>
    <xf numFmtId="0" fontId="89" fillId="0" borderId="4" xfId="0" applyFont="1" applyBorder="1"/>
    <xf numFmtId="0" fontId="89" fillId="47" borderId="4" xfId="0" applyFont="1" applyFill="1" applyBorder="1"/>
    <xf numFmtId="0" fontId="89" fillId="0" borderId="12" xfId="0" applyFont="1" applyBorder="1"/>
    <xf numFmtId="0" fontId="89" fillId="0" borderId="62" xfId="0" applyFont="1" applyBorder="1"/>
    <xf numFmtId="0" fontId="29" fillId="0" borderId="16" xfId="0" applyFont="1" applyBorder="1"/>
    <xf numFmtId="0" fontId="89" fillId="0" borderId="63" xfId="0" applyFont="1" applyBorder="1"/>
    <xf numFmtId="0" fontId="89" fillId="0" borderId="20" xfId="0" applyFont="1" applyBorder="1"/>
    <xf numFmtId="0" fontId="0" fillId="0" borderId="3" xfId="0" applyBorder="1"/>
    <xf numFmtId="0" fontId="27" fillId="0" borderId="2" xfId="0" applyFont="1" applyFill="1" applyBorder="1" applyAlignment="1">
      <alignment horizontal="center" vertical="center"/>
    </xf>
    <xf numFmtId="0" fontId="87" fillId="0" borderId="1" xfId="0" applyFont="1" applyBorder="1"/>
    <xf numFmtId="0" fontId="87" fillId="47" borderId="1" xfId="0" applyFont="1" applyFill="1" applyBorder="1" applyAlignment="1">
      <alignment horizontal="center"/>
    </xf>
    <xf numFmtId="0" fontId="87" fillId="0" borderId="1" xfId="0" applyFont="1" applyFill="1" applyBorder="1"/>
    <xf numFmtId="0" fontId="87" fillId="0" borderId="3" xfId="0" applyFont="1" applyBorder="1"/>
    <xf numFmtId="165" fontId="9" fillId="0" borderId="0" xfId="121" applyNumberFormat="1" applyFont="1"/>
    <xf numFmtId="0" fontId="28" fillId="0" borderId="2" xfId="0" applyFont="1" applyBorder="1" applyAlignment="1">
      <alignment horizontal="center" vertical="center"/>
    </xf>
    <xf numFmtId="0" fontId="87" fillId="0" borderId="1" xfId="0" applyFont="1" applyBorder="1" applyAlignment="1">
      <alignment horizontal="left" vertical="center"/>
    </xf>
    <xf numFmtId="0" fontId="87" fillId="0" borderId="1" xfId="0" applyFont="1" applyBorder="1" applyAlignment="1">
      <alignment horizontal="center" vertical="center"/>
    </xf>
    <xf numFmtId="0" fontId="87" fillId="0" borderId="3" xfId="0" applyFont="1" applyBorder="1" applyAlignment="1">
      <alignment vertical="center" wrapText="1"/>
    </xf>
    <xf numFmtId="0" fontId="28" fillId="0" borderId="2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87" fillId="0" borderId="4" xfId="0" applyFont="1" applyBorder="1"/>
    <xf numFmtId="0" fontId="87" fillId="47" borderId="4" xfId="0" applyFont="1" applyFill="1" applyBorder="1" applyAlignment="1">
      <alignment horizontal="center"/>
    </xf>
    <xf numFmtId="0" fontId="87" fillId="0" borderId="12" xfId="0" applyFont="1" applyBorder="1"/>
    <xf numFmtId="0" fontId="31" fillId="0" borderId="0" xfId="0" applyFont="1" applyAlignment="1">
      <alignment horizontal="left"/>
    </xf>
    <xf numFmtId="10" fontId="49" fillId="0" borderId="0" xfId="121" applyNumberFormat="1" applyFont="1"/>
    <xf numFmtId="169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" fontId="0" fillId="0" borderId="0" xfId="0" applyNumberFormat="1"/>
    <xf numFmtId="165" fontId="28" fillId="0" borderId="1" xfId="12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165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4" fillId="0" borderId="1" xfId="0" applyFont="1" applyBorder="1" applyAlignment="1">
      <alignment horizontal="center"/>
    </xf>
    <xf numFmtId="166" fontId="9" fillId="0" borderId="1" xfId="12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165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4" fillId="0" borderId="1" xfId="0" applyFont="1" applyBorder="1" applyAlignment="1">
      <alignment horizontal="center"/>
    </xf>
    <xf numFmtId="165" fontId="0" fillId="0" borderId="1" xfId="121" applyNumberFormat="1" applyFont="1" applyBorder="1" applyAlignment="1">
      <alignment horizontal="center" vertical="center" wrapText="1"/>
    </xf>
    <xf numFmtId="166" fontId="9" fillId="0" borderId="1" xfId="121" applyNumberFormat="1" applyFont="1" applyBorder="1" applyAlignment="1">
      <alignment horizontal="center" vertical="center"/>
    </xf>
    <xf numFmtId="0" fontId="27" fillId="0" borderId="2" xfId="0" applyFont="1" applyBorder="1" applyAlignment="1">
      <alignment vertic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27" fillId="0" borderId="14" xfId="0" applyFont="1" applyBorder="1" applyAlignment="1">
      <alignment vertical="center" wrapText="1"/>
    </xf>
    <xf numFmtId="15" fontId="27" fillId="0" borderId="15" xfId="0" applyNumberFormat="1" applyFont="1" applyBorder="1" applyAlignment="1">
      <alignment vertical="center"/>
    </xf>
    <xf numFmtId="15" fontId="27" fillId="0" borderId="3" xfId="0" applyNumberFormat="1" applyFont="1" applyBorder="1" applyAlignment="1">
      <alignment vertical="center"/>
    </xf>
    <xf numFmtId="165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72" fillId="0" borderId="1" xfId="0" applyFont="1" applyBorder="1" applyAlignment="1">
      <alignment horizontal="left" vertical="center" wrapText="1"/>
    </xf>
    <xf numFmtId="0" fontId="71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vertical="center" wrapText="1"/>
    </xf>
    <xf numFmtId="0" fontId="33" fillId="0" borderId="2" xfId="0" applyFont="1" applyBorder="1" applyAlignment="1">
      <alignment horizontal="center" vertical="center" wrapText="1"/>
    </xf>
    <xf numFmtId="1" fontId="74" fillId="0" borderId="1" xfId="0" applyNumberFormat="1" applyFont="1" applyBorder="1" applyAlignment="1">
      <alignment horizontal="center" vertical="center"/>
    </xf>
    <xf numFmtId="1" fontId="74" fillId="0" borderId="3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165" fontId="9" fillId="0" borderId="1" xfId="121" applyNumberFormat="1" applyFont="1" applyBorder="1" applyAlignment="1">
      <alignment horizontal="center"/>
    </xf>
    <xf numFmtId="10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9" fillId="0" borderId="1" xfId="12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166" fontId="9" fillId="0" borderId="1" xfId="121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167" fontId="29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0" fontId="9" fillId="0" borderId="1" xfId="121" applyNumberFormat="1" applyFont="1" applyBorder="1" applyAlignment="1">
      <alignment horizontal="center" vertical="center"/>
    </xf>
    <xf numFmtId="1" fontId="28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165" fontId="9" fillId="0" borderId="1" xfId="121" applyNumberFormat="1" applyFont="1" applyBorder="1" applyAlignment="1">
      <alignment horizontal="center"/>
    </xf>
    <xf numFmtId="10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9" fillId="0" borderId="1" xfId="12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166" fontId="9" fillId="0" borderId="1" xfId="121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 vertical="center"/>
    </xf>
    <xf numFmtId="167" fontId="29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0" fontId="9" fillId="0" borderId="1" xfId="121" applyNumberFormat="1" applyFont="1" applyBorder="1" applyAlignment="1">
      <alignment horizontal="center" vertical="center"/>
    </xf>
    <xf numFmtId="1" fontId="28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165" fontId="9" fillId="0" borderId="1" xfId="121" applyNumberFormat="1" applyFont="1" applyBorder="1" applyAlignment="1">
      <alignment horizontal="center"/>
    </xf>
    <xf numFmtId="10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9" fillId="0" borderId="1" xfId="12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166" fontId="9" fillId="0" borderId="1" xfId="121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 vertical="center"/>
    </xf>
    <xf numFmtId="165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4" fillId="0" borderId="1" xfId="0" applyFont="1" applyBorder="1" applyAlignment="1">
      <alignment horizontal="center"/>
    </xf>
    <xf numFmtId="166" fontId="9" fillId="0" borderId="1" xfId="121" applyNumberFormat="1" applyFont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9" fillId="0" borderId="1" xfId="12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28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66" fontId="9" fillId="0" borderId="1" xfId="121" applyNumberFormat="1" applyFont="1" applyBorder="1" applyAlignment="1">
      <alignment horizontal="center" vertical="center"/>
    </xf>
    <xf numFmtId="0" fontId="0" fillId="0" borderId="58" xfId="0" applyBorder="1"/>
    <xf numFmtId="0" fontId="29" fillId="0" borderId="0" xfId="0" applyFont="1" applyBorder="1"/>
    <xf numFmtId="0" fontId="29" fillId="0" borderId="59" xfId="0" applyFont="1" applyBorder="1"/>
    <xf numFmtId="10" fontId="34" fillId="0" borderId="1" xfId="0" applyNumberFormat="1" applyFont="1" applyBorder="1"/>
    <xf numFmtId="15" fontId="29" fillId="0" borderId="1" xfId="0" applyNumberFormat="1" applyFont="1" applyBorder="1"/>
    <xf numFmtId="10" fontId="77" fillId="45" borderId="1" xfId="121" applyNumberFormat="1" applyFont="1" applyFill="1" applyBorder="1" applyAlignment="1">
      <alignment horizontal="center" vertical="center"/>
    </xf>
    <xf numFmtId="2" fontId="76" fillId="0" borderId="1" xfId="0" applyNumberFormat="1" applyFont="1" applyBorder="1" applyAlignment="1">
      <alignment horizontal="center" vertical="center"/>
    </xf>
    <xf numFmtId="2" fontId="76" fillId="33" borderId="1" xfId="0" applyNumberFormat="1" applyFont="1" applyFill="1" applyBorder="1" applyAlignment="1">
      <alignment horizontal="center" vertical="center"/>
    </xf>
    <xf numFmtId="165" fontId="77" fillId="45" borderId="1" xfId="121" applyNumberFormat="1" applyFont="1" applyFill="1" applyBorder="1" applyAlignment="1">
      <alignment horizontal="center" vertical="center"/>
    </xf>
    <xf numFmtId="165" fontId="34" fillId="0" borderId="1" xfId="0" applyNumberFormat="1" applyFont="1" applyBorder="1"/>
    <xf numFmtId="0" fontId="53" fillId="0" borderId="1" xfId="0" applyFont="1" applyBorder="1"/>
    <xf numFmtId="165" fontId="53" fillId="0" borderId="1" xfId="0" applyNumberFormat="1" applyFont="1" applyBorder="1"/>
    <xf numFmtId="2" fontId="53" fillId="0" borderId="1" xfId="0" applyNumberFormat="1" applyFont="1" applyBorder="1"/>
    <xf numFmtId="166" fontId="77" fillId="45" borderId="1" xfId="121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3" fontId="24" fillId="33" borderId="1" xfId="0" applyNumberFormat="1" applyFont="1" applyFill="1" applyBorder="1" applyAlignment="1">
      <alignment horizontal="center" vertical="center" wrapText="1"/>
    </xf>
    <xf numFmtId="4" fontId="24" fillId="33" borderId="1" xfId="0" applyNumberFormat="1" applyFont="1" applyFill="1" applyBorder="1" applyAlignment="1">
      <alignment horizontal="center" vertical="center" wrapText="1"/>
    </xf>
    <xf numFmtId="165" fontId="64" fillId="33" borderId="1" xfId="121" applyNumberFormat="1" applyFont="1" applyFill="1" applyBorder="1" applyAlignment="1">
      <alignment horizontal="center" vertical="center" wrapText="1"/>
    </xf>
    <xf numFmtId="0" fontId="0" fillId="34" borderId="1" xfId="0" applyFont="1" applyFill="1" applyBorder="1" applyAlignment="1">
      <alignment vertical="center" wrapText="1"/>
    </xf>
    <xf numFmtId="167" fontId="29" fillId="34" borderId="1" xfId="0" applyNumberFormat="1" applyFont="1" applyFill="1" applyBorder="1" applyAlignment="1">
      <alignment horizontal="center" vertical="center" wrapText="1"/>
    </xf>
    <xf numFmtId="9" fontId="29" fillId="34" borderId="1" xfId="0" applyNumberFormat="1" applyFont="1" applyFill="1" applyBorder="1" applyAlignment="1">
      <alignment horizontal="center" vertical="center" wrapText="1"/>
    </xf>
    <xf numFmtId="165" fontId="29" fillId="34" borderId="1" xfId="121" applyNumberFormat="1" applyFont="1" applyFill="1" applyBorder="1" applyAlignment="1">
      <alignment horizontal="center" vertical="center" wrapText="1"/>
    </xf>
    <xf numFmtId="0" fontId="24" fillId="48" borderId="1" xfId="0" applyFont="1" applyFill="1" applyBorder="1" applyAlignment="1">
      <alignment vertical="center" wrapText="1"/>
    </xf>
    <xf numFmtId="167" fontId="49" fillId="48" borderId="1" xfId="0" applyNumberFormat="1" applyFont="1" applyFill="1" applyBorder="1" applyAlignment="1">
      <alignment horizontal="center" vertical="center" wrapText="1"/>
    </xf>
    <xf numFmtId="3" fontId="49" fillId="48" borderId="1" xfId="0" applyNumberFormat="1" applyFont="1" applyFill="1" applyBorder="1" applyAlignment="1">
      <alignment horizontal="center" vertical="center" wrapText="1"/>
    </xf>
    <xf numFmtId="9" fontId="49" fillId="48" borderId="1" xfId="0" applyNumberFormat="1" applyFont="1" applyFill="1" applyBorder="1" applyAlignment="1">
      <alignment horizontal="center" vertical="center" wrapText="1"/>
    </xf>
    <xf numFmtId="165" fontId="49" fillId="48" borderId="1" xfId="121" applyNumberFormat="1" applyFont="1" applyFill="1" applyBorder="1" applyAlignment="1">
      <alignment horizontal="center" vertical="center" wrapText="1"/>
    </xf>
    <xf numFmtId="165" fontId="49" fillId="48" borderId="0" xfId="121" applyNumberFormat="1" applyFont="1" applyFill="1" applyBorder="1" applyAlignment="1">
      <alignment horizontal="center" vertical="center" wrapText="1"/>
    </xf>
    <xf numFmtId="0" fontId="87" fillId="0" borderId="1" xfId="0" applyFont="1" applyBorder="1" applyAlignment="1">
      <alignment horizontal="center"/>
    </xf>
    <xf numFmtId="0" fontId="87" fillId="0" borderId="2" xfId="0" applyFont="1" applyBorder="1" applyAlignment="1">
      <alignment horizontal="center"/>
    </xf>
    <xf numFmtId="17" fontId="87" fillId="0" borderId="1" xfId="0" applyNumberFormat="1" applyFont="1" applyBorder="1" applyAlignment="1">
      <alignment horizontal="center"/>
    </xf>
    <xf numFmtId="1" fontId="87" fillId="0" borderId="1" xfId="0" applyNumberFormat="1" applyFont="1" applyBorder="1" applyAlignment="1">
      <alignment horizontal="center"/>
    </xf>
    <xf numFmtId="165" fontId="87" fillId="0" borderId="3" xfId="121" applyNumberFormat="1" applyFont="1" applyBorder="1" applyAlignment="1">
      <alignment horizontal="center"/>
    </xf>
    <xf numFmtId="0" fontId="87" fillId="0" borderId="5" xfId="0" applyFont="1" applyBorder="1" applyAlignment="1">
      <alignment horizontal="center"/>
    </xf>
    <xf numFmtId="0" fontId="87" fillId="0" borderId="4" xfId="0" applyFont="1" applyBorder="1" applyAlignment="1">
      <alignment horizontal="center"/>
    </xf>
    <xf numFmtId="1" fontId="87" fillId="0" borderId="4" xfId="0" applyNumberFormat="1" applyFont="1" applyBorder="1" applyAlignment="1">
      <alignment horizontal="center"/>
    </xf>
    <xf numFmtId="165" fontId="87" fillId="0" borderId="12" xfId="0" applyNumberFormat="1" applyFont="1" applyBorder="1" applyAlignment="1">
      <alignment horizontal="center"/>
    </xf>
    <xf numFmtId="0" fontId="87" fillId="0" borderId="2" xfId="0" applyFont="1" applyBorder="1"/>
    <xf numFmtId="17" fontId="87" fillId="0" borderId="1" xfId="0" applyNumberFormat="1" applyFont="1" applyBorder="1"/>
    <xf numFmtId="165" fontId="87" fillId="0" borderId="3" xfId="121" applyNumberFormat="1" applyFont="1" applyBorder="1"/>
    <xf numFmtId="0" fontId="87" fillId="0" borderId="5" xfId="0" applyFont="1" applyBorder="1"/>
    <xf numFmtId="165" fontId="87" fillId="0" borderId="12" xfId="0" applyNumberFormat="1" applyFont="1" applyBorder="1"/>
    <xf numFmtId="17" fontId="27" fillId="0" borderId="1" xfId="0" applyNumberFormat="1" applyFont="1" applyBorder="1" applyAlignment="1">
      <alignment horizontal="center"/>
    </xf>
    <xf numFmtId="3" fontId="27" fillId="0" borderId="1" xfId="0" applyNumberFormat="1" applyFont="1" applyBorder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/>
    <xf numFmtId="3" fontId="27" fillId="0" borderId="3" xfId="0" applyNumberFormat="1" applyFont="1" applyBorder="1" applyAlignment="1">
      <alignment horizontal="center"/>
    </xf>
    <xf numFmtId="0" fontId="27" fillId="44" borderId="2" xfId="0" applyFont="1" applyFill="1" applyBorder="1" applyAlignment="1">
      <alignment vertical="center" wrapText="1"/>
    </xf>
    <xf numFmtId="0" fontId="27" fillId="44" borderId="5" xfId="0" applyFont="1" applyFill="1" applyBorder="1" applyAlignment="1">
      <alignment vertical="center" wrapText="1"/>
    </xf>
    <xf numFmtId="17" fontId="27" fillId="0" borderId="3" xfId="0" applyNumberFormat="1" applyFont="1" applyBorder="1" applyAlignment="1">
      <alignment horizontal="center"/>
    </xf>
    <xf numFmtId="1" fontId="27" fillId="0" borderId="3" xfId="0" applyNumberFormat="1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165" fontId="27" fillId="0" borderId="1" xfId="121" applyNumberFormat="1" applyFont="1" applyBorder="1" applyAlignment="1">
      <alignment horizontal="center"/>
    </xf>
    <xf numFmtId="0" fontId="27" fillId="44" borderId="13" xfId="0" applyFont="1" applyFill="1" applyBorder="1" applyAlignment="1">
      <alignment vertical="center" wrapText="1"/>
    </xf>
    <xf numFmtId="165" fontId="27" fillId="0" borderId="14" xfId="121" applyNumberFormat="1" applyFont="1" applyBorder="1" applyAlignment="1">
      <alignment horizontal="center"/>
    </xf>
    <xf numFmtId="165" fontId="27" fillId="0" borderId="15" xfId="121" applyNumberFormat="1" applyFont="1" applyBorder="1" applyAlignment="1">
      <alignment horizontal="center"/>
    </xf>
    <xf numFmtId="165" fontId="27" fillId="0" borderId="3" xfId="121" applyNumberFormat="1" applyFont="1" applyBorder="1" applyAlignment="1">
      <alignment horizontal="center"/>
    </xf>
    <xf numFmtId="165" fontId="27" fillId="0" borderId="4" xfId="121" applyNumberFormat="1" applyFont="1" applyBorder="1" applyAlignment="1">
      <alignment horizontal="center"/>
    </xf>
    <xf numFmtId="165" fontId="27" fillId="0" borderId="12" xfId="121" applyNumberFormat="1" applyFont="1" applyBorder="1" applyAlignment="1">
      <alignment horizontal="center"/>
    </xf>
    <xf numFmtId="0" fontId="27" fillId="44" borderId="65" xfId="0" applyFont="1" applyFill="1" applyBorder="1" applyAlignment="1">
      <alignment vertical="center" wrapText="1"/>
    </xf>
    <xf numFmtId="2" fontId="27" fillId="0" borderId="4" xfId="0" applyNumberFormat="1" applyFont="1" applyBorder="1" applyAlignment="1">
      <alignment horizontal="center"/>
    </xf>
    <xf numFmtId="2" fontId="27" fillId="0" borderId="12" xfId="0" applyNumberFormat="1" applyFont="1" applyBorder="1" applyAlignment="1">
      <alignment horizontal="center"/>
    </xf>
    <xf numFmtId="165" fontId="27" fillId="0" borderId="14" xfId="121" applyNumberFormat="1" applyFont="1" applyBorder="1" applyAlignment="1">
      <alignment horizontal="center" vertical="center"/>
    </xf>
    <xf numFmtId="0" fontId="49" fillId="48" borderId="1" xfId="0" applyFont="1" applyFill="1" applyBorder="1" applyAlignment="1">
      <alignment vertical="center" wrapText="1"/>
    </xf>
    <xf numFmtId="0" fontId="27" fillId="0" borderId="2" xfId="0" applyFont="1" applyBorder="1" applyAlignment="1">
      <alignment vertical="center"/>
    </xf>
    <xf numFmtId="2" fontId="0" fillId="0" borderId="0" xfId="0" applyNumberFormat="1" applyAlignment="1">
      <alignment horizontal="center"/>
    </xf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14" fontId="0" fillId="0" borderId="1" xfId="0" applyNumberFormat="1" applyBorder="1"/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35" fillId="0" borderId="1" xfId="0" applyFont="1" applyBorder="1" applyAlignment="1">
      <alignment horizontal="left" vertical="center" wrapText="1"/>
    </xf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6" fillId="0" borderId="13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0" borderId="23" xfId="0" applyFont="1" applyBorder="1" applyAlignment="1">
      <alignment horizontal="center"/>
    </xf>
    <xf numFmtId="0" fontId="26" fillId="0" borderId="21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0" borderId="22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90" fillId="0" borderId="7" xfId="0" applyFont="1" applyBorder="1" applyAlignment="1">
      <alignment horizontal="center"/>
    </xf>
    <xf numFmtId="0" fontId="90" fillId="0" borderId="57" xfId="0" applyFont="1" applyBorder="1" applyAlignment="1">
      <alignment horizontal="center"/>
    </xf>
    <xf numFmtId="0" fontId="90" fillId="0" borderId="14" xfId="0" applyFont="1" applyBorder="1" applyAlignment="1">
      <alignment horizontal="center"/>
    </xf>
    <xf numFmtId="0" fontId="90" fillId="0" borderId="15" xfId="0" applyFont="1" applyBorder="1" applyAlignment="1">
      <alignment horizontal="center"/>
    </xf>
    <xf numFmtId="0" fontId="89" fillId="0" borderId="9" xfId="0" applyFont="1" applyBorder="1" applyAlignment="1">
      <alignment horizontal="left" vertical="center"/>
    </xf>
    <xf numFmtId="0" fontId="89" fillId="0" borderId="10" xfId="0" applyFont="1" applyBorder="1" applyAlignment="1">
      <alignment horizontal="left" vertical="center"/>
    </xf>
    <xf numFmtId="0" fontId="89" fillId="47" borderId="23" xfId="0" applyFont="1" applyFill="1" applyBorder="1" applyAlignment="1">
      <alignment horizontal="center" vertical="center"/>
    </xf>
    <xf numFmtId="0" fontId="89" fillId="47" borderId="16" xfId="0" applyFont="1" applyFill="1" applyBorder="1" applyAlignment="1">
      <alignment horizontal="center" vertical="center"/>
    </xf>
    <xf numFmtId="17" fontId="44" fillId="0" borderId="52" xfId="0" applyNumberFormat="1" applyFont="1" applyBorder="1" applyAlignment="1">
      <alignment horizontal="center"/>
    </xf>
    <xf numFmtId="17" fontId="44" fillId="0" borderId="53" xfId="0" applyNumberFormat="1" applyFont="1" applyBorder="1" applyAlignment="1">
      <alignment horizontal="center"/>
    </xf>
    <xf numFmtId="17" fontId="44" fillId="0" borderId="54" xfId="0" applyNumberFormat="1" applyFont="1" applyBorder="1" applyAlignment="1">
      <alignment horizontal="center"/>
    </xf>
    <xf numFmtId="17" fontId="44" fillId="0" borderId="60" xfId="0" applyNumberFormat="1" applyFont="1" applyBorder="1" applyAlignment="1">
      <alignment horizontal="center"/>
    </xf>
    <xf numFmtId="17" fontId="44" fillId="0" borderId="33" xfId="0" applyNumberFormat="1" applyFont="1" applyBorder="1" applyAlignment="1">
      <alignment horizontal="center"/>
    </xf>
    <xf numFmtId="17" fontId="44" fillId="0" borderId="35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26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13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87" fillId="0" borderId="1" xfId="0" applyFont="1" applyBorder="1" applyAlignment="1">
      <alignment horizontal="left" vertical="center" wrapText="1"/>
    </xf>
    <xf numFmtId="0" fontId="88" fillId="0" borderId="1" xfId="0" applyFont="1" applyBorder="1" applyAlignment="1">
      <alignment horizontal="center"/>
    </xf>
    <xf numFmtId="0" fontId="87" fillId="0" borderId="1" xfId="0" applyFont="1" applyBorder="1" applyAlignment="1">
      <alignment horizontal="center" vertical="center" wrapText="1"/>
    </xf>
    <xf numFmtId="0" fontId="87" fillId="0" borderId="20" xfId="0" applyFont="1" applyBorder="1" applyAlignment="1">
      <alignment horizontal="center" vertical="center" wrapText="1"/>
    </xf>
    <xf numFmtId="0" fontId="87" fillId="0" borderId="25" xfId="0" applyFont="1" applyBorder="1" applyAlignment="1">
      <alignment horizontal="center" vertical="center" wrapText="1"/>
    </xf>
    <xf numFmtId="0" fontId="87" fillId="0" borderId="27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left" vertical="center" wrapText="1"/>
    </xf>
    <xf numFmtId="2" fontId="33" fillId="33" borderId="20" xfId="0" applyNumberFormat="1" applyFont="1" applyFill="1" applyBorder="1" applyAlignment="1">
      <alignment horizontal="center" vertical="center"/>
    </xf>
    <xf numFmtId="2" fontId="33" fillId="33" borderId="27" xfId="0" applyNumberFormat="1" applyFont="1" applyFill="1" applyBorder="1" applyAlignment="1">
      <alignment horizontal="center" vertical="center"/>
    </xf>
    <xf numFmtId="165" fontId="33" fillId="0" borderId="20" xfId="0" applyNumberFormat="1" applyFont="1" applyBorder="1" applyAlignment="1">
      <alignment horizontal="center" vertical="center"/>
    </xf>
    <xf numFmtId="165" fontId="33" fillId="0" borderId="27" xfId="0" applyNumberFormat="1" applyFont="1" applyBorder="1" applyAlignment="1">
      <alignment horizontal="center" vertical="center"/>
    </xf>
    <xf numFmtId="2" fontId="33" fillId="34" borderId="20" xfId="0" applyNumberFormat="1" applyFont="1" applyFill="1" applyBorder="1" applyAlignment="1">
      <alignment horizontal="center" vertical="center"/>
    </xf>
    <xf numFmtId="2" fontId="33" fillId="34" borderId="27" xfId="0" applyNumberFormat="1" applyFont="1" applyFill="1" applyBorder="1" applyAlignment="1">
      <alignment horizontal="center" vertical="center"/>
    </xf>
    <xf numFmtId="2" fontId="33" fillId="34" borderId="26" xfId="0" applyNumberFormat="1" applyFont="1" applyFill="1" applyBorder="1" applyAlignment="1">
      <alignment horizontal="center" vertical="center"/>
    </xf>
    <xf numFmtId="165" fontId="33" fillId="0" borderId="20" xfId="121" applyNumberFormat="1" applyFont="1" applyBorder="1" applyAlignment="1">
      <alignment horizontal="center" vertical="center"/>
    </xf>
    <xf numFmtId="165" fontId="33" fillId="0" borderId="27" xfId="121" applyNumberFormat="1" applyFont="1" applyBorder="1" applyAlignment="1">
      <alignment horizontal="center" vertical="center"/>
    </xf>
    <xf numFmtId="165" fontId="33" fillId="0" borderId="26" xfId="0" applyNumberFormat="1" applyFont="1" applyBorder="1" applyAlignment="1">
      <alignment horizontal="center" vertical="center"/>
    </xf>
    <xf numFmtId="165" fontId="33" fillId="0" borderId="1" xfId="0" applyNumberFormat="1" applyFont="1" applyBorder="1" applyAlignment="1">
      <alignment horizontal="center" vertical="center"/>
    </xf>
    <xf numFmtId="165" fontId="33" fillId="0" borderId="1" xfId="121" applyNumberFormat="1" applyFont="1" applyBorder="1" applyAlignment="1">
      <alignment horizontal="center" vertical="center"/>
    </xf>
    <xf numFmtId="165" fontId="33" fillId="34" borderId="20" xfId="0" applyNumberFormat="1" applyFont="1" applyFill="1" applyBorder="1" applyAlignment="1">
      <alignment horizontal="center" vertical="center"/>
    </xf>
    <xf numFmtId="165" fontId="33" fillId="34" borderId="27" xfId="0" applyNumberFormat="1" applyFont="1" applyFill="1" applyBorder="1" applyAlignment="1">
      <alignment horizontal="center" vertical="center"/>
    </xf>
    <xf numFmtId="10" fontId="33" fillId="0" borderId="1" xfId="0" applyNumberFormat="1" applyFont="1" applyBorder="1" applyAlignment="1">
      <alignment horizontal="center" vertical="center"/>
    </xf>
    <xf numFmtId="10" fontId="33" fillId="34" borderId="1" xfId="0" applyNumberFormat="1" applyFont="1" applyFill="1" applyBorder="1" applyAlignment="1">
      <alignment horizontal="center" vertical="center"/>
    </xf>
    <xf numFmtId="2" fontId="33" fillId="34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72" fillId="0" borderId="11" xfId="0" applyFont="1" applyBorder="1" applyAlignment="1">
      <alignment horizontal="left" vertical="center" wrapText="1"/>
    </xf>
    <xf numFmtId="0" fontId="72" fillId="0" borderId="7" xfId="0" applyFont="1" applyBorder="1" applyAlignment="1">
      <alignment horizontal="left" vertical="center" wrapText="1"/>
    </xf>
    <xf numFmtId="10" fontId="69" fillId="0" borderId="49" xfId="0" applyNumberFormat="1" applyFont="1" applyBorder="1" applyAlignment="1">
      <alignment horizontal="left" vertical="top" wrapText="1"/>
    </xf>
    <xf numFmtId="10" fontId="69" fillId="0" borderId="50" xfId="0" applyNumberFormat="1" applyFont="1" applyBorder="1" applyAlignment="1">
      <alignment horizontal="left" vertical="top" wrapText="1"/>
    </xf>
    <xf numFmtId="10" fontId="69" fillId="0" borderId="61" xfId="0" applyNumberFormat="1" applyFont="1" applyBorder="1" applyAlignment="1">
      <alignment horizontal="left" vertical="top" wrapText="1"/>
    </xf>
    <xf numFmtId="165" fontId="33" fillId="0" borderId="3" xfId="0" applyNumberFormat="1" applyFont="1" applyBorder="1" applyAlignment="1">
      <alignment horizontal="center" vertical="center"/>
    </xf>
    <xf numFmtId="10" fontId="67" fillId="0" borderId="49" xfId="121" applyNumberFormat="1" applyFont="1" applyBorder="1" applyAlignment="1">
      <alignment horizontal="left" vertical="top" wrapText="1"/>
    </xf>
    <xf numFmtId="10" fontId="67" fillId="0" borderId="50" xfId="121" applyNumberFormat="1" applyFont="1" applyBorder="1" applyAlignment="1">
      <alignment horizontal="left" vertical="top"/>
    </xf>
    <xf numFmtId="10" fontId="67" fillId="0" borderId="51" xfId="121" applyNumberFormat="1" applyFont="1" applyBorder="1" applyAlignment="1">
      <alignment horizontal="left" vertical="top"/>
    </xf>
    <xf numFmtId="0" fontId="58" fillId="0" borderId="29" xfId="0" applyFont="1" applyBorder="1" applyAlignment="1">
      <alignment horizontal="left" vertical="center" wrapText="1"/>
    </xf>
    <xf numFmtId="0" fontId="58" fillId="0" borderId="30" xfId="0" applyFont="1" applyBorder="1" applyAlignment="1">
      <alignment horizontal="left" vertical="center" wrapText="1"/>
    </xf>
    <xf numFmtId="0" fontId="58" fillId="0" borderId="31" xfId="0" applyFont="1" applyBorder="1" applyAlignment="1">
      <alignment horizontal="left" vertical="center" wrapText="1"/>
    </xf>
    <xf numFmtId="0" fontId="73" fillId="38" borderId="52" xfId="0" applyFont="1" applyFill="1" applyBorder="1" applyAlignment="1">
      <alignment horizontal="center" vertical="center"/>
    </xf>
    <xf numFmtId="0" fontId="73" fillId="38" borderId="53" xfId="0" applyFont="1" applyFill="1" applyBorder="1" applyAlignment="1">
      <alignment horizontal="center" vertical="center"/>
    </xf>
    <xf numFmtId="0" fontId="73" fillId="38" borderId="54" xfId="0" applyFont="1" applyFill="1" applyBorder="1" applyAlignment="1">
      <alignment horizontal="center" vertical="center"/>
    </xf>
    <xf numFmtId="165" fontId="33" fillId="34" borderId="1" xfId="0" applyNumberFormat="1" applyFont="1" applyFill="1" applyBorder="1" applyAlignment="1">
      <alignment horizontal="center" vertical="center"/>
    </xf>
    <xf numFmtId="165" fontId="33" fillId="0" borderId="26" xfId="121" applyNumberFormat="1" applyFont="1" applyBorder="1" applyAlignment="1">
      <alignment horizontal="center" vertical="center"/>
    </xf>
    <xf numFmtId="165" fontId="33" fillId="34" borderId="3" xfId="0" applyNumberFormat="1" applyFont="1" applyFill="1" applyBorder="1" applyAlignment="1">
      <alignment horizontal="center" vertical="center"/>
    </xf>
    <xf numFmtId="0" fontId="71" fillId="0" borderId="7" xfId="0" applyFont="1" applyBorder="1" applyAlignment="1">
      <alignment horizontal="left" vertical="center" wrapText="1"/>
    </xf>
    <xf numFmtId="0" fontId="58" fillId="0" borderId="29" xfId="0" applyFont="1" applyBorder="1" applyAlignment="1">
      <alignment vertical="center" wrapText="1"/>
    </xf>
    <xf numFmtId="0" fontId="58" fillId="0" borderId="30" xfId="0" applyFont="1" applyBorder="1" applyAlignment="1">
      <alignment vertical="center" wrapText="1"/>
    </xf>
    <xf numFmtId="0" fontId="58" fillId="0" borderId="55" xfId="0" applyFont="1" applyBorder="1" applyAlignment="1">
      <alignment vertical="center" wrapText="1"/>
    </xf>
    <xf numFmtId="10" fontId="67" fillId="0" borderId="1" xfId="0" applyNumberFormat="1" applyFont="1" applyBorder="1" applyAlignment="1">
      <alignment horizontal="left" vertical="center" wrapText="1"/>
    </xf>
    <xf numFmtId="0" fontId="69" fillId="0" borderId="49" xfId="0" applyFont="1" applyBorder="1" applyAlignment="1">
      <alignment horizontal="left" vertical="top" wrapText="1"/>
    </xf>
    <xf numFmtId="0" fontId="69" fillId="0" borderId="50" xfId="0" applyFont="1" applyBorder="1" applyAlignment="1">
      <alignment horizontal="left" vertical="top" wrapText="1"/>
    </xf>
    <xf numFmtId="0" fontId="69" fillId="0" borderId="61" xfId="0" applyFont="1" applyBorder="1" applyAlignment="1">
      <alignment horizontal="left" vertical="top" wrapText="1"/>
    </xf>
    <xf numFmtId="0" fontId="71" fillId="0" borderId="4" xfId="0" applyFont="1" applyBorder="1" applyAlignment="1">
      <alignment horizontal="left" vertical="center" wrapText="1"/>
    </xf>
    <xf numFmtId="0" fontId="69" fillId="0" borderId="32" xfId="0" applyFont="1" applyBorder="1" applyAlignment="1">
      <alignment horizontal="left" vertical="top" wrapText="1"/>
    </xf>
    <xf numFmtId="0" fontId="67" fillId="0" borderId="33" xfId="0" applyFont="1" applyBorder="1" applyAlignment="1">
      <alignment horizontal="left" vertical="top" wrapText="1"/>
    </xf>
    <xf numFmtId="0" fontId="67" fillId="0" borderId="35" xfId="0" applyFont="1" applyBorder="1" applyAlignment="1">
      <alignment horizontal="left" vertical="top" wrapText="1"/>
    </xf>
    <xf numFmtId="10" fontId="85" fillId="0" borderId="32" xfId="0" applyNumberFormat="1" applyFont="1" applyBorder="1" applyAlignment="1">
      <alignment vertical="top" wrapText="1"/>
    </xf>
    <xf numFmtId="10" fontId="58" fillId="0" borderId="33" xfId="0" applyNumberFormat="1" applyFont="1" applyBorder="1" applyAlignment="1">
      <alignment vertical="top" wrapText="1"/>
    </xf>
    <xf numFmtId="10" fontId="58" fillId="0" borderId="35" xfId="0" applyNumberFormat="1" applyFont="1" applyBorder="1" applyAlignment="1">
      <alignment vertical="top" wrapText="1"/>
    </xf>
    <xf numFmtId="0" fontId="71" fillId="0" borderId="19" xfId="0" applyFont="1" applyBorder="1" applyAlignment="1">
      <alignment horizontal="left" vertical="center" wrapText="1"/>
    </xf>
    <xf numFmtId="10" fontId="67" fillId="0" borderId="29" xfId="0" applyNumberFormat="1" applyFont="1" applyBorder="1" applyAlignment="1">
      <alignment horizontal="left" vertical="center" wrapText="1"/>
    </xf>
    <xf numFmtId="10" fontId="67" fillId="0" borderId="30" xfId="0" applyNumberFormat="1" applyFont="1" applyBorder="1" applyAlignment="1">
      <alignment horizontal="left" vertical="center" wrapText="1"/>
    </xf>
    <xf numFmtId="10" fontId="67" fillId="0" borderId="31" xfId="0" applyNumberFormat="1" applyFont="1" applyBorder="1" applyAlignment="1">
      <alignment horizontal="left" vertical="center" wrapText="1"/>
    </xf>
    <xf numFmtId="0" fontId="67" fillId="0" borderId="1" xfId="0" applyFont="1" applyBorder="1" applyAlignment="1">
      <alignment horizontal="left" vertical="center" wrapText="1"/>
    </xf>
    <xf numFmtId="0" fontId="58" fillId="0" borderId="19" xfId="0" applyFont="1" applyBorder="1" applyAlignment="1">
      <alignment vertical="center" wrapText="1"/>
    </xf>
    <xf numFmtId="0" fontId="58" fillId="0" borderId="28" xfId="0" applyFont="1" applyBorder="1" applyAlignment="1">
      <alignment vertical="center" wrapText="1"/>
    </xf>
    <xf numFmtId="0" fontId="67" fillId="0" borderId="29" xfId="0" applyFont="1" applyBorder="1" applyAlignment="1">
      <alignment horizontal="left" vertical="center" wrapText="1"/>
    </xf>
    <xf numFmtId="0" fontId="67" fillId="0" borderId="30" xfId="0" applyFont="1" applyBorder="1" applyAlignment="1">
      <alignment horizontal="left" vertical="center" wrapText="1"/>
    </xf>
    <xf numFmtId="0" fontId="67" fillId="0" borderId="31" xfId="0" applyFont="1" applyBorder="1" applyAlignment="1">
      <alignment horizontal="left" vertical="center" wrapText="1"/>
    </xf>
    <xf numFmtId="10" fontId="58" fillId="0" borderId="49" xfId="0" applyNumberFormat="1" applyFont="1" applyBorder="1" applyAlignment="1">
      <alignment horizontal="left" vertical="center" wrapText="1"/>
    </xf>
    <xf numFmtId="10" fontId="58" fillId="0" borderId="50" xfId="0" applyNumberFormat="1" applyFont="1" applyBorder="1" applyAlignment="1">
      <alignment horizontal="left" vertical="center" wrapText="1"/>
    </xf>
    <xf numFmtId="10" fontId="58" fillId="0" borderId="51" xfId="0" applyNumberFormat="1" applyFont="1" applyBorder="1" applyAlignment="1">
      <alignment horizontal="left" vertical="center" wrapText="1"/>
    </xf>
    <xf numFmtId="10" fontId="67" fillId="0" borderId="20" xfId="0" applyNumberFormat="1" applyFont="1" applyBorder="1" applyAlignment="1">
      <alignment horizontal="left" vertical="center" wrapText="1"/>
    </xf>
    <xf numFmtId="10" fontId="67" fillId="0" borderId="25" xfId="0" applyNumberFormat="1" applyFont="1" applyBorder="1" applyAlignment="1">
      <alignment horizontal="left" vertical="center" wrapText="1"/>
    </xf>
    <xf numFmtId="10" fontId="67" fillId="0" borderId="27" xfId="0" applyNumberFormat="1" applyFont="1" applyBorder="1" applyAlignment="1">
      <alignment horizontal="left" vertical="center" wrapText="1"/>
    </xf>
    <xf numFmtId="10" fontId="58" fillId="0" borderId="20" xfId="0" applyNumberFormat="1" applyFont="1" applyBorder="1" applyAlignment="1">
      <alignment horizontal="left" vertical="center" wrapText="1"/>
    </xf>
    <xf numFmtId="10" fontId="58" fillId="0" borderId="25" xfId="0" applyNumberFormat="1" applyFont="1" applyBorder="1" applyAlignment="1">
      <alignment horizontal="left" vertical="center" wrapText="1"/>
    </xf>
    <xf numFmtId="10" fontId="58" fillId="0" borderId="27" xfId="0" applyNumberFormat="1" applyFont="1" applyBorder="1" applyAlignment="1">
      <alignment horizontal="left" vertical="center" wrapText="1"/>
    </xf>
    <xf numFmtId="0" fontId="71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vertical="center" wrapText="1"/>
    </xf>
    <xf numFmtId="0" fontId="40" fillId="0" borderId="3" xfId="0" applyFont="1" applyBorder="1" applyAlignment="1">
      <alignment vertical="center" wrapText="1"/>
    </xf>
    <xf numFmtId="0" fontId="67" fillId="0" borderId="20" xfId="0" applyFont="1" applyBorder="1" applyAlignment="1">
      <alignment horizontal="left" vertical="center" wrapText="1"/>
    </xf>
    <xf numFmtId="0" fontId="67" fillId="0" borderId="25" xfId="0" applyFont="1" applyBorder="1" applyAlignment="1">
      <alignment horizontal="left" vertical="center" wrapText="1"/>
    </xf>
    <xf numFmtId="0" fontId="67" fillId="0" borderId="27" xfId="0" applyFont="1" applyBorder="1" applyAlignment="1">
      <alignment horizontal="left" vertical="center" wrapText="1"/>
    </xf>
    <xf numFmtId="0" fontId="58" fillId="0" borderId="20" xfId="0" applyFont="1" applyBorder="1" applyAlignment="1">
      <alignment horizontal="left" vertical="center" wrapText="1"/>
    </xf>
    <xf numFmtId="0" fontId="58" fillId="0" borderId="25" xfId="0" applyFont="1" applyBorder="1" applyAlignment="1">
      <alignment horizontal="left" vertical="center" wrapText="1"/>
    </xf>
    <xf numFmtId="0" fontId="58" fillId="0" borderId="27" xfId="0" applyFont="1" applyBorder="1" applyAlignment="1">
      <alignment horizontal="left" vertical="center" wrapText="1"/>
    </xf>
    <xf numFmtId="0" fontId="59" fillId="0" borderId="1" xfId="0" applyFont="1" applyBorder="1" applyAlignment="1">
      <alignment vertical="center" wrapText="1"/>
    </xf>
    <xf numFmtId="0" fontId="59" fillId="0" borderId="3" xfId="0" applyFont="1" applyBorder="1" applyAlignment="1">
      <alignment vertical="center" wrapText="1"/>
    </xf>
    <xf numFmtId="0" fontId="58" fillId="0" borderId="1" xfId="0" applyFont="1" applyBorder="1" applyAlignment="1">
      <alignment horizontal="left" vertical="center" wrapText="1"/>
    </xf>
    <xf numFmtId="0" fontId="59" fillId="0" borderId="1" xfId="0" applyFont="1" applyBorder="1" applyAlignment="1">
      <alignment horizontal="left" vertical="center" wrapText="1"/>
    </xf>
    <xf numFmtId="10" fontId="62" fillId="35" borderId="56" xfId="0" applyNumberFormat="1" applyFont="1" applyFill="1" applyBorder="1" applyAlignment="1">
      <alignment horizontal="center" vertical="center"/>
    </xf>
    <xf numFmtId="10" fontId="62" fillId="35" borderId="0" xfId="0" applyNumberFormat="1" applyFont="1" applyFill="1" applyBorder="1" applyAlignment="1">
      <alignment horizontal="center" vertical="center"/>
    </xf>
    <xf numFmtId="10" fontId="62" fillId="35" borderId="33" xfId="0" applyNumberFormat="1" applyFont="1" applyFill="1" applyBorder="1" applyAlignment="1">
      <alignment horizontal="center" vertical="center"/>
    </xf>
    <xf numFmtId="0" fontId="78" fillId="0" borderId="1" xfId="0" applyFont="1" applyBorder="1" applyAlignment="1">
      <alignment horizontal="right" vertical="center"/>
    </xf>
    <xf numFmtId="0" fontId="58" fillId="0" borderId="49" xfId="0" applyFont="1" applyBorder="1" applyAlignment="1">
      <alignment horizontal="left" vertical="center" wrapText="1"/>
    </xf>
    <xf numFmtId="0" fontId="58" fillId="0" borderId="50" xfId="0" applyFont="1" applyBorder="1" applyAlignment="1">
      <alignment horizontal="left" vertical="center" wrapText="1"/>
    </xf>
    <xf numFmtId="0" fontId="58" fillId="0" borderId="51" xfId="0" applyFont="1" applyBorder="1" applyAlignment="1">
      <alignment horizontal="left" vertical="center" wrapText="1"/>
    </xf>
    <xf numFmtId="0" fontId="40" fillId="0" borderId="4" xfId="0" applyFont="1" applyBorder="1" applyAlignment="1">
      <alignment vertical="center" wrapText="1"/>
    </xf>
    <xf numFmtId="0" fontId="40" fillId="0" borderId="12" xfId="0" applyFont="1" applyBorder="1" applyAlignment="1">
      <alignment vertical="center" wrapText="1"/>
    </xf>
    <xf numFmtId="10" fontId="29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165" fontId="29" fillId="0" borderId="1" xfId="121" applyNumberFormat="1" applyFont="1" applyBorder="1" applyAlignment="1">
      <alignment horizontal="center"/>
    </xf>
    <xf numFmtId="172" fontId="29" fillId="0" borderId="1" xfId="0" applyNumberFormat="1" applyFont="1" applyBorder="1" applyAlignment="1">
      <alignment horizontal="center"/>
    </xf>
    <xf numFmtId="10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78" fillId="0" borderId="36" xfId="0" applyFont="1" applyBorder="1" applyAlignment="1">
      <alignment horizontal="left" vertical="center" wrapText="1"/>
    </xf>
    <xf numFmtId="0" fontId="78" fillId="0" borderId="37" xfId="0" applyFont="1" applyBorder="1" applyAlignment="1">
      <alignment horizontal="left" vertical="center" wrapText="1"/>
    </xf>
    <xf numFmtId="168" fontId="38" fillId="0" borderId="13" xfId="121" applyNumberFormat="1" applyFont="1" applyBorder="1" applyAlignment="1">
      <alignment horizontal="center" vertical="center"/>
    </xf>
    <xf numFmtId="168" fontId="38" fillId="0" borderId="14" xfId="121" applyNumberFormat="1" applyFont="1" applyBorder="1" applyAlignment="1">
      <alignment horizontal="center" vertical="center"/>
    </xf>
    <xf numFmtId="168" fontId="38" fillId="0" borderId="29" xfId="121" applyNumberFormat="1" applyFont="1" applyBorder="1" applyAlignment="1">
      <alignment horizontal="center" vertical="center"/>
    </xf>
    <xf numFmtId="0" fontId="60" fillId="41" borderId="20" xfId="0" applyFont="1" applyFill="1" applyBorder="1" applyAlignment="1">
      <alignment horizontal="center" vertical="center"/>
    </xf>
    <xf numFmtId="0" fontId="60" fillId="41" borderId="25" xfId="0" applyFont="1" applyFill="1" applyBorder="1" applyAlignment="1">
      <alignment horizontal="center" vertical="center"/>
    </xf>
    <xf numFmtId="0" fontId="60" fillId="41" borderId="26" xfId="0" applyFont="1" applyFill="1" applyBorder="1" applyAlignment="1">
      <alignment horizontal="center" vertical="center"/>
    </xf>
    <xf numFmtId="0" fontId="60" fillId="41" borderId="27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10" fontId="60" fillId="41" borderId="20" xfId="0" applyNumberFormat="1" applyFont="1" applyFill="1" applyBorder="1" applyAlignment="1">
      <alignment horizontal="center" vertical="center"/>
    </xf>
    <xf numFmtId="10" fontId="60" fillId="41" borderId="27" xfId="0" applyNumberFormat="1" applyFont="1" applyFill="1" applyBorder="1" applyAlignment="1">
      <alignment horizontal="center" vertical="center"/>
    </xf>
    <xf numFmtId="10" fontId="60" fillId="41" borderId="25" xfId="0" applyNumberFormat="1" applyFont="1" applyFill="1" applyBorder="1" applyAlignment="1">
      <alignment horizontal="center" vertical="center"/>
    </xf>
    <xf numFmtId="0" fontId="62" fillId="35" borderId="56" xfId="0" applyFont="1" applyFill="1" applyBorder="1" applyAlignment="1">
      <alignment horizontal="center" vertical="center"/>
    </xf>
    <xf numFmtId="0" fontId="62" fillId="35" borderId="0" xfId="0" applyFont="1" applyFill="1" applyBorder="1" applyAlignment="1">
      <alignment horizontal="center" vertical="center"/>
    </xf>
    <xf numFmtId="0" fontId="62" fillId="35" borderId="3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0" fillId="41" borderId="1" xfId="0" applyFont="1" applyFill="1" applyBorder="1" applyAlignment="1">
      <alignment horizontal="center" vertical="center"/>
    </xf>
    <xf numFmtId="0" fontId="60" fillId="41" borderId="3" xfId="0" applyFont="1" applyFill="1" applyBorder="1" applyAlignment="1">
      <alignment horizontal="center" vertical="center"/>
    </xf>
    <xf numFmtId="2" fontId="33" fillId="0" borderId="3" xfId="0" applyNumberFormat="1" applyFont="1" applyBorder="1" applyAlignment="1">
      <alignment horizontal="center" vertical="center"/>
    </xf>
    <xf numFmtId="1" fontId="74" fillId="0" borderId="1" xfId="0" applyNumberFormat="1" applyFont="1" applyBorder="1" applyAlignment="1">
      <alignment horizontal="center" vertical="center"/>
    </xf>
    <xf numFmtId="1" fontId="74" fillId="0" borderId="3" xfId="0" applyNumberFormat="1" applyFont="1" applyBorder="1" applyAlignment="1">
      <alignment horizontal="center" vertical="center"/>
    </xf>
    <xf numFmtId="165" fontId="33" fillId="0" borderId="25" xfId="0" applyNumberFormat="1" applyFont="1" applyBorder="1" applyAlignment="1">
      <alignment horizontal="center" vertical="center"/>
    </xf>
    <xf numFmtId="2" fontId="33" fillId="33" borderId="26" xfId="0" applyNumberFormat="1" applyFont="1" applyFill="1" applyBorder="1" applyAlignment="1">
      <alignment horizontal="center" vertical="center"/>
    </xf>
    <xf numFmtId="0" fontId="27" fillId="0" borderId="64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27" fillId="0" borderId="55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3" fillId="0" borderId="4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left" vertical="top" wrapText="1"/>
    </xf>
    <xf numFmtId="0" fontId="56" fillId="0" borderId="33" xfId="0" applyFont="1" applyBorder="1" applyAlignment="1">
      <alignment horizontal="left" vertical="top" wrapText="1"/>
    </xf>
    <xf numFmtId="0" fontId="56" fillId="0" borderId="34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56" fillId="0" borderId="32" xfId="0" applyFont="1" applyBorder="1" applyAlignment="1">
      <alignment horizontal="left" vertical="top" wrapText="1"/>
    </xf>
    <xf numFmtId="0" fontId="56" fillId="0" borderId="35" xfId="0" applyFont="1" applyBorder="1" applyAlignment="1">
      <alignment horizontal="left" vertical="top" wrapText="1"/>
    </xf>
    <xf numFmtId="0" fontId="32" fillId="0" borderId="36" xfId="0" applyFont="1" applyBorder="1" applyAlignment="1">
      <alignment horizontal="left" vertical="top" wrapText="1"/>
    </xf>
    <xf numFmtId="0" fontId="32" fillId="0" borderId="37" xfId="0" applyFont="1" applyBorder="1" applyAlignment="1">
      <alignment horizontal="left" vertical="top" wrapText="1"/>
    </xf>
    <xf numFmtId="0" fontId="32" fillId="0" borderId="38" xfId="0" applyFont="1" applyBorder="1" applyAlignment="1">
      <alignment horizontal="left" vertical="top" wrapText="1"/>
    </xf>
    <xf numFmtId="167" fontId="29" fillId="0" borderId="0" xfId="0" applyNumberFormat="1" applyFon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3" fontId="24" fillId="33" borderId="1" xfId="0" applyNumberFormat="1" applyFont="1" applyFill="1" applyBorder="1" applyAlignment="1">
      <alignment horizontal="center" vertical="center" wrapText="1"/>
    </xf>
    <xf numFmtId="167" fontId="24" fillId="38" borderId="1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3" fontId="24" fillId="38" borderId="1" xfId="0" applyNumberFormat="1" applyFont="1" applyFill="1" applyBorder="1" applyAlignment="1">
      <alignment horizontal="center" vertical="center" wrapText="1"/>
    </xf>
    <xf numFmtId="167" fontId="29" fillId="0" borderId="0" xfId="0" applyNumberFormat="1" applyFont="1" applyAlignment="1">
      <alignment horizontal="right" vertical="center" wrapText="1"/>
    </xf>
    <xf numFmtId="0" fontId="40" fillId="0" borderId="39" xfId="0" applyFont="1" applyBorder="1" applyAlignment="1">
      <alignment horizontal="center" vertical="center" wrapText="1"/>
    </xf>
    <xf numFmtId="0" fontId="24" fillId="38" borderId="11" xfId="0" applyFont="1" applyFill="1" applyBorder="1" applyAlignment="1">
      <alignment horizontal="center" vertical="center" wrapText="1"/>
    </xf>
    <xf numFmtId="0" fontId="24" fillId="38" borderId="6" xfId="0" applyFont="1" applyFill="1" applyBorder="1" applyAlignment="1">
      <alignment horizontal="center" vertical="center" wrapText="1"/>
    </xf>
    <xf numFmtId="0" fontId="24" fillId="38" borderId="7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91" fillId="42" borderId="64" xfId="0" applyFont="1" applyFill="1" applyBorder="1" applyAlignment="1">
      <alignment horizontal="center"/>
    </xf>
    <xf numFmtId="0" fontId="91" fillId="42" borderId="30" xfId="0" applyFont="1" applyFill="1" applyBorder="1" applyAlignment="1">
      <alignment horizontal="center"/>
    </xf>
    <xf numFmtId="0" fontId="91" fillId="42" borderId="55" xfId="0" applyFont="1" applyFill="1" applyBorder="1" applyAlignment="1">
      <alignment horizontal="center"/>
    </xf>
    <xf numFmtId="0" fontId="87" fillId="0" borderId="2" xfId="0" applyFont="1" applyBorder="1" applyAlignment="1">
      <alignment horizontal="center"/>
    </xf>
    <xf numFmtId="0" fontId="87" fillId="0" borderId="1" xfId="0" applyFont="1" applyBorder="1" applyAlignment="1">
      <alignment horizontal="center"/>
    </xf>
    <xf numFmtId="0" fontId="87" fillId="0" borderId="3" xfId="0" applyFont="1" applyFill="1" applyBorder="1" applyAlignment="1">
      <alignment horizontal="center"/>
    </xf>
    <xf numFmtId="0" fontId="87" fillId="0" borderId="9" xfId="0" applyFont="1" applyBorder="1" applyAlignment="1">
      <alignment horizontal="center"/>
    </xf>
    <xf numFmtId="0" fontId="87" fillId="0" borderId="10" xfId="0" applyFont="1" applyBorder="1" applyAlignment="1">
      <alignment horizontal="center"/>
    </xf>
    <xf numFmtId="0" fontId="87" fillId="0" borderId="20" xfId="0" applyFont="1" applyBorder="1" applyAlignment="1">
      <alignment horizontal="center"/>
    </xf>
    <xf numFmtId="0" fontId="87" fillId="0" borderId="27" xfId="0" applyFon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87" fillId="0" borderId="49" xfId="0" applyNumberFormat="1" applyFont="1" applyBorder="1" applyAlignment="1">
      <alignment horizontal="center"/>
    </xf>
    <xf numFmtId="1" fontId="87" fillId="0" borderId="51" xfId="0" applyNumberFormat="1" applyFont="1" applyBorder="1" applyAlignment="1">
      <alignment horizontal="center"/>
    </xf>
    <xf numFmtId="1" fontId="28" fillId="0" borderId="20" xfId="0" applyNumberFormat="1" applyFont="1" applyBorder="1" applyAlignment="1">
      <alignment horizontal="center"/>
    </xf>
    <xf numFmtId="1" fontId="28" fillId="0" borderId="27" xfId="0" applyNumberFormat="1" applyFont="1" applyBorder="1" applyAlignment="1">
      <alignment horizontal="center"/>
    </xf>
    <xf numFmtId="0" fontId="34" fillId="38" borderId="13" xfId="0" applyFont="1" applyFill="1" applyBorder="1" applyAlignment="1">
      <alignment horizontal="center" vertical="center"/>
    </xf>
    <xf numFmtId="0" fontId="34" fillId="38" borderId="14" xfId="0" applyFont="1" applyFill="1" applyBorder="1" applyAlignment="1">
      <alignment horizontal="center" vertical="center"/>
    </xf>
    <xf numFmtId="0" fontId="34" fillId="38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31" fillId="0" borderId="1" xfId="0" applyNumberFormat="1" applyFont="1" applyBorder="1" applyAlignment="1">
      <alignment horizontal="center" vertical="center"/>
    </xf>
    <xf numFmtId="1" fontId="31" fillId="0" borderId="3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30" fillId="0" borderId="2" xfId="0" applyFont="1" applyBorder="1" applyAlignment="1">
      <alignment horizontal="center" vertical="center" wrapText="1"/>
    </xf>
    <xf numFmtId="165" fontId="31" fillId="0" borderId="1" xfId="0" applyNumberFormat="1" applyFont="1" applyBorder="1" applyAlignment="1">
      <alignment horizontal="center" vertical="center"/>
    </xf>
    <xf numFmtId="165" fontId="31" fillId="0" borderId="3" xfId="0" applyNumberFormat="1" applyFont="1" applyBorder="1" applyAlignment="1">
      <alignment horizontal="center" vertical="center"/>
    </xf>
    <xf numFmtId="10" fontId="31" fillId="0" borderId="1" xfId="0" applyNumberFormat="1" applyFont="1" applyBorder="1" applyAlignment="1">
      <alignment horizontal="center" vertical="center"/>
    </xf>
    <xf numFmtId="10" fontId="31" fillId="0" borderId="3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vertical="center" wrapText="1"/>
    </xf>
    <xf numFmtId="0" fontId="32" fillId="0" borderId="4" xfId="0" applyFont="1" applyBorder="1" applyAlignment="1">
      <alignment vertical="center" wrapText="1"/>
    </xf>
    <xf numFmtId="0" fontId="32" fillId="0" borderId="1" xfId="0" applyFont="1" applyBorder="1" applyAlignment="1">
      <alignment horizontal="left"/>
    </xf>
    <xf numFmtId="0" fontId="30" fillId="0" borderId="2" xfId="0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0" fontId="30" fillId="0" borderId="5" xfId="0" applyFont="1" applyBorder="1" applyAlignment="1">
      <alignment horizontal="center" vertical="center"/>
    </xf>
    <xf numFmtId="0" fontId="57" fillId="41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left" vertical="center" wrapText="1"/>
    </xf>
    <xf numFmtId="0" fontId="57" fillId="41" borderId="20" xfId="0" applyFont="1" applyFill="1" applyBorder="1" applyAlignment="1">
      <alignment horizontal="center" vertical="center"/>
    </xf>
    <xf numFmtId="0" fontId="57" fillId="41" borderId="26" xfId="0" applyFont="1" applyFill="1" applyBorder="1" applyAlignment="1">
      <alignment horizontal="center" vertical="center"/>
    </xf>
    <xf numFmtId="0" fontId="32" fillId="0" borderId="3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left" vertical="center" wrapText="1"/>
    </xf>
    <xf numFmtId="0" fontId="32" fillId="0" borderId="12" xfId="0" applyFont="1" applyBorder="1" applyAlignment="1">
      <alignment horizontal="left" vertical="center" wrapText="1"/>
    </xf>
    <xf numFmtId="0" fontId="32" fillId="0" borderId="3" xfId="0" applyFont="1" applyBorder="1" applyAlignment="1">
      <alignment vertical="center" wrapText="1"/>
    </xf>
    <xf numFmtId="3" fontId="24" fillId="0" borderId="1" xfId="0" applyNumberFormat="1" applyFont="1" applyFill="1" applyBorder="1" applyAlignment="1">
      <alignment horizontal="center" vertical="center" wrapText="1"/>
    </xf>
    <xf numFmtId="3" fontId="29" fillId="0" borderId="0" xfId="0" applyNumberFormat="1" applyFont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3" fontId="24" fillId="38" borderId="11" xfId="0" applyNumberFormat="1" applyFont="1" applyFill="1" applyBorder="1" applyAlignment="1">
      <alignment horizontal="center" vertical="center" wrapText="1"/>
    </xf>
    <xf numFmtId="3" fontId="24" fillId="38" borderId="7" xfId="0" applyNumberFormat="1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3" fontId="24" fillId="38" borderId="57" xfId="0" applyNumberFormat="1" applyFont="1" applyFill="1" applyBorder="1" applyAlignment="1">
      <alignment horizontal="center" vertical="center" wrapText="1"/>
    </xf>
    <xf numFmtId="3" fontId="24" fillId="38" borderId="39" xfId="0" applyNumberFormat="1" applyFont="1" applyFill="1" applyBorder="1" applyAlignment="1">
      <alignment horizontal="center" vertical="center" wrapText="1"/>
    </xf>
    <xf numFmtId="167" fontId="24" fillId="38" borderId="20" xfId="0" applyNumberFormat="1" applyFont="1" applyFill="1" applyBorder="1" applyAlignment="1">
      <alignment horizontal="center" vertical="center" wrapText="1"/>
    </xf>
    <xf numFmtId="167" fontId="24" fillId="38" borderId="27" xfId="0" applyNumberFormat="1" applyFont="1" applyFill="1" applyBorder="1" applyAlignment="1">
      <alignment horizontal="center" vertical="center" wrapText="1"/>
    </xf>
    <xf numFmtId="167" fontId="0" fillId="0" borderId="56" xfId="0" applyNumberFormat="1" applyBorder="1" applyAlignment="1">
      <alignment horizontal="left" vertical="center" wrapText="1"/>
    </xf>
    <xf numFmtId="167" fontId="44" fillId="0" borderId="39" xfId="0" applyNumberFormat="1" applyFont="1" applyBorder="1" applyAlignment="1">
      <alignment horizontal="left" vertical="center" wrapText="1"/>
    </xf>
    <xf numFmtId="167" fontId="0" fillId="0" borderId="39" xfId="0" applyNumberFormat="1" applyBorder="1" applyAlignment="1">
      <alignment horizontal="left" vertical="center" wrapText="1"/>
    </xf>
    <xf numFmtId="167" fontId="41" fillId="0" borderId="39" xfId="0" applyNumberFormat="1" applyFont="1" applyBorder="1" applyAlignment="1">
      <alignment horizontal="left" vertical="center" wrapText="1"/>
    </xf>
    <xf numFmtId="3" fontId="24" fillId="38" borderId="20" xfId="0" applyNumberFormat="1" applyFont="1" applyFill="1" applyBorder="1" applyAlignment="1">
      <alignment horizontal="center" vertical="center" wrapText="1"/>
    </xf>
    <xf numFmtId="3" fontId="24" fillId="38" borderId="25" xfId="0" applyNumberFormat="1" applyFont="1" applyFill="1" applyBorder="1" applyAlignment="1">
      <alignment horizontal="center" vertical="center" wrapText="1"/>
    </xf>
    <xf numFmtId="3" fontId="24" fillId="38" borderId="27" xfId="0" applyNumberFormat="1" applyFont="1" applyFill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 wrapText="1"/>
    </xf>
  </cellXfs>
  <cellStyles count="163">
    <cellStyle name="20% - Accent1" xfId="138" builtinId="30" customBuiltin="1"/>
    <cellStyle name="20% - Accent1 2" xfId="1"/>
    <cellStyle name="20% - Accent2" xfId="142" builtinId="34" customBuiltin="1"/>
    <cellStyle name="20% - Accent2 2" xfId="2"/>
    <cellStyle name="20% - Accent3" xfId="146" builtinId="38" customBuiltin="1"/>
    <cellStyle name="20% - Accent3 2" xfId="3"/>
    <cellStyle name="20% - Accent4" xfId="150" builtinId="42" customBuiltin="1"/>
    <cellStyle name="20% - Accent4 2" xfId="4"/>
    <cellStyle name="20% - Accent5" xfId="154" builtinId="46" customBuiltin="1"/>
    <cellStyle name="20% - Accent5 2" xfId="5"/>
    <cellStyle name="20% - Accent6" xfId="158" builtinId="50" customBuiltin="1"/>
    <cellStyle name="20% - Accent6 2" xfId="6"/>
    <cellStyle name="40% - Accent1" xfId="139" builtinId="31" customBuiltin="1"/>
    <cellStyle name="40% - Accent1 2" xfId="7"/>
    <cellStyle name="40% - Accent2" xfId="143" builtinId="35" customBuiltin="1"/>
    <cellStyle name="40% - Accent2 2" xfId="8"/>
    <cellStyle name="40% - Accent3" xfId="147" builtinId="39" customBuiltin="1"/>
    <cellStyle name="40% - Accent3 2" xfId="9"/>
    <cellStyle name="40% - Accent4" xfId="151" builtinId="43" customBuiltin="1"/>
    <cellStyle name="40% - Accent4 2" xfId="10"/>
    <cellStyle name="40% - Accent5" xfId="155" builtinId="47" customBuiltin="1"/>
    <cellStyle name="40% - Accent5 2" xfId="11"/>
    <cellStyle name="40% - Accent6" xfId="159" builtinId="51" customBuiltin="1"/>
    <cellStyle name="40% - Accent6 2" xfId="12"/>
    <cellStyle name="60% - Accent1" xfId="140" builtinId="32" customBuiltin="1"/>
    <cellStyle name="60% - Accent1 2" xfId="13"/>
    <cellStyle name="60% - Accent2" xfId="144" builtinId="36" customBuiltin="1"/>
    <cellStyle name="60% - Accent2 2" xfId="14"/>
    <cellStyle name="60% - Accent3" xfId="148" builtinId="40" customBuiltin="1"/>
    <cellStyle name="60% - Accent3 2" xfId="15"/>
    <cellStyle name="60% - Accent4" xfId="152" builtinId="44" customBuiltin="1"/>
    <cellStyle name="60% - Accent4 2" xfId="16"/>
    <cellStyle name="60% - Accent5" xfId="156" builtinId="48" customBuiltin="1"/>
    <cellStyle name="60% - Accent5 2" xfId="17"/>
    <cellStyle name="60% - Accent6" xfId="160" builtinId="52" customBuiltin="1"/>
    <cellStyle name="60% - Accent6 2" xfId="18"/>
    <cellStyle name="Accent1" xfId="137" builtinId="29" customBuiltin="1"/>
    <cellStyle name="Accent1 2" xfId="19"/>
    <cellStyle name="Accent2" xfId="141" builtinId="33" customBuiltin="1"/>
    <cellStyle name="Accent2 2" xfId="20"/>
    <cellStyle name="Accent3" xfId="145" builtinId="37" customBuiltin="1"/>
    <cellStyle name="Accent3 2" xfId="21"/>
    <cellStyle name="Accent4" xfId="149" builtinId="41" customBuiltin="1"/>
    <cellStyle name="Accent4 2" xfId="22"/>
    <cellStyle name="Accent5" xfId="153" builtinId="45" customBuiltin="1"/>
    <cellStyle name="Accent5 2" xfId="23"/>
    <cellStyle name="Accent6" xfId="157" builtinId="49" customBuiltin="1"/>
    <cellStyle name="Accent6 2" xfId="24"/>
    <cellStyle name="Bad" xfId="130" builtinId="27" customBuiltin="1"/>
    <cellStyle name="Bad 2" xfId="25"/>
    <cellStyle name="Calculation" xfId="134" builtinId="22" customBuiltin="1"/>
    <cellStyle name="Calculation 2" xfId="26"/>
    <cellStyle name="Check Cell" xfId="135" builtinId="23" customBuiltin="1"/>
    <cellStyle name="Check Cell 2" xfId="27"/>
    <cellStyle name="Comma 10" xfId="28"/>
    <cellStyle name="Comma 10 2" xfId="29"/>
    <cellStyle name="Comma 11" xfId="30"/>
    <cellStyle name="Comma 11 2" xfId="31"/>
    <cellStyle name="Comma 12" xfId="32"/>
    <cellStyle name="Comma 13" xfId="33"/>
    <cellStyle name="Comma 14" xfId="128"/>
    <cellStyle name="Comma 15" xfId="162"/>
    <cellStyle name="Comma 16" xfId="34"/>
    <cellStyle name="Comma 16 2" xfId="35"/>
    <cellStyle name="Comma 18" xfId="126"/>
    <cellStyle name="Comma 2" xfId="36"/>
    <cellStyle name="Comma 2 2" xfId="37"/>
    <cellStyle name="Comma 2 2 2" xfId="38"/>
    <cellStyle name="Comma 2 2 2 2" xfId="39"/>
    <cellStyle name="Comma 2 2 3" xfId="40"/>
    <cellStyle name="Comma 2 3" xfId="41"/>
    <cellStyle name="Comma 2 4" xfId="42"/>
    <cellStyle name="Comma 2 5" xfId="43"/>
    <cellStyle name="Comma 3" xfId="44"/>
    <cellStyle name="Comma 3 10" xfId="45"/>
    <cellStyle name="Comma 3 11" xfId="46"/>
    <cellStyle name="Comma 3 13" xfId="47"/>
    <cellStyle name="Comma 3 13 2" xfId="48"/>
    <cellStyle name="Comma 3 2" xfId="49"/>
    <cellStyle name="Comma 3 2 2" xfId="50"/>
    <cellStyle name="Comma 3 2 2 2" xfId="51"/>
    <cellStyle name="Comma 3 2 3" xfId="52"/>
    <cellStyle name="Comma 3 3" xfId="53"/>
    <cellStyle name="Comma 3 3 2" xfId="54"/>
    <cellStyle name="Comma 3 4" xfId="55"/>
    <cellStyle name="Comma 3 4 2" xfId="56"/>
    <cellStyle name="Comma 3 4 2 2" xfId="57"/>
    <cellStyle name="Comma 3 4 3" xfId="58"/>
    <cellStyle name="Comma 3 5" xfId="59"/>
    <cellStyle name="Comma 3 6" xfId="60"/>
    <cellStyle name="Comma 3 6 2" xfId="61"/>
    <cellStyle name="Comma 3 7" xfId="62"/>
    <cellStyle name="Comma 3 7 2" xfId="63"/>
    <cellStyle name="Comma 3 8" xfId="64"/>
    <cellStyle name="Comma 3 9" xfId="65"/>
    <cellStyle name="Comma 3 9 2" xfId="66"/>
    <cellStyle name="Comma 4" xfId="67"/>
    <cellStyle name="Comma 4 2" xfId="68"/>
    <cellStyle name="Comma 5" xfId="69"/>
    <cellStyle name="Comma 6" xfId="70"/>
    <cellStyle name="Comma 6 2" xfId="71"/>
    <cellStyle name="Comma 7" xfId="72"/>
    <cellStyle name="Comma 8" xfId="73"/>
    <cellStyle name="Comma 9" xfId="74"/>
    <cellStyle name="Comma 9 2" xfId="75"/>
    <cellStyle name="Explanatory Text" xfId="76" builtinId="53" customBuiltin="1"/>
    <cellStyle name="Good" xfId="129" builtinId="26" customBuiltin="1"/>
    <cellStyle name="Good 2" xfId="77"/>
    <cellStyle name="Heading 1" xfId="78" builtinId="16" customBuiltin="1"/>
    <cellStyle name="Heading 2" xfId="79" builtinId="17" customBuiltin="1"/>
    <cellStyle name="Heading 3" xfId="80" builtinId="18" customBuiltin="1"/>
    <cellStyle name="Heading 4" xfId="81" builtinId="19" customBuiltin="1"/>
    <cellStyle name="Input" xfId="132" builtinId="20" customBuiltin="1"/>
    <cellStyle name="Input 2" xfId="82"/>
    <cellStyle name="Linked Cell" xfId="83" builtinId="24" customBuiltin="1"/>
    <cellStyle name="Neutral" xfId="131" builtinId="28" customBuiltin="1"/>
    <cellStyle name="Neutral 2" xfId="84"/>
    <cellStyle name="Normal" xfId="0" builtinId="0"/>
    <cellStyle name="Normal 10" xfId="85"/>
    <cellStyle name="Normal 11" xfId="86"/>
    <cellStyle name="Normal 12" xfId="87"/>
    <cellStyle name="Normal 13" xfId="88"/>
    <cellStyle name="Normal 14" xfId="127"/>
    <cellStyle name="Normal 15" xfId="161"/>
    <cellStyle name="Normal 2" xfId="89"/>
    <cellStyle name="Normal 2 2" xfId="90"/>
    <cellStyle name="Normal 2 3" xfId="91"/>
    <cellStyle name="Normal 3" xfId="92"/>
    <cellStyle name="Normal 3 2" xfId="93"/>
    <cellStyle name="Normal 3 3" xfId="94"/>
    <cellStyle name="Normal 3 4" xfId="95"/>
    <cellStyle name="Normal 3 5" xfId="96"/>
    <cellStyle name="Normal 4" xfId="97"/>
    <cellStyle name="Normal 4 10" xfId="98"/>
    <cellStyle name="Normal 4 2" xfId="99"/>
    <cellStyle name="Normal 4 3" xfId="100"/>
    <cellStyle name="Normal 4 3 2" xfId="101"/>
    <cellStyle name="Normal 4 4" xfId="102"/>
    <cellStyle name="Normal 4 4 2" xfId="103"/>
    <cellStyle name="Normal 4 4 2 2" xfId="104"/>
    <cellStyle name="Normal 4 4 3" xfId="105"/>
    <cellStyle name="Normal 4 5" xfId="106"/>
    <cellStyle name="Normal 4 5 2" xfId="107"/>
    <cellStyle name="Normal 4 6" xfId="108"/>
    <cellStyle name="Normal 4 6 2" xfId="109"/>
    <cellStyle name="Normal 4 7" xfId="110"/>
    <cellStyle name="Normal 4 8" xfId="111"/>
    <cellStyle name="Normal 4 9" xfId="112"/>
    <cellStyle name="Normal 5" xfId="113"/>
    <cellStyle name="Normal 5 2" xfId="114"/>
    <cellStyle name="Normal 6" xfId="115"/>
    <cellStyle name="Normal 7" xfId="116"/>
    <cellStyle name="Normal 8" xfId="117"/>
    <cellStyle name="Normal 9" xfId="118"/>
    <cellStyle name="Note" xfId="136" builtinId="10" customBuiltin="1"/>
    <cellStyle name="Note 2" xfId="119"/>
    <cellStyle name="Output" xfId="133" builtinId="21" customBuiltin="1"/>
    <cellStyle name="Output 2" xfId="120"/>
    <cellStyle name="Percent" xfId="121" builtinId="5"/>
    <cellStyle name="Percent 2" xfId="122"/>
    <cellStyle name="Title 2" xfId="123"/>
    <cellStyle name="Total" xfId="124" builtinId="25" customBuiltin="1"/>
    <cellStyle name="Warning Text" xfId="1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12</xdr:col>
      <xdr:colOff>9525</xdr:colOff>
      <xdr:row>19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"/>
          <a:ext cx="692467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314325</xdr:colOff>
      <xdr:row>17</xdr:row>
      <xdr:rowOff>147499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5514975" cy="3004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46</xdr:col>
      <xdr:colOff>542925</xdr:colOff>
      <xdr:row>74</xdr:row>
      <xdr:rowOff>104775</xdr:rowOff>
    </xdr:to>
    <xdr:pic>
      <xdr:nvPicPr>
        <xdr:cNvPr id="5108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755725" cy="1382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erik/AppData/Local/Temp/notes4F1F16/~44126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erik/AppData/Local/Temp/notes4F1F16/Panipat_248_Solar%20Plant%20Monthly%20Target%20%20wef%2001-March-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erik/Desktop/Solar%20Exception%20report/March-2021/RE-3%20Solar%20Daily%20Report%20Mar%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Report RKT"/>
      <sheetName val="Remark"/>
      <sheetName val="Target"/>
      <sheetName val="Solar Report_Base"/>
      <sheetName val="Exception Report F1"/>
      <sheetName val="Sheet8"/>
      <sheetName val="Sheet7"/>
      <sheetName val="Castamet"/>
      <sheetName val="Sheet2"/>
      <sheetName val="Sheet1"/>
      <sheetName val="Sheet3"/>
      <sheetName val="Sheet4"/>
      <sheetName val="Sheet5"/>
      <sheetName val="Sheet6"/>
      <sheetName val="RGU"/>
      <sheetName val="Panipat"/>
      <sheetName val="Jharkhand"/>
      <sheetName val="Panipat_248"/>
      <sheetName val="Sheet10"/>
      <sheetName val="Sheet9"/>
      <sheetName val="Sheet11"/>
      <sheetName val="Beawar Targ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4">
          <cell r="M24">
            <v>0.11039195555931858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. Gen Target Base Eff-18 (2"/>
      <sheetName val="Annex-1 Losses"/>
      <sheetName val="Sheet1 (2)"/>
      <sheetName val="Sheet1"/>
    </sheetNames>
    <sheetDataSet>
      <sheetData sheetId="0"/>
      <sheetData sheetId="1">
        <row r="17">
          <cell r="D17">
            <v>15.1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il"/>
      <sheetName val="Formula"/>
      <sheetName val="Final"/>
      <sheetName val="highlights"/>
      <sheetName val="inverter"/>
      <sheetName val="New Inverter"/>
      <sheetName val="old "/>
      <sheetName val="Exe"/>
      <sheetName val="Intrn Execp (Revised)"/>
      <sheetName val="Intrn Execp"/>
      <sheetName val="New Yearly"/>
      <sheetName val="Intrn Execp (Final)"/>
      <sheetName val="Electrical Team"/>
      <sheetName val="Remarks &amp; Bwr"/>
      <sheetName val="misc"/>
      <sheetName val="Rathi Sir"/>
      <sheetName val="Castamet Solar Sumamry"/>
    </sheetNames>
    <sheetDataSet>
      <sheetData sheetId="0">
        <row r="8">
          <cell r="Z8">
            <v>800774.09237639338</v>
          </cell>
          <cell r="AA8">
            <v>8003670.3615276124</v>
          </cell>
        </row>
        <row r="11">
          <cell r="Z11">
            <v>700917.99998000008</v>
          </cell>
          <cell r="AA11">
            <v>6058146.6418949999</v>
          </cell>
        </row>
        <row r="15">
          <cell r="AA15">
            <v>0.16197078166898793</v>
          </cell>
        </row>
      </sheetData>
      <sheetData sheetId="1">
        <row r="23">
          <cell r="AI23">
            <v>132660.00000000012</v>
          </cell>
        </row>
        <row r="29">
          <cell r="AI29">
            <v>147643.57641068115</v>
          </cell>
        </row>
        <row r="57">
          <cell r="AI57">
            <v>135314.99999999997</v>
          </cell>
        </row>
        <row r="63">
          <cell r="AI63">
            <v>141677.40213435161</v>
          </cell>
        </row>
        <row r="103">
          <cell r="AI103">
            <v>160223.99997999996</v>
          </cell>
        </row>
        <row r="106">
          <cell r="AI106">
            <v>176560.5414978292</v>
          </cell>
        </row>
        <row r="109">
          <cell r="AI109">
            <v>10235</v>
          </cell>
        </row>
        <row r="113">
          <cell r="AI113">
            <v>10346.419114771739</v>
          </cell>
        </row>
        <row r="169">
          <cell r="AI169">
            <v>262484</v>
          </cell>
        </row>
        <row r="175">
          <cell r="AI175">
            <v>272183.99900498835</v>
          </cell>
        </row>
        <row r="191">
          <cell r="AI191">
            <v>0</v>
          </cell>
        </row>
        <row r="193">
          <cell r="AI193">
            <v>5224</v>
          </cell>
        </row>
        <row r="206">
          <cell r="AI206" t="e">
            <v>#REF!</v>
          </cell>
        </row>
        <row r="207">
          <cell r="AI207" t="e">
            <v>#REF!</v>
          </cell>
        </row>
        <row r="208">
          <cell r="AI208" t="e">
            <v>#REF!</v>
          </cell>
        </row>
        <row r="209">
          <cell r="AI209" t="e">
            <v>#REF!</v>
          </cell>
        </row>
        <row r="216">
          <cell r="AI216">
            <v>87</v>
          </cell>
        </row>
        <row r="217">
          <cell r="AI217">
            <v>0</v>
          </cell>
        </row>
        <row r="218">
          <cell r="AI218">
            <v>0</v>
          </cell>
        </row>
        <row r="219">
          <cell r="AI219">
            <v>205</v>
          </cell>
        </row>
        <row r="225">
          <cell r="AI225">
            <v>8208</v>
          </cell>
        </row>
        <row r="226">
          <cell r="AI226">
            <v>2100</v>
          </cell>
        </row>
        <row r="227">
          <cell r="AI227">
            <v>6541</v>
          </cell>
        </row>
        <row r="228">
          <cell r="AI228">
            <v>1436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8"/>
  <sheetViews>
    <sheetView topLeftCell="A58" workbookViewId="0">
      <pane xSplit="3" topLeftCell="D1" activePane="topRight" state="frozen"/>
      <selection activeCell="K7" sqref="K7:K18"/>
      <selection pane="topRight" activeCell="A3" sqref="A3"/>
    </sheetView>
  </sheetViews>
  <sheetFormatPr defaultRowHeight="15" x14ac:dyDescent="0.25"/>
  <cols>
    <col min="2" max="2" width="36" customWidth="1"/>
    <col min="3" max="3" width="12.5703125" bestFit="1" customWidth="1"/>
    <col min="4" max="4" width="8.85546875" style="6" customWidth="1"/>
    <col min="5" max="5" width="9.7109375" style="6" customWidth="1"/>
    <col min="6" max="6" width="8.85546875" style="6" customWidth="1"/>
    <col min="7" max="7" width="8.28515625" style="6" customWidth="1"/>
    <col min="8" max="15" width="8.140625" style="6" bestFit="1" customWidth="1"/>
    <col min="16" max="16" width="7.85546875" style="6" customWidth="1"/>
    <col min="17" max="20" width="8.140625" style="6" bestFit="1" customWidth="1"/>
    <col min="21" max="21" width="10.5703125" style="6" customWidth="1"/>
    <col min="22" max="22" width="8.28515625" style="6" customWidth="1"/>
    <col min="23" max="23" width="9.5703125" style="6" customWidth="1"/>
    <col min="24" max="24" width="8.5703125" style="6" customWidth="1"/>
    <col min="25" max="25" width="8.28515625" style="6" customWidth="1"/>
    <col min="26" max="26" width="8.140625" style="6" customWidth="1"/>
    <col min="27" max="27" width="9.5703125" style="6" customWidth="1"/>
    <col min="28" max="28" width="10" style="6" customWidth="1"/>
    <col min="29" max="29" width="8.140625" style="6" customWidth="1"/>
    <col min="30" max="30" width="8.5703125" style="6" customWidth="1"/>
    <col min="31" max="31" width="8" style="6" customWidth="1"/>
    <col min="32" max="32" width="8.85546875" style="6" customWidth="1"/>
    <col min="33" max="33" width="11" style="6" customWidth="1"/>
    <col min="34" max="34" width="11.28515625" style="6" customWidth="1"/>
    <col min="35" max="35" width="10.5703125" style="6" customWidth="1"/>
  </cols>
  <sheetData>
    <row r="1" spans="1:35" ht="15.75" thickBot="1" x14ac:dyDescent="0.3"/>
    <row r="2" spans="1:35" x14ac:dyDescent="0.25">
      <c r="A2" t="s">
        <v>1</v>
      </c>
      <c r="B2" s="643" t="s">
        <v>1</v>
      </c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B2" s="644"/>
      <c r="AC2" s="644"/>
      <c r="AD2" s="644"/>
      <c r="AE2" s="644"/>
      <c r="AF2" s="644"/>
      <c r="AG2" s="644"/>
      <c r="AH2" s="644"/>
      <c r="AI2" s="645"/>
    </row>
    <row r="3" spans="1:35" x14ac:dyDescent="0.25">
      <c r="B3" s="21" t="s">
        <v>2</v>
      </c>
      <c r="C3" s="1" t="s">
        <v>3</v>
      </c>
      <c r="D3" s="47">
        <v>1</v>
      </c>
      <c r="E3" s="47">
        <v>2</v>
      </c>
      <c r="F3" s="47">
        <v>3</v>
      </c>
      <c r="G3" s="47">
        <v>4</v>
      </c>
      <c r="H3" s="47">
        <v>5</v>
      </c>
      <c r="I3" s="47">
        <v>6</v>
      </c>
      <c r="J3" s="47">
        <v>7</v>
      </c>
      <c r="K3" s="47">
        <v>8</v>
      </c>
      <c r="L3" s="47">
        <v>9</v>
      </c>
      <c r="M3" s="47">
        <v>10</v>
      </c>
      <c r="N3" s="47">
        <v>11</v>
      </c>
      <c r="O3" s="47">
        <v>12</v>
      </c>
      <c r="P3" s="47">
        <v>13</v>
      </c>
      <c r="Q3" s="47">
        <v>14</v>
      </c>
      <c r="R3" s="47">
        <v>15</v>
      </c>
      <c r="S3" s="47">
        <v>16</v>
      </c>
      <c r="T3" s="47">
        <v>17</v>
      </c>
      <c r="U3" s="47">
        <v>18</v>
      </c>
      <c r="V3" s="47">
        <v>19</v>
      </c>
      <c r="W3" s="47">
        <v>20</v>
      </c>
      <c r="X3" s="47">
        <v>21</v>
      </c>
      <c r="Y3" s="47">
        <v>22</v>
      </c>
      <c r="Z3" s="47">
        <v>23</v>
      </c>
      <c r="AA3" s="47">
        <v>24</v>
      </c>
      <c r="AB3" s="47">
        <v>25</v>
      </c>
      <c r="AC3" s="47">
        <v>26</v>
      </c>
      <c r="AD3" s="47">
        <v>27</v>
      </c>
      <c r="AE3" s="47">
        <v>28</v>
      </c>
      <c r="AF3" s="47">
        <v>29</v>
      </c>
      <c r="AG3" s="47">
        <v>30</v>
      </c>
      <c r="AH3" s="47">
        <v>31</v>
      </c>
      <c r="AI3" s="22" t="s">
        <v>4</v>
      </c>
    </row>
    <row r="4" spans="1:35" x14ac:dyDescent="0.25">
      <c r="B4" s="21" t="s">
        <v>5</v>
      </c>
      <c r="C4" s="1" t="s">
        <v>6</v>
      </c>
      <c r="D4" s="18">
        <f>+'Solar Report_Base'!D4</f>
        <v>175</v>
      </c>
      <c r="E4" s="18">
        <f>+'Solar Report_Base'!E4</f>
        <v>186</v>
      </c>
      <c r="F4" s="18">
        <f>+'Solar Report_Base'!F4</f>
        <v>233</v>
      </c>
      <c r="G4" s="18">
        <f>+'Solar Report_Base'!G4</f>
        <v>277</v>
      </c>
      <c r="H4" s="18">
        <f>+'Solar Report_Base'!H4</f>
        <v>339</v>
      </c>
      <c r="I4" s="18">
        <f>+'Solar Report_Base'!I4</f>
        <v>345</v>
      </c>
      <c r="J4" s="18">
        <f>+'Solar Report_Base'!J4</f>
        <v>221</v>
      </c>
      <c r="K4" s="18">
        <f>+'Solar Report_Base'!K4</f>
        <v>373</v>
      </c>
      <c r="L4" s="18">
        <f>+'Solar Report_Base'!L4</f>
        <v>378</v>
      </c>
      <c r="M4" s="18">
        <f>+'Solar Report_Base'!M4</f>
        <v>368</v>
      </c>
      <c r="N4" s="18">
        <f>+'Solar Report_Base'!N4</f>
        <v>268</v>
      </c>
      <c r="O4" s="18">
        <f>+'Solar Report_Base'!O4</f>
        <v>361</v>
      </c>
      <c r="P4" s="18">
        <f>+'Solar Report_Base'!P4</f>
        <v>318</v>
      </c>
      <c r="Q4" s="18">
        <f>+'Solar Report_Base'!Q4</f>
        <v>318</v>
      </c>
      <c r="R4" s="18">
        <f>+'Solar Report_Base'!R4</f>
        <v>0</v>
      </c>
      <c r="S4" s="191">
        <f>+'Solar Report_Base'!S4</f>
        <v>0</v>
      </c>
      <c r="T4" s="191">
        <f>+'Solar Report_Base'!T4</f>
        <v>0</v>
      </c>
      <c r="U4" s="191">
        <f>+'Solar Report_Base'!U4</f>
        <v>0</v>
      </c>
      <c r="V4" s="191">
        <f>+'Solar Report_Base'!V4</f>
        <v>0</v>
      </c>
      <c r="W4" s="191">
        <f>+'Solar Report_Base'!W4</f>
        <v>0</v>
      </c>
      <c r="X4" s="191">
        <f>+'Solar Report_Base'!X4</f>
        <v>0</v>
      </c>
      <c r="Y4" s="191">
        <f>+'Solar Report_Base'!Y4</f>
        <v>0</v>
      </c>
      <c r="Z4" s="191">
        <f>+'Solar Report_Base'!Z4</f>
        <v>0</v>
      </c>
      <c r="AA4" s="191">
        <f>+'Solar Report_Base'!AA4</f>
        <v>0</v>
      </c>
      <c r="AB4" s="191">
        <f>+'Solar Report_Base'!AB4</f>
        <v>0</v>
      </c>
      <c r="AC4" s="191">
        <f>+'Solar Report_Base'!AC4</f>
        <v>0</v>
      </c>
      <c r="AD4" s="191">
        <f>+'Solar Report_Base'!AD4</f>
        <v>0</v>
      </c>
      <c r="AE4" s="191">
        <f>+'Solar Report_Base'!AE4</f>
        <v>0</v>
      </c>
      <c r="AF4" s="191">
        <f>+'Solar Report_Base'!AF4</f>
        <v>0</v>
      </c>
      <c r="AG4" s="191">
        <f>+'Solar Report_Base'!AG4</f>
        <v>0</v>
      </c>
      <c r="AH4" s="191">
        <f>+'Solar Report_Base'!AH4</f>
        <v>0</v>
      </c>
      <c r="AI4" s="23">
        <f>SUM(D4:AH4)</f>
        <v>4160</v>
      </c>
    </row>
    <row r="5" spans="1:35" x14ac:dyDescent="0.25">
      <c r="B5" s="21" t="s">
        <v>7</v>
      </c>
      <c r="C5" s="1" t="s">
        <v>6</v>
      </c>
      <c r="D5" s="18">
        <f>+'Solar Report_Base'!D5</f>
        <v>172</v>
      </c>
      <c r="E5" s="18">
        <f>+'Solar Report_Base'!E5</f>
        <v>184</v>
      </c>
      <c r="F5" s="18">
        <f>+'Solar Report_Base'!F5</f>
        <v>233</v>
      </c>
      <c r="G5" s="18">
        <f>+'Solar Report_Base'!G5</f>
        <v>277</v>
      </c>
      <c r="H5" s="18">
        <f>+'Solar Report_Base'!H5</f>
        <v>337</v>
      </c>
      <c r="I5" s="18">
        <f>+'Solar Report_Base'!I5</f>
        <v>346</v>
      </c>
      <c r="J5" s="18">
        <f>+'Solar Report_Base'!J5</f>
        <v>221</v>
      </c>
      <c r="K5" s="18">
        <f>+'Solar Report_Base'!K5</f>
        <v>373</v>
      </c>
      <c r="L5" s="18">
        <f>+'Solar Report_Base'!L5</f>
        <v>378</v>
      </c>
      <c r="M5" s="18">
        <f>+'Solar Report_Base'!M5</f>
        <v>368</v>
      </c>
      <c r="N5" s="18">
        <f>+'Solar Report_Base'!N5</f>
        <v>268</v>
      </c>
      <c r="O5" s="18">
        <f>+'Solar Report_Base'!O5</f>
        <v>361</v>
      </c>
      <c r="P5" s="18">
        <f>+'Solar Report_Base'!P5</f>
        <v>318</v>
      </c>
      <c r="Q5" s="18">
        <f>+'Solar Report_Base'!Q5</f>
        <v>317</v>
      </c>
      <c r="R5" s="18">
        <f>+'Solar Report_Base'!R5</f>
        <v>0</v>
      </c>
      <c r="S5" s="191">
        <f>+'Solar Report_Base'!S5</f>
        <v>0</v>
      </c>
      <c r="T5" s="191">
        <f>+'Solar Report_Base'!T5</f>
        <v>0</v>
      </c>
      <c r="U5" s="191">
        <f>+'Solar Report_Base'!U5</f>
        <v>0</v>
      </c>
      <c r="V5" s="191">
        <f>+'Solar Report_Base'!V5</f>
        <v>0</v>
      </c>
      <c r="W5" s="191">
        <f>+'Solar Report_Base'!W5</f>
        <v>0</v>
      </c>
      <c r="X5" s="191">
        <f>+'Solar Report_Base'!X5</f>
        <v>0</v>
      </c>
      <c r="Y5" s="191">
        <f>+'Solar Report_Base'!Y5</f>
        <v>0</v>
      </c>
      <c r="Z5" s="191">
        <f>+'Solar Report_Base'!Z5</f>
        <v>0</v>
      </c>
      <c r="AA5" s="191">
        <f>+'Solar Report_Base'!AA5</f>
        <v>0</v>
      </c>
      <c r="AB5" s="191">
        <f>+'Solar Report_Base'!AB5</f>
        <v>0</v>
      </c>
      <c r="AC5" s="191">
        <f>+'Solar Report_Base'!AC5</f>
        <v>0</v>
      </c>
      <c r="AD5" s="191">
        <f>+'Solar Report_Base'!AD5</f>
        <v>0</v>
      </c>
      <c r="AE5" s="191">
        <f>+'Solar Report_Base'!AE5</f>
        <v>0</v>
      </c>
      <c r="AF5" s="191">
        <f>+'Solar Report_Base'!AF5</f>
        <v>0</v>
      </c>
      <c r="AG5" s="191">
        <f>+'Solar Report_Base'!AG5</f>
        <v>0</v>
      </c>
      <c r="AH5" s="191">
        <f>+'Solar Report_Base'!AH5</f>
        <v>0</v>
      </c>
      <c r="AI5" s="23">
        <f t="shared" ref="AI5:AI24" si="0">SUM(D5:AH5)</f>
        <v>4153</v>
      </c>
    </row>
    <row r="6" spans="1:35" x14ac:dyDescent="0.25">
      <c r="B6" s="21" t="s">
        <v>8</v>
      </c>
      <c r="C6" s="1" t="s">
        <v>6</v>
      </c>
      <c r="D6" s="18">
        <f>+'Solar Report_Base'!D6</f>
        <v>174</v>
      </c>
      <c r="E6" s="18">
        <f>+'Solar Report_Base'!E6</f>
        <v>187</v>
      </c>
      <c r="F6" s="18">
        <f>+'Solar Report_Base'!F6</f>
        <v>233</v>
      </c>
      <c r="G6" s="18">
        <f>+'Solar Report_Base'!G6</f>
        <v>277</v>
      </c>
      <c r="H6" s="18">
        <f>+'Solar Report_Base'!H6</f>
        <v>337</v>
      </c>
      <c r="I6" s="18">
        <f>+'Solar Report_Base'!I6</f>
        <v>345</v>
      </c>
      <c r="J6" s="18">
        <f>+'Solar Report_Base'!J6</f>
        <v>220</v>
      </c>
      <c r="K6" s="18">
        <f>+'Solar Report_Base'!K6</f>
        <v>372</v>
      </c>
      <c r="L6" s="18">
        <f>+'Solar Report_Base'!L6</f>
        <v>377</v>
      </c>
      <c r="M6" s="18">
        <f>+'Solar Report_Base'!M6</f>
        <v>366</v>
      </c>
      <c r="N6" s="18">
        <f>+'Solar Report_Base'!N6</f>
        <v>267</v>
      </c>
      <c r="O6" s="18">
        <f>+'Solar Report_Base'!O6</f>
        <v>359</v>
      </c>
      <c r="P6" s="18">
        <f>+'Solar Report_Base'!P6</f>
        <v>316</v>
      </c>
      <c r="Q6" s="18">
        <f>+'Solar Report_Base'!Q6</f>
        <v>316</v>
      </c>
      <c r="R6" s="18">
        <f>+'Solar Report_Base'!R6</f>
        <v>0</v>
      </c>
      <c r="S6" s="191">
        <f>+'Solar Report_Base'!S6</f>
        <v>0</v>
      </c>
      <c r="T6" s="191">
        <f>+'Solar Report_Base'!T6</f>
        <v>0</v>
      </c>
      <c r="U6" s="191">
        <f>+'Solar Report_Base'!U6</f>
        <v>0</v>
      </c>
      <c r="V6" s="191">
        <f>+'Solar Report_Base'!V6</f>
        <v>0</v>
      </c>
      <c r="W6" s="191">
        <f>+'Solar Report_Base'!W6</f>
        <v>0</v>
      </c>
      <c r="X6" s="191">
        <f>+'Solar Report_Base'!X6</f>
        <v>0</v>
      </c>
      <c r="Y6" s="191">
        <f>+'Solar Report_Base'!Y6</f>
        <v>0</v>
      </c>
      <c r="Z6" s="191">
        <f>+'Solar Report_Base'!Z6</f>
        <v>0</v>
      </c>
      <c r="AA6" s="191">
        <f>+'Solar Report_Base'!AA6</f>
        <v>0</v>
      </c>
      <c r="AB6" s="191">
        <f>+'Solar Report_Base'!AB6</f>
        <v>0</v>
      </c>
      <c r="AC6" s="191">
        <f>+'Solar Report_Base'!AC6</f>
        <v>0</v>
      </c>
      <c r="AD6" s="191">
        <f>+'Solar Report_Base'!AD6</f>
        <v>0</v>
      </c>
      <c r="AE6" s="191">
        <f>+'Solar Report_Base'!AE6</f>
        <v>0</v>
      </c>
      <c r="AF6" s="191">
        <f>+'Solar Report_Base'!AF6</f>
        <v>0</v>
      </c>
      <c r="AG6" s="191">
        <f>+'Solar Report_Base'!AG6</f>
        <v>0</v>
      </c>
      <c r="AH6" s="191">
        <f>+'Solar Report_Base'!AH6</f>
        <v>0</v>
      </c>
      <c r="AI6" s="23">
        <f t="shared" si="0"/>
        <v>4146</v>
      </c>
    </row>
    <row r="7" spans="1:35" x14ac:dyDescent="0.25">
      <c r="B7" s="21" t="s">
        <v>9</v>
      </c>
      <c r="C7" s="1" t="s">
        <v>6</v>
      </c>
      <c r="D7" s="18">
        <f>+'Solar Report_Base'!D7</f>
        <v>172</v>
      </c>
      <c r="E7" s="18">
        <f>+'Solar Report_Base'!E7</f>
        <v>184</v>
      </c>
      <c r="F7" s="18">
        <f>+'Solar Report_Base'!F7</f>
        <v>231</v>
      </c>
      <c r="G7" s="18">
        <f>+'Solar Report_Base'!G7</f>
        <v>274</v>
      </c>
      <c r="H7" s="18">
        <f>+'Solar Report_Base'!H7</f>
        <v>334</v>
      </c>
      <c r="I7" s="18">
        <f>+'Solar Report_Base'!I7</f>
        <v>343</v>
      </c>
      <c r="J7" s="18">
        <f>+'Solar Report_Base'!J7</f>
        <v>218</v>
      </c>
      <c r="K7" s="18">
        <f>+'Solar Report_Base'!K7</f>
        <v>368</v>
      </c>
      <c r="L7" s="18">
        <f>+'Solar Report_Base'!L7</f>
        <v>373</v>
      </c>
      <c r="M7" s="18">
        <f>+'Solar Report_Base'!M7</f>
        <v>362</v>
      </c>
      <c r="N7" s="18">
        <f>+'Solar Report_Base'!N7</f>
        <v>265</v>
      </c>
      <c r="O7" s="18">
        <f>+'Solar Report_Base'!O7</f>
        <v>355</v>
      </c>
      <c r="P7" s="18">
        <f>+'Solar Report_Base'!P7</f>
        <v>311</v>
      </c>
      <c r="Q7" s="18">
        <f>+'Solar Report_Base'!Q7</f>
        <v>313</v>
      </c>
      <c r="R7" s="18">
        <f>+'Solar Report_Base'!R7</f>
        <v>0</v>
      </c>
      <c r="S7" s="191">
        <f>+'Solar Report_Base'!S7</f>
        <v>0</v>
      </c>
      <c r="T7" s="191">
        <f>+'Solar Report_Base'!T7</f>
        <v>0</v>
      </c>
      <c r="U7" s="191">
        <f>+'Solar Report_Base'!U7</f>
        <v>0</v>
      </c>
      <c r="V7" s="191">
        <f>+'Solar Report_Base'!V7</f>
        <v>0</v>
      </c>
      <c r="W7" s="191">
        <f>+'Solar Report_Base'!W7</f>
        <v>0</v>
      </c>
      <c r="X7" s="191">
        <f>+'Solar Report_Base'!X7</f>
        <v>0</v>
      </c>
      <c r="Y7" s="191">
        <f>+'Solar Report_Base'!Y7</f>
        <v>0</v>
      </c>
      <c r="Z7" s="191">
        <f>+'Solar Report_Base'!Z7</f>
        <v>0</v>
      </c>
      <c r="AA7" s="191">
        <f>+'Solar Report_Base'!AA7</f>
        <v>0</v>
      </c>
      <c r="AB7" s="191">
        <f>+'Solar Report_Base'!AB7</f>
        <v>0</v>
      </c>
      <c r="AC7" s="191">
        <f>+'Solar Report_Base'!AC7</f>
        <v>0</v>
      </c>
      <c r="AD7" s="191">
        <f>+'Solar Report_Base'!AD7</f>
        <v>0</v>
      </c>
      <c r="AE7" s="191">
        <f>+'Solar Report_Base'!AE7</f>
        <v>0</v>
      </c>
      <c r="AF7" s="191">
        <f>+'Solar Report_Base'!AF7</f>
        <v>0</v>
      </c>
      <c r="AG7" s="191">
        <f>+'Solar Report_Base'!AG7</f>
        <v>0</v>
      </c>
      <c r="AH7" s="191">
        <f>+'Solar Report_Base'!AH7</f>
        <v>0</v>
      </c>
      <c r="AI7" s="23">
        <f t="shared" si="0"/>
        <v>4103</v>
      </c>
    </row>
    <row r="8" spans="1:35" x14ac:dyDescent="0.25">
      <c r="B8" s="21" t="s">
        <v>10</v>
      </c>
      <c r="C8" s="1" t="s">
        <v>6</v>
      </c>
      <c r="D8" s="18">
        <f>+'Solar Report_Base'!D8</f>
        <v>0</v>
      </c>
      <c r="E8" s="18">
        <f>+'Solar Report_Base'!E8</f>
        <v>0</v>
      </c>
      <c r="F8" s="18">
        <f>+'Solar Report_Base'!F8</f>
        <v>0</v>
      </c>
      <c r="G8" s="18">
        <f>+'Solar Report_Base'!G8</f>
        <v>0</v>
      </c>
      <c r="H8" s="18">
        <f>+'Solar Report_Base'!H8</f>
        <v>0</v>
      </c>
      <c r="I8" s="18">
        <f>+'Solar Report_Base'!I8</f>
        <v>0</v>
      </c>
      <c r="J8" s="18">
        <f>+'Solar Report_Base'!J8</f>
        <v>0</v>
      </c>
      <c r="K8" s="18">
        <f>+'Solar Report_Base'!K8</f>
        <v>0</v>
      </c>
      <c r="L8" s="18">
        <f>+'Solar Report_Base'!L8</f>
        <v>0</v>
      </c>
      <c r="M8" s="18">
        <f>+'Solar Report_Base'!M8</f>
        <v>0</v>
      </c>
      <c r="N8" s="18">
        <f>+'Solar Report_Base'!N8</f>
        <v>0</v>
      </c>
      <c r="O8" s="18">
        <f>+'Solar Report_Base'!O8</f>
        <v>0</v>
      </c>
      <c r="P8" s="18">
        <f>+'Solar Report_Base'!P8</f>
        <v>0</v>
      </c>
      <c r="Q8" s="18">
        <f>+'Solar Report_Base'!Q8</f>
        <v>0</v>
      </c>
      <c r="R8" s="18">
        <f>+'Solar Report_Base'!R8</f>
        <v>0</v>
      </c>
      <c r="S8" s="191">
        <f>+'Solar Report_Base'!S8</f>
        <v>0</v>
      </c>
      <c r="T8" s="191">
        <f>+'Solar Report_Base'!T8</f>
        <v>0</v>
      </c>
      <c r="U8" s="191">
        <f>+'Solar Report_Base'!U8</f>
        <v>0</v>
      </c>
      <c r="V8" s="191">
        <f>+'Solar Report_Base'!V8</f>
        <v>0</v>
      </c>
      <c r="W8" s="191">
        <f>+'Solar Report_Base'!W8</f>
        <v>0</v>
      </c>
      <c r="X8" s="191">
        <f>+'Solar Report_Base'!X8</f>
        <v>0</v>
      </c>
      <c r="Y8" s="191">
        <f>+'Solar Report_Base'!Y8</f>
        <v>0</v>
      </c>
      <c r="Z8" s="191">
        <f>+'Solar Report_Base'!Z8</f>
        <v>0</v>
      </c>
      <c r="AA8" s="191">
        <f>+'Solar Report_Base'!AA8</f>
        <v>0</v>
      </c>
      <c r="AB8" s="191">
        <f>+'Solar Report_Base'!AB8</f>
        <v>0</v>
      </c>
      <c r="AC8" s="191">
        <f>+'Solar Report_Base'!AC8</f>
        <v>0</v>
      </c>
      <c r="AD8" s="191">
        <f>+'Solar Report_Base'!AD8</f>
        <v>0</v>
      </c>
      <c r="AE8" s="191">
        <f>+'Solar Report_Base'!AE8</f>
        <v>0</v>
      </c>
      <c r="AF8" s="191">
        <f>+'Solar Report_Base'!AF8</f>
        <v>0</v>
      </c>
      <c r="AG8" s="191">
        <f>+'Solar Report_Base'!AG8</f>
        <v>0</v>
      </c>
      <c r="AH8" s="191">
        <f>+'Solar Report_Base'!AH8</f>
        <v>0</v>
      </c>
      <c r="AI8" s="23">
        <f t="shared" si="0"/>
        <v>0</v>
      </c>
    </row>
    <row r="9" spans="1:35" x14ac:dyDescent="0.25">
      <c r="B9" s="21" t="s">
        <v>11</v>
      </c>
      <c r="C9" s="1" t="s">
        <v>6</v>
      </c>
      <c r="D9" s="18">
        <f>+'Solar Report_Base'!D9</f>
        <v>171</v>
      </c>
      <c r="E9" s="18">
        <f>+'Solar Report_Base'!E9</f>
        <v>188</v>
      </c>
      <c r="F9" s="18">
        <f>+'Solar Report_Base'!F9</f>
        <v>232</v>
      </c>
      <c r="G9" s="18">
        <f>+'Solar Report_Base'!G9</f>
        <v>274</v>
      </c>
      <c r="H9" s="18">
        <f>+'Solar Report_Base'!H9</f>
        <v>334</v>
      </c>
      <c r="I9" s="18">
        <f>+'Solar Report_Base'!I9</f>
        <v>344</v>
      </c>
      <c r="J9" s="18">
        <f>+'Solar Report_Base'!J9</f>
        <v>219</v>
      </c>
      <c r="K9" s="18">
        <f>+'Solar Report_Base'!K9</f>
        <v>369</v>
      </c>
      <c r="L9" s="18">
        <f>+'Solar Report_Base'!L9</f>
        <v>375</v>
      </c>
      <c r="M9" s="18">
        <f>+'Solar Report_Base'!M9</f>
        <v>363</v>
      </c>
      <c r="N9" s="18">
        <f>+'Solar Report_Base'!N9</f>
        <v>269</v>
      </c>
      <c r="O9" s="18">
        <f>+'Solar Report_Base'!O9</f>
        <v>361</v>
      </c>
      <c r="P9" s="18">
        <f>+'Solar Report_Base'!P9</f>
        <v>310</v>
      </c>
      <c r="Q9" s="18">
        <f>+'Solar Report_Base'!Q9</f>
        <v>315</v>
      </c>
      <c r="R9" s="18">
        <f>+'Solar Report_Base'!R9</f>
        <v>0</v>
      </c>
      <c r="S9" s="191">
        <f>+'Solar Report_Base'!S9</f>
        <v>0</v>
      </c>
      <c r="T9" s="191">
        <f>+'Solar Report_Base'!T9</f>
        <v>0</v>
      </c>
      <c r="U9" s="191">
        <f>+'Solar Report_Base'!U9</f>
        <v>0</v>
      </c>
      <c r="V9" s="191">
        <f>+'Solar Report_Base'!V9</f>
        <v>0</v>
      </c>
      <c r="W9" s="191">
        <f>+'Solar Report_Base'!W9</f>
        <v>0</v>
      </c>
      <c r="X9" s="191">
        <f>+'Solar Report_Base'!X9</f>
        <v>0</v>
      </c>
      <c r="Y9" s="191">
        <f>+'Solar Report_Base'!Y9</f>
        <v>0</v>
      </c>
      <c r="Z9" s="191">
        <f>+'Solar Report_Base'!Z9</f>
        <v>0</v>
      </c>
      <c r="AA9" s="191">
        <f>+'Solar Report_Base'!AA9</f>
        <v>0</v>
      </c>
      <c r="AB9" s="191">
        <f>+'Solar Report_Base'!AB9</f>
        <v>0</v>
      </c>
      <c r="AC9" s="191">
        <f>+'Solar Report_Base'!AC9</f>
        <v>0</v>
      </c>
      <c r="AD9" s="191">
        <f>+'Solar Report_Base'!AD9</f>
        <v>0</v>
      </c>
      <c r="AE9" s="191">
        <f>+'Solar Report_Base'!AE9</f>
        <v>0</v>
      </c>
      <c r="AF9" s="191">
        <f>+'Solar Report_Base'!AF9</f>
        <v>0</v>
      </c>
      <c r="AG9" s="191">
        <f>+'Solar Report_Base'!AG9</f>
        <v>0</v>
      </c>
      <c r="AH9" s="191">
        <f>+'Solar Report_Base'!AH9</f>
        <v>0</v>
      </c>
      <c r="AI9" s="23">
        <f t="shared" si="0"/>
        <v>4124</v>
      </c>
    </row>
    <row r="10" spans="1:35" x14ac:dyDescent="0.25">
      <c r="B10" s="21" t="s">
        <v>12</v>
      </c>
      <c r="C10" s="1" t="s">
        <v>6</v>
      </c>
      <c r="D10" s="18">
        <f>+'Solar Report_Base'!D10</f>
        <v>170</v>
      </c>
      <c r="E10" s="18">
        <f>+'Solar Report_Base'!E10</f>
        <v>187</v>
      </c>
      <c r="F10" s="18">
        <f>+'Solar Report_Base'!F10</f>
        <v>230</v>
      </c>
      <c r="G10" s="18">
        <f>+'Solar Report_Base'!G10</f>
        <v>273</v>
      </c>
      <c r="H10" s="18">
        <f>+'Solar Report_Base'!H10</f>
        <v>333</v>
      </c>
      <c r="I10" s="18">
        <f>+'Solar Report_Base'!I10</f>
        <v>342</v>
      </c>
      <c r="J10" s="18">
        <f>+'Solar Report_Base'!J10</f>
        <v>219</v>
      </c>
      <c r="K10" s="18">
        <f>+'Solar Report_Base'!K10</f>
        <v>364</v>
      </c>
      <c r="L10" s="18">
        <f>+'Solar Report_Base'!L10</f>
        <v>373</v>
      </c>
      <c r="M10" s="18">
        <f>+'Solar Report_Base'!M10</f>
        <v>360</v>
      </c>
      <c r="N10" s="18">
        <f>+'Solar Report_Base'!N10</f>
        <v>268</v>
      </c>
      <c r="O10" s="18">
        <f>+'Solar Report_Base'!O10</f>
        <v>360</v>
      </c>
      <c r="P10" s="18">
        <f>+'Solar Report_Base'!P10</f>
        <v>308</v>
      </c>
      <c r="Q10" s="18">
        <f>+'Solar Report_Base'!Q10</f>
        <v>313</v>
      </c>
      <c r="R10" s="18">
        <f>+'Solar Report_Base'!R10</f>
        <v>0</v>
      </c>
      <c r="S10" s="191">
        <f>+'Solar Report_Base'!S10</f>
        <v>0</v>
      </c>
      <c r="T10" s="191">
        <f>+'Solar Report_Base'!T10</f>
        <v>0</v>
      </c>
      <c r="U10" s="191">
        <f>+'Solar Report_Base'!U10</f>
        <v>0</v>
      </c>
      <c r="V10" s="191">
        <f>+'Solar Report_Base'!V10</f>
        <v>0</v>
      </c>
      <c r="W10" s="191">
        <f>+'Solar Report_Base'!W10</f>
        <v>0</v>
      </c>
      <c r="X10" s="191">
        <f>+'Solar Report_Base'!X10</f>
        <v>0</v>
      </c>
      <c r="Y10" s="191">
        <f>+'Solar Report_Base'!Y10</f>
        <v>0</v>
      </c>
      <c r="Z10" s="191">
        <f>+'Solar Report_Base'!Z10</f>
        <v>0</v>
      </c>
      <c r="AA10" s="191">
        <f>+'Solar Report_Base'!AA10</f>
        <v>0</v>
      </c>
      <c r="AB10" s="191">
        <f>+'Solar Report_Base'!AB10</f>
        <v>0</v>
      </c>
      <c r="AC10" s="191">
        <f>+'Solar Report_Base'!AC10</f>
        <v>0</v>
      </c>
      <c r="AD10" s="191">
        <f>+'Solar Report_Base'!AD10</f>
        <v>0</v>
      </c>
      <c r="AE10" s="191">
        <f>+'Solar Report_Base'!AE10</f>
        <v>0</v>
      </c>
      <c r="AF10" s="191">
        <f>+'Solar Report_Base'!AF10</f>
        <v>0</v>
      </c>
      <c r="AG10" s="191">
        <f>+'Solar Report_Base'!AG10</f>
        <v>0</v>
      </c>
      <c r="AH10" s="191">
        <f>+'Solar Report_Base'!AH10</f>
        <v>0</v>
      </c>
      <c r="AI10" s="23">
        <f t="shared" si="0"/>
        <v>4100</v>
      </c>
    </row>
    <row r="11" spans="1:35" x14ac:dyDescent="0.25">
      <c r="B11" s="21" t="s">
        <v>13</v>
      </c>
      <c r="C11" s="1" t="s">
        <v>6</v>
      </c>
      <c r="D11" s="18">
        <f>+'Solar Report_Base'!D11</f>
        <v>184</v>
      </c>
      <c r="E11" s="18">
        <f>+'Solar Report_Base'!E11</f>
        <v>185</v>
      </c>
      <c r="F11" s="18">
        <f>+'Solar Report_Base'!F11</f>
        <v>234</v>
      </c>
      <c r="G11" s="18">
        <f>+'Solar Report_Base'!G11</f>
        <v>274</v>
      </c>
      <c r="H11" s="18">
        <f>+'Solar Report_Base'!H11</f>
        <v>335</v>
      </c>
      <c r="I11" s="18">
        <f>+'Solar Report_Base'!I11</f>
        <v>343</v>
      </c>
      <c r="J11" s="18">
        <f>+'Solar Report_Base'!J11</f>
        <v>236</v>
      </c>
      <c r="K11" s="18">
        <f>+'Solar Report_Base'!K11</f>
        <v>366</v>
      </c>
      <c r="L11" s="18">
        <f>+'Solar Report_Base'!L11</f>
        <v>375</v>
      </c>
      <c r="M11" s="18">
        <f>+'Solar Report_Base'!M11</f>
        <v>363</v>
      </c>
      <c r="N11" s="18">
        <f>+'Solar Report_Base'!N11</f>
        <v>276</v>
      </c>
      <c r="O11" s="18">
        <f>+'Solar Report_Base'!O11</f>
        <v>360</v>
      </c>
      <c r="P11" s="18">
        <f>+'Solar Report_Base'!P11</f>
        <v>308</v>
      </c>
      <c r="Q11" s="18">
        <f>+'Solar Report_Base'!Q11</f>
        <v>314</v>
      </c>
      <c r="R11" s="18">
        <f>+'Solar Report_Base'!R11</f>
        <v>0</v>
      </c>
      <c r="S11" s="191">
        <f>+'Solar Report_Base'!S11</f>
        <v>0</v>
      </c>
      <c r="T11" s="191">
        <f>+'Solar Report_Base'!T11</f>
        <v>0</v>
      </c>
      <c r="U11" s="191">
        <f>+'Solar Report_Base'!U11</f>
        <v>0</v>
      </c>
      <c r="V11" s="191">
        <f>+'Solar Report_Base'!V11</f>
        <v>0</v>
      </c>
      <c r="W11" s="191">
        <f>+'Solar Report_Base'!W11</f>
        <v>0</v>
      </c>
      <c r="X11" s="191">
        <f>+'Solar Report_Base'!X11</f>
        <v>0</v>
      </c>
      <c r="Y11" s="191">
        <f>+'Solar Report_Base'!Y11</f>
        <v>0</v>
      </c>
      <c r="Z11" s="191">
        <f>+'Solar Report_Base'!Z11</f>
        <v>0</v>
      </c>
      <c r="AA11" s="191">
        <f>+'Solar Report_Base'!AA11</f>
        <v>0</v>
      </c>
      <c r="AB11" s="191">
        <f>+'Solar Report_Base'!AB11</f>
        <v>0</v>
      </c>
      <c r="AC11" s="191">
        <f>+'Solar Report_Base'!AC11</f>
        <v>0</v>
      </c>
      <c r="AD11" s="191">
        <f>+'Solar Report_Base'!AD11</f>
        <v>0</v>
      </c>
      <c r="AE11" s="191">
        <f>+'Solar Report_Base'!AE11</f>
        <v>0</v>
      </c>
      <c r="AF11" s="191">
        <f>+'Solar Report_Base'!AF11</f>
        <v>0</v>
      </c>
      <c r="AG11" s="191">
        <f>+'Solar Report_Base'!AG11</f>
        <v>0</v>
      </c>
      <c r="AH11" s="191">
        <f>+'Solar Report_Base'!AH11</f>
        <v>0</v>
      </c>
      <c r="AI11" s="23">
        <f t="shared" si="0"/>
        <v>4153</v>
      </c>
    </row>
    <row r="12" spans="1:35" x14ac:dyDescent="0.25">
      <c r="B12" s="21" t="s">
        <v>14</v>
      </c>
      <c r="C12" s="1" t="s">
        <v>6</v>
      </c>
      <c r="D12" s="18">
        <f>+'Solar Report_Base'!D12</f>
        <v>168</v>
      </c>
      <c r="E12" s="18">
        <f>+'Solar Report_Base'!E12</f>
        <v>180</v>
      </c>
      <c r="F12" s="18">
        <f>+'Solar Report_Base'!F12</f>
        <v>230</v>
      </c>
      <c r="G12" s="18">
        <f>+'Solar Report_Base'!G12</f>
        <v>272</v>
      </c>
      <c r="H12" s="18">
        <f>+'Solar Report_Base'!H12</f>
        <v>333</v>
      </c>
      <c r="I12" s="18">
        <f>+'Solar Report_Base'!I12</f>
        <v>341</v>
      </c>
      <c r="J12" s="18">
        <f>+'Solar Report_Base'!J12</f>
        <v>220</v>
      </c>
      <c r="K12" s="18">
        <f>+'Solar Report_Base'!K12</f>
        <v>363</v>
      </c>
      <c r="L12" s="18">
        <f>+'Solar Report_Base'!L12</f>
        <v>373</v>
      </c>
      <c r="M12" s="18">
        <f>+'Solar Report_Base'!M12</f>
        <v>360</v>
      </c>
      <c r="N12" s="18">
        <f>+'Solar Report_Base'!N12</f>
        <v>267</v>
      </c>
      <c r="O12" s="18">
        <f>+'Solar Report_Base'!O12</f>
        <v>354</v>
      </c>
      <c r="P12" s="18">
        <f>+'Solar Report_Base'!P12</f>
        <v>302</v>
      </c>
      <c r="Q12" s="18">
        <f>+'Solar Report_Base'!Q12</f>
        <v>310</v>
      </c>
      <c r="R12" s="18">
        <f>+'Solar Report_Base'!R12</f>
        <v>0</v>
      </c>
      <c r="S12" s="191">
        <f>+'Solar Report_Base'!S12</f>
        <v>0</v>
      </c>
      <c r="T12" s="191">
        <f>+'Solar Report_Base'!T12</f>
        <v>0</v>
      </c>
      <c r="U12" s="191">
        <f>+'Solar Report_Base'!U12</f>
        <v>0</v>
      </c>
      <c r="V12" s="191">
        <f>+'Solar Report_Base'!V12</f>
        <v>0</v>
      </c>
      <c r="W12" s="191">
        <f>+'Solar Report_Base'!W12</f>
        <v>0</v>
      </c>
      <c r="X12" s="191">
        <f>+'Solar Report_Base'!X12</f>
        <v>0</v>
      </c>
      <c r="Y12" s="191">
        <f>+'Solar Report_Base'!Y12</f>
        <v>0</v>
      </c>
      <c r="Z12" s="191">
        <f>+'Solar Report_Base'!Z12</f>
        <v>0</v>
      </c>
      <c r="AA12" s="191">
        <f>+'Solar Report_Base'!AA12</f>
        <v>0</v>
      </c>
      <c r="AB12" s="191">
        <f>+'Solar Report_Base'!AB12</f>
        <v>0</v>
      </c>
      <c r="AC12" s="191">
        <f>+'Solar Report_Base'!AC12</f>
        <v>0</v>
      </c>
      <c r="AD12" s="191">
        <f>+'Solar Report_Base'!AD12</f>
        <v>0</v>
      </c>
      <c r="AE12" s="191">
        <f>+'Solar Report_Base'!AE12</f>
        <v>0</v>
      </c>
      <c r="AF12" s="191">
        <f>+'Solar Report_Base'!AF12</f>
        <v>0</v>
      </c>
      <c r="AG12" s="191">
        <f>+'Solar Report_Base'!AG12</f>
        <v>0</v>
      </c>
      <c r="AH12" s="191">
        <f>+'Solar Report_Base'!AH12</f>
        <v>0</v>
      </c>
      <c r="AI12" s="23">
        <f t="shared" si="0"/>
        <v>4073</v>
      </c>
    </row>
    <row r="13" spans="1:35" x14ac:dyDescent="0.25">
      <c r="B13" s="21" t="s">
        <v>15</v>
      </c>
      <c r="C13" s="1" t="s">
        <v>6</v>
      </c>
      <c r="D13" s="18">
        <f>+'Solar Report_Base'!D13</f>
        <v>168</v>
      </c>
      <c r="E13" s="18">
        <f>+'Solar Report_Base'!E13</f>
        <v>179</v>
      </c>
      <c r="F13" s="18">
        <f>+'Solar Report_Base'!F13</f>
        <v>228</v>
      </c>
      <c r="G13" s="18">
        <f>+'Solar Report_Base'!G13</f>
        <v>270</v>
      </c>
      <c r="H13" s="18">
        <f>+'Solar Report_Base'!H13</f>
        <v>331</v>
      </c>
      <c r="I13" s="18">
        <f>+'Solar Report_Base'!I13</f>
        <v>339</v>
      </c>
      <c r="J13" s="18">
        <f>+'Solar Report_Base'!J13</f>
        <v>215</v>
      </c>
      <c r="K13" s="18">
        <f>+'Solar Report_Base'!K13</f>
        <v>359</v>
      </c>
      <c r="L13" s="18">
        <f>+'Solar Report_Base'!L13</f>
        <v>370</v>
      </c>
      <c r="M13" s="18">
        <f>+'Solar Report_Base'!M13</f>
        <v>357</v>
      </c>
      <c r="N13" s="18">
        <f>+'Solar Report_Base'!N13</f>
        <v>265</v>
      </c>
      <c r="O13" s="18">
        <f>+'Solar Report_Base'!O13</f>
        <v>355</v>
      </c>
      <c r="P13" s="18">
        <f>+'Solar Report_Base'!P13</f>
        <v>304</v>
      </c>
      <c r="Q13" s="18">
        <f>+'Solar Report_Base'!Q13</f>
        <v>308</v>
      </c>
      <c r="R13" s="18">
        <f>+'Solar Report_Base'!R13</f>
        <v>0</v>
      </c>
      <c r="S13" s="191">
        <f>+'Solar Report_Base'!S13</f>
        <v>0</v>
      </c>
      <c r="T13" s="191">
        <f>+'Solar Report_Base'!T13</f>
        <v>0</v>
      </c>
      <c r="U13" s="191">
        <f>+'Solar Report_Base'!U13</f>
        <v>0</v>
      </c>
      <c r="V13" s="191">
        <f>+'Solar Report_Base'!V13</f>
        <v>0</v>
      </c>
      <c r="W13" s="191">
        <f>+'Solar Report_Base'!W13</f>
        <v>0</v>
      </c>
      <c r="X13" s="191">
        <f>+'Solar Report_Base'!X13</f>
        <v>0</v>
      </c>
      <c r="Y13" s="191">
        <f>+'Solar Report_Base'!Y13</f>
        <v>0</v>
      </c>
      <c r="Z13" s="191">
        <f>+'Solar Report_Base'!Z13</f>
        <v>0</v>
      </c>
      <c r="AA13" s="191">
        <f>+'Solar Report_Base'!AA13</f>
        <v>0</v>
      </c>
      <c r="AB13" s="191">
        <f>+'Solar Report_Base'!AB13</f>
        <v>0</v>
      </c>
      <c r="AC13" s="191">
        <f>+'Solar Report_Base'!AC13</f>
        <v>0</v>
      </c>
      <c r="AD13" s="191">
        <f>+'Solar Report_Base'!AD13</f>
        <v>0</v>
      </c>
      <c r="AE13" s="191">
        <f>+'Solar Report_Base'!AE13</f>
        <v>0</v>
      </c>
      <c r="AF13" s="191">
        <f>+'Solar Report_Base'!AF13</f>
        <v>0</v>
      </c>
      <c r="AG13" s="191">
        <f>+'Solar Report_Base'!AG13</f>
        <v>0</v>
      </c>
      <c r="AH13" s="191">
        <f>+'Solar Report_Base'!AH13</f>
        <v>0</v>
      </c>
      <c r="AI13" s="23">
        <f t="shared" si="0"/>
        <v>4048</v>
      </c>
    </row>
    <row r="14" spans="1:35" x14ac:dyDescent="0.25">
      <c r="B14" s="21" t="s">
        <v>16</v>
      </c>
      <c r="C14" s="1" t="s">
        <v>6</v>
      </c>
      <c r="D14" s="18">
        <f>+'Solar Report_Base'!D14</f>
        <v>167</v>
      </c>
      <c r="E14" s="18">
        <f>+'Solar Report_Base'!E14</f>
        <v>176</v>
      </c>
      <c r="F14" s="18">
        <f>+'Solar Report_Base'!F14</f>
        <v>226</v>
      </c>
      <c r="G14" s="18">
        <f>+'Solar Report_Base'!G14</f>
        <v>268</v>
      </c>
      <c r="H14" s="18">
        <f>+'Solar Report_Base'!H14</f>
        <v>329</v>
      </c>
      <c r="I14" s="18">
        <f>+'Solar Report_Base'!I14</f>
        <v>335</v>
      </c>
      <c r="J14" s="18">
        <f>+'Solar Report_Base'!J14</f>
        <v>213</v>
      </c>
      <c r="K14" s="18">
        <f>+'Solar Report_Base'!K14</f>
        <v>355</v>
      </c>
      <c r="L14" s="18">
        <f>+'Solar Report_Base'!L14</f>
        <v>368</v>
      </c>
      <c r="M14" s="18">
        <f>+'Solar Report_Base'!M14</f>
        <v>354</v>
      </c>
      <c r="N14" s="18">
        <f>+'Solar Report_Base'!N14</f>
        <v>259</v>
      </c>
      <c r="O14" s="18">
        <f>+'Solar Report_Base'!O14</f>
        <v>354</v>
      </c>
      <c r="P14" s="18">
        <f>+'Solar Report_Base'!P14</f>
        <v>304</v>
      </c>
      <c r="Q14" s="18">
        <f>+'Solar Report_Base'!Q14</f>
        <v>302</v>
      </c>
      <c r="R14" s="18">
        <f>+'Solar Report_Base'!R14</f>
        <v>0</v>
      </c>
      <c r="S14" s="191">
        <f>+'Solar Report_Base'!S14</f>
        <v>0</v>
      </c>
      <c r="T14" s="191">
        <f>+'Solar Report_Base'!T14</f>
        <v>0</v>
      </c>
      <c r="U14" s="191">
        <f>+'Solar Report_Base'!U14</f>
        <v>0</v>
      </c>
      <c r="V14" s="191">
        <f>+'Solar Report_Base'!V14</f>
        <v>0</v>
      </c>
      <c r="W14" s="191">
        <f>+'Solar Report_Base'!W14</f>
        <v>0</v>
      </c>
      <c r="X14" s="191">
        <f>+'Solar Report_Base'!X14</f>
        <v>0</v>
      </c>
      <c r="Y14" s="191">
        <f>+'Solar Report_Base'!Y14</f>
        <v>0</v>
      </c>
      <c r="Z14" s="191">
        <f>+'Solar Report_Base'!Z14</f>
        <v>0</v>
      </c>
      <c r="AA14" s="191">
        <f>+'Solar Report_Base'!AA14</f>
        <v>0</v>
      </c>
      <c r="AB14" s="191">
        <f>+'Solar Report_Base'!AB14</f>
        <v>0</v>
      </c>
      <c r="AC14" s="191">
        <f>+'Solar Report_Base'!AC14</f>
        <v>0</v>
      </c>
      <c r="AD14" s="191">
        <f>+'Solar Report_Base'!AD14</f>
        <v>0</v>
      </c>
      <c r="AE14" s="191">
        <f>+'Solar Report_Base'!AE14</f>
        <v>0</v>
      </c>
      <c r="AF14" s="191">
        <f>+'Solar Report_Base'!AF14</f>
        <v>0</v>
      </c>
      <c r="AG14" s="191">
        <f>+'Solar Report_Base'!AG14</f>
        <v>0</v>
      </c>
      <c r="AH14" s="191">
        <f>+'Solar Report_Base'!AH14</f>
        <v>0</v>
      </c>
      <c r="AI14" s="23">
        <f t="shared" si="0"/>
        <v>4010</v>
      </c>
    </row>
    <row r="15" spans="1:35" x14ac:dyDescent="0.25">
      <c r="B15" s="21" t="s">
        <v>17</v>
      </c>
      <c r="C15" s="1" t="s">
        <v>6</v>
      </c>
      <c r="D15" s="18">
        <f>+'Solar Report_Base'!D15</f>
        <v>167</v>
      </c>
      <c r="E15" s="18">
        <f>+'Solar Report_Base'!E15</f>
        <v>178</v>
      </c>
      <c r="F15" s="18">
        <f>+'Solar Report_Base'!F15</f>
        <v>229</v>
      </c>
      <c r="G15" s="18">
        <f>+'Solar Report_Base'!G15</f>
        <v>271</v>
      </c>
      <c r="H15" s="18">
        <f>+'Solar Report_Base'!H15</f>
        <v>331</v>
      </c>
      <c r="I15" s="18">
        <f>+'Solar Report_Base'!I15</f>
        <v>339</v>
      </c>
      <c r="J15" s="18">
        <f>+'Solar Report_Base'!J15</f>
        <v>215</v>
      </c>
      <c r="K15" s="18">
        <f>+'Solar Report_Base'!K15</f>
        <v>359</v>
      </c>
      <c r="L15" s="18">
        <f>+'Solar Report_Base'!L15</f>
        <v>371</v>
      </c>
      <c r="M15" s="18">
        <f>+'Solar Report_Base'!M15</f>
        <v>357</v>
      </c>
      <c r="N15" s="18">
        <f>+'Solar Report_Base'!N15</f>
        <v>260</v>
      </c>
      <c r="O15" s="18">
        <f>+'Solar Report_Base'!O15</f>
        <v>358</v>
      </c>
      <c r="P15" s="18">
        <f>+'Solar Report_Base'!P15</f>
        <v>308</v>
      </c>
      <c r="Q15" s="18">
        <f>+'Solar Report_Base'!Q15</f>
        <v>307</v>
      </c>
      <c r="R15" s="18">
        <f>+'Solar Report_Base'!R15</f>
        <v>0</v>
      </c>
      <c r="S15" s="191">
        <f>+'Solar Report_Base'!S15</f>
        <v>0</v>
      </c>
      <c r="T15" s="191">
        <f>+'Solar Report_Base'!T15</f>
        <v>0</v>
      </c>
      <c r="U15" s="191">
        <f>+'Solar Report_Base'!U15</f>
        <v>0</v>
      </c>
      <c r="V15" s="191">
        <f>+'Solar Report_Base'!V15</f>
        <v>0</v>
      </c>
      <c r="W15" s="191">
        <f>+'Solar Report_Base'!W15</f>
        <v>0</v>
      </c>
      <c r="X15" s="191">
        <f>+'Solar Report_Base'!X15</f>
        <v>0</v>
      </c>
      <c r="Y15" s="191">
        <f>+'Solar Report_Base'!Y15</f>
        <v>0</v>
      </c>
      <c r="Z15" s="191">
        <f>+'Solar Report_Base'!Z15</f>
        <v>0</v>
      </c>
      <c r="AA15" s="191">
        <f>+'Solar Report_Base'!AA15</f>
        <v>0</v>
      </c>
      <c r="AB15" s="191">
        <f>+'Solar Report_Base'!AB15</f>
        <v>0</v>
      </c>
      <c r="AC15" s="191">
        <f>+'Solar Report_Base'!AC15</f>
        <v>0</v>
      </c>
      <c r="AD15" s="191">
        <f>+'Solar Report_Base'!AD15</f>
        <v>0</v>
      </c>
      <c r="AE15" s="191">
        <f>+'Solar Report_Base'!AE15</f>
        <v>0</v>
      </c>
      <c r="AF15" s="191">
        <f>+'Solar Report_Base'!AF15</f>
        <v>0</v>
      </c>
      <c r="AG15" s="191">
        <f>+'Solar Report_Base'!AG15</f>
        <v>0</v>
      </c>
      <c r="AH15" s="191">
        <f>+'Solar Report_Base'!AH15</f>
        <v>0</v>
      </c>
      <c r="AI15" s="23">
        <f t="shared" si="0"/>
        <v>4050</v>
      </c>
    </row>
    <row r="16" spans="1:35" x14ac:dyDescent="0.25">
      <c r="B16" s="21" t="s">
        <v>18</v>
      </c>
      <c r="C16" s="1" t="s">
        <v>6</v>
      </c>
      <c r="D16" s="18">
        <f>+'Solar Report_Base'!D16</f>
        <v>168</v>
      </c>
      <c r="E16" s="18">
        <f>+'Solar Report_Base'!E16</f>
        <v>178</v>
      </c>
      <c r="F16" s="18">
        <f>+'Solar Report_Base'!F16</f>
        <v>231</v>
      </c>
      <c r="G16" s="18">
        <f>+'Solar Report_Base'!G16</f>
        <v>273</v>
      </c>
      <c r="H16" s="18">
        <f>+'Solar Report_Base'!H16</f>
        <v>334</v>
      </c>
      <c r="I16" s="18">
        <f>+'Solar Report_Base'!I16</f>
        <v>341</v>
      </c>
      <c r="J16" s="18">
        <f>+'Solar Report_Base'!J16</f>
        <v>216</v>
      </c>
      <c r="K16" s="18">
        <f>+'Solar Report_Base'!K16</f>
        <v>362</v>
      </c>
      <c r="L16" s="18">
        <f>+'Solar Report_Base'!L16</f>
        <v>375</v>
      </c>
      <c r="M16" s="18">
        <f>+'Solar Report_Base'!M16</f>
        <v>359</v>
      </c>
      <c r="N16" s="18">
        <f>+'Solar Report_Base'!N16</f>
        <v>262</v>
      </c>
      <c r="O16" s="18">
        <f>+'Solar Report_Base'!O16</f>
        <v>360</v>
      </c>
      <c r="P16" s="18">
        <f>+'Solar Report_Base'!P16</f>
        <v>311</v>
      </c>
      <c r="Q16" s="18">
        <f>+'Solar Report_Base'!Q16</f>
        <v>308</v>
      </c>
      <c r="R16" s="18">
        <f>+'Solar Report_Base'!R16</f>
        <v>0</v>
      </c>
      <c r="S16" s="191">
        <f>+'Solar Report_Base'!S16</f>
        <v>0</v>
      </c>
      <c r="T16" s="191">
        <f>+'Solar Report_Base'!T16</f>
        <v>0</v>
      </c>
      <c r="U16" s="191">
        <f>+'Solar Report_Base'!U16</f>
        <v>0</v>
      </c>
      <c r="V16" s="191">
        <f>+'Solar Report_Base'!V16</f>
        <v>0</v>
      </c>
      <c r="W16" s="191">
        <f>+'Solar Report_Base'!W16</f>
        <v>0</v>
      </c>
      <c r="X16" s="191">
        <f>+'Solar Report_Base'!X16</f>
        <v>0</v>
      </c>
      <c r="Y16" s="191">
        <f>+'Solar Report_Base'!Y16</f>
        <v>0</v>
      </c>
      <c r="Z16" s="191">
        <f>+'Solar Report_Base'!Z16</f>
        <v>0</v>
      </c>
      <c r="AA16" s="191">
        <f>+'Solar Report_Base'!AA16</f>
        <v>0</v>
      </c>
      <c r="AB16" s="191">
        <f>+'Solar Report_Base'!AB16</f>
        <v>0</v>
      </c>
      <c r="AC16" s="191">
        <f>+'Solar Report_Base'!AC16</f>
        <v>0</v>
      </c>
      <c r="AD16" s="191">
        <f>+'Solar Report_Base'!AD16</f>
        <v>0</v>
      </c>
      <c r="AE16" s="191">
        <f>+'Solar Report_Base'!AE16</f>
        <v>0</v>
      </c>
      <c r="AF16" s="191">
        <f>+'Solar Report_Base'!AF16</f>
        <v>0</v>
      </c>
      <c r="AG16" s="191">
        <f>+'Solar Report_Base'!AG16</f>
        <v>0</v>
      </c>
      <c r="AH16" s="191">
        <f>+'Solar Report_Base'!AH16</f>
        <v>0</v>
      </c>
      <c r="AI16" s="23">
        <f t="shared" si="0"/>
        <v>4078</v>
      </c>
    </row>
    <row r="17" spans="1:36" x14ac:dyDescent="0.25">
      <c r="B17" s="21" t="s">
        <v>19</v>
      </c>
      <c r="C17" s="1" t="s">
        <v>6</v>
      </c>
      <c r="D17" s="18">
        <f>+'Solar Report_Base'!D17</f>
        <v>0</v>
      </c>
      <c r="E17" s="18">
        <f>+'Solar Report_Base'!E17</f>
        <v>0</v>
      </c>
      <c r="F17" s="18">
        <f>+'Solar Report_Base'!F17</f>
        <v>0</v>
      </c>
      <c r="G17" s="18">
        <f>+'Solar Report_Base'!G17</f>
        <v>0</v>
      </c>
      <c r="H17" s="18">
        <f>+'Solar Report_Base'!H17</f>
        <v>0</v>
      </c>
      <c r="I17" s="18">
        <f>+'Solar Report_Base'!I17</f>
        <v>0</v>
      </c>
      <c r="J17" s="18">
        <f>+'Solar Report_Base'!J17</f>
        <v>0</v>
      </c>
      <c r="K17" s="18">
        <f>+'Solar Report_Base'!K17</f>
        <v>0</v>
      </c>
      <c r="L17" s="18">
        <f>+'Solar Report_Base'!L17</f>
        <v>0</v>
      </c>
      <c r="M17" s="18">
        <f>+'Solar Report_Base'!M17</f>
        <v>0</v>
      </c>
      <c r="N17" s="18">
        <f>+'Solar Report_Base'!N17</f>
        <v>0</v>
      </c>
      <c r="O17" s="18">
        <f>+'Solar Report_Base'!O17</f>
        <v>0</v>
      </c>
      <c r="P17" s="18">
        <f>+'Solar Report_Base'!P17</f>
        <v>0</v>
      </c>
      <c r="Q17" s="18">
        <f>+'Solar Report_Base'!Q17</f>
        <v>0</v>
      </c>
      <c r="R17" s="18">
        <f>+'Solar Report_Base'!R17</f>
        <v>0</v>
      </c>
      <c r="S17" s="191">
        <f>+'Solar Report_Base'!S17</f>
        <v>0</v>
      </c>
      <c r="T17" s="191">
        <f>+'Solar Report_Base'!T17</f>
        <v>0</v>
      </c>
      <c r="U17" s="191">
        <f>+'Solar Report_Base'!U17</f>
        <v>0</v>
      </c>
      <c r="V17" s="191">
        <f>+'Solar Report_Base'!V17</f>
        <v>0</v>
      </c>
      <c r="W17" s="191">
        <f>+'Solar Report_Base'!W17</f>
        <v>0</v>
      </c>
      <c r="X17" s="191">
        <f>+'Solar Report_Base'!X17</f>
        <v>0</v>
      </c>
      <c r="Y17" s="191">
        <f>+'Solar Report_Base'!Y17</f>
        <v>0</v>
      </c>
      <c r="Z17" s="191">
        <f>+'Solar Report_Base'!Z17</f>
        <v>0</v>
      </c>
      <c r="AA17" s="191">
        <f>+'Solar Report_Base'!AA17</f>
        <v>0</v>
      </c>
      <c r="AB17" s="191">
        <f>+'Solar Report_Base'!AB17</f>
        <v>0</v>
      </c>
      <c r="AC17" s="191">
        <f>+'Solar Report_Base'!AC17</f>
        <v>0</v>
      </c>
      <c r="AD17" s="191">
        <f>+'Solar Report_Base'!AD17</f>
        <v>0</v>
      </c>
      <c r="AE17" s="191">
        <f>+'Solar Report_Base'!AE17</f>
        <v>0</v>
      </c>
      <c r="AF17" s="191">
        <f>+'Solar Report_Base'!AF17</f>
        <v>0</v>
      </c>
      <c r="AG17" s="191">
        <f>+'Solar Report_Base'!AG17</f>
        <v>0</v>
      </c>
      <c r="AH17" s="191">
        <f>+'Solar Report_Base'!AH17</f>
        <v>0</v>
      </c>
      <c r="AI17" s="23">
        <f t="shared" si="0"/>
        <v>0</v>
      </c>
    </row>
    <row r="18" spans="1:36" x14ac:dyDescent="0.25">
      <c r="B18" s="21" t="s">
        <v>20</v>
      </c>
      <c r="C18" s="1" t="s">
        <v>6</v>
      </c>
      <c r="D18" s="18">
        <f>+'Solar Report_Base'!D18</f>
        <v>168</v>
      </c>
      <c r="E18" s="18">
        <f>+'Solar Report_Base'!E18</f>
        <v>179</v>
      </c>
      <c r="F18" s="18">
        <f>+'Solar Report_Base'!F18</f>
        <v>231</v>
      </c>
      <c r="G18" s="18">
        <f>+'Solar Report_Base'!G18</f>
        <v>275</v>
      </c>
      <c r="H18" s="18">
        <f>+'Solar Report_Base'!H18</f>
        <v>335</v>
      </c>
      <c r="I18" s="18">
        <f>+'Solar Report_Base'!I18</f>
        <v>343</v>
      </c>
      <c r="J18" s="18">
        <f>+'Solar Report_Base'!J18</f>
        <v>217</v>
      </c>
      <c r="K18" s="18">
        <f>+'Solar Report_Base'!K18</f>
        <v>364</v>
      </c>
      <c r="L18" s="18">
        <f>+'Solar Report_Base'!L18</f>
        <v>376</v>
      </c>
      <c r="M18" s="18">
        <f>+'Solar Report_Base'!M18</f>
        <v>361</v>
      </c>
      <c r="N18" s="18">
        <f>+'Solar Report_Base'!N18</f>
        <v>263</v>
      </c>
      <c r="O18" s="18">
        <f>+'Solar Report_Base'!O18</f>
        <v>360</v>
      </c>
      <c r="P18" s="18">
        <f>+'Solar Report_Base'!P18</f>
        <v>311</v>
      </c>
      <c r="Q18" s="18">
        <f>+'Solar Report_Base'!Q18</f>
        <v>309</v>
      </c>
      <c r="R18" s="18">
        <f>+'Solar Report_Base'!R18</f>
        <v>0</v>
      </c>
      <c r="S18" s="191">
        <f>+'Solar Report_Base'!S18</f>
        <v>0</v>
      </c>
      <c r="T18" s="191">
        <f>+'Solar Report_Base'!T18</f>
        <v>0</v>
      </c>
      <c r="U18" s="191">
        <f>+'Solar Report_Base'!U18</f>
        <v>0</v>
      </c>
      <c r="V18" s="191">
        <f>+'Solar Report_Base'!V18</f>
        <v>0</v>
      </c>
      <c r="W18" s="191">
        <f>+'Solar Report_Base'!W18</f>
        <v>0</v>
      </c>
      <c r="X18" s="191">
        <f>+'Solar Report_Base'!X18</f>
        <v>0</v>
      </c>
      <c r="Y18" s="191">
        <f>+'Solar Report_Base'!Y18</f>
        <v>0</v>
      </c>
      <c r="Z18" s="191">
        <f>+'Solar Report_Base'!Z18</f>
        <v>0</v>
      </c>
      <c r="AA18" s="191">
        <f>+'Solar Report_Base'!AA18</f>
        <v>0</v>
      </c>
      <c r="AB18" s="191">
        <f>+'Solar Report_Base'!AB18</f>
        <v>0</v>
      </c>
      <c r="AC18" s="191">
        <f>+'Solar Report_Base'!AC18</f>
        <v>0</v>
      </c>
      <c r="AD18" s="191">
        <f>+'Solar Report_Base'!AD18</f>
        <v>0</v>
      </c>
      <c r="AE18" s="191">
        <f>+'Solar Report_Base'!AE18</f>
        <v>0</v>
      </c>
      <c r="AF18" s="191">
        <f>+'Solar Report_Base'!AF18</f>
        <v>0</v>
      </c>
      <c r="AG18" s="191">
        <f>+'Solar Report_Base'!AG18</f>
        <v>0</v>
      </c>
      <c r="AH18" s="191">
        <f>+'Solar Report_Base'!AH18</f>
        <v>0</v>
      </c>
      <c r="AI18" s="23">
        <f t="shared" si="0"/>
        <v>4092</v>
      </c>
    </row>
    <row r="19" spans="1:36" x14ac:dyDescent="0.25">
      <c r="B19" s="21" t="s">
        <v>21</v>
      </c>
      <c r="C19" s="1" t="s">
        <v>6</v>
      </c>
      <c r="D19" s="18">
        <f>+'Solar Report_Base'!D19</f>
        <v>168</v>
      </c>
      <c r="E19" s="18">
        <f>+'Solar Report_Base'!E19</f>
        <v>179</v>
      </c>
      <c r="F19" s="18">
        <f>+'Solar Report_Base'!F19</f>
        <v>232</v>
      </c>
      <c r="G19" s="18">
        <f>+'Solar Report_Base'!G19</f>
        <v>275</v>
      </c>
      <c r="H19" s="18">
        <f>+'Solar Report_Base'!H19</f>
        <v>337</v>
      </c>
      <c r="I19" s="18">
        <f>+'Solar Report_Base'!I19</f>
        <v>343</v>
      </c>
      <c r="J19" s="18">
        <f>+'Solar Report_Base'!J19</f>
        <v>218</v>
      </c>
      <c r="K19" s="18">
        <f>+'Solar Report_Base'!K19</f>
        <v>364</v>
      </c>
      <c r="L19" s="18">
        <f>+'Solar Report_Base'!L19</f>
        <v>375</v>
      </c>
      <c r="M19" s="18">
        <f>+'Solar Report_Base'!M19</f>
        <v>362</v>
      </c>
      <c r="N19" s="18">
        <f>+'Solar Report_Base'!N19</f>
        <v>263</v>
      </c>
      <c r="O19" s="18">
        <f>+'Solar Report_Base'!O19</f>
        <v>359</v>
      </c>
      <c r="P19" s="18">
        <f>+'Solar Report_Base'!P19</f>
        <v>312</v>
      </c>
      <c r="Q19" s="18">
        <f>+'Solar Report_Base'!Q19</f>
        <v>311</v>
      </c>
      <c r="R19" s="18">
        <f>+'Solar Report_Base'!R19</f>
        <v>0</v>
      </c>
      <c r="S19" s="191">
        <f>+'Solar Report_Base'!S19</f>
        <v>0</v>
      </c>
      <c r="T19" s="191">
        <f>+'Solar Report_Base'!T19</f>
        <v>0</v>
      </c>
      <c r="U19" s="191">
        <f>+'Solar Report_Base'!U19</f>
        <v>0</v>
      </c>
      <c r="V19" s="191">
        <f>+'Solar Report_Base'!V19</f>
        <v>0</v>
      </c>
      <c r="W19" s="191">
        <f>+'Solar Report_Base'!W19</f>
        <v>0</v>
      </c>
      <c r="X19" s="191">
        <f>+'Solar Report_Base'!X19</f>
        <v>0</v>
      </c>
      <c r="Y19" s="191">
        <f>+'Solar Report_Base'!Y19</f>
        <v>0</v>
      </c>
      <c r="Z19" s="191">
        <f>+'Solar Report_Base'!Z19</f>
        <v>0</v>
      </c>
      <c r="AA19" s="191">
        <f>+'Solar Report_Base'!AA19</f>
        <v>0</v>
      </c>
      <c r="AB19" s="191">
        <f>+'Solar Report_Base'!AB19</f>
        <v>0</v>
      </c>
      <c r="AC19" s="191">
        <f>+'Solar Report_Base'!AC19</f>
        <v>0</v>
      </c>
      <c r="AD19" s="191">
        <f>+'Solar Report_Base'!AD19</f>
        <v>0</v>
      </c>
      <c r="AE19" s="191">
        <f>+'Solar Report_Base'!AE19</f>
        <v>0</v>
      </c>
      <c r="AF19" s="191">
        <f>+'Solar Report_Base'!AF19</f>
        <v>0</v>
      </c>
      <c r="AG19" s="191">
        <f>+'Solar Report_Base'!AG19</f>
        <v>0</v>
      </c>
      <c r="AH19" s="191">
        <f>+'Solar Report_Base'!AH19</f>
        <v>0</v>
      </c>
      <c r="AI19" s="23">
        <f t="shared" si="0"/>
        <v>4098</v>
      </c>
    </row>
    <row r="20" spans="1:36" x14ac:dyDescent="0.25">
      <c r="B20" s="21" t="s">
        <v>22</v>
      </c>
      <c r="C20" s="1" t="s">
        <v>6</v>
      </c>
      <c r="D20" s="18">
        <f>+'Solar Report_Base'!D20</f>
        <v>168</v>
      </c>
      <c r="E20" s="18">
        <f>+'Solar Report_Base'!E20</f>
        <v>180</v>
      </c>
      <c r="F20" s="18">
        <f>+'Solar Report_Base'!F20</f>
        <v>232</v>
      </c>
      <c r="G20" s="18">
        <f>+'Solar Report_Base'!G20</f>
        <v>277</v>
      </c>
      <c r="H20" s="18">
        <f>+'Solar Report_Base'!H20</f>
        <v>338</v>
      </c>
      <c r="I20" s="18">
        <f>+'Solar Report_Base'!I20</f>
        <v>345</v>
      </c>
      <c r="J20" s="18">
        <f>+'Solar Report_Base'!J20</f>
        <v>219</v>
      </c>
      <c r="K20" s="18">
        <f>+'Solar Report_Base'!K20</f>
        <v>367</v>
      </c>
      <c r="L20" s="18">
        <f>+'Solar Report_Base'!L20</f>
        <v>378</v>
      </c>
      <c r="M20" s="18">
        <f>+'Solar Report_Base'!M20</f>
        <v>365</v>
      </c>
      <c r="N20" s="18">
        <f>+'Solar Report_Base'!N20</f>
        <v>266</v>
      </c>
      <c r="O20" s="18">
        <f>+'Solar Report_Base'!O20</f>
        <v>358</v>
      </c>
      <c r="P20" s="18">
        <f>+'Solar Report_Base'!P20</f>
        <v>316</v>
      </c>
      <c r="Q20" s="18">
        <f>+'Solar Report_Base'!Q20</f>
        <v>315</v>
      </c>
      <c r="R20" s="18">
        <f>+'Solar Report_Base'!R20</f>
        <v>0</v>
      </c>
      <c r="S20" s="191">
        <f>+'Solar Report_Base'!S20</f>
        <v>0</v>
      </c>
      <c r="T20" s="191">
        <f>+'Solar Report_Base'!T20</f>
        <v>0</v>
      </c>
      <c r="U20" s="191">
        <f>+'Solar Report_Base'!U20</f>
        <v>0</v>
      </c>
      <c r="V20" s="191">
        <f>+'Solar Report_Base'!V20</f>
        <v>0</v>
      </c>
      <c r="W20" s="191">
        <f>+'Solar Report_Base'!W20</f>
        <v>0</v>
      </c>
      <c r="X20" s="191">
        <f>+'Solar Report_Base'!X20</f>
        <v>0</v>
      </c>
      <c r="Y20" s="191">
        <f>+'Solar Report_Base'!Y20</f>
        <v>0</v>
      </c>
      <c r="Z20" s="191">
        <f>+'Solar Report_Base'!Z20</f>
        <v>0</v>
      </c>
      <c r="AA20" s="191">
        <f>+'Solar Report_Base'!AA20</f>
        <v>0</v>
      </c>
      <c r="AB20" s="191">
        <f>+'Solar Report_Base'!AB20</f>
        <v>0</v>
      </c>
      <c r="AC20" s="191">
        <f>+'Solar Report_Base'!AC20</f>
        <v>0</v>
      </c>
      <c r="AD20" s="191">
        <f>+'Solar Report_Base'!AD20</f>
        <v>0</v>
      </c>
      <c r="AE20" s="191">
        <f>+'Solar Report_Base'!AE20</f>
        <v>0</v>
      </c>
      <c r="AF20" s="191">
        <f>+'Solar Report_Base'!AF20</f>
        <v>0</v>
      </c>
      <c r="AG20" s="191">
        <f>+'Solar Report_Base'!AG20</f>
        <v>0</v>
      </c>
      <c r="AH20" s="191">
        <f>+'Solar Report_Base'!AH20</f>
        <v>0</v>
      </c>
      <c r="AI20" s="23">
        <f t="shared" si="0"/>
        <v>4124</v>
      </c>
    </row>
    <row r="21" spans="1:36" x14ac:dyDescent="0.25">
      <c r="B21" s="21" t="s">
        <v>23</v>
      </c>
      <c r="C21" s="1" t="s">
        <v>6</v>
      </c>
      <c r="D21" s="18">
        <f>+'Solar Report_Base'!D21</f>
        <v>169</v>
      </c>
      <c r="E21" s="18">
        <f>+'Solar Report_Base'!E21</f>
        <v>179</v>
      </c>
      <c r="F21" s="18">
        <f>+'Solar Report_Base'!F21</f>
        <v>233</v>
      </c>
      <c r="G21" s="18">
        <f>+'Solar Report_Base'!G21</f>
        <v>276</v>
      </c>
      <c r="H21" s="18">
        <f>+'Solar Report_Base'!H21</f>
        <v>339</v>
      </c>
      <c r="I21" s="18">
        <f>+'Solar Report_Base'!I21</f>
        <v>345</v>
      </c>
      <c r="J21" s="18">
        <f>+'Solar Report_Base'!J21</f>
        <v>218</v>
      </c>
      <c r="K21" s="18">
        <f>+'Solar Report_Base'!K21</f>
        <v>365</v>
      </c>
      <c r="L21" s="18">
        <f>+'Solar Report_Base'!L21</f>
        <v>375</v>
      </c>
      <c r="M21" s="18">
        <f>+'Solar Report_Base'!M21</f>
        <v>363</v>
      </c>
      <c r="N21" s="18">
        <f>+'Solar Report_Base'!N21</f>
        <v>264</v>
      </c>
      <c r="O21" s="18">
        <f>+'Solar Report_Base'!O21</f>
        <v>365</v>
      </c>
      <c r="P21" s="18">
        <f>+'Solar Report_Base'!P21</f>
        <v>315</v>
      </c>
      <c r="Q21" s="18">
        <f>+'Solar Report_Base'!Q21</f>
        <v>315</v>
      </c>
      <c r="R21" s="18">
        <f>+'Solar Report_Base'!R21</f>
        <v>0</v>
      </c>
      <c r="S21" s="191">
        <f>+'Solar Report_Base'!S21</f>
        <v>0</v>
      </c>
      <c r="T21" s="191">
        <f>+'Solar Report_Base'!T21</f>
        <v>0</v>
      </c>
      <c r="U21" s="191">
        <f>+'Solar Report_Base'!U21</f>
        <v>0</v>
      </c>
      <c r="V21" s="191">
        <f>+'Solar Report_Base'!V21</f>
        <v>0</v>
      </c>
      <c r="W21" s="191">
        <f>+'Solar Report_Base'!W21</f>
        <v>0</v>
      </c>
      <c r="X21" s="191">
        <f>+'Solar Report_Base'!X21</f>
        <v>0</v>
      </c>
      <c r="Y21" s="191">
        <f>+'Solar Report_Base'!Y21</f>
        <v>0</v>
      </c>
      <c r="Z21" s="191">
        <f>+'Solar Report_Base'!Z21</f>
        <v>0</v>
      </c>
      <c r="AA21" s="191">
        <f>+'Solar Report_Base'!AA21</f>
        <v>0</v>
      </c>
      <c r="AB21" s="191">
        <f>+'Solar Report_Base'!AB21</f>
        <v>0</v>
      </c>
      <c r="AC21" s="191">
        <f>+'Solar Report_Base'!AC21</f>
        <v>0</v>
      </c>
      <c r="AD21" s="191">
        <f>+'Solar Report_Base'!AD21</f>
        <v>0</v>
      </c>
      <c r="AE21" s="191">
        <f>+'Solar Report_Base'!AE21</f>
        <v>0</v>
      </c>
      <c r="AF21" s="191">
        <f>+'Solar Report_Base'!AF21</f>
        <v>0</v>
      </c>
      <c r="AG21" s="191">
        <f>+'Solar Report_Base'!AG21</f>
        <v>0</v>
      </c>
      <c r="AH21" s="191">
        <f>+'Solar Report_Base'!AH21</f>
        <v>0</v>
      </c>
      <c r="AI21" s="23">
        <f t="shared" si="0"/>
        <v>4121</v>
      </c>
      <c r="AJ21" s="4"/>
    </row>
    <row r="22" spans="1:36" x14ac:dyDescent="0.25">
      <c r="B22" s="21" t="s">
        <v>24</v>
      </c>
      <c r="C22" s="1" t="s">
        <v>6</v>
      </c>
      <c r="D22" s="18">
        <f>'Solar Report_Base'!D22</f>
        <v>2730.0000000001091</v>
      </c>
      <c r="E22" s="18">
        <f>+'Solar Report_Base'!E22</f>
        <v>2880.0000000001091</v>
      </c>
      <c r="F22" s="18">
        <f>+'Solar Report_Base'!F22</f>
        <v>3689.9999999997817</v>
      </c>
      <c r="G22" s="18">
        <f>+'Solar Report_Base'!G22</f>
        <v>4350</v>
      </c>
      <c r="H22" s="18">
        <f>+'Solar Report_Base'!H22</f>
        <v>5280.0000000001091</v>
      </c>
      <c r="I22" s="18">
        <f>+'Solar Report_Base'!I22</f>
        <v>5430.0000000001091</v>
      </c>
      <c r="J22" s="18">
        <f>+'Solar Report_Base'!J22</f>
        <v>3480.0000000001091</v>
      </c>
      <c r="K22" s="18">
        <f>+'Solar Report_Base'!K22</f>
        <v>5789.9999999997817</v>
      </c>
      <c r="L22" s="18">
        <f>+'Solar Report_Base'!L22</f>
        <v>5910.0000000002183</v>
      </c>
      <c r="M22" s="18">
        <f>+'Solar Report_Base'!M22</f>
        <v>5729.9999999995634</v>
      </c>
      <c r="N22" s="18">
        <f>+'Solar Report_Base'!N22</f>
        <v>4200</v>
      </c>
      <c r="O22" s="18">
        <f>+'Solar Report_Base'!O22</f>
        <v>5670.0000000004366</v>
      </c>
      <c r="P22" s="18">
        <f>+'Solar Report_Base'!P22</f>
        <v>4950</v>
      </c>
      <c r="Q22" s="18">
        <f>+'Solar Report_Base'!Q22</f>
        <v>4950</v>
      </c>
      <c r="R22" s="18">
        <f>+'Solar Report_Base'!R22</f>
        <v>0</v>
      </c>
      <c r="S22" s="191">
        <f>+'Solar Report_Base'!S22</f>
        <v>0</v>
      </c>
      <c r="T22" s="191">
        <f>+'Solar Report_Base'!T22</f>
        <v>0</v>
      </c>
      <c r="U22" s="191">
        <f>+'Solar Report_Base'!U22</f>
        <v>0</v>
      </c>
      <c r="V22" s="191">
        <f>+'Solar Report_Base'!V22</f>
        <v>0</v>
      </c>
      <c r="W22" s="191">
        <f>+'Solar Report_Base'!W22</f>
        <v>0</v>
      </c>
      <c r="X22" s="191">
        <f>+'Solar Report_Base'!X22</f>
        <v>0</v>
      </c>
      <c r="Y22" s="191">
        <f>+'Solar Report_Base'!Y22</f>
        <v>0</v>
      </c>
      <c r="Z22" s="191">
        <f>+'Solar Report_Base'!Z22</f>
        <v>0</v>
      </c>
      <c r="AA22" s="191">
        <f>+'Solar Report_Base'!AA22</f>
        <v>0</v>
      </c>
      <c r="AB22" s="191">
        <f>+'Solar Report_Base'!AB22</f>
        <v>0</v>
      </c>
      <c r="AC22" s="191">
        <f>+'Solar Report_Base'!AC22</f>
        <v>0</v>
      </c>
      <c r="AD22" s="191">
        <f>+'Solar Report_Base'!AD22</f>
        <v>0</v>
      </c>
      <c r="AE22" s="191">
        <f>+'Solar Report_Base'!AE22</f>
        <v>0</v>
      </c>
      <c r="AF22" s="191">
        <f>+'Solar Report_Base'!AF22</f>
        <v>0</v>
      </c>
      <c r="AG22" s="191">
        <f>+'Solar Report_Base'!AG22</f>
        <v>0</v>
      </c>
      <c r="AH22" s="191">
        <f>+'Solar Report_Base'!AH22</f>
        <v>0</v>
      </c>
      <c r="AI22" s="23">
        <f t="shared" si="0"/>
        <v>65040.000000000327</v>
      </c>
      <c r="AJ22" s="4"/>
    </row>
    <row r="23" spans="1:36" x14ac:dyDescent="0.25">
      <c r="B23" s="63" t="s">
        <v>25</v>
      </c>
      <c r="C23" s="65" t="s">
        <v>26</v>
      </c>
      <c r="D23" s="90">
        <f>+'Solar Report_Base'!D23</f>
        <v>5.9875355657463443</v>
      </c>
      <c r="E23" s="90">
        <f>+'Solar Report_Base'!E23</f>
        <v>4.276066277963074</v>
      </c>
      <c r="F23" s="90">
        <f>+'Solar Report_Base'!F23</f>
        <v>5.604690612479172</v>
      </c>
      <c r="G23" s="90">
        <f>+'Solar Report_Base'!G23</f>
        <v>6</v>
      </c>
      <c r="H23" s="90">
        <f>+'Solar Report_Base'!H23</f>
        <v>7.3032658849753878</v>
      </c>
      <c r="I23" s="90">
        <f>+'Solar Report_Base'!I23</f>
        <v>7.5</v>
      </c>
      <c r="J23" s="90">
        <f>+'Solar Report_Base'!J23</f>
        <v>7.4489321794751797</v>
      </c>
      <c r="K23" s="90">
        <f>+'Solar Report_Base'!K23</f>
        <v>8</v>
      </c>
      <c r="L23" s="90">
        <f>+'Solar Report_Base'!L23</f>
        <v>8.1511828946833482</v>
      </c>
      <c r="M23" s="90">
        <f>+'Solar Report_Base'!M23</f>
        <v>8.06</v>
      </c>
      <c r="N23" s="90">
        <f>+'Solar Report_Base'!N23</f>
        <v>7.8599249568550054</v>
      </c>
      <c r="O23" s="90">
        <f>+'Solar Report_Base'!O23</f>
        <v>7.8435364518263064</v>
      </c>
      <c r="P23" s="90">
        <f>+'Solar Report_Base'!P23</f>
        <v>7.1</v>
      </c>
      <c r="Q23" s="90">
        <f>+'Solar Report_Base'!Q23</f>
        <v>7.17</v>
      </c>
      <c r="R23" s="90">
        <f>+'Solar Report_Base'!R23</f>
        <v>0</v>
      </c>
      <c r="S23" s="90">
        <f>+'Solar Report_Base'!S23</f>
        <v>0</v>
      </c>
      <c r="T23" s="90">
        <f>+'Solar Report_Base'!T23</f>
        <v>0</v>
      </c>
      <c r="U23" s="90">
        <f>+'Solar Report_Base'!U23</f>
        <v>0</v>
      </c>
      <c r="V23" s="90">
        <f>+'Solar Report_Base'!V23</f>
        <v>0</v>
      </c>
      <c r="W23" s="90">
        <f>+'Solar Report_Base'!W23</f>
        <v>0</v>
      </c>
      <c r="X23" s="90">
        <f>+'Solar Report_Base'!X23</f>
        <v>0</v>
      </c>
      <c r="Y23" s="90">
        <f>+'Solar Report_Base'!Y23</f>
        <v>0</v>
      </c>
      <c r="Z23" s="90">
        <f>+'Solar Report_Base'!Z23</f>
        <v>0</v>
      </c>
      <c r="AA23" s="90">
        <f>+'Solar Report_Base'!AA23</f>
        <v>0</v>
      </c>
      <c r="AB23" s="90">
        <f>+'Solar Report_Base'!AB23</f>
        <v>0</v>
      </c>
      <c r="AC23" s="90">
        <f>+'Solar Report_Base'!AC23</f>
        <v>0</v>
      </c>
      <c r="AD23" s="90">
        <f>+'Solar Report_Base'!AD23</f>
        <v>0</v>
      </c>
      <c r="AE23" s="90">
        <f>+'Solar Report_Base'!AE23</f>
        <v>0</v>
      </c>
      <c r="AF23" s="90">
        <f>+'Solar Report_Base'!AF23</f>
        <v>0</v>
      </c>
      <c r="AG23" s="90">
        <f>+'Solar Report_Base'!AG23</f>
        <v>0</v>
      </c>
      <c r="AH23" s="90">
        <f>+'Solar Report_Base'!AH23</f>
        <v>0</v>
      </c>
      <c r="AI23" s="24">
        <f>AVERAGEIF(D23:AH23,"&gt;0")</f>
        <v>7.0217953445717018</v>
      </c>
    </row>
    <row r="24" spans="1:36" x14ac:dyDescent="0.25">
      <c r="B24" s="21" t="s">
        <v>27</v>
      </c>
      <c r="C24" s="1" t="s">
        <v>6</v>
      </c>
      <c r="D24" s="18">
        <f>+'Solar Report_Base'!D24</f>
        <v>1095.5999999984851</v>
      </c>
      <c r="E24" s="18">
        <f>+'Solar Report_Base'!E24</f>
        <v>8640.0000000033833</v>
      </c>
      <c r="F24" s="18">
        <f>+'Solar Report_Base'!F24</f>
        <v>1261.7999999989697</v>
      </c>
      <c r="G24" s="18">
        <f>+'Solar Report_Base'!G24</f>
        <v>9677.9999999975116</v>
      </c>
      <c r="H24" s="18">
        <f>+'Solar Report_Base'!H24</f>
        <v>1555.8000000034881</v>
      </c>
      <c r="I24" s="18">
        <f>+'Solar Report_Base'!J23</f>
        <v>7.4489321794751797</v>
      </c>
      <c r="J24" s="18">
        <f>+'Solar Report_Base'!J24</f>
        <v>4423.199999997516</v>
      </c>
      <c r="K24" s="18">
        <f>+'Solar Report_Base'!K24</f>
        <v>12894.600000003134</v>
      </c>
      <c r="L24" s="18">
        <f>+'Solar Report_Base'!L24</f>
        <v>10265.999999998516</v>
      </c>
      <c r="M24" s="18">
        <f>+'Solar Report_Base'!M24</f>
        <v>16747.800000000454</v>
      </c>
      <c r="N24" s="18">
        <f>+'Solar Report_Base'!N24</f>
        <v>8691</v>
      </c>
      <c r="O24" s="18">
        <f>+'Solar Report_Base'!O24</f>
        <v>15282.000000000437</v>
      </c>
      <c r="P24" s="191">
        <f>+'Solar Report_Base'!P24</f>
        <v>11111.39999999835</v>
      </c>
      <c r="Q24" s="191">
        <f>+'Solar Report_Base'!Q24</f>
        <v>16939.799999999974</v>
      </c>
      <c r="R24" s="191">
        <f>+'Solar Report_Base'!R24</f>
        <v>0</v>
      </c>
      <c r="S24" s="191">
        <f>+'Solar Report_Base'!S24</f>
        <v>0</v>
      </c>
      <c r="T24" s="191">
        <f>+'Solar Report_Base'!T24</f>
        <v>0</v>
      </c>
      <c r="U24" s="191">
        <f>+'Solar Report_Base'!U24</f>
        <v>0</v>
      </c>
      <c r="V24" s="191">
        <f>+'Solar Report_Base'!V24</f>
        <v>0</v>
      </c>
      <c r="W24" s="191">
        <f>+'Solar Report_Base'!W24</f>
        <v>0</v>
      </c>
      <c r="X24" s="191">
        <f>+'Solar Report_Base'!X24</f>
        <v>0</v>
      </c>
      <c r="Y24" s="191">
        <f>+'Solar Report_Base'!Y24</f>
        <v>0</v>
      </c>
      <c r="Z24" s="191">
        <f>+'Solar Report_Base'!Z24</f>
        <v>0</v>
      </c>
      <c r="AA24" s="191">
        <f>+'Solar Report_Base'!AA24</f>
        <v>0</v>
      </c>
      <c r="AB24" s="191">
        <f>+'Solar Report_Base'!AB24</f>
        <v>0</v>
      </c>
      <c r="AC24" s="191">
        <f>+'Solar Report_Base'!AC24</f>
        <v>0</v>
      </c>
      <c r="AD24" s="191">
        <f>+'Solar Report_Base'!AD24</f>
        <v>0</v>
      </c>
      <c r="AE24" s="191">
        <f>+'Solar Report_Base'!AE24</f>
        <v>0</v>
      </c>
      <c r="AF24" s="191">
        <f>+'Solar Report_Base'!AF24</f>
        <v>0</v>
      </c>
      <c r="AG24" s="191">
        <f>+'Solar Report_Base'!AG24</f>
        <v>0</v>
      </c>
      <c r="AH24" s="191">
        <f>+'Solar Report_Base'!AH24</f>
        <v>0</v>
      </c>
      <c r="AI24" s="23">
        <f t="shared" si="0"/>
        <v>118594.44893217969</v>
      </c>
    </row>
    <row r="25" spans="1:36" ht="16.5" thickBot="1" x14ac:dyDescent="0.3">
      <c r="B25" s="25" t="s">
        <v>28</v>
      </c>
      <c r="C25" s="1" t="s">
        <v>0</v>
      </c>
      <c r="D25" s="92">
        <f>+'Solar Report_Base'!D25</f>
        <v>0.18312068874855911</v>
      </c>
      <c r="E25" s="92">
        <f>+'Solar Report_Base'!E25</f>
        <v>0.13235188671645601</v>
      </c>
      <c r="F25" s="92">
        <f>+'Solar Report_Base'!F25</f>
        <v>0.17386149812327739</v>
      </c>
      <c r="G25" s="92">
        <f>+'Solar Report_Base'!G25</f>
        <v>0.18350424005918531</v>
      </c>
      <c r="H25" s="92">
        <f>+'Solar Report_Base'!H25</f>
        <v>0.22297692695215182</v>
      </c>
      <c r="I25" s="92">
        <f>+'Solar Report_Base'!I25</f>
        <v>0.22788900028668441</v>
      </c>
      <c r="J25" s="92">
        <f>+'Solar Report_Base'!J25</f>
        <v>0.22715531653432763</v>
      </c>
      <c r="K25" s="92">
        <f>+'Solar Report_Base'!K25</f>
        <v>0.24298711782282839</v>
      </c>
      <c r="L25" s="92">
        <f>+'Solar Report_Base'!L25</f>
        <v>0.24795908251896617</v>
      </c>
      <c r="M25" s="92">
        <f>+'Solar Report_Base'!M25</f>
        <v>0.24508073515774509</v>
      </c>
      <c r="N25" s="92">
        <f>+'Solar Report_Base'!N25</f>
        <v>0.23858472932058508</v>
      </c>
      <c r="O25" s="175">
        <f>+'Solar Report_Base'!O25</f>
        <v>0.23840455844970246</v>
      </c>
      <c r="P25" s="179">
        <f>+'Solar Report_Base'!P25</f>
        <v>0.2163345814378228</v>
      </c>
      <c r="Q25" s="179">
        <f>+'Solar Report_Base'!Q25</f>
        <v>0.21637475698219158</v>
      </c>
      <c r="R25" s="179">
        <f>+'Solar Report_Base'!R25</f>
        <v>0</v>
      </c>
      <c r="S25" s="190">
        <f>+'Solar Report_Base'!S25</f>
        <v>0</v>
      </c>
      <c r="T25" s="190">
        <f>+'Solar Report_Base'!T25</f>
        <v>0</v>
      </c>
      <c r="U25" s="190">
        <f>+'Solar Report_Base'!U25</f>
        <v>0</v>
      </c>
      <c r="V25" s="190">
        <f>+'Solar Report_Base'!V25</f>
        <v>0</v>
      </c>
      <c r="W25" s="190">
        <f>+'Solar Report_Base'!W25</f>
        <v>0</v>
      </c>
      <c r="X25" s="190">
        <f>+'Solar Report_Base'!X25</f>
        <v>0</v>
      </c>
      <c r="Y25" s="190">
        <f>+'Solar Report_Base'!Y25</f>
        <v>0</v>
      </c>
      <c r="Z25" s="190">
        <f>+'Solar Report_Base'!Z25</f>
        <v>0</v>
      </c>
      <c r="AA25" s="190">
        <f>+'Solar Report_Base'!AA25</f>
        <v>0</v>
      </c>
      <c r="AB25" s="190">
        <f>+'Solar Report_Base'!AB25</f>
        <v>0</v>
      </c>
      <c r="AC25" s="190">
        <f>+'Solar Report_Base'!AC25</f>
        <v>0</v>
      </c>
      <c r="AD25" s="190">
        <f>+'Solar Report_Base'!AD25</f>
        <v>0</v>
      </c>
      <c r="AE25" s="190">
        <f>+'Solar Report_Base'!AE25</f>
        <v>0</v>
      </c>
      <c r="AF25" s="190">
        <f>+'Solar Report_Base'!AF25</f>
        <v>0</v>
      </c>
      <c r="AG25" s="190">
        <f>+'Solar Report_Base'!AG25</f>
        <v>0</v>
      </c>
      <c r="AH25" s="190">
        <f>+'Solar Report_Base'!AH25</f>
        <v>0</v>
      </c>
      <c r="AI25" s="67">
        <f>AVERAGEIF(D25:AG25,"&gt;0")</f>
        <v>0.21404179422217742</v>
      </c>
    </row>
    <row r="26" spans="1:36" ht="16.5" thickBot="1" x14ac:dyDescent="0.3">
      <c r="B26" s="25" t="s">
        <v>35</v>
      </c>
      <c r="C26" s="1" t="s">
        <v>0</v>
      </c>
      <c r="D26" s="92">
        <f>+'Solar Report_Base'!D26</f>
        <v>0.11382170767584032</v>
      </c>
      <c r="E26" s="92">
        <f>+'Solar Report_Base'!E26</f>
        <v>0.1200756476580291</v>
      </c>
      <c r="F26" s="92">
        <f>+'Solar Report_Base'!F26</f>
        <v>0.15384692356183485</v>
      </c>
      <c r="G26" s="92">
        <f>+'Solar Report_Base'!G26</f>
        <v>0.18136425948347459</v>
      </c>
      <c r="H26" s="92">
        <f>+'Solar Report_Base'!H26</f>
        <v>0.22013868737304956</v>
      </c>
      <c r="I26" s="92">
        <f>+'Solar Report_Base'!I26</f>
        <v>0.22639262735523835</v>
      </c>
      <c r="J26" s="92">
        <f>+'Solar Report_Base'!J26</f>
        <v>0.14509140758678421</v>
      </c>
      <c r="K26" s="92">
        <f>+'Solar Report_Base'!K26</f>
        <v>0.24140208331247776</v>
      </c>
      <c r="L26" s="92">
        <f>+'Solar Report_Base'!L26</f>
        <v>0.24640523529824698</v>
      </c>
      <c r="M26" s="92">
        <f>+'Solar Report_Base'!M26</f>
        <v>0.23890050731959314</v>
      </c>
      <c r="N26" s="92">
        <f>+'Solar Report_Base'!N26</f>
        <v>0.1751103195012858</v>
      </c>
      <c r="O26" s="175">
        <f>+'Solar Report_Base'!O26</f>
        <v>0.23639893132675405</v>
      </c>
      <c r="P26" s="179">
        <f>+'Solar Report_Base'!P26</f>
        <v>0.20638001941222969</v>
      </c>
      <c r="Q26" s="179">
        <f>+'Solar Report_Base'!Q26</f>
        <v>0.20638001941222969</v>
      </c>
      <c r="R26" s="179">
        <f>+'Solar Report_Base'!R26</f>
        <v>0</v>
      </c>
      <c r="S26" s="190">
        <f>+'Solar Report_Base'!S26</f>
        <v>0</v>
      </c>
      <c r="T26" s="190">
        <f>+'Solar Report_Base'!T26</f>
        <v>0</v>
      </c>
      <c r="U26" s="190">
        <f>+'Solar Report_Base'!U26</f>
        <v>0</v>
      </c>
      <c r="V26" s="190">
        <f>+'Solar Report_Base'!V26</f>
        <v>0</v>
      </c>
      <c r="W26" s="190">
        <f>+'Solar Report_Base'!W26</f>
        <v>0</v>
      </c>
      <c r="X26" s="190">
        <f>+'Solar Report_Base'!X26</f>
        <v>0</v>
      </c>
      <c r="Y26" s="190">
        <f>+'Solar Report_Base'!Y26</f>
        <v>0</v>
      </c>
      <c r="Z26" s="190">
        <f>+'Solar Report_Base'!Z26</f>
        <v>0</v>
      </c>
      <c r="AA26" s="190">
        <f>+'Solar Report_Base'!AA26</f>
        <v>0</v>
      </c>
      <c r="AB26" s="190">
        <f>+'Solar Report_Base'!AB26</f>
        <v>0</v>
      </c>
      <c r="AC26" s="190">
        <f>+'Solar Report_Base'!AC26</f>
        <v>0</v>
      </c>
      <c r="AD26" s="190">
        <f>+'Solar Report_Base'!AD26</f>
        <v>0</v>
      </c>
      <c r="AE26" s="190">
        <f>+'Solar Report_Base'!AE26</f>
        <v>0</v>
      </c>
      <c r="AF26" s="190">
        <f>+'Solar Report_Base'!AF26</f>
        <v>0</v>
      </c>
      <c r="AG26" s="190">
        <f>+'Solar Report_Base'!AG26</f>
        <v>0</v>
      </c>
      <c r="AH26" s="190">
        <f>+'Solar Report_Base'!AH26</f>
        <v>0</v>
      </c>
      <c r="AI26" s="67">
        <f>AVERAGEIF(D26:AG26,"&gt;0")</f>
        <v>0.193693455448362</v>
      </c>
    </row>
    <row r="27" spans="1:36" x14ac:dyDescent="0.25">
      <c r="B27" s="64"/>
      <c r="C27" s="66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6"/>
    </row>
    <row r="28" spans="1:36" x14ac:dyDescent="0.25">
      <c r="A28" t="s">
        <v>30</v>
      </c>
      <c r="B28" s="646" t="s">
        <v>30</v>
      </c>
      <c r="C28" s="647"/>
      <c r="D28" s="647"/>
      <c r="E28" s="647"/>
      <c r="F28" s="647"/>
      <c r="G28" s="647"/>
      <c r="H28" s="647"/>
      <c r="I28" s="647"/>
      <c r="J28" s="647"/>
      <c r="K28" s="647"/>
      <c r="L28" s="647"/>
      <c r="M28" s="647"/>
      <c r="N28" s="647"/>
      <c r="O28" s="647"/>
      <c r="P28" s="647"/>
      <c r="Q28" s="647"/>
      <c r="R28" s="647"/>
      <c r="S28" s="647"/>
      <c r="T28" s="647"/>
      <c r="U28" s="647"/>
      <c r="V28" s="647"/>
      <c r="W28" s="647"/>
      <c r="X28" s="647"/>
      <c r="Y28" s="647"/>
      <c r="Z28" s="647"/>
      <c r="AA28" s="647"/>
      <c r="AB28" s="647"/>
      <c r="AC28" s="647"/>
      <c r="AD28" s="647"/>
      <c r="AE28" s="647"/>
      <c r="AF28" s="647"/>
      <c r="AG28" s="647"/>
      <c r="AH28" s="647"/>
      <c r="AI28" s="648"/>
    </row>
    <row r="29" spans="1:36" x14ac:dyDescent="0.25">
      <c r="B29" s="21" t="s">
        <v>2</v>
      </c>
      <c r="C29" s="1" t="s">
        <v>3</v>
      </c>
      <c r="D29" s="47">
        <v>1</v>
      </c>
      <c r="E29" s="47">
        <v>2</v>
      </c>
      <c r="F29" s="47">
        <v>3</v>
      </c>
      <c r="G29" s="47">
        <v>4</v>
      </c>
      <c r="H29" s="47">
        <v>5</v>
      </c>
      <c r="I29" s="47">
        <v>6</v>
      </c>
      <c r="J29" s="47">
        <v>7</v>
      </c>
      <c r="K29" s="47">
        <v>8</v>
      </c>
      <c r="L29" s="47">
        <v>9</v>
      </c>
      <c r="M29" s="47">
        <v>10</v>
      </c>
      <c r="N29" s="47">
        <v>11</v>
      </c>
      <c r="O29" s="47">
        <v>12</v>
      </c>
      <c r="P29" s="47">
        <v>13</v>
      </c>
      <c r="Q29" s="47">
        <v>14</v>
      </c>
      <c r="R29" s="47">
        <v>15</v>
      </c>
      <c r="S29" s="47">
        <v>16</v>
      </c>
      <c r="T29" s="47">
        <v>17</v>
      </c>
      <c r="U29" s="47">
        <v>18</v>
      </c>
      <c r="V29" s="47">
        <v>19</v>
      </c>
      <c r="W29" s="47">
        <v>20</v>
      </c>
      <c r="X29" s="47">
        <v>21</v>
      </c>
      <c r="Y29" s="47">
        <v>22</v>
      </c>
      <c r="Z29" s="47">
        <v>23</v>
      </c>
      <c r="AA29" s="47">
        <v>24</v>
      </c>
      <c r="AB29" s="47">
        <v>25</v>
      </c>
      <c r="AC29" s="47">
        <v>26</v>
      </c>
      <c r="AD29" s="47">
        <v>27</v>
      </c>
      <c r="AE29" s="47">
        <v>28</v>
      </c>
      <c r="AF29" s="47">
        <v>29</v>
      </c>
      <c r="AG29" s="47">
        <v>30</v>
      </c>
      <c r="AH29" s="47">
        <v>31</v>
      </c>
      <c r="AI29" s="22" t="s">
        <v>4</v>
      </c>
    </row>
    <row r="30" spans="1:36" x14ac:dyDescent="0.25">
      <c r="B30" s="21" t="s">
        <v>5</v>
      </c>
      <c r="C30" s="1" t="s">
        <v>6</v>
      </c>
      <c r="D30" s="18">
        <f>+'Solar Report_Base'!D41</f>
        <v>232.2</v>
      </c>
      <c r="E30" s="18">
        <f>+'Solar Report_Base'!E41</f>
        <v>293.10000000000002</v>
      </c>
      <c r="F30" s="18">
        <f>+'Solar Report_Base'!F41</f>
        <v>284.8</v>
      </c>
      <c r="G30" s="18">
        <f>+'Solar Report_Base'!G41</f>
        <v>277.5</v>
      </c>
      <c r="H30" s="18">
        <f>+'Solar Report_Base'!H41</f>
        <v>179.7</v>
      </c>
      <c r="I30" s="18">
        <f>+'Solar Report_Base'!I41</f>
        <v>287.8</v>
      </c>
      <c r="J30" s="18">
        <f>+'Solar Report_Base'!J41</f>
        <v>94.6</v>
      </c>
      <c r="K30" s="18">
        <f>+'Solar Report_Base'!K41</f>
        <v>249.1</v>
      </c>
      <c r="L30" s="18">
        <f>+'Solar Report_Base'!L41</f>
        <v>230.1</v>
      </c>
      <c r="M30" s="18">
        <f>+'Solar Report_Base'!M41</f>
        <v>188.5</v>
      </c>
      <c r="N30" s="191">
        <f>+'Solar Report_Base'!N41</f>
        <v>141.69999999999999</v>
      </c>
      <c r="O30" s="18">
        <f>+'Solar Report_Base'!O41</f>
        <v>206.9</v>
      </c>
      <c r="P30" s="18">
        <f>+'Solar Report_Base'!P41</f>
        <v>231.8</v>
      </c>
      <c r="Q30" s="18">
        <f>+'Solar Report_Base'!Q41</f>
        <v>277.89999999999998</v>
      </c>
      <c r="R30" s="18">
        <f>+'Solar Report_Base'!R41</f>
        <v>0</v>
      </c>
      <c r="S30" s="191">
        <f>+'Solar Report_Base'!S41</f>
        <v>0</v>
      </c>
      <c r="T30" s="191">
        <f>+'Solar Report_Base'!T41</f>
        <v>0</v>
      </c>
      <c r="U30" s="191">
        <f>+'Solar Report_Base'!U41</f>
        <v>0</v>
      </c>
      <c r="V30" s="191">
        <f>+'Solar Report_Base'!V41</f>
        <v>0</v>
      </c>
      <c r="W30" s="191">
        <f>+'Solar Report_Base'!W41</f>
        <v>0</v>
      </c>
      <c r="X30" s="191">
        <f>+'Solar Report_Base'!X41</f>
        <v>0</v>
      </c>
      <c r="Y30" s="191">
        <f>+'Solar Report_Base'!Y41</f>
        <v>0</v>
      </c>
      <c r="Z30" s="191">
        <f>+'Solar Report_Base'!Z41</f>
        <v>0</v>
      </c>
      <c r="AA30" s="191">
        <f>+'Solar Report_Base'!AA41</f>
        <v>0</v>
      </c>
      <c r="AB30" s="191">
        <f>+'Solar Report_Base'!AB41</f>
        <v>0</v>
      </c>
      <c r="AC30" s="191">
        <f>+'Solar Report_Base'!AC41</f>
        <v>0</v>
      </c>
      <c r="AD30" s="191">
        <f>+'Solar Report_Base'!AD41</f>
        <v>0</v>
      </c>
      <c r="AE30" s="191">
        <f>+'Solar Report_Base'!AE41</f>
        <v>0</v>
      </c>
      <c r="AF30" s="191">
        <f>+'Solar Report_Base'!AF41</f>
        <v>0</v>
      </c>
      <c r="AG30" s="191">
        <f>+'Solar Report_Base'!AG41</f>
        <v>0</v>
      </c>
      <c r="AH30" s="191">
        <f>+'Solar Report_Base'!AH41</f>
        <v>0</v>
      </c>
      <c r="AI30" s="23">
        <f t="shared" ref="AI30:AI48" si="1">SUM(D30:AH30)</f>
        <v>3175.7</v>
      </c>
    </row>
    <row r="31" spans="1:36" x14ac:dyDescent="0.25">
      <c r="B31" s="21" t="s">
        <v>7</v>
      </c>
      <c r="C31" s="1" t="s">
        <v>6</v>
      </c>
      <c r="D31" s="18">
        <f>+'Solar Report_Base'!D42</f>
        <v>247</v>
      </c>
      <c r="E31" s="18">
        <f>+'Solar Report_Base'!E42</f>
        <v>306.3</v>
      </c>
      <c r="F31" s="18">
        <f>+'Solar Report_Base'!F42</f>
        <v>296.39999999999998</v>
      </c>
      <c r="G31" s="18">
        <f>+'Solar Report_Base'!G42</f>
        <v>285.2</v>
      </c>
      <c r="H31" s="18">
        <f>+'Solar Report_Base'!H42</f>
        <v>184.1</v>
      </c>
      <c r="I31" s="18">
        <f>+'Solar Report_Base'!I42</f>
        <v>298.39999999999998</v>
      </c>
      <c r="J31" s="18">
        <f>+'Solar Report_Base'!J42</f>
        <v>108.3</v>
      </c>
      <c r="K31" s="18">
        <f>+'Solar Report_Base'!K42</f>
        <v>256.7</v>
      </c>
      <c r="L31" s="18">
        <f>+'Solar Report_Base'!L42</f>
        <v>237</v>
      </c>
      <c r="M31" s="18">
        <f>+'Solar Report_Base'!M42</f>
        <v>192.1</v>
      </c>
      <c r="N31" s="191">
        <f>+'Solar Report_Base'!N42</f>
        <v>143.4</v>
      </c>
      <c r="O31" s="18">
        <f>+'Solar Report_Base'!O42</f>
        <v>205.7</v>
      </c>
      <c r="P31" s="18">
        <f>+'Solar Report_Base'!P42</f>
        <v>242.5</v>
      </c>
      <c r="Q31" s="18">
        <f>+'Solar Report_Base'!Q42</f>
        <v>287.39999999999998</v>
      </c>
      <c r="R31" s="18">
        <f>+'Solar Report_Base'!R42</f>
        <v>0</v>
      </c>
      <c r="S31" s="191">
        <f>+'Solar Report_Base'!S42</f>
        <v>0</v>
      </c>
      <c r="T31" s="191">
        <f>+'Solar Report_Base'!T42</f>
        <v>0</v>
      </c>
      <c r="U31" s="191">
        <f>+'Solar Report_Base'!U42</f>
        <v>0</v>
      </c>
      <c r="V31" s="191">
        <f>+'Solar Report_Base'!V42</f>
        <v>0</v>
      </c>
      <c r="W31" s="191">
        <f>+'Solar Report_Base'!W42</f>
        <v>0</v>
      </c>
      <c r="X31" s="191">
        <f>+'Solar Report_Base'!X42</f>
        <v>0</v>
      </c>
      <c r="Y31" s="191">
        <f>+'Solar Report_Base'!Y42</f>
        <v>0</v>
      </c>
      <c r="Z31" s="191">
        <f>+'Solar Report_Base'!Z42</f>
        <v>0</v>
      </c>
      <c r="AA31" s="191">
        <f>+'Solar Report_Base'!AA42</f>
        <v>0</v>
      </c>
      <c r="AB31" s="191">
        <f>+'Solar Report_Base'!AB42</f>
        <v>0</v>
      </c>
      <c r="AC31" s="191">
        <f>+'Solar Report_Base'!AC42</f>
        <v>0</v>
      </c>
      <c r="AD31" s="191">
        <f>+'Solar Report_Base'!AD42</f>
        <v>0</v>
      </c>
      <c r="AE31" s="191">
        <f>+'Solar Report_Base'!AE42</f>
        <v>0</v>
      </c>
      <c r="AF31" s="191">
        <f>+'Solar Report_Base'!AF42</f>
        <v>0</v>
      </c>
      <c r="AG31" s="191">
        <f>+'Solar Report_Base'!AG42</f>
        <v>0</v>
      </c>
      <c r="AH31" s="191">
        <f>+'Solar Report_Base'!AH42</f>
        <v>0</v>
      </c>
      <c r="AI31" s="23">
        <f t="shared" si="1"/>
        <v>3290.4999999999995</v>
      </c>
    </row>
    <row r="32" spans="1:36" x14ac:dyDescent="0.25">
      <c r="B32" s="21" t="s">
        <v>8</v>
      </c>
      <c r="C32" s="1" t="s">
        <v>6</v>
      </c>
      <c r="D32" s="18">
        <f>+'Solar Report_Base'!D43</f>
        <v>249</v>
      </c>
      <c r="E32" s="18">
        <f>+'Solar Report_Base'!E43</f>
        <v>308.5</v>
      </c>
      <c r="F32" s="18">
        <f>+'Solar Report_Base'!F43</f>
        <v>299</v>
      </c>
      <c r="G32" s="18">
        <f>+'Solar Report_Base'!G43</f>
        <v>287.89999999999998</v>
      </c>
      <c r="H32" s="18">
        <f>+'Solar Report_Base'!H43</f>
        <v>185.8</v>
      </c>
      <c r="I32" s="18">
        <f>+'Solar Report_Base'!I43</f>
        <v>291.8</v>
      </c>
      <c r="J32" s="18">
        <f>+'Solar Report_Base'!J43</f>
        <v>111.2</v>
      </c>
      <c r="K32" s="18">
        <f>+'Solar Report_Base'!K43</f>
        <v>260.3</v>
      </c>
      <c r="L32" s="18">
        <f>+'Solar Report_Base'!L43</f>
        <v>240.3</v>
      </c>
      <c r="M32" s="18">
        <f>+'Solar Report_Base'!M43</f>
        <v>194.3</v>
      </c>
      <c r="N32" s="191">
        <f>+'Solar Report_Base'!N43</f>
        <v>144.80000000000001</v>
      </c>
      <c r="O32" s="18">
        <f>+'Solar Report_Base'!O43</f>
        <v>208.3</v>
      </c>
      <c r="P32" s="18">
        <f>+'Solar Report_Base'!P43</f>
        <v>245.8</v>
      </c>
      <c r="Q32" s="18">
        <f>+'Solar Report_Base'!Q43</f>
        <v>290.89999999999998</v>
      </c>
      <c r="R32" s="18">
        <f>+'Solar Report_Base'!R43</f>
        <v>0</v>
      </c>
      <c r="S32" s="191">
        <f>+'Solar Report_Base'!S43</f>
        <v>0</v>
      </c>
      <c r="T32" s="191">
        <f>+'Solar Report_Base'!T43</f>
        <v>0</v>
      </c>
      <c r="U32" s="191">
        <f>+'Solar Report_Base'!U43</f>
        <v>0</v>
      </c>
      <c r="V32" s="191">
        <f>+'Solar Report_Base'!V43</f>
        <v>0</v>
      </c>
      <c r="W32" s="191">
        <f>+'Solar Report_Base'!W43</f>
        <v>0</v>
      </c>
      <c r="X32" s="191">
        <f>+'Solar Report_Base'!X43</f>
        <v>0</v>
      </c>
      <c r="Y32" s="191">
        <f>+'Solar Report_Base'!Y43</f>
        <v>0</v>
      </c>
      <c r="Z32" s="191">
        <f>+'Solar Report_Base'!Z43</f>
        <v>0</v>
      </c>
      <c r="AA32" s="191">
        <f>+'Solar Report_Base'!AA43</f>
        <v>0</v>
      </c>
      <c r="AB32" s="191">
        <f>+'Solar Report_Base'!AB43</f>
        <v>0</v>
      </c>
      <c r="AC32" s="191">
        <f>+'Solar Report_Base'!AC43</f>
        <v>0</v>
      </c>
      <c r="AD32" s="191">
        <f>+'Solar Report_Base'!AD43</f>
        <v>0</v>
      </c>
      <c r="AE32" s="191">
        <f>+'Solar Report_Base'!AE43</f>
        <v>0</v>
      </c>
      <c r="AF32" s="191">
        <f>+'Solar Report_Base'!AF43</f>
        <v>0</v>
      </c>
      <c r="AG32" s="191">
        <f>+'Solar Report_Base'!AG43</f>
        <v>0</v>
      </c>
      <c r="AH32" s="191">
        <f>+'Solar Report_Base'!AH43</f>
        <v>0</v>
      </c>
      <c r="AI32" s="23">
        <f t="shared" si="1"/>
        <v>3317.900000000001</v>
      </c>
    </row>
    <row r="33" spans="2:37" x14ac:dyDescent="0.25">
      <c r="B33" s="21" t="s">
        <v>9</v>
      </c>
      <c r="C33" s="1" t="s">
        <v>6</v>
      </c>
      <c r="D33" s="18">
        <f>+'Solar Report_Base'!D44</f>
        <v>244.1</v>
      </c>
      <c r="E33" s="18">
        <f>+'Solar Report_Base'!E44</f>
        <v>304.39999999999998</v>
      </c>
      <c r="F33" s="18">
        <f>+'Solar Report_Base'!F44</f>
        <v>293.8</v>
      </c>
      <c r="G33" s="18">
        <f>+'Solar Report_Base'!G44</f>
        <v>284.5</v>
      </c>
      <c r="H33" s="18">
        <f>+'Solar Report_Base'!H44</f>
        <v>180</v>
      </c>
      <c r="I33" s="18">
        <f>+'Solar Report_Base'!I44</f>
        <v>290.5</v>
      </c>
      <c r="J33" s="18">
        <f>+'Solar Report_Base'!J44</f>
        <v>108.7</v>
      </c>
      <c r="K33" s="18">
        <f>+'Solar Report_Base'!K44</f>
        <v>257.2</v>
      </c>
      <c r="L33" s="18">
        <f>+'Solar Report_Base'!L44</f>
        <v>240.6</v>
      </c>
      <c r="M33" s="18">
        <f>+'Solar Report_Base'!M44</f>
        <v>188.4</v>
      </c>
      <c r="N33" s="191">
        <f>+'Solar Report_Base'!N44</f>
        <v>142.6</v>
      </c>
      <c r="O33" s="18">
        <f>+'Solar Report_Base'!O44</f>
        <v>200.9</v>
      </c>
      <c r="P33" s="18">
        <f>+'Solar Report_Base'!P44</f>
        <v>240.3</v>
      </c>
      <c r="Q33" s="18">
        <f>+'Solar Report_Base'!Q44</f>
        <v>287.3</v>
      </c>
      <c r="R33" s="18">
        <f>+'Solar Report_Base'!R44</f>
        <v>0</v>
      </c>
      <c r="S33" s="191">
        <f>+'Solar Report_Base'!S44</f>
        <v>0</v>
      </c>
      <c r="T33" s="191">
        <f>+'Solar Report_Base'!T44</f>
        <v>0</v>
      </c>
      <c r="U33" s="191">
        <f>+'Solar Report_Base'!U44</f>
        <v>0</v>
      </c>
      <c r="V33" s="191">
        <f>+'Solar Report_Base'!V44</f>
        <v>0</v>
      </c>
      <c r="W33" s="191">
        <f>+'Solar Report_Base'!W44</f>
        <v>0</v>
      </c>
      <c r="X33" s="191">
        <f>+'Solar Report_Base'!X44</f>
        <v>0</v>
      </c>
      <c r="Y33" s="191">
        <f>+'Solar Report_Base'!Y44</f>
        <v>0</v>
      </c>
      <c r="Z33" s="191">
        <f>+'Solar Report_Base'!Z44</f>
        <v>0</v>
      </c>
      <c r="AA33" s="191">
        <f>+'Solar Report_Base'!AA44</f>
        <v>0</v>
      </c>
      <c r="AB33" s="191">
        <f>+'Solar Report_Base'!AB44</f>
        <v>0</v>
      </c>
      <c r="AC33" s="191">
        <f>+'Solar Report_Base'!AC44</f>
        <v>0</v>
      </c>
      <c r="AD33" s="191">
        <f>+'Solar Report_Base'!AD44</f>
        <v>0</v>
      </c>
      <c r="AE33" s="191">
        <f>+'Solar Report_Base'!AE44</f>
        <v>0</v>
      </c>
      <c r="AF33" s="191">
        <f>+'Solar Report_Base'!AF44</f>
        <v>0</v>
      </c>
      <c r="AG33" s="191">
        <f>+'Solar Report_Base'!AG44</f>
        <v>0</v>
      </c>
      <c r="AH33" s="191">
        <f>+'Solar Report_Base'!AH44</f>
        <v>0</v>
      </c>
      <c r="AI33" s="23">
        <f t="shared" si="1"/>
        <v>3263.3000000000006</v>
      </c>
    </row>
    <row r="34" spans="2:37" x14ac:dyDescent="0.25">
      <c r="B34" s="21" t="s">
        <v>10</v>
      </c>
      <c r="C34" s="1" t="s">
        <v>6</v>
      </c>
      <c r="D34" s="18">
        <f>+'Solar Report_Base'!D45</f>
        <v>253.3</v>
      </c>
      <c r="E34" s="18">
        <f>+'Solar Report_Base'!E45</f>
        <v>313.39999999999998</v>
      </c>
      <c r="F34" s="18">
        <f>+'Solar Report_Base'!F45</f>
        <v>303.89999999999998</v>
      </c>
      <c r="G34" s="18">
        <f>+'Solar Report_Base'!G45</f>
        <v>293.39999999999998</v>
      </c>
      <c r="H34" s="18">
        <f>+'Solar Report_Base'!H45</f>
        <v>188.8</v>
      </c>
      <c r="I34" s="18">
        <f>+'Solar Report_Base'!I45</f>
        <v>295.10000000000002</v>
      </c>
      <c r="J34" s="18">
        <f>+'Solar Report_Base'!J45</f>
        <v>112.8</v>
      </c>
      <c r="K34" s="18">
        <f>+'Solar Report_Base'!K45</f>
        <v>263.10000000000002</v>
      </c>
      <c r="L34" s="18">
        <f>+'Solar Report_Base'!L45</f>
        <v>243.3</v>
      </c>
      <c r="M34" s="18">
        <f>+'Solar Report_Base'!M45</f>
        <v>197.8</v>
      </c>
      <c r="N34" s="191">
        <f>+'Solar Report_Base'!N45</f>
        <v>146.80000000000001</v>
      </c>
      <c r="O34" s="18">
        <f>+'Solar Report_Base'!O45</f>
        <v>211.3</v>
      </c>
      <c r="P34" s="18">
        <f>+'Solar Report_Base'!P45</f>
        <v>249.6</v>
      </c>
      <c r="Q34" s="18">
        <f>+'Solar Report_Base'!Q45</f>
        <v>295.2</v>
      </c>
      <c r="R34" s="18">
        <f>+'Solar Report_Base'!R45</f>
        <v>0</v>
      </c>
      <c r="S34" s="191">
        <f>+'Solar Report_Base'!S45</f>
        <v>0</v>
      </c>
      <c r="T34" s="191">
        <f>+'Solar Report_Base'!T45</f>
        <v>0</v>
      </c>
      <c r="U34" s="191">
        <f>+'Solar Report_Base'!U45</f>
        <v>0</v>
      </c>
      <c r="V34" s="191">
        <f>+'Solar Report_Base'!V45</f>
        <v>0</v>
      </c>
      <c r="W34" s="191">
        <f>+'Solar Report_Base'!W45</f>
        <v>0</v>
      </c>
      <c r="X34" s="191">
        <f>+'Solar Report_Base'!X45</f>
        <v>0</v>
      </c>
      <c r="Y34" s="191">
        <f>+'Solar Report_Base'!Y45</f>
        <v>0</v>
      </c>
      <c r="Z34" s="191">
        <f>+'Solar Report_Base'!Z45</f>
        <v>0</v>
      </c>
      <c r="AA34" s="191">
        <f>+'Solar Report_Base'!AA45</f>
        <v>0</v>
      </c>
      <c r="AB34" s="191">
        <f>+'Solar Report_Base'!AB45</f>
        <v>0</v>
      </c>
      <c r="AC34" s="191">
        <f>+'Solar Report_Base'!AC45</f>
        <v>0</v>
      </c>
      <c r="AD34" s="191">
        <f>+'Solar Report_Base'!AD45</f>
        <v>0</v>
      </c>
      <c r="AE34" s="191">
        <f>+'Solar Report_Base'!AE45</f>
        <v>0</v>
      </c>
      <c r="AF34" s="191">
        <f>+'Solar Report_Base'!AF45</f>
        <v>0</v>
      </c>
      <c r="AG34" s="191">
        <f>+'Solar Report_Base'!AG45</f>
        <v>0</v>
      </c>
      <c r="AH34" s="191">
        <f>+'Solar Report_Base'!AH45</f>
        <v>0</v>
      </c>
      <c r="AI34" s="23">
        <f t="shared" si="1"/>
        <v>3367.8000000000006</v>
      </c>
    </row>
    <row r="35" spans="2:37" x14ac:dyDescent="0.25">
      <c r="B35" s="21" t="s">
        <v>11</v>
      </c>
      <c r="C35" s="1" t="s">
        <v>6</v>
      </c>
      <c r="D35" s="18">
        <f>+'Solar Report_Base'!D46</f>
        <v>251.3</v>
      </c>
      <c r="E35" s="18">
        <f>+'Solar Report_Base'!E46</f>
        <v>311.39999999999998</v>
      </c>
      <c r="F35" s="18">
        <f>+'Solar Report_Base'!F46</f>
        <v>301.60000000000002</v>
      </c>
      <c r="G35" s="18">
        <f>+'Solar Report_Base'!G46</f>
        <v>291.10000000000002</v>
      </c>
      <c r="H35" s="18">
        <f>+'Solar Report_Base'!H46</f>
        <v>187.2</v>
      </c>
      <c r="I35" s="18">
        <f>+'Solar Report_Base'!I46</f>
        <v>292.39999999999998</v>
      </c>
      <c r="J35" s="18">
        <f>+'Solar Report_Base'!J46</f>
        <v>113.4</v>
      </c>
      <c r="K35" s="18">
        <f>+'Solar Report_Base'!K46</f>
        <v>264.89999999999998</v>
      </c>
      <c r="L35" s="18">
        <f>+'Solar Report_Base'!L46</f>
        <v>243.6</v>
      </c>
      <c r="M35" s="18">
        <f>+'Solar Report_Base'!M46</f>
        <v>198.1</v>
      </c>
      <c r="N35" s="191">
        <f>+'Solar Report_Base'!N46</f>
        <v>147.4</v>
      </c>
      <c r="O35" s="18">
        <f>+'Solar Report_Base'!O46</f>
        <v>212.5</v>
      </c>
      <c r="P35" s="18">
        <f>+'Solar Report_Base'!P46</f>
        <v>249</v>
      </c>
      <c r="Q35" s="18">
        <f>+'Solar Report_Base'!Q46</f>
        <v>294.39999999999998</v>
      </c>
      <c r="R35" s="18">
        <f>+'Solar Report_Base'!R46</f>
        <v>0</v>
      </c>
      <c r="S35" s="191">
        <f>+'Solar Report_Base'!S46</f>
        <v>0</v>
      </c>
      <c r="T35" s="191">
        <f>+'Solar Report_Base'!T46</f>
        <v>0</v>
      </c>
      <c r="U35" s="191">
        <f>+'Solar Report_Base'!U46</f>
        <v>0</v>
      </c>
      <c r="V35" s="191">
        <f>+'Solar Report_Base'!V46</f>
        <v>0</v>
      </c>
      <c r="W35" s="191">
        <f>+'Solar Report_Base'!W46</f>
        <v>0</v>
      </c>
      <c r="X35" s="191">
        <f>+'Solar Report_Base'!X46</f>
        <v>0</v>
      </c>
      <c r="Y35" s="191">
        <f>+'Solar Report_Base'!Y46</f>
        <v>0</v>
      </c>
      <c r="Z35" s="191">
        <f>+'Solar Report_Base'!Z46</f>
        <v>0</v>
      </c>
      <c r="AA35" s="191">
        <f>+'Solar Report_Base'!AA46</f>
        <v>0</v>
      </c>
      <c r="AB35" s="191">
        <f>+'Solar Report_Base'!AB46</f>
        <v>0</v>
      </c>
      <c r="AC35" s="191">
        <f>+'Solar Report_Base'!AC46</f>
        <v>0</v>
      </c>
      <c r="AD35" s="191">
        <f>+'Solar Report_Base'!AD46</f>
        <v>0</v>
      </c>
      <c r="AE35" s="191">
        <f>+'Solar Report_Base'!AE46</f>
        <v>0</v>
      </c>
      <c r="AF35" s="191">
        <f>+'Solar Report_Base'!AF46</f>
        <v>0</v>
      </c>
      <c r="AG35" s="191">
        <f>+'Solar Report_Base'!AG46</f>
        <v>0</v>
      </c>
      <c r="AH35" s="191">
        <f>+'Solar Report_Base'!AH46</f>
        <v>0</v>
      </c>
      <c r="AI35" s="23">
        <f t="shared" si="1"/>
        <v>3358.3</v>
      </c>
    </row>
    <row r="36" spans="2:37" x14ac:dyDescent="0.25">
      <c r="B36" s="21" t="s">
        <v>12</v>
      </c>
      <c r="C36" s="1" t="s">
        <v>6</v>
      </c>
      <c r="D36" s="18">
        <f>+'Solar Report_Base'!D47</f>
        <v>252.2</v>
      </c>
      <c r="E36" s="18">
        <f>+'Solar Report_Base'!E47</f>
        <v>312.39999999999998</v>
      </c>
      <c r="F36" s="18">
        <f>+'Solar Report_Base'!F47</f>
        <v>302.5</v>
      </c>
      <c r="G36" s="18">
        <f>+'Solar Report_Base'!G47</f>
        <v>292.3</v>
      </c>
      <c r="H36" s="18">
        <f>+'Solar Report_Base'!H47</f>
        <v>187.7</v>
      </c>
      <c r="I36" s="18">
        <f>+'Solar Report_Base'!I47</f>
        <v>293.60000000000002</v>
      </c>
      <c r="J36" s="18">
        <f>+'Solar Report_Base'!J47</f>
        <v>113.5</v>
      </c>
      <c r="K36" s="18">
        <f>+'Solar Report_Base'!K47</f>
        <v>266.39999999999998</v>
      </c>
      <c r="L36" s="18">
        <f>+'Solar Report_Base'!L47</f>
        <v>244.7</v>
      </c>
      <c r="M36" s="18">
        <f>+'Solar Report_Base'!M47</f>
        <v>198</v>
      </c>
      <c r="N36" s="191">
        <f>+'Solar Report_Base'!N47</f>
        <v>147.1</v>
      </c>
      <c r="O36" s="18">
        <f>+'Solar Report_Base'!O47</f>
        <v>212.9</v>
      </c>
      <c r="P36" s="18">
        <f>+'Solar Report_Base'!P47</f>
        <v>249.5</v>
      </c>
      <c r="Q36" s="18">
        <f>+'Solar Report_Base'!Q47</f>
        <v>295.2</v>
      </c>
      <c r="R36" s="18">
        <f>+'Solar Report_Base'!R47</f>
        <v>0</v>
      </c>
      <c r="S36" s="191">
        <f>+'Solar Report_Base'!S47</f>
        <v>0</v>
      </c>
      <c r="T36" s="191">
        <f>+'Solar Report_Base'!T47</f>
        <v>0</v>
      </c>
      <c r="U36" s="191">
        <f>+'Solar Report_Base'!U47</f>
        <v>0</v>
      </c>
      <c r="V36" s="191">
        <f>+'Solar Report_Base'!V47</f>
        <v>0</v>
      </c>
      <c r="W36" s="191">
        <f>+'Solar Report_Base'!W47</f>
        <v>0</v>
      </c>
      <c r="X36" s="191">
        <f>+'Solar Report_Base'!X47</f>
        <v>0</v>
      </c>
      <c r="Y36" s="191">
        <f>+'Solar Report_Base'!Y47</f>
        <v>0</v>
      </c>
      <c r="Z36" s="191">
        <f>+'Solar Report_Base'!Z47</f>
        <v>0</v>
      </c>
      <c r="AA36" s="191">
        <f>+'Solar Report_Base'!AA47</f>
        <v>0</v>
      </c>
      <c r="AB36" s="191">
        <f>+'Solar Report_Base'!AB47</f>
        <v>0</v>
      </c>
      <c r="AC36" s="191">
        <f>+'Solar Report_Base'!AC47</f>
        <v>0</v>
      </c>
      <c r="AD36" s="191">
        <f>+'Solar Report_Base'!AD47</f>
        <v>0</v>
      </c>
      <c r="AE36" s="191">
        <f>+'Solar Report_Base'!AE47</f>
        <v>0</v>
      </c>
      <c r="AF36" s="191">
        <f>+'Solar Report_Base'!AF47</f>
        <v>0</v>
      </c>
      <c r="AG36" s="191">
        <f>+'Solar Report_Base'!AG47</f>
        <v>0</v>
      </c>
      <c r="AH36" s="191">
        <f>+'Solar Report_Base'!AH47</f>
        <v>0</v>
      </c>
      <c r="AI36" s="23">
        <f t="shared" si="1"/>
        <v>3367.9999999999995</v>
      </c>
    </row>
    <row r="37" spans="2:37" x14ac:dyDescent="0.25">
      <c r="B37" s="21" t="s">
        <v>13</v>
      </c>
      <c r="C37" s="1" t="s">
        <v>6</v>
      </c>
      <c r="D37" s="18">
        <f>+'Solar Report_Base'!D48</f>
        <v>252.4</v>
      </c>
      <c r="E37" s="18">
        <f>+'Solar Report_Base'!E48</f>
        <v>312.39999999999998</v>
      </c>
      <c r="F37" s="18">
        <f>+'Solar Report_Base'!F48</f>
        <v>302.89999999999998</v>
      </c>
      <c r="G37" s="18">
        <f>+'Solar Report_Base'!G48</f>
        <v>292.5</v>
      </c>
      <c r="H37" s="18">
        <f>+'Solar Report_Base'!H48</f>
        <v>187.7</v>
      </c>
      <c r="I37" s="18">
        <f>+'Solar Report_Base'!I48</f>
        <v>293.60000000000002</v>
      </c>
      <c r="J37" s="18">
        <f>+'Solar Report_Base'!J48</f>
        <v>112.1</v>
      </c>
      <c r="K37" s="18">
        <f>+'Solar Report_Base'!K48</f>
        <v>265.3</v>
      </c>
      <c r="L37" s="18">
        <f>+'Solar Report_Base'!L48</f>
        <v>243.7</v>
      </c>
      <c r="M37" s="18">
        <f>+'Solar Report_Base'!M48</f>
        <v>196.7</v>
      </c>
      <c r="N37" s="191">
        <f>+'Solar Report_Base'!N48</f>
        <v>146.1</v>
      </c>
      <c r="O37" s="18">
        <f>+'Solar Report_Base'!O48</f>
        <v>212.8</v>
      </c>
      <c r="P37" s="18">
        <f>+'Solar Report_Base'!P48</f>
        <v>249.1</v>
      </c>
      <c r="Q37" s="18">
        <f>+'Solar Report_Base'!Q48</f>
        <v>295.10000000000002</v>
      </c>
      <c r="R37" s="18">
        <f>+'Solar Report_Base'!R48</f>
        <v>0</v>
      </c>
      <c r="S37" s="191">
        <f>+'Solar Report_Base'!S48</f>
        <v>0</v>
      </c>
      <c r="T37" s="191">
        <f>+'Solar Report_Base'!T48</f>
        <v>0</v>
      </c>
      <c r="U37" s="191">
        <f>+'Solar Report_Base'!U48</f>
        <v>0</v>
      </c>
      <c r="V37" s="191">
        <f>+'Solar Report_Base'!V48</f>
        <v>0</v>
      </c>
      <c r="W37" s="191">
        <f>+'Solar Report_Base'!W48</f>
        <v>0</v>
      </c>
      <c r="X37" s="191">
        <f>+'Solar Report_Base'!X48</f>
        <v>0</v>
      </c>
      <c r="Y37" s="191">
        <f>+'Solar Report_Base'!Y48</f>
        <v>0</v>
      </c>
      <c r="Z37" s="191">
        <f>+'Solar Report_Base'!Z48</f>
        <v>0</v>
      </c>
      <c r="AA37" s="191">
        <f>+'Solar Report_Base'!AA48</f>
        <v>0</v>
      </c>
      <c r="AB37" s="191">
        <f>+'Solar Report_Base'!AB48</f>
        <v>0</v>
      </c>
      <c r="AC37" s="191">
        <f>+'Solar Report_Base'!AC48</f>
        <v>0</v>
      </c>
      <c r="AD37" s="191">
        <f>+'Solar Report_Base'!AD48</f>
        <v>0</v>
      </c>
      <c r="AE37" s="191">
        <f>+'Solar Report_Base'!AE48</f>
        <v>0</v>
      </c>
      <c r="AF37" s="191">
        <f>+'Solar Report_Base'!AF48</f>
        <v>0</v>
      </c>
      <c r="AG37" s="191">
        <f>+'Solar Report_Base'!AG48</f>
        <v>0</v>
      </c>
      <c r="AH37" s="191">
        <f>+'Solar Report_Base'!AH48</f>
        <v>0</v>
      </c>
      <c r="AI37" s="23">
        <f t="shared" si="1"/>
        <v>3362.3999999999996</v>
      </c>
    </row>
    <row r="38" spans="2:37" x14ac:dyDescent="0.25">
      <c r="B38" s="21" t="s">
        <v>14</v>
      </c>
      <c r="C38" s="1" t="s">
        <v>6</v>
      </c>
      <c r="D38" s="18">
        <f>+'Solar Report_Base'!D49</f>
        <v>252.9</v>
      </c>
      <c r="E38" s="18">
        <f>+'Solar Report_Base'!E49</f>
        <v>312.39999999999998</v>
      </c>
      <c r="F38" s="18">
        <f>+'Solar Report_Base'!F49</f>
        <v>302</v>
      </c>
      <c r="G38" s="18">
        <f>+'Solar Report_Base'!G49</f>
        <v>291.39999999999998</v>
      </c>
      <c r="H38" s="18">
        <f>+'Solar Report_Base'!H49</f>
        <v>186.4</v>
      </c>
      <c r="I38" s="18">
        <f>+'Solar Report_Base'!I49</f>
        <v>293</v>
      </c>
      <c r="J38" s="18">
        <f>+'Solar Report_Base'!J49</f>
        <v>111.7</v>
      </c>
      <c r="K38" s="18">
        <f>+'Solar Report_Base'!K49</f>
        <v>265.8</v>
      </c>
      <c r="L38" s="18">
        <f>+'Solar Report_Base'!L49</f>
        <v>243.1</v>
      </c>
      <c r="M38" s="18">
        <f>+'Solar Report_Base'!M49</f>
        <v>196.3</v>
      </c>
      <c r="N38" s="191">
        <f>+'Solar Report_Base'!N49</f>
        <v>145.80000000000001</v>
      </c>
      <c r="O38" s="18">
        <f>+'Solar Report_Base'!O49</f>
        <v>212.1</v>
      </c>
      <c r="P38" s="18">
        <f>+'Solar Report_Base'!P49</f>
        <v>248.2</v>
      </c>
      <c r="Q38" s="18">
        <f>+'Solar Report_Base'!Q49</f>
        <v>294.5</v>
      </c>
      <c r="R38" s="18">
        <f>+'Solar Report_Base'!R49</f>
        <v>0</v>
      </c>
      <c r="S38" s="191">
        <f>+'Solar Report_Base'!S49</f>
        <v>0</v>
      </c>
      <c r="T38" s="191">
        <f>+'Solar Report_Base'!T49</f>
        <v>0</v>
      </c>
      <c r="U38" s="191">
        <f>+'Solar Report_Base'!U49</f>
        <v>0</v>
      </c>
      <c r="V38" s="191">
        <f>+'Solar Report_Base'!V49</f>
        <v>0</v>
      </c>
      <c r="W38" s="191">
        <f>+'Solar Report_Base'!W49</f>
        <v>0</v>
      </c>
      <c r="X38" s="191">
        <f>+'Solar Report_Base'!X49</f>
        <v>0</v>
      </c>
      <c r="Y38" s="191">
        <f>+'Solar Report_Base'!Y49</f>
        <v>0</v>
      </c>
      <c r="Z38" s="191">
        <f>+'Solar Report_Base'!Z49</f>
        <v>0</v>
      </c>
      <c r="AA38" s="191">
        <f>+'Solar Report_Base'!AA49</f>
        <v>0</v>
      </c>
      <c r="AB38" s="191">
        <f>+'Solar Report_Base'!AB49</f>
        <v>0</v>
      </c>
      <c r="AC38" s="191">
        <f>+'Solar Report_Base'!AC49</f>
        <v>0</v>
      </c>
      <c r="AD38" s="191">
        <f>+'Solar Report_Base'!AD49</f>
        <v>0</v>
      </c>
      <c r="AE38" s="191">
        <f>+'Solar Report_Base'!AE49</f>
        <v>0</v>
      </c>
      <c r="AF38" s="191">
        <f>+'Solar Report_Base'!AF49</f>
        <v>0</v>
      </c>
      <c r="AG38" s="191">
        <f>+'Solar Report_Base'!AG49</f>
        <v>0</v>
      </c>
      <c r="AH38" s="191">
        <f>+'Solar Report_Base'!AH49</f>
        <v>0</v>
      </c>
      <c r="AI38" s="23">
        <f t="shared" si="1"/>
        <v>3355.6</v>
      </c>
    </row>
    <row r="39" spans="2:37" x14ac:dyDescent="0.25">
      <c r="B39" s="21" t="s">
        <v>15</v>
      </c>
      <c r="C39" s="1" t="s">
        <v>6</v>
      </c>
      <c r="D39" s="18">
        <f>+'Solar Report_Base'!D50</f>
        <v>251.2</v>
      </c>
      <c r="E39" s="18">
        <f>+'Solar Report_Base'!E50</f>
        <v>311</v>
      </c>
      <c r="F39" s="18">
        <f>+'Solar Report_Base'!F50</f>
        <v>301.2</v>
      </c>
      <c r="G39" s="18">
        <f>+'Solar Report_Base'!G50</f>
        <v>290.8</v>
      </c>
      <c r="H39" s="18">
        <f>+'Solar Report_Base'!H50</f>
        <v>187</v>
      </c>
      <c r="I39" s="18">
        <f>+'Solar Report_Base'!I50</f>
        <v>292.39999999999998</v>
      </c>
      <c r="J39" s="18">
        <f>+'Solar Report_Base'!J50</f>
        <v>110.4</v>
      </c>
      <c r="K39" s="18">
        <f>+'Solar Report_Base'!K50</f>
        <v>264</v>
      </c>
      <c r="L39" s="18">
        <f>+'Solar Report_Base'!L50</f>
        <v>242.3</v>
      </c>
      <c r="M39" s="18">
        <f>+'Solar Report_Base'!M50</f>
        <v>196.4</v>
      </c>
      <c r="N39" s="191">
        <f>+'Solar Report_Base'!N50</f>
        <v>145.69999999999999</v>
      </c>
      <c r="O39" s="18">
        <f>+'Solar Report_Base'!O50</f>
        <v>212.5</v>
      </c>
      <c r="P39" s="18">
        <f>+'Solar Report_Base'!P50</f>
        <v>248.3</v>
      </c>
      <c r="Q39" s="18">
        <f>+'Solar Report_Base'!Q50</f>
        <v>294.5</v>
      </c>
      <c r="R39" s="18">
        <f>+'Solar Report_Base'!R50</f>
        <v>0</v>
      </c>
      <c r="S39" s="191">
        <f>+'Solar Report_Base'!S50</f>
        <v>0</v>
      </c>
      <c r="T39" s="191">
        <f>+'Solar Report_Base'!T50</f>
        <v>0</v>
      </c>
      <c r="U39" s="191">
        <f>+'Solar Report_Base'!U50</f>
        <v>0</v>
      </c>
      <c r="V39" s="191">
        <f>+'Solar Report_Base'!V50</f>
        <v>0</v>
      </c>
      <c r="W39" s="191">
        <f>+'Solar Report_Base'!W50</f>
        <v>0</v>
      </c>
      <c r="X39" s="191">
        <f>+'Solar Report_Base'!X50</f>
        <v>0</v>
      </c>
      <c r="Y39" s="191">
        <f>+'Solar Report_Base'!Y50</f>
        <v>0</v>
      </c>
      <c r="Z39" s="191">
        <f>+'Solar Report_Base'!Z50</f>
        <v>0</v>
      </c>
      <c r="AA39" s="191">
        <f>+'Solar Report_Base'!AA50</f>
        <v>0</v>
      </c>
      <c r="AB39" s="191">
        <f>+'Solar Report_Base'!AB50</f>
        <v>0</v>
      </c>
      <c r="AC39" s="191">
        <f>+'Solar Report_Base'!AC50</f>
        <v>0</v>
      </c>
      <c r="AD39" s="191">
        <f>+'Solar Report_Base'!AD50</f>
        <v>0</v>
      </c>
      <c r="AE39" s="191">
        <f>+'Solar Report_Base'!AE50</f>
        <v>0</v>
      </c>
      <c r="AF39" s="191">
        <f>+'Solar Report_Base'!AF50</f>
        <v>0</v>
      </c>
      <c r="AG39" s="191">
        <f>+'Solar Report_Base'!AG50</f>
        <v>0</v>
      </c>
      <c r="AH39" s="191">
        <f>+'Solar Report_Base'!AH50</f>
        <v>0</v>
      </c>
      <c r="AI39" s="23">
        <f t="shared" si="1"/>
        <v>3347.7000000000003</v>
      </c>
    </row>
    <row r="40" spans="2:37" x14ac:dyDescent="0.25">
      <c r="B40" s="21" t="s">
        <v>16</v>
      </c>
      <c r="C40" s="1" t="s">
        <v>6</v>
      </c>
      <c r="D40" s="18">
        <f>+'Solar Report_Base'!D51</f>
        <v>251.9</v>
      </c>
      <c r="E40" s="18">
        <f>+'Solar Report_Base'!E51</f>
        <v>311.8</v>
      </c>
      <c r="F40" s="18">
        <f>+'Solar Report_Base'!F51</f>
        <v>302.2</v>
      </c>
      <c r="G40" s="18">
        <f>+'Solar Report_Base'!G51</f>
        <v>291.5</v>
      </c>
      <c r="H40" s="18">
        <f>+'Solar Report_Base'!H51</f>
        <v>187.3</v>
      </c>
      <c r="I40" s="18">
        <f>+'Solar Report_Base'!I51</f>
        <v>292.8</v>
      </c>
      <c r="J40" s="18">
        <f>+'Solar Report_Base'!J51</f>
        <v>109.7</v>
      </c>
      <c r="K40" s="18">
        <f>+'Solar Report_Base'!K51</f>
        <v>264.89999999999998</v>
      </c>
      <c r="L40" s="18">
        <f>+'Solar Report_Base'!L51</f>
        <v>242.7</v>
      </c>
      <c r="M40" s="18">
        <f>+'Solar Report_Base'!M51</f>
        <v>196.7</v>
      </c>
      <c r="N40" s="191">
        <f>+'Solar Report_Base'!N51</f>
        <v>145.69999999999999</v>
      </c>
      <c r="O40" s="18">
        <f>+'Solar Report_Base'!O51</f>
        <v>212.4</v>
      </c>
      <c r="P40" s="18">
        <f>+'Solar Report_Base'!P51</f>
        <v>248.1</v>
      </c>
      <c r="Q40" s="18">
        <f>+'Solar Report_Base'!Q51</f>
        <v>294.7</v>
      </c>
      <c r="R40" s="18">
        <f>+'Solar Report_Base'!R51</f>
        <v>0</v>
      </c>
      <c r="S40" s="191">
        <f>+'Solar Report_Base'!S51</f>
        <v>0</v>
      </c>
      <c r="T40" s="191">
        <f>+'Solar Report_Base'!T51</f>
        <v>0</v>
      </c>
      <c r="U40" s="191">
        <f>+'Solar Report_Base'!U51</f>
        <v>0</v>
      </c>
      <c r="V40" s="191">
        <f>+'Solar Report_Base'!V51</f>
        <v>0</v>
      </c>
      <c r="W40" s="191">
        <f>+'Solar Report_Base'!W51</f>
        <v>0</v>
      </c>
      <c r="X40" s="191">
        <f>+'Solar Report_Base'!X51</f>
        <v>0</v>
      </c>
      <c r="Y40" s="191">
        <f>+'Solar Report_Base'!Y51</f>
        <v>0</v>
      </c>
      <c r="Z40" s="191">
        <f>+'Solar Report_Base'!Z51</f>
        <v>0</v>
      </c>
      <c r="AA40" s="191">
        <f>+'Solar Report_Base'!AA51</f>
        <v>0</v>
      </c>
      <c r="AB40" s="191">
        <f>+'Solar Report_Base'!AB51</f>
        <v>0</v>
      </c>
      <c r="AC40" s="191">
        <f>+'Solar Report_Base'!AC51</f>
        <v>0</v>
      </c>
      <c r="AD40" s="191">
        <f>+'Solar Report_Base'!AD51</f>
        <v>0</v>
      </c>
      <c r="AE40" s="191">
        <f>+'Solar Report_Base'!AE51</f>
        <v>0</v>
      </c>
      <c r="AF40" s="191">
        <f>+'Solar Report_Base'!AF51</f>
        <v>0</v>
      </c>
      <c r="AG40" s="191">
        <f>+'Solar Report_Base'!AG51</f>
        <v>0</v>
      </c>
      <c r="AH40" s="191">
        <f>+'Solar Report_Base'!AH51</f>
        <v>0</v>
      </c>
      <c r="AI40" s="23">
        <f t="shared" si="1"/>
        <v>3352.3999999999992</v>
      </c>
    </row>
    <row r="41" spans="2:37" x14ac:dyDescent="0.25">
      <c r="B41" s="21" t="s">
        <v>17</v>
      </c>
      <c r="C41" s="1" t="s">
        <v>6</v>
      </c>
      <c r="D41" s="18">
        <f>+'Solar Report_Base'!D52</f>
        <v>251.5</v>
      </c>
      <c r="E41" s="18">
        <f>+'Solar Report_Base'!E52</f>
        <v>311.2</v>
      </c>
      <c r="F41" s="18">
        <f>+'Solar Report_Base'!F52</f>
        <v>301.5</v>
      </c>
      <c r="G41" s="18">
        <f>+'Solar Report_Base'!G52</f>
        <v>290.8</v>
      </c>
      <c r="H41" s="18">
        <f>+'Solar Report_Base'!H52</f>
        <v>186.9</v>
      </c>
      <c r="I41" s="18">
        <f>+'Solar Report_Base'!I52</f>
        <v>292.2</v>
      </c>
      <c r="J41" s="18">
        <f>+'Solar Report_Base'!J52</f>
        <v>108.5</v>
      </c>
      <c r="K41" s="18">
        <f>+'Solar Report_Base'!K52</f>
        <v>264.5</v>
      </c>
      <c r="L41" s="18">
        <f>+'Solar Report_Base'!L52</f>
        <v>242.2</v>
      </c>
      <c r="M41" s="18">
        <f>+'Solar Report_Base'!M52</f>
        <v>196.5</v>
      </c>
      <c r="N41" s="191">
        <f>+'Solar Report_Base'!N52</f>
        <v>145.69999999999999</v>
      </c>
      <c r="O41" s="18">
        <f>+'Solar Report_Base'!O52</f>
        <v>212.7</v>
      </c>
      <c r="P41" s="18">
        <f>+'Solar Report_Base'!P52</f>
        <v>248</v>
      </c>
      <c r="Q41" s="18">
        <f>+'Solar Report_Base'!Q52</f>
        <v>295</v>
      </c>
      <c r="R41" s="18">
        <f>+'Solar Report_Base'!R52</f>
        <v>0</v>
      </c>
      <c r="S41" s="191">
        <f>+'Solar Report_Base'!S52</f>
        <v>0</v>
      </c>
      <c r="T41" s="191">
        <f>+'Solar Report_Base'!T52</f>
        <v>0</v>
      </c>
      <c r="U41" s="191">
        <f>+'Solar Report_Base'!U52</f>
        <v>0</v>
      </c>
      <c r="V41" s="191">
        <f>+'Solar Report_Base'!V52</f>
        <v>0</v>
      </c>
      <c r="W41" s="191">
        <f>+'Solar Report_Base'!W52</f>
        <v>0</v>
      </c>
      <c r="X41" s="191">
        <f>+'Solar Report_Base'!X52</f>
        <v>0</v>
      </c>
      <c r="Y41" s="191">
        <f>+'Solar Report_Base'!Y52</f>
        <v>0</v>
      </c>
      <c r="Z41" s="191">
        <f>+'Solar Report_Base'!Z52</f>
        <v>0</v>
      </c>
      <c r="AA41" s="191">
        <f>+'Solar Report_Base'!AA52</f>
        <v>0</v>
      </c>
      <c r="AB41" s="191">
        <f>+'Solar Report_Base'!AB52</f>
        <v>0</v>
      </c>
      <c r="AC41" s="191">
        <f>+'Solar Report_Base'!AC52</f>
        <v>0</v>
      </c>
      <c r="AD41" s="191">
        <f>+'Solar Report_Base'!AD52</f>
        <v>0</v>
      </c>
      <c r="AE41" s="191">
        <f>+'Solar Report_Base'!AE52</f>
        <v>0</v>
      </c>
      <c r="AF41" s="191">
        <f>+'Solar Report_Base'!AF52</f>
        <v>0</v>
      </c>
      <c r="AG41" s="191">
        <f>+'Solar Report_Base'!AG52</f>
        <v>0</v>
      </c>
      <c r="AH41" s="191">
        <f>+'Solar Report_Base'!AH52</f>
        <v>0</v>
      </c>
      <c r="AI41" s="23">
        <f t="shared" si="1"/>
        <v>3347.2</v>
      </c>
    </row>
    <row r="42" spans="2:37" x14ac:dyDescent="0.25">
      <c r="B42" s="21" t="s">
        <v>18</v>
      </c>
      <c r="C42" s="1" t="s">
        <v>6</v>
      </c>
      <c r="D42" s="18">
        <f>+'Solar Report_Base'!D53</f>
        <v>252.3</v>
      </c>
      <c r="E42" s="18">
        <f>+'Solar Report_Base'!E53</f>
        <v>312.10000000000002</v>
      </c>
      <c r="F42" s="18">
        <f>+'Solar Report_Base'!F53</f>
        <v>302.39999999999998</v>
      </c>
      <c r="G42" s="18">
        <f>+'Solar Report_Base'!G53</f>
        <v>291.89999999999998</v>
      </c>
      <c r="H42" s="18">
        <f>+'Solar Report_Base'!H53</f>
        <v>187.3</v>
      </c>
      <c r="I42" s="18">
        <f>+'Solar Report_Base'!I53</f>
        <v>293.2</v>
      </c>
      <c r="J42" s="18">
        <f>+'Solar Report_Base'!J53</f>
        <v>108.3</v>
      </c>
      <c r="K42" s="18">
        <f>+'Solar Report_Base'!K53</f>
        <v>265.2</v>
      </c>
      <c r="L42" s="18">
        <f>+'Solar Report_Base'!L53</f>
        <v>242.9</v>
      </c>
      <c r="M42" s="18">
        <f>+'Solar Report_Base'!M53</f>
        <v>196.4</v>
      </c>
      <c r="N42" s="191">
        <f>+'Solar Report_Base'!N53</f>
        <v>145.5</v>
      </c>
      <c r="O42" s="18">
        <f>+'Solar Report_Base'!O53</f>
        <v>212.6</v>
      </c>
      <c r="P42" s="18">
        <f>+'Solar Report_Base'!P53</f>
        <v>248.4</v>
      </c>
      <c r="Q42" s="18">
        <f>+'Solar Report_Base'!Q53</f>
        <v>295.3</v>
      </c>
      <c r="R42" s="18">
        <f>+'Solar Report_Base'!R53</f>
        <v>0</v>
      </c>
      <c r="S42" s="191">
        <f>+'Solar Report_Base'!S53</f>
        <v>0</v>
      </c>
      <c r="T42" s="191">
        <f>+'Solar Report_Base'!T53</f>
        <v>0</v>
      </c>
      <c r="U42" s="191">
        <f>+'Solar Report_Base'!U53</f>
        <v>0</v>
      </c>
      <c r="V42" s="191">
        <f>+'Solar Report_Base'!V53</f>
        <v>0</v>
      </c>
      <c r="W42" s="191">
        <f>+'Solar Report_Base'!W53</f>
        <v>0</v>
      </c>
      <c r="X42" s="191">
        <f>+'Solar Report_Base'!X53</f>
        <v>0</v>
      </c>
      <c r="Y42" s="191">
        <f>+'Solar Report_Base'!Y53</f>
        <v>0</v>
      </c>
      <c r="Z42" s="191">
        <f>+'Solar Report_Base'!Z53</f>
        <v>0</v>
      </c>
      <c r="AA42" s="191">
        <f>+'Solar Report_Base'!AA53</f>
        <v>0</v>
      </c>
      <c r="AB42" s="191">
        <f>+'Solar Report_Base'!AB53</f>
        <v>0</v>
      </c>
      <c r="AC42" s="191">
        <f>+'Solar Report_Base'!AC53</f>
        <v>0</v>
      </c>
      <c r="AD42" s="191">
        <f>+'Solar Report_Base'!AD53</f>
        <v>0</v>
      </c>
      <c r="AE42" s="191">
        <f>+'Solar Report_Base'!AE53</f>
        <v>0</v>
      </c>
      <c r="AF42" s="191">
        <f>+'Solar Report_Base'!AF53</f>
        <v>0</v>
      </c>
      <c r="AG42" s="191">
        <f>+'Solar Report_Base'!AG53</f>
        <v>0</v>
      </c>
      <c r="AH42" s="191">
        <f>+'Solar Report_Base'!AH53</f>
        <v>0</v>
      </c>
      <c r="AI42" s="23">
        <f t="shared" si="1"/>
        <v>3353.8</v>
      </c>
    </row>
    <row r="43" spans="2:37" x14ac:dyDescent="0.25">
      <c r="B43" s="21" t="s">
        <v>19</v>
      </c>
      <c r="C43" s="1" t="s">
        <v>6</v>
      </c>
      <c r="D43" s="18">
        <f>+'Solar Report_Base'!D54</f>
        <v>250.6</v>
      </c>
      <c r="E43" s="18">
        <f>+'Solar Report_Base'!E54</f>
        <v>309.7</v>
      </c>
      <c r="F43" s="18">
        <f>+'Solar Report_Base'!F54</f>
        <v>300.10000000000002</v>
      </c>
      <c r="G43" s="18">
        <f>+'Solar Report_Base'!G54</f>
        <v>289.10000000000002</v>
      </c>
      <c r="H43" s="18">
        <f>+'Solar Report_Base'!H54</f>
        <v>185.7</v>
      </c>
      <c r="I43" s="18">
        <f>+'Solar Report_Base'!I54</f>
        <v>290.7</v>
      </c>
      <c r="J43" s="18">
        <f>+'Solar Report_Base'!J54</f>
        <v>107.5</v>
      </c>
      <c r="K43" s="18">
        <f>+'Solar Report_Base'!K54</f>
        <v>264.89999999999998</v>
      </c>
      <c r="L43" s="18">
        <f>+'Solar Report_Base'!L54</f>
        <v>242.4</v>
      </c>
      <c r="M43" s="18">
        <f>+'Solar Report_Base'!M54</f>
        <v>195.4</v>
      </c>
      <c r="N43" s="191">
        <f>+'Solar Report_Base'!N54</f>
        <v>144.6</v>
      </c>
      <c r="O43" s="18">
        <f>+'Solar Report_Base'!O54</f>
        <v>211.2</v>
      </c>
      <c r="P43" s="18">
        <f>+'Solar Report_Base'!P54</f>
        <v>246.5</v>
      </c>
      <c r="Q43" s="18">
        <f>+'Solar Report_Base'!Q54</f>
        <v>293.10000000000002</v>
      </c>
      <c r="R43" s="18">
        <f>+'Solar Report_Base'!R54</f>
        <v>0</v>
      </c>
      <c r="S43" s="191">
        <f>+'Solar Report_Base'!S54</f>
        <v>0</v>
      </c>
      <c r="T43" s="191">
        <f>+'Solar Report_Base'!T54</f>
        <v>0</v>
      </c>
      <c r="U43" s="191">
        <f>+'Solar Report_Base'!U54</f>
        <v>0</v>
      </c>
      <c r="V43" s="191">
        <f>+'Solar Report_Base'!V54</f>
        <v>0</v>
      </c>
      <c r="W43" s="191">
        <f>+'Solar Report_Base'!W54</f>
        <v>0</v>
      </c>
      <c r="X43" s="191">
        <f>+'Solar Report_Base'!X54</f>
        <v>0</v>
      </c>
      <c r="Y43" s="191">
        <f>+'Solar Report_Base'!Y54</f>
        <v>0</v>
      </c>
      <c r="Z43" s="191">
        <f>+'Solar Report_Base'!Z54</f>
        <v>0</v>
      </c>
      <c r="AA43" s="191">
        <f>+'Solar Report_Base'!AA54</f>
        <v>0</v>
      </c>
      <c r="AB43" s="191">
        <f>+'Solar Report_Base'!AB54</f>
        <v>0</v>
      </c>
      <c r="AC43" s="191">
        <f>+'Solar Report_Base'!AC54</f>
        <v>0</v>
      </c>
      <c r="AD43" s="191">
        <f>+'Solar Report_Base'!AD54</f>
        <v>0</v>
      </c>
      <c r="AE43" s="191">
        <f>+'Solar Report_Base'!AE54</f>
        <v>0</v>
      </c>
      <c r="AF43" s="191">
        <f>+'Solar Report_Base'!AF54</f>
        <v>0</v>
      </c>
      <c r="AG43" s="191">
        <f>+'Solar Report_Base'!AG54</f>
        <v>0</v>
      </c>
      <c r="AH43" s="191">
        <f>+'Solar Report_Base'!AH54</f>
        <v>0</v>
      </c>
      <c r="AI43" s="23">
        <f t="shared" si="1"/>
        <v>3331.5</v>
      </c>
    </row>
    <row r="44" spans="2:37" x14ac:dyDescent="0.25">
      <c r="B44" s="21" t="s">
        <v>20</v>
      </c>
      <c r="C44" s="1" t="s">
        <v>6</v>
      </c>
      <c r="D44" s="18">
        <f>+'Solar Report_Base'!D55</f>
        <v>266.5</v>
      </c>
      <c r="E44" s="18">
        <f>+'Solar Report_Base'!E55</f>
        <v>329.6</v>
      </c>
      <c r="F44" s="18">
        <f>+'Solar Report_Base'!F55</f>
        <v>319.5</v>
      </c>
      <c r="G44" s="18">
        <f>+'Solar Report_Base'!G55</f>
        <v>307.89999999999998</v>
      </c>
      <c r="H44" s="18">
        <f>+'Solar Report_Base'!H55</f>
        <v>198.3</v>
      </c>
      <c r="I44" s="18">
        <f>+'Solar Report_Base'!I55</f>
        <v>309.8</v>
      </c>
      <c r="J44" s="18">
        <f>+'Solar Report_Base'!J55</f>
        <v>114.3</v>
      </c>
      <c r="K44" s="18">
        <f>+'Solar Report_Base'!K55</f>
        <v>280.60000000000002</v>
      </c>
      <c r="L44" s="18">
        <f>+'Solar Report_Base'!L55</f>
        <v>259.3</v>
      </c>
      <c r="M44" s="18">
        <f>+'Solar Report_Base'!M55</f>
        <v>209.2</v>
      </c>
      <c r="N44" s="191">
        <f>+'Solar Report_Base'!N55</f>
        <v>154.80000000000001</v>
      </c>
      <c r="O44" s="18">
        <f>+'Solar Report_Base'!O55</f>
        <v>225.5</v>
      </c>
      <c r="P44" s="18">
        <f>+'Solar Report_Base'!P55</f>
        <v>262.5</v>
      </c>
      <c r="Q44" s="18">
        <f>+'Solar Report_Base'!Q55</f>
        <v>313.10000000000002</v>
      </c>
      <c r="R44" s="18">
        <f>+'Solar Report_Base'!R55</f>
        <v>0</v>
      </c>
      <c r="S44" s="191">
        <f>+'Solar Report_Base'!S55</f>
        <v>0</v>
      </c>
      <c r="T44" s="191">
        <f>+'Solar Report_Base'!T55</f>
        <v>0</v>
      </c>
      <c r="U44" s="191">
        <f>+'Solar Report_Base'!U55</f>
        <v>0</v>
      </c>
      <c r="V44" s="191">
        <f>+'Solar Report_Base'!V55</f>
        <v>0</v>
      </c>
      <c r="W44" s="191">
        <f>+'Solar Report_Base'!W55</f>
        <v>0</v>
      </c>
      <c r="X44" s="191">
        <f>+'Solar Report_Base'!X55</f>
        <v>0</v>
      </c>
      <c r="Y44" s="191">
        <f>+'Solar Report_Base'!Y55</f>
        <v>0</v>
      </c>
      <c r="Z44" s="191">
        <f>+'Solar Report_Base'!Z55</f>
        <v>0</v>
      </c>
      <c r="AA44" s="191">
        <f>+'Solar Report_Base'!AA55</f>
        <v>0</v>
      </c>
      <c r="AB44" s="191">
        <f>+'Solar Report_Base'!AB55</f>
        <v>0</v>
      </c>
      <c r="AC44" s="191">
        <f>+'Solar Report_Base'!AC55</f>
        <v>0</v>
      </c>
      <c r="AD44" s="191">
        <f>+'Solar Report_Base'!AD55</f>
        <v>0</v>
      </c>
      <c r="AE44" s="191">
        <f>+'Solar Report_Base'!AE55</f>
        <v>0</v>
      </c>
      <c r="AF44" s="191">
        <f>+'Solar Report_Base'!AF55</f>
        <v>0</v>
      </c>
      <c r="AG44" s="191">
        <f>+'Solar Report_Base'!AG55</f>
        <v>0</v>
      </c>
      <c r="AH44" s="191">
        <f>+'Solar Report_Base'!AH55</f>
        <v>0</v>
      </c>
      <c r="AI44" s="23">
        <f t="shared" si="1"/>
        <v>3550.9</v>
      </c>
    </row>
    <row r="45" spans="2:37" x14ac:dyDescent="0.25">
      <c r="B45" s="21" t="s">
        <v>21</v>
      </c>
      <c r="C45" s="1" t="s">
        <v>6</v>
      </c>
      <c r="D45" s="18">
        <f>+'Solar Report_Base'!D56</f>
        <v>263.10000000000002</v>
      </c>
      <c r="E45" s="18">
        <f>+'Solar Report_Base'!E56</f>
        <v>325.8</v>
      </c>
      <c r="F45" s="18">
        <f>+'Solar Report_Base'!F56</f>
        <v>314.89999999999998</v>
      </c>
      <c r="G45" s="18">
        <f>+'Solar Report_Base'!G56</f>
        <v>303.89999999999998</v>
      </c>
      <c r="H45" s="18">
        <f>+'Solar Report_Base'!H56</f>
        <v>195.1</v>
      </c>
      <c r="I45" s="18">
        <f>+'Solar Report_Base'!I56</f>
        <v>305.39999999999998</v>
      </c>
      <c r="J45" s="18">
        <f>+'Solar Report_Base'!J56</f>
        <v>112.5</v>
      </c>
      <c r="K45" s="18">
        <f>+'Solar Report_Base'!K56</f>
        <v>275.8</v>
      </c>
      <c r="L45" s="18">
        <f>+'Solar Report_Base'!L56</f>
        <v>255.7</v>
      </c>
      <c r="M45" s="18">
        <f>+'Solar Report_Base'!M56</f>
        <v>205</v>
      </c>
      <c r="N45" s="191">
        <f>+'Solar Report_Base'!N56</f>
        <v>151.6</v>
      </c>
      <c r="O45" s="18">
        <f>+'Solar Report_Base'!O56</f>
        <v>221.8</v>
      </c>
      <c r="P45" s="18">
        <f>+'Solar Report_Base'!P56</f>
        <v>257.5</v>
      </c>
      <c r="Q45" s="18">
        <f>+'Solar Report_Base'!Q56</f>
        <v>307.2</v>
      </c>
      <c r="R45" s="18">
        <f>+'Solar Report_Base'!R56</f>
        <v>0</v>
      </c>
      <c r="S45" s="191">
        <f>+'Solar Report_Base'!S56</f>
        <v>0</v>
      </c>
      <c r="T45" s="191">
        <f>+'Solar Report_Base'!T56</f>
        <v>0</v>
      </c>
      <c r="U45" s="191">
        <f>+'Solar Report_Base'!U56</f>
        <v>0</v>
      </c>
      <c r="V45" s="191">
        <f>+'Solar Report_Base'!V56</f>
        <v>0</v>
      </c>
      <c r="W45" s="191">
        <f>+'Solar Report_Base'!W56</f>
        <v>0</v>
      </c>
      <c r="X45" s="191">
        <f>+'Solar Report_Base'!X56</f>
        <v>0</v>
      </c>
      <c r="Y45" s="191">
        <f>+'Solar Report_Base'!Y56</f>
        <v>0</v>
      </c>
      <c r="Z45" s="191">
        <f>+'Solar Report_Base'!Z56</f>
        <v>0</v>
      </c>
      <c r="AA45" s="191">
        <f>+'Solar Report_Base'!AA56</f>
        <v>0</v>
      </c>
      <c r="AB45" s="191">
        <f>+'Solar Report_Base'!AB56</f>
        <v>0</v>
      </c>
      <c r="AC45" s="191">
        <f>+'Solar Report_Base'!AC56</f>
        <v>0</v>
      </c>
      <c r="AD45" s="191">
        <f>+'Solar Report_Base'!AD56</f>
        <v>0</v>
      </c>
      <c r="AE45" s="191">
        <f>+'Solar Report_Base'!AE56</f>
        <v>0</v>
      </c>
      <c r="AF45" s="191">
        <f>+'Solar Report_Base'!AF56</f>
        <v>0</v>
      </c>
      <c r="AG45" s="191">
        <f>+'Solar Report_Base'!AG56</f>
        <v>0</v>
      </c>
      <c r="AH45" s="191">
        <f>+'Solar Report_Base'!AH56</f>
        <v>0</v>
      </c>
      <c r="AI45" s="23">
        <f t="shared" si="1"/>
        <v>3495.2999999999997</v>
      </c>
    </row>
    <row r="46" spans="2:37" x14ac:dyDescent="0.25">
      <c r="B46" s="21" t="s">
        <v>22</v>
      </c>
      <c r="C46" s="1" t="s">
        <v>6</v>
      </c>
      <c r="D46" s="18">
        <f>+'Solar Report_Base'!D57</f>
        <v>266.10000000000002</v>
      </c>
      <c r="E46" s="18">
        <f>+'Solar Report_Base'!E57</f>
        <v>328.1</v>
      </c>
      <c r="F46" s="18">
        <f>+'Solar Report_Base'!F57</f>
        <v>317.8</v>
      </c>
      <c r="G46" s="18">
        <f>+'Solar Report_Base'!G57</f>
        <v>306.2</v>
      </c>
      <c r="H46" s="18">
        <f>+'Solar Report_Base'!H57</f>
        <v>197.6</v>
      </c>
      <c r="I46" s="18">
        <f>+'Solar Report_Base'!I57</f>
        <v>308.39999999999998</v>
      </c>
      <c r="J46" s="18">
        <f>+'Solar Report_Base'!J57</f>
        <v>113.8</v>
      </c>
      <c r="K46" s="18">
        <f>+'Solar Report_Base'!K57</f>
        <v>270.3</v>
      </c>
      <c r="L46" s="18">
        <f>+'Solar Report_Base'!L57</f>
        <v>258.3</v>
      </c>
      <c r="M46" s="18">
        <f>+'Solar Report_Base'!M57</f>
        <v>207.8</v>
      </c>
      <c r="N46" s="191">
        <f>+'Solar Report_Base'!N57</f>
        <v>153.9</v>
      </c>
      <c r="O46" s="18">
        <f>+'Solar Report_Base'!O57</f>
        <v>224.1</v>
      </c>
      <c r="P46" s="18">
        <f>+'Solar Report_Base'!P57</f>
        <v>260.7</v>
      </c>
      <c r="Q46" s="18">
        <f>+'Solar Report_Base'!Q57</f>
        <v>311.2</v>
      </c>
      <c r="R46" s="18">
        <f>+'Solar Report_Base'!R57</f>
        <v>0</v>
      </c>
      <c r="S46" s="191">
        <f>+'Solar Report_Base'!S57</f>
        <v>0</v>
      </c>
      <c r="T46" s="191">
        <f>+'Solar Report_Base'!T57</f>
        <v>0</v>
      </c>
      <c r="U46" s="191">
        <f>+'Solar Report_Base'!U57</f>
        <v>0</v>
      </c>
      <c r="V46" s="191">
        <f>+'Solar Report_Base'!V57</f>
        <v>0</v>
      </c>
      <c r="W46" s="191">
        <f>+'Solar Report_Base'!W57</f>
        <v>0</v>
      </c>
      <c r="X46" s="191">
        <f>+'Solar Report_Base'!X57</f>
        <v>0</v>
      </c>
      <c r="Y46" s="191">
        <f>+'Solar Report_Base'!Y57</f>
        <v>0</v>
      </c>
      <c r="Z46" s="191">
        <f>+'Solar Report_Base'!Z57</f>
        <v>0</v>
      </c>
      <c r="AA46" s="191">
        <f>+'Solar Report_Base'!AA57</f>
        <v>0</v>
      </c>
      <c r="AB46" s="191">
        <f>+'Solar Report_Base'!AB57</f>
        <v>0</v>
      </c>
      <c r="AC46" s="191">
        <f>+'Solar Report_Base'!AC57</f>
        <v>0</v>
      </c>
      <c r="AD46" s="191">
        <f>+'Solar Report_Base'!AD57</f>
        <v>0</v>
      </c>
      <c r="AE46" s="191">
        <f>+'Solar Report_Base'!AE57</f>
        <v>0</v>
      </c>
      <c r="AF46" s="191">
        <f>+'Solar Report_Base'!AF57</f>
        <v>0</v>
      </c>
      <c r="AG46" s="191">
        <f>+'Solar Report_Base'!AG57</f>
        <v>0</v>
      </c>
      <c r="AH46" s="191">
        <f>+'Solar Report_Base'!AH57</f>
        <v>0</v>
      </c>
      <c r="AI46" s="23">
        <f t="shared" si="1"/>
        <v>3524.2999999999997</v>
      </c>
    </row>
    <row r="47" spans="2:37" x14ac:dyDescent="0.25">
      <c r="B47" s="21" t="s">
        <v>23</v>
      </c>
      <c r="C47" s="1" t="s">
        <v>6</v>
      </c>
      <c r="D47" s="18">
        <f>+'Solar Report_Base'!D58</f>
        <v>271.39999999999998</v>
      </c>
      <c r="E47" s="18">
        <f>+'Solar Report_Base'!E58</f>
        <v>334.7</v>
      </c>
      <c r="F47" s="18">
        <f>+'Solar Report_Base'!F58</f>
        <v>323.3</v>
      </c>
      <c r="G47" s="18">
        <f>+'Solar Report_Base'!G58</f>
        <v>311.3</v>
      </c>
      <c r="H47" s="18">
        <f>+'Solar Report_Base'!H58</f>
        <v>200.2</v>
      </c>
      <c r="I47" s="18">
        <f>+'Solar Report_Base'!I58</f>
        <v>314.39999999999998</v>
      </c>
      <c r="J47" s="18">
        <f>+'Solar Report_Base'!J58</f>
        <v>114.9</v>
      </c>
      <c r="K47" s="18">
        <f>+'Solar Report_Base'!K58</f>
        <v>277.3</v>
      </c>
      <c r="L47" s="18">
        <f>+'Solar Report_Base'!L58</f>
        <v>264.3</v>
      </c>
      <c r="M47" s="18">
        <f>+'Solar Report_Base'!M58</f>
        <v>211.5</v>
      </c>
      <c r="N47" s="191">
        <f>+'Solar Report_Base'!N58</f>
        <v>156.80000000000001</v>
      </c>
      <c r="O47" s="18">
        <f>+'Solar Report_Base'!O58</f>
        <v>228</v>
      </c>
      <c r="P47" s="18">
        <f>+'Solar Report_Base'!P58</f>
        <v>265.39999999999998</v>
      </c>
      <c r="Q47" s="18">
        <f>+'Solar Report_Base'!Q58</f>
        <v>316.89999999999998</v>
      </c>
      <c r="R47" s="18">
        <f>+'Solar Report_Base'!R58</f>
        <v>0</v>
      </c>
      <c r="S47" s="191">
        <f>+'Solar Report_Base'!S58</f>
        <v>0</v>
      </c>
      <c r="T47" s="191">
        <f>+'Solar Report_Base'!T58</f>
        <v>0</v>
      </c>
      <c r="U47" s="191">
        <f>+'Solar Report_Base'!U58</f>
        <v>0</v>
      </c>
      <c r="V47" s="191">
        <f>+'Solar Report_Base'!V58</f>
        <v>0</v>
      </c>
      <c r="W47" s="191">
        <f>+'Solar Report_Base'!W58</f>
        <v>0</v>
      </c>
      <c r="X47" s="191">
        <f>+'Solar Report_Base'!X58</f>
        <v>0</v>
      </c>
      <c r="Y47" s="191">
        <f>+'Solar Report_Base'!Y58</f>
        <v>0</v>
      </c>
      <c r="Z47" s="191">
        <f>+'Solar Report_Base'!Z58</f>
        <v>0</v>
      </c>
      <c r="AA47" s="191">
        <f>+'Solar Report_Base'!AA58</f>
        <v>0</v>
      </c>
      <c r="AB47" s="191">
        <f>+'Solar Report_Base'!AB58</f>
        <v>0</v>
      </c>
      <c r="AC47" s="191">
        <f>+'Solar Report_Base'!AC58</f>
        <v>0</v>
      </c>
      <c r="AD47" s="191">
        <f>+'Solar Report_Base'!AD58</f>
        <v>0</v>
      </c>
      <c r="AE47" s="191">
        <f>+'Solar Report_Base'!AE58</f>
        <v>0</v>
      </c>
      <c r="AF47" s="191">
        <f>+'Solar Report_Base'!AF58</f>
        <v>0</v>
      </c>
      <c r="AG47" s="191">
        <f>+'Solar Report_Base'!AG58</f>
        <v>0</v>
      </c>
      <c r="AH47" s="191">
        <f>+'Solar Report_Base'!AH58</f>
        <v>0</v>
      </c>
      <c r="AI47" s="23">
        <f t="shared" si="1"/>
        <v>3590.4000000000005</v>
      </c>
    </row>
    <row r="48" spans="2:37" x14ac:dyDescent="0.25">
      <c r="B48" s="21" t="s">
        <v>24</v>
      </c>
      <c r="C48" s="1" t="s">
        <v>6</v>
      </c>
      <c r="D48" s="18">
        <f>+'Solar Report_Base'!D59</f>
        <v>4554.0000000000018</v>
      </c>
      <c r="E48" s="18">
        <f>+'Solar Report_Base'!E59</f>
        <v>5634.0000000000427</v>
      </c>
      <c r="F48" s="18">
        <f>+'Solar Report_Base'!F59</f>
        <v>5462.9999999999936</v>
      </c>
      <c r="G48" s="18">
        <f>+'Solar Report_Base'!G59</f>
        <v>5283.0000000001573</v>
      </c>
      <c r="H48" s="18">
        <f>+'Solar Report_Base'!H59</f>
        <v>3392.9999999998299</v>
      </c>
      <c r="I48" s="18">
        <f>+'Solar Report_Base'!I59</f>
        <v>5319.0000000000737</v>
      </c>
      <c r="J48" s="18">
        <f>+'Solar Report_Base'!J59</f>
        <v>1998.0000000000757</v>
      </c>
      <c r="K48" s="18">
        <f>+'Solar Report_Base'!K59</f>
        <v>4760.9999999999673</v>
      </c>
      <c r="L48" s="18">
        <f>+'Solar Report_Base'!L59</f>
        <v>4418.999999999869</v>
      </c>
      <c r="M48" s="18">
        <f>+'Solar Report_Base'!M59</f>
        <v>3581.9999999999654</v>
      </c>
      <c r="N48" s="18">
        <f>+'Solar Report_Base'!N59</f>
        <v>2664.0000000001864</v>
      </c>
      <c r="O48" s="18">
        <f>+'Solar Report_Base'!O59</f>
        <v>3833.9999999998895</v>
      </c>
      <c r="P48" s="18">
        <f>+'Solar Report_Base'!P59</f>
        <v>4481.9999999999145</v>
      </c>
      <c r="Q48" s="18">
        <f>+'Solar Report_Base'!Q59</f>
        <v>5319.0000000000737</v>
      </c>
      <c r="R48" s="18">
        <f>+'Solar Report_Base'!R59</f>
        <v>0</v>
      </c>
      <c r="S48" s="191">
        <f>+'Solar Report_Base'!S59</f>
        <v>0</v>
      </c>
      <c r="T48" s="191">
        <f>+'Solar Report_Base'!T59</f>
        <v>0</v>
      </c>
      <c r="U48" s="191">
        <f>+'Solar Report_Base'!U59</f>
        <v>0</v>
      </c>
      <c r="V48" s="191">
        <f>+'Solar Report_Base'!V59</f>
        <v>0</v>
      </c>
      <c r="W48" s="191">
        <f>+'Solar Report_Base'!W59</f>
        <v>0</v>
      </c>
      <c r="X48" s="191">
        <f>+'Solar Report_Base'!X59</f>
        <v>0</v>
      </c>
      <c r="Y48" s="191">
        <f>+'Solar Report_Base'!Y59</f>
        <v>0</v>
      </c>
      <c r="Z48" s="191">
        <f>+'Solar Report_Base'!Z59</f>
        <v>0</v>
      </c>
      <c r="AA48" s="191">
        <f>+'Solar Report_Base'!AA59</f>
        <v>0</v>
      </c>
      <c r="AB48" s="191">
        <f>+'Solar Report_Base'!AB59</f>
        <v>0</v>
      </c>
      <c r="AC48" s="191">
        <f>+'Solar Report_Base'!AC59</f>
        <v>0</v>
      </c>
      <c r="AD48" s="191">
        <f>+'Solar Report_Base'!AD59</f>
        <v>0</v>
      </c>
      <c r="AE48" s="191">
        <f>+'Solar Report_Base'!AE59</f>
        <v>0</v>
      </c>
      <c r="AF48" s="191">
        <f>+'Solar Report_Base'!AF59</f>
        <v>0</v>
      </c>
      <c r="AG48" s="191">
        <f>+'Solar Report_Base'!AG59</f>
        <v>0</v>
      </c>
      <c r="AH48" s="191">
        <f>+'Solar Report_Base'!AH59</f>
        <v>0</v>
      </c>
      <c r="AI48" s="23">
        <f t="shared" si="1"/>
        <v>60705.000000000036</v>
      </c>
      <c r="AJ48" s="4">
        <f>AI48+AI114</f>
        <v>73554.500080000042</v>
      </c>
      <c r="AK48" s="81"/>
    </row>
    <row r="49" spans="1:35" x14ac:dyDescent="0.25">
      <c r="B49" s="21" t="s">
        <v>25</v>
      </c>
      <c r="C49" s="1" t="s">
        <v>26</v>
      </c>
      <c r="D49" s="90">
        <f>+'Solar Report_Base'!D60</f>
        <v>6.9075567371686297</v>
      </c>
      <c r="E49" s="90">
        <f>+'Solar Report_Base'!E60</f>
        <v>7.7062523844401039</v>
      </c>
      <c r="F49" s="90">
        <f>+'Solar Report_Base'!F60</f>
        <v>7.543464559046428</v>
      </c>
      <c r="G49" s="90">
        <f>+'Solar Report_Base'!G60</f>
        <v>7.3076321359952292</v>
      </c>
      <c r="H49" s="90">
        <f>+'Solar Report_Base'!H60</f>
        <v>7.1845304152250282</v>
      </c>
      <c r="I49" s="90">
        <f>+'Solar Report_Base'!I60</f>
        <v>7.4345539999999799</v>
      </c>
      <c r="J49" s="90">
        <f>+'Solar Report_Base'!J60</f>
        <v>6.9323077554623289</v>
      </c>
      <c r="K49" s="90">
        <f>+'Solar Report_Base'!K60</f>
        <v>6.6766379737774528</v>
      </c>
      <c r="L49" s="90">
        <f>+'Solar Report_Base'!L60</f>
        <v>6.2008064471483229</v>
      </c>
      <c r="M49" s="90">
        <f>+'Solar Report_Base'!M60</f>
        <v>4.8791598677317305</v>
      </c>
      <c r="N49" s="90">
        <f>+'Solar Report_Base'!N60</f>
        <v>5.9189396759986872</v>
      </c>
      <c r="O49" s="90">
        <f>+'Solar Report_Base'!O60</f>
        <v>5.1451732187589005</v>
      </c>
      <c r="P49" s="90">
        <f>+'Solar Report_Base'!P60</f>
        <v>6.1380665966828669</v>
      </c>
      <c r="Q49" s="90">
        <f>+'Solar Report_Base'!Q60</f>
        <v>7.3707054980993272</v>
      </c>
      <c r="R49" s="90">
        <f>+'Solar Report_Base'!R60</f>
        <v>0</v>
      </c>
      <c r="S49" s="90">
        <f>+'Solar Report_Base'!S60</f>
        <v>0</v>
      </c>
      <c r="T49" s="90">
        <f>+'Solar Report_Base'!T60</f>
        <v>0</v>
      </c>
      <c r="U49" s="90">
        <f>+'Solar Report_Base'!U60</f>
        <v>0</v>
      </c>
      <c r="V49" s="90">
        <f>+'Solar Report_Base'!V60</f>
        <v>0</v>
      </c>
      <c r="W49" s="90">
        <f>+'Solar Report_Base'!W60</f>
        <v>0</v>
      </c>
      <c r="X49" s="90">
        <f>+'Solar Report_Base'!X60</f>
        <v>0</v>
      </c>
      <c r="Y49" s="90">
        <f>+'Solar Report_Base'!Y60</f>
        <v>0</v>
      </c>
      <c r="Z49" s="90">
        <f>+'Solar Report_Base'!Z60</f>
        <v>0</v>
      </c>
      <c r="AA49" s="90">
        <f>+'Solar Report_Base'!AA60</f>
        <v>0</v>
      </c>
      <c r="AB49" s="90">
        <f>+'Solar Report_Base'!AB60</f>
        <v>0</v>
      </c>
      <c r="AC49" s="90">
        <f>+'Solar Report_Base'!AC60</f>
        <v>0</v>
      </c>
      <c r="AD49" s="90">
        <f>+'Solar Report_Base'!AD60</f>
        <v>0</v>
      </c>
      <c r="AE49" s="90">
        <f>+'Solar Report_Base'!AE60</f>
        <v>0</v>
      </c>
      <c r="AF49" s="90">
        <f>+'Solar Report_Base'!AF60</f>
        <v>0</v>
      </c>
      <c r="AG49" s="90">
        <f>+'Solar Report_Base'!AG60</f>
        <v>0</v>
      </c>
      <c r="AH49" s="90">
        <f>+'Solar Report_Base'!AH60</f>
        <v>0</v>
      </c>
      <c r="AI49" s="24">
        <f>AVERAGEIF(D49:AH49,"&gt;0")</f>
        <v>6.6675562332525002</v>
      </c>
    </row>
    <row r="50" spans="1:35" x14ac:dyDescent="0.25">
      <c r="B50" s="21" t="s">
        <v>27</v>
      </c>
      <c r="C50" s="1" t="s">
        <v>6</v>
      </c>
      <c r="D50" s="18">
        <f>+'Solar Report_Base'!D61</f>
        <v>116675.96</v>
      </c>
      <c r="E50" s="18">
        <f>+'Solar Report_Base'!E61</f>
        <v>94990.776000000042</v>
      </c>
      <c r="F50" s="18">
        <f>+'Solar Report_Base'!F61</f>
        <v>112132.704</v>
      </c>
      <c r="G50" s="18">
        <f>+'Solar Report_Base'!G61</f>
        <v>101530.43200000016</v>
      </c>
      <c r="H50" s="18">
        <f>+'Solar Report_Base'!H61</f>
        <v>81043.735999999815</v>
      </c>
      <c r="I50" s="18">
        <f>+'Solar Report_Base'!I61</f>
        <v>66550.64</v>
      </c>
      <c r="J50" s="18">
        <f>+'Solar Report_Base'!J61</f>
        <v>45605.78400000008</v>
      </c>
      <c r="K50" s="18">
        <f>+'Solar Report_Base'!K61</f>
        <v>7241.4160000000074</v>
      </c>
      <c r="L50" s="18">
        <f>+'Solar Report_Base'!L61</f>
        <v>119653.43999999987</v>
      </c>
      <c r="M50" s="18">
        <f>+'Solar Report_Base'!M61</f>
        <v>119536.14400000001</v>
      </c>
      <c r="N50" s="18">
        <f>+'Solar Report_Base'!N61</f>
        <v>55374.80800000015</v>
      </c>
      <c r="O50" s="18">
        <f>+'Solar Report_Base'!O61</f>
        <v>64885.047999999857</v>
      </c>
      <c r="P50" s="18">
        <f>+'Solar Report_Base'!P61</f>
        <v>61702.34399999991</v>
      </c>
      <c r="Q50" s="18">
        <f>+'Solar Report_Base'!Q61</f>
        <v>62317.544000000082</v>
      </c>
      <c r="R50" s="18">
        <f>+'Solar Report_Base'!R61</f>
        <v>0</v>
      </c>
      <c r="S50" s="191">
        <f>+'Solar Report_Base'!S61</f>
        <v>0</v>
      </c>
      <c r="T50" s="191">
        <f>+'Solar Report_Base'!T61</f>
        <v>0</v>
      </c>
      <c r="U50" s="191">
        <f>+'Solar Report_Base'!U61</f>
        <v>0</v>
      </c>
      <c r="V50" s="191">
        <f>+'Solar Report_Base'!V61</f>
        <v>0</v>
      </c>
      <c r="W50" s="191">
        <f>+'Solar Report_Base'!W61</f>
        <v>0</v>
      </c>
      <c r="X50" s="191">
        <f>+'Solar Report_Base'!X61</f>
        <v>0</v>
      </c>
      <c r="Y50" s="191">
        <f>+'Solar Report_Base'!Y61</f>
        <v>0</v>
      </c>
      <c r="Z50" s="191">
        <f>+'Solar Report_Base'!Z61</f>
        <v>0</v>
      </c>
      <c r="AA50" s="191">
        <f>+'Solar Report_Base'!AA61</f>
        <v>0</v>
      </c>
      <c r="AB50" s="191">
        <f>+'Solar Report_Base'!AB61</f>
        <v>0</v>
      </c>
      <c r="AC50" s="191">
        <f>+'Solar Report_Base'!AC61</f>
        <v>0</v>
      </c>
      <c r="AD50" s="191">
        <f>+'Solar Report_Base'!AD61</f>
        <v>0</v>
      </c>
      <c r="AE50" s="191">
        <f>+'Solar Report_Base'!AE61</f>
        <v>0</v>
      </c>
      <c r="AF50" s="191">
        <f>+'Solar Report_Base'!AF61</f>
        <v>0</v>
      </c>
      <c r="AG50" s="191">
        <f>+'Solar Report_Base'!AG61</f>
        <v>0</v>
      </c>
      <c r="AH50" s="191">
        <f>+'Solar Report_Base'!AH61</f>
        <v>0</v>
      </c>
      <c r="AI50" s="23">
        <f>SUM(D50:AH50)</f>
        <v>1109240.7759999998</v>
      </c>
    </row>
    <row r="51" spans="1:35" x14ac:dyDescent="0.25">
      <c r="B51" s="25" t="s">
        <v>28</v>
      </c>
      <c r="C51" s="1" t="s">
        <v>0</v>
      </c>
      <c r="D51" s="92">
        <f>+'Solar Report_Base'!D62</f>
        <v>0.21652249073154523</v>
      </c>
      <c r="E51" s="92">
        <f>+'Solar Report_Base'!E62</f>
        <v>0.23903997066540836</v>
      </c>
      <c r="F51" s="92">
        <f>+'Solar Report_Base'!F62</f>
        <v>0.2330962913795305</v>
      </c>
      <c r="G51" s="92">
        <f>+'Solar Report_Base'!G62</f>
        <v>0.22440501427472909</v>
      </c>
      <c r="H51" s="92">
        <f>+'Solar Report_Base'!H62</f>
        <v>0.22108481544078026</v>
      </c>
      <c r="I51" s="92">
        <f>+'Solar Report_Base'!I62</f>
        <v>0.22611999072283717</v>
      </c>
      <c r="J51" s="92">
        <f>+'Solar Report_Base'!J62</f>
        <v>0.21166329399656955</v>
      </c>
      <c r="K51" s="92">
        <f>+'Solar Report_Base'!K62</f>
        <v>0.20268739436897759</v>
      </c>
      <c r="L51" s="92">
        <f>+'Solar Report_Base'!L62</f>
        <v>0.18815622066600435</v>
      </c>
      <c r="M51" s="92">
        <f>+'Solar Report_Base'!M62</f>
        <v>0.15200831339048265</v>
      </c>
      <c r="N51" s="92">
        <f>+'Solar Report_Base'!N62</f>
        <v>0.18334392383260281</v>
      </c>
      <c r="O51" s="175">
        <f>+'Solar Report_Base'!O62</f>
        <v>0.16306369732818504</v>
      </c>
      <c r="P51" s="179">
        <f>+'Solar Report_Base'!P62</f>
        <v>0.18971038388168365</v>
      </c>
      <c r="Q51" s="179">
        <f>+'Solar Report_Base'!Q62</f>
        <v>0.22666098268274007</v>
      </c>
      <c r="R51" s="179">
        <f>+'Solar Report_Base'!R62</f>
        <v>0</v>
      </c>
      <c r="S51" s="190">
        <f>+'Solar Report_Base'!S62</f>
        <v>0</v>
      </c>
      <c r="T51" s="190">
        <f>+'Solar Report_Base'!T62</f>
        <v>0</v>
      </c>
      <c r="U51" s="190">
        <f>+'Solar Report_Base'!U62</f>
        <v>0</v>
      </c>
      <c r="V51" s="190">
        <f>+'Solar Report_Base'!V62</f>
        <v>0</v>
      </c>
      <c r="W51" s="190">
        <f>+'Solar Report_Base'!W62</f>
        <v>0</v>
      </c>
      <c r="X51" s="190">
        <f>+'Solar Report_Base'!X62</f>
        <v>0</v>
      </c>
      <c r="Y51" s="190">
        <f>+'Solar Report_Base'!Y62</f>
        <v>0</v>
      </c>
      <c r="Z51" s="190">
        <f>+'Solar Report_Base'!Z62</f>
        <v>0</v>
      </c>
      <c r="AA51" s="190">
        <f>+'Solar Report_Base'!AA62</f>
        <v>0</v>
      </c>
      <c r="AB51" s="190">
        <f>+'Solar Report_Base'!AB62</f>
        <v>0</v>
      </c>
      <c r="AC51" s="190">
        <f>+'Solar Report_Base'!AC62</f>
        <v>0</v>
      </c>
      <c r="AD51" s="190">
        <f>+'Solar Report_Base'!AD62</f>
        <v>0</v>
      </c>
      <c r="AE51" s="190">
        <f>+'Solar Report_Base'!AE62</f>
        <v>0</v>
      </c>
      <c r="AF51" s="190">
        <f>+'Solar Report_Base'!AF62</f>
        <v>0</v>
      </c>
      <c r="AG51" s="190">
        <f>+'Solar Report_Base'!AG62</f>
        <v>0</v>
      </c>
      <c r="AH51" s="190">
        <f>+'Solar Report_Base'!AH62</f>
        <v>0</v>
      </c>
      <c r="AI51" s="26">
        <f>AVERAGE(D51:AH51)</f>
        <v>9.2824605914905683E-2</v>
      </c>
    </row>
    <row r="52" spans="1:35" x14ac:dyDescent="0.25">
      <c r="B52" s="25" t="s">
        <v>35</v>
      </c>
      <c r="C52" s="1" t="s">
        <v>0</v>
      </c>
      <c r="D52" s="92">
        <f>+'Solar Report_Base'!D63</f>
        <v>0.18986391835101069</v>
      </c>
      <c r="E52" s="92">
        <f>+'Solar Report_Base'!E63</f>
        <v>0.23489093456073823</v>
      </c>
      <c r="F52" s="92">
        <f>+'Solar Report_Base'!F63</f>
        <v>0.22776165699419626</v>
      </c>
      <c r="G52" s="92">
        <f>+'Solar Report_Base'!G63</f>
        <v>0.22025715429258211</v>
      </c>
      <c r="H52" s="92">
        <f>+'Solar Report_Base'!H63</f>
        <v>0.14145987592554826</v>
      </c>
      <c r="I52" s="92">
        <f>+'Solar Report_Base'!I63</f>
        <v>0.22175805483290281</v>
      </c>
      <c r="J52" s="92">
        <f>+'Solar Report_Base'!J63</f>
        <v>8.3299979987995959E-2</v>
      </c>
      <c r="K52" s="92">
        <f>+'Solar Report_Base'!K63</f>
        <v>0.19849409645787336</v>
      </c>
      <c r="L52" s="92">
        <f>+'Solar Report_Base'!L63</f>
        <v>0.18423554132478942</v>
      </c>
      <c r="M52" s="92">
        <f>+'Solar Report_Base'!M63</f>
        <v>0.14933960376225591</v>
      </c>
      <c r="N52" s="92">
        <f>+'Solar Report_Base'!N63</f>
        <v>0.11106663998399817</v>
      </c>
      <c r="O52" s="175">
        <f>+'Solar Report_Base'!O63</f>
        <v>0.15984590754452213</v>
      </c>
      <c r="P52" s="179">
        <f>+'Solar Report_Base'!P63</f>
        <v>0.18686211727035867</v>
      </c>
      <c r="Q52" s="179">
        <f>+'Solar Report_Base'!Q63</f>
        <v>0.22175805483290281</v>
      </c>
      <c r="R52" s="179">
        <f>+'Solar Report_Base'!R63</f>
        <v>0</v>
      </c>
      <c r="S52" s="190">
        <f>+'Solar Report_Base'!S63</f>
        <v>0</v>
      </c>
      <c r="T52" s="190">
        <f>+'Solar Report_Base'!T63</f>
        <v>0</v>
      </c>
      <c r="U52" s="190">
        <f>+'Solar Report_Base'!U63</f>
        <v>0</v>
      </c>
      <c r="V52" s="190">
        <f>+'Solar Report_Base'!V63</f>
        <v>0</v>
      </c>
      <c r="W52" s="190">
        <f>+'Solar Report_Base'!W63</f>
        <v>0</v>
      </c>
      <c r="X52" s="190">
        <f>+'Solar Report_Base'!X63</f>
        <v>0</v>
      </c>
      <c r="Y52" s="190">
        <f>+'Solar Report_Base'!Y63</f>
        <v>0</v>
      </c>
      <c r="Z52" s="190">
        <f>+'Solar Report_Base'!Z63</f>
        <v>0</v>
      </c>
      <c r="AA52" s="190">
        <f>+'Solar Report_Base'!AA63</f>
        <v>0</v>
      </c>
      <c r="AB52" s="190">
        <f>+'Solar Report_Base'!AB63</f>
        <v>0</v>
      </c>
      <c r="AC52" s="190">
        <f>+'Solar Report_Base'!AC63</f>
        <v>0</v>
      </c>
      <c r="AD52" s="190">
        <f>+'Solar Report_Base'!AD63</f>
        <v>0</v>
      </c>
      <c r="AE52" s="190">
        <f>+'Solar Report_Base'!AE63</f>
        <v>0</v>
      </c>
      <c r="AF52" s="190">
        <f>+'Solar Report_Base'!AF63</f>
        <v>0</v>
      </c>
      <c r="AG52" s="190">
        <f>+'Solar Report_Base'!AG63</f>
        <v>0</v>
      </c>
      <c r="AH52" s="190">
        <f>+'Solar Report_Base'!AH63</f>
        <v>0</v>
      </c>
      <c r="AI52" s="26">
        <f>AVERAGE(D52:AH52)</f>
        <v>8.1641726971666925E-2</v>
      </c>
    </row>
    <row r="53" spans="1:35" ht="15.75" x14ac:dyDescent="0.25">
      <c r="B53" s="77"/>
      <c r="C53" s="65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9"/>
      <c r="AI53" s="80"/>
    </row>
    <row r="54" spans="1:35" ht="15.75" thickBot="1" x14ac:dyDescent="0.3">
      <c r="A54" t="s">
        <v>31</v>
      </c>
      <c r="B54" s="649" t="s">
        <v>31</v>
      </c>
      <c r="C54" s="650"/>
      <c r="D54" s="650"/>
      <c r="E54" s="650"/>
      <c r="F54" s="650"/>
      <c r="G54" s="650"/>
      <c r="H54" s="650"/>
      <c r="I54" s="650"/>
      <c r="J54" s="650"/>
      <c r="K54" s="650"/>
      <c r="L54" s="650"/>
      <c r="M54" s="650"/>
      <c r="N54" s="650"/>
      <c r="O54" s="650"/>
      <c r="P54" s="650"/>
      <c r="Q54" s="650"/>
      <c r="R54" s="650"/>
      <c r="S54" s="650"/>
      <c r="T54" s="650"/>
      <c r="U54" s="650"/>
      <c r="V54" s="650"/>
      <c r="W54" s="650"/>
      <c r="X54" s="650"/>
      <c r="Y54" s="650"/>
      <c r="Z54" s="650"/>
      <c r="AA54" s="650"/>
      <c r="AB54" s="650"/>
      <c r="AC54" s="650"/>
      <c r="AD54" s="650"/>
      <c r="AE54" s="650"/>
      <c r="AF54" s="650"/>
      <c r="AG54" s="650"/>
      <c r="AH54" s="650"/>
      <c r="AI54" s="651"/>
    </row>
    <row r="55" spans="1:35" x14ac:dyDescent="0.25">
      <c r="B55" s="68" t="s">
        <v>2</v>
      </c>
      <c r="C55" s="69" t="s">
        <v>3</v>
      </c>
      <c r="D55" s="70">
        <v>1</v>
      </c>
      <c r="E55" s="70">
        <v>2</v>
      </c>
      <c r="F55" s="70">
        <v>3</v>
      </c>
      <c r="G55" s="70">
        <v>4</v>
      </c>
      <c r="H55" s="70">
        <v>5</v>
      </c>
      <c r="I55" s="70">
        <v>6</v>
      </c>
      <c r="J55" s="70">
        <v>7</v>
      </c>
      <c r="K55" s="70">
        <v>8</v>
      </c>
      <c r="L55" s="70">
        <v>9</v>
      </c>
      <c r="M55" s="70">
        <v>10</v>
      </c>
      <c r="N55" s="70">
        <v>11</v>
      </c>
      <c r="O55" s="70">
        <v>12</v>
      </c>
      <c r="P55" s="70">
        <v>13</v>
      </c>
      <c r="Q55" s="70">
        <v>14</v>
      </c>
      <c r="R55" s="70">
        <v>15</v>
      </c>
      <c r="S55" s="70">
        <v>16</v>
      </c>
      <c r="T55" s="70">
        <v>17</v>
      </c>
      <c r="U55" s="70">
        <v>18</v>
      </c>
      <c r="V55" s="70">
        <v>19</v>
      </c>
      <c r="W55" s="70">
        <v>20</v>
      </c>
      <c r="X55" s="70">
        <v>21</v>
      </c>
      <c r="Y55" s="70">
        <v>22</v>
      </c>
      <c r="Z55" s="70">
        <v>23</v>
      </c>
      <c r="AA55" s="70">
        <v>24</v>
      </c>
      <c r="AB55" s="70">
        <v>25</v>
      </c>
      <c r="AC55" s="70">
        <v>26</v>
      </c>
      <c r="AD55" s="70">
        <v>27</v>
      </c>
      <c r="AE55" s="70">
        <v>28</v>
      </c>
      <c r="AF55" s="70">
        <v>29</v>
      </c>
      <c r="AG55" s="70">
        <v>30</v>
      </c>
      <c r="AH55" s="70">
        <v>31</v>
      </c>
      <c r="AI55" s="71" t="s">
        <v>4</v>
      </c>
    </row>
    <row r="56" spans="1:35" x14ac:dyDescent="0.25">
      <c r="B56" s="21" t="s">
        <v>5</v>
      </c>
      <c r="C56" s="1" t="s">
        <v>6</v>
      </c>
      <c r="D56" s="18">
        <f>+'Solar Report_Base'!D78</f>
        <v>164.60001</v>
      </c>
      <c r="E56" s="18">
        <f>+'Solar Report_Base'!E78</f>
        <v>256</v>
      </c>
      <c r="F56" s="18">
        <f>+'Solar Report_Base'!F78</f>
        <v>226.89999</v>
      </c>
      <c r="G56" s="18">
        <f>+'Solar Report_Base'!G78</f>
        <v>202.2</v>
      </c>
      <c r="H56" s="18">
        <f>+'Solar Report_Base'!H78</f>
        <v>272.70001000000002</v>
      </c>
      <c r="I56" s="18">
        <f>+'Solar Report_Base'!I78</f>
        <v>282.89999999999998</v>
      </c>
      <c r="J56" s="18">
        <f>+'Solar Report_Base'!J78</f>
        <v>257.60001</v>
      </c>
      <c r="K56" s="18">
        <f>+'Solar Report_Base'!K78</f>
        <v>273.39999</v>
      </c>
      <c r="L56" s="18">
        <f>+'Solar Report_Base'!L78</f>
        <v>256.5</v>
      </c>
      <c r="M56" s="18">
        <f>+'Solar Report_Base'!M78</f>
        <v>231</v>
      </c>
      <c r="N56" s="18">
        <f>+'Solar Report_Base'!N78</f>
        <v>248</v>
      </c>
      <c r="O56" s="18">
        <f>+'Solar Report_Base'!O78</f>
        <v>222.7</v>
      </c>
      <c r="P56" s="18">
        <f>+'Solar Report_Base'!P78</f>
        <v>153.89999</v>
      </c>
      <c r="Q56" s="18">
        <f>+'Solar Report_Base'!Q78</f>
        <v>264.5</v>
      </c>
      <c r="R56" s="18">
        <f>+'Solar Report_Base'!R78</f>
        <v>0</v>
      </c>
      <c r="S56" s="191">
        <f>+'Solar Report_Base'!S78</f>
        <v>0</v>
      </c>
      <c r="T56" s="191">
        <f>+'Solar Report_Base'!T78</f>
        <v>0</v>
      </c>
      <c r="U56" s="191">
        <f>+'Solar Report_Base'!U78</f>
        <v>0</v>
      </c>
      <c r="V56" s="191">
        <f>+'Solar Report_Base'!V78</f>
        <v>0</v>
      </c>
      <c r="W56" s="191">
        <f>+'Solar Report_Base'!W78</f>
        <v>0</v>
      </c>
      <c r="X56" s="191">
        <f>+'Solar Report_Base'!X78</f>
        <v>0</v>
      </c>
      <c r="Y56" s="191">
        <f>+'Solar Report_Base'!Y78</f>
        <v>0</v>
      </c>
      <c r="Z56" s="191">
        <f>+'Solar Report_Base'!Z78</f>
        <v>0</v>
      </c>
      <c r="AA56" s="191">
        <f>+'Solar Report_Base'!AA78</f>
        <v>0</v>
      </c>
      <c r="AB56" s="191">
        <f>+'Solar Report_Base'!AB78</f>
        <v>0</v>
      </c>
      <c r="AC56" s="191">
        <f>+'Solar Report_Base'!AC78</f>
        <v>0</v>
      </c>
      <c r="AD56" s="191">
        <f>+'Solar Report_Base'!AD78</f>
        <v>0</v>
      </c>
      <c r="AE56" s="191">
        <f>+'Solar Report_Base'!AE78</f>
        <v>0</v>
      </c>
      <c r="AF56" s="191">
        <f>+'Solar Report_Base'!AF78</f>
        <v>0</v>
      </c>
      <c r="AG56" s="191">
        <f>+'Solar Report_Base'!AG78</f>
        <v>0</v>
      </c>
      <c r="AH56" s="191">
        <f>+'Solar Report_Base'!AH78</f>
        <v>0</v>
      </c>
      <c r="AI56" s="23">
        <f>SUM(D56:AH56)</f>
        <v>3312.8999999999996</v>
      </c>
    </row>
    <row r="57" spans="1:35" x14ac:dyDescent="0.25">
      <c r="B57" s="21" t="s">
        <v>7</v>
      </c>
      <c r="C57" s="1" t="s">
        <v>6</v>
      </c>
      <c r="D57" s="18">
        <f>+'Solar Report_Base'!D79</f>
        <v>164.39999</v>
      </c>
      <c r="E57" s="18">
        <f>+'Solar Report_Base'!E79</f>
        <v>256.79998999999998</v>
      </c>
      <c r="F57" s="18">
        <f>+'Solar Report_Base'!F79</f>
        <v>229.89999</v>
      </c>
      <c r="G57" s="18">
        <f>+'Solar Report_Base'!G79</f>
        <v>206</v>
      </c>
      <c r="H57" s="18">
        <f>+'Solar Report_Base'!H79</f>
        <v>275</v>
      </c>
      <c r="I57" s="18">
        <f>+'Solar Report_Base'!I79</f>
        <v>272.10000000000002</v>
      </c>
      <c r="J57" s="18">
        <f>+'Solar Report_Base'!J79</f>
        <v>267.20001000000002</v>
      </c>
      <c r="K57" s="18">
        <f>+'Solar Report_Base'!K79</f>
        <v>272.29998999999998</v>
      </c>
      <c r="L57" s="18">
        <f>+'Solar Report_Base'!L79</f>
        <v>224.7</v>
      </c>
      <c r="M57" s="18">
        <f>+'Solar Report_Base'!M79</f>
        <v>183.2</v>
      </c>
      <c r="N57" s="18">
        <f>+'Solar Report_Base'!N79</f>
        <v>245.7</v>
      </c>
      <c r="O57" s="18">
        <f>+'Solar Report_Base'!O79</f>
        <v>223</v>
      </c>
      <c r="P57" s="18">
        <f>+'Solar Report_Base'!P79</f>
        <v>138.5</v>
      </c>
      <c r="Q57" s="18">
        <f>+'Solar Report_Base'!Q79</f>
        <v>174</v>
      </c>
      <c r="R57" s="18">
        <f>+'Solar Report_Base'!R79</f>
        <v>0</v>
      </c>
      <c r="S57" s="191">
        <f>+'Solar Report_Base'!S79</f>
        <v>0</v>
      </c>
      <c r="T57" s="191">
        <f>+'Solar Report_Base'!T79</f>
        <v>0</v>
      </c>
      <c r="U57" s="191">
        <f>+'Solar Report_Base'!U79</f>
        <v>0</v>
      </c>
      <c r="V57" s="191">
        <f>+'Solar Report_Base'!V79</f>
        <v>0</v>
      </c>
      <c r="W57" s="191">
        <f>+'Solar Report_Base'!W79</f>
        <v>0</v>
      </c>
      <c r="X57" s="191">
        <f>+'Solar Report_Base'!X79</f>
        <v>0</v>
      </c>
      <c r="Y57" s="191">
        <f>+'Solar Report_Base'!Y79</f>
        <v>0</v>
      </c>
      <c r="Z57" s="191">
        <f>+'Solar Report_Base'!Z79</f>
        <v>0</v>
      </c>
      <c r="AA57" s="191">
        <f>+'Solar Report_Base'!AA79</f>
        <v>0</v>
      </c>
      <c r="AB57" s="191">
        <f>+'Solar Report_Base'!AB79</f>
        <v>0</v>
      </c>
      <c r="AC57" s="191">
        <f>+'Solar Report_Base'!AC79</f>
        <v>0</v>
      </c>
      <c r="AD57" s="191">
        <f>+'Solar Report_Base'!AD79</f>
        <v>0</v>
      </c>
      <c r="AE57" s="191">
        <f>+'Solar Report_Base'!AE79</f>
        <v>0</v>
      </c>
      <c r="AF57" s="191">
        <f>+'Solar Report_Base'!AF79</f>
        <v>0</v>
      </c>
      <c r="AG57" s="191">
        <f>+'Solar Report_Base'!AG79</f>
        <v>0</v>
      </c>
      <c r="AH57" s="191">
        <f>+'Solar Report_Base'!AH79</f>
        <v>0</v>
      </c>
      <c r="AI57" s="23">
        <f t="shared" ref="AI57:AI76" si="2">SUM(D57:AH57)</f>
        <v>3132.7999699999996</v>
      </c>
    </row>
    <row r="58" spans="1:35" x14ac:dyDescent="0.25">
      <c r="B58" s="21" t="s">
        <v>8</v>
      </c>
      <c r="C58" s="1" t="s">
        <v>6</v>
      </c>
      <c r="D58" s="18">
        <f>+'Solar Report_Base'!D80</f>
        <v>161.60001</v>
      </c>
      <c r="E58" s="18">
        <f>+'Solar Report_Base'!E80</f>
        <v>252.8</v>
      </c>
      <c r="F58" s="18">
        <f>+'Solar Report_Base'!F80</f>
        <v>229.8</v>
      </c>
      <c r="G58" s="18">
        <f>+'Solar Report_Base'!G80</f>
        <v>205.8</v>
      </c>
      <c r="H58" s="18">
        <f>+'Solar Report_Base'!H80</f>
        <v>270.79998999999998</v>
      </c>
      <c r="I58" s="18">
        <f>+'Solar Report_Base'!I80</f>
        <v>268.2</v>
      </c>
      <c r="J58" s="18">
        <f>+'Solar Report_Base'!J80</f>
        <v>264.10001</v>
      </c>
      <c r="K58" s="18">
        <f>+'Solar Report_Base'!K80</f>
        <v>269.10001</v>
      </c>
      <c r="L58" s="18">
        <f>+'Solar Report_Base'!L80</f>
        <v>224.2</v>
      </c>
      <c r="M58" s="18">
        <f>+'Solar Report_Base'!M80</f>
        <v>183.8</v>
      </c>
      <c r="N58" s="18">
        <f>+'Solar Report_Base'!N80</f>
        <v>243</v>
      </c>
      <c r="O58" s="18">
        <f>+'Solar Report_Base'!O80</f>
        <v>218.2</v>
      </c>
      <c r="P58" s="18">
        <f>+'Solar Report_Base'!P80</f>
        <v>138.5</v>
      </c>
      <c r="Q58" s="18">
        <f>+'Solar Report_Base'!Q80</f>
        <v>186.60001</v>
      </c>
      <c r="R58" s="18">
        <f>+'Solar Report_Base'!R80</f>
        <v>0</v>
      </c>
      <c r="S58" s="191">
        <f>+'Solar Report_Base'!S80</f>
        <v>0</v>
      </c>
      <c r="T58" s="191">
        <f>+'Solar Report_Base'!T80</f>
        <v>0</v>
      </c>
      <c r="U58" s="191">
        <f>+'Solar Report_Base'!U80</f>
        <v>0</v>
      </c>
      <c r="V58" s="191">
        <f>+'Solar Report_Base'!V80</f>
        <v>0</v>
      </c>
      <c r="W58" s="191">
        <f>+'Solar Report_Base'!W80</f>
        <v>0</v>
      </c>
      <c r="X58" s="191">
        <f>+'Solar Report_Base'!X80</f>
        <v>0</v>
      </c>
      <c r="Y58" s="191">
        <f>+'Solar Report_Base'!Y80</f>
        <v>0</v>
      </c>
      <c r="Z58" s="191">
        <f>+'Solar Report_Base'!Z80</f>
        <v>0</v>
      </c>
      <c r="AA58" s="191">
        <f>+'Solar Report_Base'!AA80</f>
        <v>0</v>
      </c>
      <c r="AB58" s="191">
        <f>+'Solar Report_Base'!AB80</f>
        <v>0</v>
      </c>
      <c r="AC58" s="191">
        <f>+'Solar Report_Base'!AC80</f>
        <v>0</v>
      </c>
      <c r="AD58" s="191">
        <f>+'Solar Report_Base'!AD80</f>
        <v>0</v>
      </c>
      <c r="AE58" s="191">
        <f>+'Solar Report_Base'!AE80</f>
        <v>0</v>
      </c>
      <c r="AF58" s="191">
        <f>+'Solar Report_Base'!AF80</f>
        <v>0</v>
      </c>
      <c r="AG58" s="191">
        <f>+'Solar Report_Base'!AG80</f>
        <v>0</v>
      </c>
      <c r="AH58" s="191">
        <f>+'Solar Report_Base'!AH80</f>
        <v>0</v>
      </c>
      <c r="AI58" s="23">
        <f t="shared" si="2"/>
        <v>3116.5000300000002</v>
      </c>
    </row>
    <row r="59" spans="1:35" x14ac:dyDescent="0.25">
      <c r="B59" s="21" t="s">
        <v>9</v>
      </c>
      <c r="C59" s="1" t="s">
        <v>6</v>
      </c>
      <c r="D59" s="18">
        <f>+'Solar Report_Base'!D81</f>
        <v>165.39999</v>
      </c>
      <c r="E59" s="18">
        <f>+'Solar Report_Base'!E81</f>
        <v>258.70001000000002</v>
      </c>
      <c r="F59" s="18">
        <f>+'Solar Report_Base'!F81</f>
        <v>232.2</v>
      </c>
      <c r="G59" s="18">
        <f>+'Solar Report_Base'!G81</f>
        <v>209.10001</v>
      </c>
      <c r="H59" s="18">
        <f>+'Solar Report_Base'!H81</f>
        <v>276</v>
      </c>
      <c r="I59" s="18">
        <f>+'Solar Report_Base'!I81</f>
        <v>273.2</v>
      </c>
      <c r="J59" s="18">
        <f>+'Solar Report_Base'!J81</f>
        <v>265.79998999999998</v>
      </c>
      <c r="K59" s="18">
        <f>+'Solar Report_Base'!K81</f>
        <v>270.29998999999998</v>
      </c>
      <c r="L59" s="18">
        <f>+'Solar Report_Base'!L81</f>
        <v>223.8</v>
      </c>
      <c r="M59" s="18">
        <f>+'Solar Report_Base'!M81</f>
        <v>184.2</v>
      </c>
      <c r="N59" s="18">
        <f>+'Solar Report_Base'!N81</f>
        <v>245</v>
      </c>
      <c r="O59" s="18">
        <f>+'Solar Report_Base'!O81</f>
        <v>220.60001</v>
      </c>
      <c r="P59" s="18">
        <f>+'Solar Report_Base'!P81</f>
        <v>141.69999999999999</v>
      </c>
      <c r="Q59" s="18">
        <f>+'Solar Report_Base'!Q81</f>
        <v>173.39999</v>
      </c>
      <c r="R59" s="18">
        <f>+'Solar Report_Base'!R81</f>
        <v>0</v>
      </c>
      <c r="S59" s="191">
        <f>+'Solar Report_Base'!S81</f>
        <v>0</v>
      </c>
      <c r="T59" s="191">
        <f>+'Solar Report_Base'!T81</f>
        <v>0</v>
      </c>
      <c r="U59" s="191">
        <f>+'Solar Report_Base'!U81</f>
        <v>0</v>
      </c>
      <c r="V59" s="191">
        <f>+'Solar Report_Base'!V81</f>
        <v>0</v>
      </c>
      <c r="W59" s="191">
        <f>+'Solar Report_Base'!W81</f>
        <v>0</v>
      </c>
      <c r="X59" s="191">
        <f>+'Solar Report_Base'!X81</f>
        <v>0</v>
      </c>
      <c r="Y59" s="191">
        <f>+'Solar Report_Base'!Y81</f>
        <v>0</v>
      </c>
      <c r="Z59" s="191">
        <f>+'Solar Report_Base'!Z81</f>
        <v>0</v>
      </c>
      <c r="AA59" s="191">
        <f>+'Solar Report_Base'!AA81</f>
        <v>0</v>
      </c>
      <c r="AB59" s="191">
        <f>+'Solar Report_Base'!AB81</f>
        <v>0</v>
      </c>
      <c r="AC59" s="191">
        <f>+'Solar Report_Base'!AC81</f>
        <v>0</v>
      </c>
      <c r="AD59" s="191">
        <f>+'Solar Report_Base'!AD81</f>
        <v>0</v>
      </c>
      <c r="AE59" s="191">
        <f>+'Solar Report_Base'!AE81</f>
        <v>0</v>
      </c>
      <c r="AF59" s="191">
        <f>+'Solar Report_Base'!AF81</f>
        <v>0</v>
      </c>
      <c r="AG59" s="191">
        <f>+'Solar Report_Base'!AG81</f>
        <v>0</v>
      </c>
      <c r="AH59" s="191">
        <f>+'Solar Report_Base'!AH81</f>
        <v>0</v>
      </c>
      <c r="AI59" s="23">
        <f t="shared" si="2"/>
        <v>3139.3999899999994</v>
      </c>
    </row>
    <row r="60" spans="1:35" x14ac:dyDescent="0.25">
      <c r="B60" s="21" t="s">
        <v>10</v>
      </c>
      <c r="C60" s="1" t="s">
        <v>6</v>
      </c>
      <c r="D60" s="18">
        <f>+'Solar Report_Base'!D82</f>
        <v>148.89999</v>
      </c>
      <c r="E60" s="18">
        <f>+'Solar Report_Base'!E82</f>
        <v>235.89999</v>
      </c>
      <c r="F60" s="18">
        <f>+'Solar Report_Base'!F82</f>
        <v>212.2</v>
      </c>
      <c r="G60" s="18">
        <f>+'Solar Report_Base'!G82</f>
        <v>191.3</v>
      </c>
      <c r="H60" s="18">
        <f>+'Solar Report_Base'!H82</f>
        <v>239.5</v>
      </c>
      <c r="I60" s="18">
        <f>+'Solar Report_Base'!I82</f>
        <v>237</v>
      </c>
      <c r="J60" s="18">
        <f>+'Solar Report_Base'!J82</f>
        <v>246</v>
      </c>
      <c r="K60" s="18">
        <f>+'Solar Report_Base'!K82</f>
        <v>251.2</v>
      </c>
      <c r="L60" s="18">
        <f>+'Solar Report_Base'!L82</f>
        <v>211.10001</v>
      </c>
      <c r="M60" s="18">
        <f>+'Solar Report_Base'!M82</f>
        <v>175</v>
      </c>
      <c r="N60" s="18">
        <f>+'Solar Report_Base'!N82</f>
        <v>225.60001</v>
      </c>
      <c r="O60" s="18">
        <f>+'Solar Report_Base'!O82</f>
        <v>204.10001</v>
      </c>
      <c r="P60" s="18">
        <f>+'Solar Report_Base'!P82</f>
        <v>126.6</v>
      </c>
      <c r="Q60" s="18">
        <f>+'Solar Report_Base'!Q82</f>
        <v>163.60001</v>
      </c>
      <c r="R60" s="18">
        <f>+'Solar Report_Base'!R82</f>
        <v>0</v>
      </c>
      <c r="S60" s="191">
        <f>+'Solar Report_Base'!S82</f>
        <v>0</v>
      </c>
      <c r="T60" s="191">
        <f>+'Solar Report_Base'!T82</f>
        <v>0</v>
      </c>
      <c r="U60" s="191">
        <f>+'Solar Report_Base'!U82</f>
        <v>0</v>
      </c>
      <c r="V60" s="191">
        <f>+'Solar Report_Base'!V82</f>
        <v>0</v>
      </c>
      <c r="W60" s="191">
        <f>+'Solar Report_Base'!W82</f>
        <v>0</v>
      </c>
      <c r="X60" s="191">
        <f>+'Solar Report_Base'!X82</f>
        <v>0</v>
      </c>
      <c r="Y60" s="191">
        <f>+'Solar Report_Base'!Y82</f>
        <v>0</v>
      </c>
      <c r="Z60" s="191">
        <f>+'Solar Report_Base'!Z82</f>
        <v>0</v>
      </c>
      <c r="AA60" s="191">
        <f>+'Solar Report_Base'!AA82</f>
        <v>0</v>
      </c>
      <c r="AB60" s="191">
        <f>+'Solar Report_Base'!AB82</f>
        <v>0</v>
      </c>
      <c r="AC60" s="191">
        <f>+'Solar Report_Base'!AC82</f>
        <v>0</v>
      </c>
      <c r="AD60" s="191">
        <f>+'Solar Report_Base'!AD82</f>
        <v>0</v>
      </c>
      <c r="AE60" s="191">
        <f>+'Solar Report_Base'!AE82</f>
        <v>0</v>
      </c>
      <c r="AF60" s="191">
        <f>+'Solar Report_Base'!AF82</f>
        <v>0</v>
      </c>
      <c r="AG60" s="191">
        <f>+'Solar Report_Base'!AG82</f>
        <v>0</v>
      </c>
      <c r="AH60" s="191">
        <f>+'Solar Report_Base'!AH82</f>
        <v>0</v>
      </c>
      <c r="AI60" s="23">
        <f t="shared" si="2"/>
        <v>2868.0000200000004</v>
      </c>
    </row>
    <row r="61" spans="1:35" x14ac:dyDescent="0.25">
      <c r="B61" s="21" t="s">
        <v>11</v>
      </c>
      <c r="C61" s="1" t="s">
        <v>6</v>
      </c>
      <c r="D61" s="18">
        <f>+'Solar Report_Base'!D83</f>
        <v>148.30000000000001</v>
      </c>
      <c r="E61" s="18">
        <f>+'Solar Report_Base'!E83</f>
        <v>234.39999</v>
      </c>
      <c r="F61" s="18">
        <f>+'Solar Report_Base'!F83</f>
        <v>209.7</v>
      </c>
      <c r="G61" s="18">
        <f>+'Solar Report_Base'!G83</f>
        <v>188.10001</v>
      </c>
      <c r="H61" s="18">
        <f>+'Solar Report_Base'!H83</f>
        <v>248.3</v>
      </c>
      <c r="I61" s="18">
        <f>+'Solar Report_Base'!I83</f>
        <v>247</v>
      </c>
      <c r="J61" s="18">
        <f>+'Solar Report_Base'!J83</f>
        <v>247.8</v>
      </c>
      <c r="K61" s="18">
        <f>+'Solar Report_Base'!K83</f>
        <v>253.10001</v>
      </c>
      <c r="L61" s="18">
        <f>+'Solar Report_Base'!L83</f>
        <v>215.10001</v>
      </c>
      <c r="M61" s="18">
        <f>+'Solar Report_Base'!M83</f>
        <v>178.60001</v>
      </c>
      <c r="N61" s="18">
        <f>+'Solar Report_Base'!N83</f>
        <v>230.2</v>
      </c>
      <c r="O61" s="18">
        <f>+'Solar Report_Base'!O83</f>
        <v>206.39999</v>
      </c>
      <c r="P61" s="18">
        <f>+'Solar Report_Base'!P83</f>
        <v>133.30000000000001</v>
      </c>
      <c r="Q61" s="18">
        <f>+'Solar Report_Base'!Q83</f>
        <v>165.89999</v>
      </c>
      <c r="R61" s="18">
        <f>+'Solar Report_Base'!R83</f>
        <v>0</v>
      </c>
      <c r="S61" s="191">
        <f>+'Solar Report_Base'!S83</f>
        <v>0</v>
      </c>
      <c r="T61" s="191">
        <f>+'Solar Report_Base'!T83</f>
        <v>0</v>
      </c>
      <c r="U61" s="191">
        <f>+'Solar Report_Base'!U83</f>
        <v>0</v>
      </c>
      <c r="V61" s="191">
        <f>+'Solar Report_Base'!V83</f>
        <v>0</v>
      </c>
      <c r="W61" s="191">
        <f>+'Solar Report_Base'!W83</f>
        <v>0</v>
      </c>
      <c r="X61" s="191">
        <f>+'Solar Report_Base'!X83</f>
        <v>0</v>
      </c>
      <c r="Y61" s="191">
        <f>+'Solar Report_Base'!Y83</f>
        <v>0</v>
      </c>
      <c r="Z61" s="191">
        <f>+'Solar Report_Base'!Z83</f>
        <v>0</v>
      </c>
      <c r="AA61" s="191">
        <f>+'Solar Report_Base'!AA83</f>
        <v>0</v>
      </c>
      <c r="AB61" s="191">
        <f>+'Solar Report_Base'!AB83</f>
        <v>0</v>
      </c>
      <c r="AC61" s="191">
        <f>+'Solar Report_Base'!AC83</f>
        <v>0</v>
      </c>
      <c r="AD61" s="191">
        <f>+'Solar Report_Base'!AD83</f>
        <v>0</v>
      </c>
      <c r="AE61" s="191">
        <f>+'Solar Report_Base'!AE83</f>
        <v>0</v>
      </c>
      <c r="AF61" s="191">
        <f>+'Solar Report_Base'!AF83</f>
        <v>0</v>
      </c>
      <c r="AG61" s="191">
        <f>+'Solar Report_Base'!AG83</f>
        <v>0</v>
      </c>
      <c r="AH61" s="191">
        <f>+'Solar Report_Base'!AH83</f>
        <v>0</v>
      </c>
      <c r="AI61" s="23">
        <f t="shared" si="2"/>
        <v>2906.20001</v>
      </c>
    </row>
    <row r="62" spans="1:35" x14ac:dyDescent="0.25">
      <c r="B62" s="21" t="s">
        <v>12</v>
      </c>
      <c r="C62" s="1" t="s">
        <v>6</v>
      </c>
      <c r="D62" s="18">
        <f>+'Solar Report_Base'!D84</f>
        <v>145.39999</v>
      </c>
      <c r="E62" s="18">
        <f>+'Solar Report_Base'!E84</f>
        <v>230.10001</v>
      </c>
      <c r="F62" s="18">
        <f>+'Solar Report_Base'!F84</f>
        <v>204.8</v>
      </c>
      <c r="G62" s="18">
        <f>+'Solar Report_Base'!G84</f>
        <v>186.39999</v>
      </c>
      <c r="H62" s="18">
        <f>+'Solar Report_Base'!H84</f>
        <v>248.60001</v>
      </c>
      <c r="I62" s="18">
        <f>+'Solar Report_Base'!I84</f>
        <v>248.3</v>
      </c>
      <c r="J62" s="18">
        <f>+'Solar Report_Base'!J84</f>
        <v>244.3</v>
      </c>
      <c r="K62" s="18">
        <f>+'Solar Report_Base'!K84</f>
        <v>248.39999</v>
      </c>
      <c r="L62" s="18">
        <f>+'Solar Report_Base'!L84</f>
        <v>210.3</v>
      </c>
      <c r="M62" s="18">
        <f>+'Solar Report_Base'!M84</f>
        <v>177.7</v>
      </c>
      <c r="N62" s="18">
        <f>+'Solar Report_Base'!N84</f>
        <v>225.3</v>
      </c>
      <c r="O62" s="18">
        <f>+'Solar Report_Base'!O84</f>
        <v>202.7</v>
      </c>
      <c r="P62" s="18">
        <f>+'Solar Report_Base'!P84</f>
        <v>127.3</v>
      </c>
      <c r="Q62" s="18">
        <f>+'Solar Report_Base'!Q84</f>
        <v>162.10001</v>
      </c>
      <c r="R62" s="18">
        <f>+'Solar Report_Base'!R84</f>
        <v>0</v>
      </c>
      <c r="S62" s="191">
        <f>+'Solar Report_Base'!S84</f>
        <v>0</v>
      </c>
      <c r="T62" s="191">
        <f>+'Solar Report_Base'!T84</f>
        <v>0</v>
      </c>
      <c r="U62" s="191">
        <f>+'Solar Report_Base'!U84</f>
        <v>0</v>
      </c>
      <c r="V62" s="191">
        <f>+'Solar Report_Base'!V84</f>
        <v>0</v>
      </c>
      <c r="W62" s="191">
        <f>+'Solar Report_Base'!W84</f>
        <v>0</v>
      </c>
      <c r="X62" s="191">
        <f>+'Solar Report_Base'!X84</f>
        <v>0</v>
      </c>
      <c r="Y62" s="191">
        <f>+'Solar Report_Base'!Y84</f>
        <v>0</v>
      </c>
      <c r="Z62" s="191">
        <f>+'Solar Report_Base'!Z84</f>
        <v>0</v>
      </c>
      <c r="AA62" s="191">
        <f>+'Solar Report_Base'!AA84</f>
        <v>0</v>
      </c>
      <c r="AB62" s="191">
        <f>+'Solar Report_Base'!AB84</f>
        <v>0</v>
      </c>
      <c r="AC62" s="191">
        <f>+'Solar Report_Base'!AC84</f>
        <v>0</v>
      </c>
      <c r="AD62" s="191">
        <f>+'Solar Report_Base'!AD84</f>
        <v>0</v>
      </c>
      <c r="AE62" s="191">
        <f>+'Solar Report_Base'!AE84</f>
        <v>0</v>
      </c>
      <c r="AF62" s="191">
        <f>+'Solar Report_Base'!AF84</f>
        <v>0</v>
      </c>
      <c r="AG62" s="191">
        <f>+'Solar Report_Base'!AG84</f>
        <v>0</v>
      </c>
      <c r="AH62" s="191">
        <f>+'Solar Report_Base'!AH84</f>
        <v>0</v>
      </c>
      <c r="AI62" s="23">
        <f t="shared" si="2"/>
        <v>2861.7000000000003</v>
      </c>
    </row>
    <row r="63" spans="1:35" x14ac:dyDescent="0.25">
      <c r="B63" s="21" t="s">
        <v>13</v>
      </c>
      <c r="C63" s="1" t="s">
        <v>6</v>
      </c>
      <c r="D63" s="18">
        <f>+'Solar Report_Base'!D85</f>
        <v>147.80000000000001</v>
      </c>
      <c r="E63" s="18">
        <f>+'Solar Report_Base'!E85</f>
        <v>233.60001</v>
      </c>
      <c r="F63" s="18">
        <f>+'Solar Report_Base'!F85</f>
        <v>207.2</v>
      </c>
      <c r="G63" s="18">
        <f>+'Solar Report_Base'!G85</f>
        <v>186</v>
      </c>
      <c r="H63" s="18">
        <f>+'Solar Report_Base'!H85</f>
        <v>248.60001</v>
      </c>
      <c r="I63" s="18">
        <f>+'Solar Report_Base'!I85</f>
        <v>246.6</v>
      </c>
      <c r="J63" s="18">
        <f>+'Solar Report_Base'!J85</f>
        <v>240.60001</v>
      </c>
      <c r="K63" s="18">
        <f>+'Solar Report_Base'!K85</f>
        <v>241.39999</v>
      </c>
      <c r="L63" s="18">
        <f>+'Solar Report_Base'!L85</f>
        <v>208.39999</v>
      </c>
      <c r="M63" s="18">
        <f>+'Solar Report_Base'!M85</f>
        <v>175.89999</v>
      </c>
      <c r="N63" s="18">
        <f>+'Solar Report_Base'!N85</f>
        <v>222.8</v>
      </c>
      <c r="O63" s="18">
        <f>+'Solar Report_Base'!O85</f>
        <v>198.89999</v>
      </c>
      <c r="P63" s="18">
        <f>+'Solar Report_Base'!P85</f>
        <v>127.2</v>
      </c>
      <c r="Q63" s="18">
        <f>+'Solar Report_Base'!Q85</f>
        <v>173.5</v>
      </c>
      <c r="R63" s="18">
        <f>+'Solar Report_Base'!R85</f>
        <v>0</v>
      </c>
      <c r="S63" s="191">
        <f>+'Solar Report_Base'!S85</f>
        <v>0</v>
      </c>
      <c r="T63" s="191">
        <f>+'Solar Report_Base'!T85</f>
        <v>0</v>
      </c>
      <c r="U63" s="191">
        <f>+'Solar Report_Base'!U85</f>
        <v>0</v>
      </c>
      <c r="V63" s="191">
        <f>+'Solar Report_Base'!V85</f>
        <v>0</v>
      </c>
      <c r="W63" s="191">
        <f>+'Solar Report_Base'!W85</f>
        <v>0</v>
      </c>
      <c r="X63" s="191">
        <f>+'Solar Report_Base'!X85</f>
        <v>0</v>
      </c>
      <c r="Y63" s="191">
        <f>+'Solar Report_Base'!Y85</f>
        <v>0</v>
      </c>
      <c r="Z63" s="191">
        <f>+'Solar Report_Base'!Z85</f>
        <v>0</v>
      </c>
      <c r="AA63" s="191">
        <f>+'Solar Report_Base'!AA85</f>
        <v>0</v>
      </c>
      <c r="AB63" s="191">
        <f>+'Solar Report_Base'!AB85</f>
        <v>0</v>
      </c>
      <c r="AC63" s="191">
        <f>+'Solar Report_Base'!AC85</f>
        <v>0</v>
      </c>
      <c r="AD63" s="191">
        <f>+'Solar Report_Base'!AD85</f>
        <v>0</v>
      </c>
      <c r="AE63" s="191">
        <f>+'Solar Report_Base'!AE85</f>
        <v>0</v>
      </c>
      <c r="AF63" s="191">
        <f>+'Solar Report_Base'!AF85</f>
        <v>0</v>
      </c>
      <c r="AG63" s="191">
        <f>+'Solar Report_Base'!AG85</f>
        <v>0</v>
      </c>
      <c r="AH63" s="191">
        <f>+'Solar Report_Base'!AH85</f>
        <v>0</v>
      </c>
      <c r="AI63" s="23">
        <f t="shared" si="2"/>
        <v>2858.4999899999993</v>
      </c>
    </row>
    <row r="64" spans="1:35" x14ac:dyDescent="0.25">
      <c r="B64" s="21" t="s">
        <v>14</v>
      </c>
      <c r="C64" s="1" t="s">
        <v>6</v>
      </c>
      <c r="D64" s="18">
        <f>+'Solar Report_Base'!D86</f>
        <v>145.69999999999999</v>
      </c>
      <c r="E64" s="18">
        <f>+'Solar Report_Base'!E86</f>
        <v>229.5</v>
      </c>
      <c r="F64" s="18">
        <f>+'Solar Report_Base'!F86</f>
        <v>206.7</v>
      </c>
      <c r="G64" s="18">
        <f>+'Solar Report_Base'!G86</f>
        <v>185.7</v>
      </c>
      <c r="H64" s="18">
        <f>+'Solar Report_Base'!H86</f>
        <v>228.89999</v>
      </c>
      <c r="I64" s="18">
        <f>+'Solar Report_Base'!I86</f>
        <v>253</v>
      </c>
      <c r="J64" s="18">
        <f>+'Solar Report_Base'!J86</f>
        <v>239.7</v>
      </c>
      <c r="K64" s="18">
        <f>+'Solar Report_Base'!K86</f>
        <v>238</v>
      </c>
      <c r="L64" s="18">
        <f>+'Solar Report_Base'!L86</f>
        <v>205.89999</v>
      </c>
      <c r="M64" s="18">
        <f>+'Solar Report_Base'!M86</f>
        <v>175.39999</v>
      </c>
      <c r="N64" s="18">
        <f>+'Solar Report_Base'!N86</f>
        <v>220.3</v>
      </c>
      <c r="O64" s="18">
        <f>+'Solar Report_Base'!O86</f>
        <v>198.2</v>
      </c>
      <c r="P64" s="18">
        <f>+'Solar Report_Base'!P86</f>
        <v>122.8</v>
      </c>
      <c r="Q64" s="18">
        <f>+'Solar Report_Base'!Q86</f>
        <v>155.30000000000001</v>
      </c>
      <c r="R64" s="18">
        <f>+'Solar Report_Base'!R86</f>
        <v>0</v>
      </c>
      <c r="S64" s="191">
        <f>+'Solar Report_Base'!S86</f>
        <v>0</v>
      </c>
      <c r="T64" s="191">
        <f>+'Solar Report_Base'!T86</f>
        <v>0</v>
      </c>
      <c r="U64" s="191">
        <f>+'Solar Report_Base'!U86</f>
        <v>0</v>
      </c>
      <c r="V64" s="191">
        <f>+'Solar Report_Base'!V86</f>
        <v>0</v>
      </c>
      <c r="W64" s="191">
        <f>+'Solar Report_Base'!W86</f>
        <v>0</v>
      </c>
      <c r="X64" s="191">
        <f>+'Solar Report_Base'!X86</f>
        <v>0</v>
      </c>
      <c r="Y64" s="191">
        <f>+'Solar Report_Base'!Y86</f>
        <v>0</v>
      </c>
      <c r="Z64" s="191">
        <f>+'Solar Report_Base'!Z86</f>
        <v>0</v>
      </c>
      <c r="AA64" s="191">
        <f>+'Solar Report_Base'!AA86</f>
        <v>0</v>
      </c>
      <c r="AB64" s="191">
        <f>+'Solar Report_Base'!AB86</f>
        <v>0</v>
      </c>
      <c r="AC64" s="191">
        <f>+'Solar Report_Base'!AC86</f>
        <v>0</v>
      </c>
      <c r="AD64" s="191">
        <f>+'Solar Report_Base'!AD86</f>
        <v>0</v>
      </c>
      <c r="AE64" s="191">
        <f>+'Solar Report_Base'!AE86</f>
        <v>0</v>
      </c>
      <c r="AF64" s="191">
        <f>+'Solar Report_Base'!AF86</f>
        <v>0</v>
      </c>
      <c r="AG64" s="191">
        <f>+'Solar Report_Base'!AG86</f>
        <v>0</v>
      </c>
      <c r="AH64" s="191">
        <f>+'Solar Report_Base'!AH86</f>
        <v>0</v>
      </c>
      <c r="AI64" s="23">
        <f t="shared" si="2"/>
        <v>2805.0999700000002</v>
      </c>
    </row>
    <row r="65" spans="2:36" x14ac:dyDescent="0.25">
      <c r="B65" s="21" t="s">
        <v>15</v>
      </c>
      <c r="C65" s="1" t="s">
        <v>6</v>
      </c>
      <c r="D65" s="18">
        <f>+'Solar Report_Base'!D87</f>
        <v>150.89999</v>
      </c>
      <c r="E65" s="18">
        <f>+'Solar Report_Base'!E87</f>
        <v>238.8</v>
      </c>
      <c r="F65" s="18">
        <f>+'Solar Report_Base'!F87</f>
        <v>214.60001</v>
      </c>
      <c r="G65" s="18">
        <f>+'Solar Report_Base'!G87</f>
        <v>194.2</v>
      </c>
      <c r="H65" s="18">
        <f>+'Solar Report_Base'!H87</f>
        <v>248.3</v>
      </c>
      <c r="I65" s="18">
        <f>+'Solar Report_Base'!I87</f>
        <v>252</v>
      </c>
      <c r="J65" s="18">
        <f>+'Solar Report_Base'!J87</f>
        <v>229</v>
      </c>
      <c r="K65" s="18">
        <f>+'Solar Report_Base'!K87</f>
        <v>248.3</v>
      </c>
      <c r="L65" s="18">
        <f>+'Solar Report_Base'!L87</f>
        <v>212.5</v>
      </c>
      <c r="M65" s="18">
        <f>+'Solar Report_Base'!M87</f>
        <v>175.60001</v>
      </c>
      <c r="N65" s="18">
        <f>+'Solar Report_Base'!N87</f>
        <v>226.39999</v>
      </c>
      <c r="O65" s="18">
        <f>+'Solar Report_Base'!O87</f>
        <v>203.3</v>
      </c>
      <c r="P65" s="18">
        <f>+'Solar Report_Base'!P87</f>
        <v>123.5</v>
      </c>
      <c r="Q65" s="18">
        <f>+'Solar Report_Base'!Q87</f>
        <v>170.60001</v>
      </c>
      <c r="R65" s="18">
        <f>+'Solar Report_Base'!R87</f>
        <v>0</v>
      </c>
      <c r="S65" s="191">
        <f>+'Solar Report_Base'!S87</f>
        <v>0</v>
      </c>
      <c r="T65" s="191">
        <f>+'Solar Report_Base'!T87</f>
        <v>0</v>
      </c>
      <c r="U65" s="191">
        <f>+'Solar Report_Base'!U87</f>
        <v>0</v>
      </c>
      <c r="V65" s="191">
        <f>+'Solar Report_Base'!V87</f>
        <v>0</v>
      </c>
      <c r="W65" s="191">
        <f>+'Solar Report_Base'!W87</f>
        <v>0</v>
      </c>
      <c r="X65" s="191">
        <f>+'Solar Report_Base'!X87</f>
        <v>0</v>
      </c>
      <c r="Y65" s="191">
        <f>+'Solar Report_Base'!Y87</f>
        <v>0</v>
      </c>
      <c r="Z65" s="191">
        <f>+'Solar Report_Base'!Z87</f>
        <v>0</v>
      </c>
      <c r="AA65" s="191">
        <f>+'Solar Report_Base'!AA87</f>
        <v>0</v>
      </c>
      <c r="AB65" s="191">
        <f>+'Solar Report_Base'!AB87</f>
        <v>0</v>
      </c>
      <c r="AC65" s="191">
        <f>+'Solar Report_Base'!AC87</f>
        <v>0</v>
      </c>
      <c r="AD65" s="191">
        <f>+'Solar Report_Base'!AD87</f>
        <v>0</v>
      </c>
      <c r="AE65" s="191">
        <f>+'Solar Report_Base'!AE87</f>
        <v>0</v>
      </c>
      <c r="AF65" s="191">
        <f>+'Solar Report_Base'!AF87</f>
        <v>0</v>
      </c>
      <c r="AG65" s="191">
        <f>+'Solar Report_Base'!AG87</f>
        <v>0</v>
      </c>
      <c r="AH65" s="191">
        <f>+'Solar Report_Base'!AH87</f>
        <v>0</v>
      </c>
      <c r="AI65" s="23">
        <f t="shared" si="2"/>
        <v>2888.0000100000002</v>
      </c>
    </row>
    <row r="66" spans="2:36" x14ac:dyDescent="0.25">
      <c r="B66" s="21" t="s">
        <v>16</v>
      </c>
      <c r="C66" s="1" t="s">
        <v>6</v>
      </c>
      <c r="D66" s="18">
        <f>+'Solar Report_Base'!D88</f>
        <v>148.80000000000001</v>
      </c>
      <c r="E66" s="18">
        <f>+'Solar Report_Base'!E88</f>
        <v>242</v>
      </c>
      <c r="F66" s="18">
        <f>+'Solar Report_Base'!F88</f>
        <v>215.39999</v>
      </c>
      <c r="G66" s="18">
        <f>+'Solar Report_Base'!G88</f>
        <v>194.10001</v>
      </c>
      <c r="H66" s="18">
        <f>+'Solar Report_Base'!H88</f>
        <v>257.89999</v>
      </c>
      <c r="I66" s="18">
        <f>+'Solar Report_Base'!I88</f>
        <v>255.1</v>
      </c>
      <c r="J66" s="18">
        <f>+'Solar Report_Base'!J88</f>
        <v>230.60001</v>
      </c>
      <c r="K66" s="18">
        <f>+'Solar Report_Base'!K88</f>
        <v>252.7</v>
      </c>
      <c r="L66" s="18">
        <f>+'Solar Report_Base'!L88</f>
        <v>216.10001</v>
      </c>
      <c r="M66" s="18">
        <f>+'Solar Report_Base'!M88</f>
        <v>178.7</v>
      </c>
      <c r="N66" s="18">
        <f>+'Solar Report_Base'!N88</f>
        <v>232</v>
      </c>
      <c r="O66" s="18">
        <f>+'Solar Report_Base'!O88</f>
        <v>209.10001</v>
      </c>
      <c r="P66" s="18">
        <f>+'Solar Report_Base'!P88</f>
        <v>125.6</v>
      </c>
      <c r="Q66" s="18">
        <f>+'Solar Report_Base'!Q88</f>
        <v>174</v>
      </c>
      <c r="R66" s="18">
        <f>+'Solar Report_Base'!R88</f>
        <v>0</v>
      </c>
      <c r="S66" s="191">
        <f>+'Solar Report_Base'!S88</f>
        <v>0</v>
      </c>
      <c r="T66" s="191">
        <f>+'Solar Report_Base'!T88</f>
        <v>0</v>
      </c>
      <c r="U66" s="191">
        <f>+'Solar Report_Base'!U88</f>
        <v>0</v>
      </c>
      <c r="V66" s="191">
        <f>+'Solar Report_Base'!V88</f>
        <v>0</v>
      </c>
      <c r="W66" s="191">
        <f>+'Solar Report_Base'!W88</f>
        <v>0</v>
      </c>
      <c r="X66" s="191">
        <f>+'Solar Report_Base'!X88</f>
        <v>0</v>
      </c>
      <c r="Y66" s="191">
        <f>+'Solar Report_Base'!Y88</f>
        <v>0</v>
      </c>
      <c r="Z66" s="191">
        <f>+'Solar Report_Base'!Z88</f>
        <v>0</v>
      </c>
      <c r="AA66" s="191">
        <f>+'Solar Report_Base'!AA88</f>
        <v>0</v>
      </c>
      <c r="AB66" s="191">
        <f>+'Solar Report_Base'!AB88</f>
        <v>0</v>
      </c>
      <c r="AC66" s="191">
        <f>+'Solar Report_Base'!AC88</f>
        <v>0</v>
      </c>
      <c r="AD66" s="191">
        <f>+'Solar Report_Base'!AD88</f>
        <v>0</v>
      </c>
      <c r="AE66" s="191">
        <f>+'Solar Report_Base'!AE88</f>
        <v>0</v>
      </c>
      <c r="AF66" s="191">
        <f>+'Solar Report_Base'!AF88</f>
        <v>0</v>
      </c>
      <c r="AG66" s="191">
        <f>+'Solar Report_Base'!AG88</f>
        <v>0</v>
      </c>
      <c r="AH66" s="191">
        <f>+'Solar Report_Base'!AH88</f>
        <v>0</v>
      </c>
      <c r="AI66" s="23">
        <f t="shared" si="2"/>
        <v>2932.1000199999999</v>
      </c>
    </row>
    <row r="67" spans="2:36" x14ac:dyDescent="0.25">
      <c r="B67" s="21" t="s">
        <v>17</v>
      </c>
      <c r="C67" s="1" t="s">
        <v>6</v>
      </c>
      <c r="D67" s="18">
        <f>+'Solar Report_Base'!D89</f>
        <v>150.5</v>
      </c>
      <c r="E67" s="18">
        <f>+'Solar Report_Base'!E89</f>
        <v>238.2</v>
      </c>
      <c r="F67" s="18">
        <f>+'Solar Report_Base'!F89</f>
        <v>214</v>
      </c>
      <c r="G67" s="18">
        <f>+'Solar Report_Base'!G89</f>
        <v>192.3</v>
      </c>
      <c r="H67" s="18">
        <f>+'Solar Report_Base'!H89</f>
        <v>252.60001</v>
      </c>
      <c r="I67" s="18">
        <f>+'Solar Report_Base'!I89</f>
        <v>249.3</v>
      </c>
      <c r="J67" s="18">
        <f>+'Solar Report_Base'!J89</f>
        <v>224.10001</v>
      </c>
      <c r="K67" s="18">
        <f>+'Solar Report_Base'!K89</f>
        <v>241.5</v>
      </c>
      <c r="L67" s="18">
        <f>+'Solar Report_Base'!L89</f>
        <v>210</v>
      </c>
      <c r="M67" s="18">
        <f>+'Solar Report_Base'!M89</f>
        <v>173.60001</v>
      </c>
      <c r="N67" s="18">
        <f>+'Solar Report_Base'!N89</f>
        <v>221.8</v>
      </c>
      <c r="O67" s="18">
        <f>+'Solar Report_Base'!O89</f>
        <v>200.39999</v>
      </c>
      <c r="P67" s="18">
        <f>+'Solar Report_Base'!P89</f>
        <v>119.6</v>
      </c>
      <c r="Q67" s="18">
        <f>+'Solar Report_Base'!Q89</f>
        <v>166.8</v>
      </c>
      <c r="R67" s="18">
        <f>+'Solar Report_Base'!R89</f>
        <v>0</v>
      </c>
      <c r="S67" s="191">
        <f>+'Solar Report_Base'!S89</f>
        <v>0</v>
      </c>
      <c r="T67" s="191">
        <f>+'Solar Report_Base'!T89</f>
        <v>0</v>
      </c>
      <c r="U67" s="191">
        <f>+'Solar Report_Base'!U89</f>
        <v>0</v>
      </c>
      <c r="V67" s="191">
        <f>+'Solar Report_Base'!V89</f>
        <v>0</v>
      </c>
      <c r="W67" s="191">
        <f>+'Solar Report_Base'!W89</f>
        <v>0</v>
      </c>
      <c r="X67" s="191">
        <f>+'Solar Report_Base'!X89</f>
        <v>0</v>
      </c>
      <c r="Y67" s="191">
        <f>+'Solar Report_Base'!Y89</f>
        <v>0</v>
      </c>
      <c r="Z67" s="191">
        <f>+'Solar Report_Base'!Z89</f>
        <v>0</v>
      </c>
      <c r="AA67" s="191">
        <f>+'Solar Report_Base'!AA89</f>
        <v>0</v>
      </c>
      <c r="AB67" s="191">
        <f>+'Solar Report_Base'!AB89</f>
        <v>0</v>
      </c>
      <c r="AC67" s="191">
        <f>+'Solar Report_Base'!AC89</f>
        <v>0</v>
      </c>
      <c r="AD67" s="191">
        <f>+'Solar Report_Base'!AD89</f>
        <v>0</v>
      </c>
      <c r="AE67" s="191">
        <f>+'Solar Report_Base'!AE89</f>
        <v>0</v>
      </c>
      <c r="AF67" s="191">
        <f>+'Solar Report_Base'!AF89</f>
        <v>0</v>
      </c>
      <c r="AG67" s="191">
        <f>+'Solar Report_Base'!AG89</f>
        <v>0</v>
      </c>
      <c r="AH67" s="191">
        <f>+'Solar Report_Base'!AH89</f>
        <v>0</v>
      </c>
      <c r="AI67" s="23">
        <f t="shared" si="2"/>
        <v>2854.7000200000002</v>
      </c>
    </row>
    <row r="68" spans="2:36" x14ac:dyDescent="0.25">
      <c r="B68" s="21" t="s">
        <v>18</v>
      </c>
      <c r="C68" s="1" t="s">
        <v>6</v>
      </c>
      <c r="D68" s="18">
        <f>+'Solar Report_Base'!D90</f>
        <v>153.60001</v>
      </c>
      <c r="E68" s="18">
        <f>+'Solar Report_Base'!E90</f>
        <v>247.10001</v>
      </c>
      <c r="F68" s="18">
        <f>+'Solar Report_Base'!F90</f>
        <v>218.3</v>
      </c>
      <c r="G68" s="18">
        <f>+'Solar Report_Base'!G90</f>
        <v>196.8</v>
      </c>
      <c r="H68" s="18">
        <f>+'Solar Report_Base'!H90</f>
        <v>258.5</v>
      </c>
      <c r="I68" s="18">
        <f>+'Solar Report_Base'!I90</f>
        <v>254.9</v>
      </c>
      <c r="J68" s="18">
        <f>+'Solar Report_Base'!J90</f>
        <v>230.5</v>
      </c>
      <c r="K68" s="18">
        <f>+'Solar Report_Base'!K90</f>
        <v>245.7</v>
      </c>
      <c r="L68" s="18">
        <f>+'Solar Report_Base'!L90</f>
        <v>218.60001</v>
      </c>
      <c r="M68" s="18">
        <f>+'Solar Report_Base'!M90</f>
        <v>180.39999</v>
      </c>
      <c r="N68" s="18">
        <f>+'Solar Report_Base'!N90</f>
        <v>234.39999</v>
      </c>
      <c r="O68" s="18">
        <f>+'Solar Report_Base'!O90</f>
        <v>211.39999</v>
      </c>
      <c r="P68" s="18">
        <f>+'Solar Report_Base'!P90</f>
        <v>127.3</v>
      </c>
      <c r="Q68" s="18">
        <f>+'Solar Report_Base'!Q90</f>
        <v>186.2</v>
      </c>
      <c r="R68" s="18">
        <f>+'Solar Report_Base'!R90</f>
        <v>0</v>
      </c>
      <c r="S68" s="191">
        <f>+'Solar Report_Base'!S90</f>
        <v>0</v>
      </c>
      <c r="T68" s="191">
        <f>+'Solar Report_Base'!T90</f>
        <v>0</v>
      </c>
      <c r="U68" s="191">
        <f>+'Solar Report_Base'!U90</f>
        <v>0</v>
      </c>
      <c r="V68" s="191">
        <f>+'Solar Report_Base'!V90</f>
        <v>0</v>
      </c>
      <c r="W68" s="191">
        <f>+'Solar Report_Base'!W90</f>
        <v>0</v>
      </c>
      <c r="X68" s="191">
        <f>+'Solar Report_Base'!X90</f>
        <v>0</v>
      </c>
      <c r="Y68" s="191">
        <f>+'Solar Report_Base'!Y90</f>
        <v>0</v>
      </c>
      <c r="Z68" s="191">
        <f>+'Solar Report_Base'!Z90</f>
        <v>0</v>
      </c>
      <c r="AA68" s="191">
        <f>+'Solar Report_Base'!AA90</f>
        <v>0</v>
      </c>
      <c r="AB68" s="191">
        <f>+'Solar Report_Base'!AB90</f>
        <v>0</v>
      </c>
      <c r="AC68" s="191">
        <f>+'Solar Report_Base'!AC90</f>
        <v>0</v>
      </c>
      <c r="AD68" s="191">
        <f>+'Solar Report_Base'!AD90</f>
        <v>0</v>
      </c>
      <c r="AE68" s="191">
        <f>+'Solar Report_Base'!AE90</f>
        <v>0</v>
      </c>
      <c r="AF68" s="191">
        <f>+'Solar Report_Base'!AF90</f>
        <v>0</v>
      </c>
      <c r="AG68" s="191">
        <f>+'Solar Report_Base'!AG90</f>
        <v>0</v>
      </c>
      <c r="AH68" s="191">
        <f>+'Solar Report_Base'!AH90</f>
        <v>0</v>
      </c>
      <c r="AI68" s="23">
        <f t="shared" si="2"/>
        <v>2963.7</v>
      </c>
    </row>
    <row r="69" spans="2:36" x14ac:dyDescent="0.25">
      <c r="B69" s="21" t="s">
        <v>19</v>
      </c>
      <c r="C69" s="1" t="s">
        <v>6</v>
      </c>
      <c r="D69" s="18">
        <f>+'Solar Report_Base'!D91</f>
        <v>153.60001</v>
      </c>
      <c r="E69" s="18">
        <f>+'Solar Report_Base'!E91</f>
        <v>249.39999</v>
      </c>
      <c r="F69" s="18">
        <f>+'Solar Report_Base'!F91</f>
        <v>222.39999</v>
      </c>
      <c r="G69" s="18">
        <f>+'Solar Report_Base'!G91</f>
        <v>201.60001</v>
      </c>
      <c r="H69" s="18">
        <f>+'Solar Report_Base'!H91</f>
        <v>262.39999</v>
      </c>
      <c r="I69" s="18">
        <f>+'Solar Report_Base'!I91</f>
        <v>259.2</v>
      </c>
      <c r="J69" s="18">
        <f>+'Solar Report_Base'!J91</f>
        <v>234.10001</v>
      </c>
      <c r="K69" s="18">
        <f>+'Solar Report_Base'!K91</f>
        <v>249.5</v>
      </c>
      <c r="L69" s="18">
        <f>+'Solar Report_Base'!L91</f>
        <v>220.60001</v>
      </c>
      <c r="M69" s="18">
        <f>+'Solar Report_Base'!M91</f>
        <v>180.2</v>
      </c>
      <c r="N69" s="18">
        <f>+'Solar Report_Base'!N91</f>
        <v>236.7</v>
      </c>
      <c r="O69" s="18">
        <f>+'Solar Report_Base'!O91</f>
        <v>214</v>
      </c>
      <c r="P69" s="18">
        <f>+'Solar Report_Base'!P91</f>
        <v>126.6</v>
      </c>
      <c r="Q69" s="18">
        <f>+'Solar Report_Base'!Q91</f>
        <v>174.5</v>
      </c>
      <c r="R69" s="18">
        <f>+'Solar Report_Base'!R91</f>
        <v>0</v>
      </c>
      <c r="S69" s="191">
        <f>+'Solar Report_Base'!S91</f>
        <v>0</v>
      </c>
      <c r="T69" s="191">
        <f>+'Solar Report_Base'!T91</f>
        <v>0</v>
      </c>
      <c r="U69" s="191">
        <f>+'Solar Report_Base'!U91</f>
        <v>0</v>
      </c>
      <c r="V69" s="191">
        <f>+'Solar Report_Base'!V91</f>
        <v>0</v>
      </c>
      <c r="W69" s="191">
        <f>+'Solar Report_Base'!W91</f>
        <v>0</v>
      </c>
      <c r="X69" s="191">
        <f>+'Solar Report_Base'!X91</f>
        <v>0</v>
      </c>
      <c r="Y69" s="191">
        <f>+'Solar Report_Base'!Y91</f>
        <v>0</v>
      </c>
      <c r="Z69" s="191">
        <f>+'Solar Report_Base'!Z91</f>
        <v>0</v>
      </c>
      <c r="AA69" s="191">
        <f>+'Solar Report_Base'!AA91</f>
        <v>0</v>
      </c>
      <c r="AB69" s="191">
        <f>+'Solar Report_Base'!AB91</f>
        <v>0</v>
      </c>
      <c r="AC69" s="191">
        <f>+'Solar Report_Base'!AC91</f>
        <v>0</v>
      </c>
      <c r="AD69" s="191">
        <f>+'Solar Report_Base'!AD91</f>
        <v>0</v>
      </c>
      <c r="AE69" s="191">
        <f>+'Solar Report_Base'!AE91</f>
        <v>0</v>
      </c>
      <c r="AF69" s="191">
        <f>+'Solar Report_Base'!AF91</f>
        <v>0</v>
      </c>
      <c r="AG69" s="191">
        <f>+'Solar Report_Base'!AG91</f>
        <v>0</v>
      </c>
      <c r="AH69" s="191">
        <f>+'Solar Report_Base'!AH91</f>
        <v>0</v>
      </c>
      <c r="AI69" s="23">
        <f t="shared" si="2"/>
        <v>2984.8000099999995</v>
      </c>
    </row>
    <row r="70" spans="2:36" x14ac:dyDescent="0.25">
      <c r="B70" s="21" t="s">
        <v>20</v>
      </c>
      <c r="C70" s="1" t="s">
        <v>6</v>
      </c>
      <c r="D70" s="18">
        <f>+'Solar Report_Base'!D92</f>
        <v>154.10001</v>
      </c>
      <c r="E70" s="18">
        <f>+'Solar Report_Base'!E92</f>
        <v>249.60001</v>
      </c>
      <c r="F70" s="18">
        <f>+'Solar Report_Base'!F92</f>
        <v>219.89999</v>
      </c>
      <c r="G70" s="18">
        <f>+'Solar Report_Base'!G92</f>
        <v>201.3</v>
      </c>
      <c r="H70" s="18">
        <f>+'Solar Report_Base'!H92</f>
        <v>262.5</v>
      </c>
      <c r="I70" s="18">
        <f>+'Solar Report_Base'!I92</f>
        <v>257</v>
      </c>
      <c r="J70" s="18">
        <f>+'Solar Report_Base'!J92</f>
        <v>230.60001</v>
      </c>
      <c r="K70" s="18">
        <f>+'Solar Report_Base'!K92</f>
        <v>249.5</v>
      </c>
      <c r="L70" s="18">
        <f>+'Solar Report_Base'!L92</f>
        <v>218.39999</v>
      </c>
      <c r="M70" s="18">
        <f>+'Solar Report_Base'!M92</f>
        <v>178</v>
      </c>
      <c r="N70" s="18">
        <f>+'Solar Report_Base'!N92</f>
        <v>232.10001</v>
      </c>
      <c r="O70" s="18">
        <f>+'Solar Report_Base'!O92</f>
        <v>210.2</v>
      </c>
      <c r="P70" s="18">
        <f>+'Solar Report_Base'!P92</f>
        <v>124.5</v>
      </c>
      <c r="Q70" s="18">
        <f>+'Solar Report_Base'!Q92</f>
        <v>173.2</v>
      </c>
      <c r="R70" s="18">
        <f>+'Solar Report_Base'!R92</f>
        <v>0</v>
      </c>
      <c r="S70" s="191">
        <f>+'Solar Report_Base'!S92</f>
        <v>0</v>
      </c>
      <c r="T70" s="191">
        <f>+'Solar Report_Base'!T92</f>
        <v>0</v>
      </c>
      <c r="U70" s="191">
        <f>+'Solar Report_Base'!U92</f>
        <v>0</v>
      </c>
      <c r="V70" s="191">
        <f>+'Solar Report_Base'!V92</f>
        <v>0</v>
      </c>
      <c r="W70" s="191">
        <f>+'Solar Report_Base'!W92</f>
        <v>0</v>
      </c>
      <c r="X70" s="191">
        <f>+'Solar Report_Base'!X92</f>
        <v>0</v>
      </c>
      <c r="Y70" s="191">
        <f>+'Solar Report_Base'!Y92</f>
        <v>0</v>
      </c>
      <c r="Z70" s="191">
        <f>+'Solar Report_Base'!Z92</f>
        <v>0</v>
      </c>
      <c r="AA70" s="191">
        <f>+'Solar Report_Base'!AA92</f>
        <v>0</v>
      </c>
      <c r="AB70" s="191">
        <f>+'Solar Report_Base'!AB92</f>
        <v>0</v>
      </c>
      <c r="AC70" s="191">
        <f>+'Solar Report_Base'!AC92</f>
        <v>0</v>
      </c>
      <c r="AD70" s="191">
        <f>+'Solar Report_Base'!AD92</f>
        <v>0</v>
      </c>
      <c r="AE70" s="191">
        <f>+'Solar Report_Base'!AE92</f>
        <v>0</v>
      </c>
      <c r="AF70" s="191">
        <f>+'Solar Report_Base'!AF92</f>
        <v>0</v>
      </c>
      <c r="AG70" s="191">
        <f>+'Solar Report_Base'!AG92</f>
        <v>0</v>
      </c>
      <c r="AH70" s="191">
        <f>+'Solar Report_Base'!AH92</f>
        <v>0</v>
      </c>
      <c r="AI70" s="23">
        <f t="shared" si="2"/>
        <v>2960.9000199999996</v>
      </c>
    </row>
    <row r="71" spans="2:36" x14ac:dyDescent="0.25">
      <c r="B71" s="21" t="s">
        <v>21</v>
      </c>
      <c r="C71" s="1" t="s">
        <v>6</v>
      </c>
      <c r="D71" s="18">
        <f>+'Solar Report_Base'!D93</f>
        <v>135.69999999999999</v>
      </c>
      <c r="E71" s="18">
        <f>+'Solar Report_Base'!E93</f>
        <v>232.89999</v>
      </c>
      <c r="F71" s="18">
        <f>+'Solar Report_Base'!F93</f>
        <v>208.60001</v>
      </c>
      <c r="G71" s="18">
        <f>+'Solar Report_Base'!G93</f>
        <v>191.7</v>
      </c>
      <c r="H71" s="18">
        <f>+'Solar Report_Base'!H93</f>
        <v>247</v>
      </c>
      <c r="I71" s="18">
        <f>+'Solar Report_Base'!I93</f>
        <v>240.7</v>
      </c>
      <c r="J71" s="18">
        <f>+'Solar Report_Base'!J93</f>
        <v>214.10001</v>
      </c>
      <c r="K71" s="18">
        <f>+'Solar Report_Base'!K93</f>
        <v>229.3</v>
      </c>
      <c r="L71" s="18">
        <f>+'Solar Report_Base'!L93</f>
        <v>202.3</v>
      </c>
      <c r="M71" s="18">
        <f>+'Solar Report_Base'!M93</f>
        <v>172</v>
      </c>
      <c r="N71" s="18">
        <f>+'Solar Report_Base'!N93</f>
        <v>167.8</v>
      </c>
      <c r="O71" s="18">
        <f>+'Solar Report_Base'!O93</f>
        <v>193.5</v>
      </c>
      <c r="P71" s="18">
        <f>+'Solar Report_Base'!P93</f>
        <v>106.5</v>
      </c>
      <c r="Q71" s="18">
        <f>+'Solar Report_Base'!Q93</f>
        <v>159.89999</v>
      </c>
      <c r="R71" s="18">
        <f>+'Solar Report_Base'!R93</f>
        <v>0</v>
      </c>
      <c r="S71" s="191">
        <f>+'Solar Report_Base'!S93</f>
        <v>0</v>
      </c>
      <c r="T71" s="191">
        <f>+'Solar Report_Base'!T93</f>
        <v>0</v>
      </c>
      <c r="U71" s="191">
        <f>+'Solar Report_Base'!U93</f>
        <v>0</v>
      </c>
      <c r="V71" s="191">
        <f>+'Solar Report_Base'!V93</f>
        <v>0</v>
      </c>
      <c r="W71" s="191">
        <f>+'Solar Report_Base'!W93</f>
        <v>0</v>
      </c>
      <c r="X71" s="191">
        <f>+'Solar Report_Base'!X93</f>
        <v>0</v>
      </c>
      <c r="Y71" s="191">
        <f>+'Solar Report_Base'!Y93</f>
        <v>0</v>
      </c>
      <c r="Z71" s="191">
        <f>+'Solar Report_Base'!Z93</f>
        <v>0</v>
      </c>
      <c r="AA71" s="191">
        <f>+'Solar Report_Base'!AA93</f>
        <v>0</v>
      </c>
      <c r="AB71" s="191">
        <f>+'Solar Report_Base'!AB93</f>
        <v>0</v>
      </c>
      <c r="AC71" s="191">
        <f>+'Solar Report_Base'!AC93</f>
        <v>0</v>
      </c>
      <c r="AD71" s="191">
        <f>+'Solar Report_Base'!AD93</f>
        <v>0</v>
      </c>
      <c r="AE71" s="191">
        <f>+'Solar Report_Base'!AE93</f>
        <v>0</v>
      </c>
      <c r="AF71" s="191">
        <f>+'Solar Report_Base'!AF93</f>
        <v>0</v>
      </c>
      <c r="AG71" s="191">
        <f>+'Solar Report_Base'!AG93</f>
        <v>0</v>
      </c>
      <c r="AH71" s="191">
        <f>+'Solar Report_Base'!AH93</f>
        <v>0</v>
      </c>
      <c r="AI71" s="23">
        <f t="shared" si="2"/>
        <v>2702</v>
      </c>
    </row>
    <row r="72" spans="2:36" x14ac:dyDescent="0.25">
      <c r="B72" s="21" t="s">
        <v>22</v>
      </c>
      <c r="C72" s="1" t="s">
        <v>6</v>
      </c>
      <c r="D72" s="18">
        <f>+'Solar Report_Base'!D94</f>
        <v>127.6</v>
      </c>
      <c r="E72" s="18">
        <f>+'Solar Report_Base'!E94</f>
        <v>225.5</v>
      </c>
      <c r="F72" s="18">
        <f>+'Solar Report_Base'!F94</f>
        <v>204.2</v>
      </c>
      <c r="G72" s="18">
        <f>+'Solar Report_Base'!G94</f>
        <v>186.2</v>
      </c>
      <c r="H72" s="18">
        <f>+'Solar Report_Base'!H94</f>
        <v>235.39999</v>
      </c>
      <c r="I72" s="18">
        <f>+'Solar Report_Base'!I94</f>
        <v>233.5</v>
      </c>
      <c r="J72" s="18">
        <f>+'Solar Report_Base'!J94</f>
        <v>206.8</v>
      </c>
      <c r="K72" s="18">
        <f>+'Solar Report_Base'!K94</f>
        <v>192.89999</v>
      </c>
      <c r="L72" s="18">
        <f>+'Solar Report_Base'!L94</f>
        <v>185.60001</v>
      </c>
      <c r="M72" s="18">
        <f>+'Solar Report_Base'!M94</f>
        <v>164.60001</v>
      </c>
      <c r="N72" s="18">
        <f>+'Solar Report_Base'!N94</f>
        <v>209.10001</v>
      </c>
      <c r="O72" s="18">
        <f>+'Solar Report_Base'!O94</f>
        <v>189.39999</v>
      </c>
      <c r="P72" s="18">
        <f>+'Solar Report_Base'!P94</f>
        <v>102.6</v>
      </c>
      <c r="Q72" s="18">
        <f>+'Solar Report_Base'!Q94</f>
        <v>150.60001</v>
      </c>
      <c r="R72" s="18">
        <f>+'Solar Report_Base'!R94</f>
        <v>0</v>
      </c>
      <c r="S72" s="191">
        <f>+'Solar Report_Base'!S94</f>
        <v>0</v>
      </c>
      <c r="T72" s="191">
        <f>+'Solar Report_Base'!T94</f>
        <v>0</v>
      </c>
      <c r="U72" s="191">
        <f>+'Solar Report_Base'!U94</f>
        <v>0</v>
      </c>
      <c r="V72" s="191">
        <f>+'Solar Report_Base'!V94</f>
        <v>0</v>
      </c>
      <c r="W72" s="191">
        <f>+'Solar Report_Base'!W94</f>
        <v>0</v>
      </c>
      <c r="X72" s="191">
        <f>+'Solar Report_Base'!X94</f>
        <v>0</v>
      </c>
      <c r="Y72" s="191">
        <f>+'Solar Report_Base'!Y94</f>
        <v>0</v>
      </c>
      <c r="Z72" s="191">
        <f>+'Solar Report_Base'!Z94</f>
        <v>0</v>
      </c>
      <c r="AA72" s="191">
        <f>+'Solar Report_Base'!AA94</f>
        <v>0</v>
      </c>
      <c r="AB72" s="191">
        <f>+'Solar Report_Base'!AB94</f>
        <v>0</v>
      </c>
      <c r="AC72" s="191">
        <f>+'Solar Report_Base'!AC94</f>
        <v>0</v>
      </c>
      <c r="AD72" s="191">
        <f>+'Solar Report_Base'!AD94</f>
        <v>0</v>
      </c>
      <c r="AE72" s="191">
        <f>+'Solar Report_Base'!AE94</f>
        <v>0</v>
      </c>
      <c r="AF72" s="191">
        <f>+'Solar Report_Base'!AF94</f>
        <v>0</v>
      </c>
      <c r="AG72" s="191">
        <f>+'Solar Report_Base'!AG94</f>
        <v>0</v>
      </c>
      <c r="AH72" s="191">
        <f>+'Solar Report_Base'!AH94</f>
        <v>0</v>
      </c>
      <c r="AI72" s="23">
        <f t="shared" si="2"/>
        <v>2614.0000100000002</v>
      </c>
    </row>
    <row r="73" spans="2:36" x14ac:dyDescent="0.25">
      <c r="B73" s="21" t="s">
        <v>23</v>
      </c>
      <c r="C73" s="1" t="s">
        <v>6</v>
      </c>
      <c r="D73" s="18">
        <f>+'Solar Report_Base'!D95</f>
        <v>142.30000000000001</v>
      </c>
      <c r="E73" s="18">
        <f>+'Solar Report_Base'!E95</f>
        <v>244.60001</v>
      </c>
      <c r="F73" s="18">
        <f>+'Solar Report_Base'!F95</f>
        <v>222.10001</v>
      </c>
      <c r="G73" s="18">
        <f>+'Solar Report_Base'!G95</f>
        <v>201.89999</v>
      </c>
      <c r="H73" s="18">
        <f>+'Solar Report_Base'!H95</f>
        <v>256.20001000000002</v>
      </c>
      <c r="I73" s="18">
        <f>+'Solar Report_Base'!I95</f>
        <v>254.3</v>
      </c>
      <c r="J73" s="18">
        <f>+'Solar Report_Base'!J95</f>
        <v>231.60001</v>
      </c>
      <c r="K73" s="18">
        <f>+'Solar Report_Base'!K95</f>
        <v>196.7</v>
      </c>
      <c r="L73" s="18">
        <f>+'Solar Report_Base'!L95</f>
        <v>198.5</v>
      </c>
      <c r="M73" s="18">
        <f>+'Solar Report_Base'!M95</f>
        <v>170.89999</v>
      </c>
      <c r="N73" s="18">
        <f>+'Solar Report_Base'!N95</f>
        <v>226.89999</v>
      </c>
      <c r="O73" s="18">
        <f>+'Solar Report_Base'!O95</f>
        <v>203.8</v>
      </c>
      <c r="P73" s="18">
        <f>+'Solar Report_Base'!P95</f>
        <v>113.4</v>
      </c>
      <c r="Q73" s="18">
        <f>+'Solar Report_Base'!Q95</f>
        <v>165.7</v>
      </c>
      <c r="R73" s="18">
        <f>+'Solar Report_Base'!R95</f>
        <v>0</v>
      </c>
      <c r="S73" s="191">
        <f>+'Solar Report_Base'!S95</f>
        <v>0</v>
      </c>
      <c r="T73" s="191">
        <f>+'Solar Report_Base'!T95</f>
        <v>0</v>
      </c>
      <c r="U73" s="191">
        <f>+'Solar Report_Base'!U95</f>
        <v>0</v>
      </c>
      <c r="V73" s="191">
        <f>+'Solar Report_Base'!V95</f>
        <v>0</v>
      </c>
      <c r="W73" s="191">
        <f>+'Solar Report_Base'!W95</f>
        <v>0</v>
      </c>
      <c r="X73" s="191">
        <f>+'Solar Report_Base'!X95</f>
        <v>0</v>
      </c>
      <c r="Y73" s="191">
        <f>+'Solar Report_Base'!Y95</f>
        <v>0</v>
      </c>
      <c r="Z73" s="191">
        <f>+'Solar Report_Base'!Z95</f>
        <v>0</v>
      </c>
      <c r="AA73" s="191">
        <f>+'Solar Report_Base'!AA95</f>
        <v>0</v>
      </c>
      <c r="AB73" s="191">
        <f>+'Solar Report_Base'!AB95</f>
        <v>0</v>
      </c>
      <c r="AC73" s="191">
        <f>+'Solar Report_Base'!AC95</f>
        <v>0</v>
      </c>
      <c r="AD73" s="191">
        <f>+'Solar Report_Base'!AD95</f>
        <v>0</v>
      </c>
      <c r="AE73" s="191">
        <f>+'Solar Report_Base'!AE95</f>
        <v>0</v>
      </c>
      <c r="AF73" s="191">
        <f>+'Solar Report_Base'!AF95</f>
        <v>0</v>
      </c>
      <c r="AG73" s="191">
        <f>+'Solar Report_Base'!AG95</f>
        <v>0</v>
      </c>
      <c r="AH73" s="191">
        <f>+'Solar Report_Base'!AH95</f>
        <v>0</v>
      </c>
      <c r="AI73" s="23">
        <f t="shared" si="2"/>
        <v>2828.9000099999998</v>
      </c>
    </row>
    <row r="74" spans="2:36" x14ac:dyDescent="0.25">
      <c r="B74" s="21" t="s">
        <v>24</v>
      </c>
      <c r="C74" s="1" t="s">
        <v>6</v>
      </c>
      <c r="D74" s="18">
        <f>+'Solar Report_Base'!D96</f>
        <v>2745.4999900000876</v>
      </c>
      <c r="E74" s="18">
        <f>+'Solar Report_Base'!E96</f>
        <v>4338.9000100000148</v>
      </c>
      <c r="F74" s="18">
        <f>+'Solar Report_Base'!F96</f>
        <v>3905.3999699999708</v>
      </c>
      <c r="G74" s="18">
        <f>+'Solar Report_Base'!G96</f>
        <v>3532.0999900001161</v>
      </c>
      <c r="H74" s="18">
        <f>+'Solar Report_Base'!H96</f>
        <v>4569.0999899998978</v>
      </c>
      <c r="I74" s="18">
        <f>+'Solar Report_Base'!I96</f>
        <v>4563.3999999999414</v>
      </c>
      <c r="J74" s="18">
        <f>+'Solar Report_Base'!J96</f>
        <v>4286.4999700002327</v>
      </c>
      <c r="K74" s="18">
        <f>+'Solar Report_Base'!K96</f>
        <v>4409.8000100000727</v>
      </c>
      <c r="L74" s="18">
        <f>+'Solar Report_Base'!L96</f>
        <v>3862.200019999942</v>
      </c>
      <c r="M74" s="18">
        <f>+'Solar Report_Base'!M96</f>
        <v>3255.4999900000003</v>
      </c>
      <c r="N74" s="18">
        <f>+'Solar Report_Base'!N96</f>
        <v>4087.3999800000729</v>
      </c>
      <c r="O74" s="18">
        <f>+'Solar Report_Base'!O96</f>
        <v>3734.1000099997527</v>
      </c>
      <c r="P74" s="18">
        <f>+'Solar Report_Base'!P96</f>
        <v>2314.3999999998982</v>
      </c>
      <c r="Q74" s="18">
        <f>+'Solar Report_Base'!Q96</f>
        <v>3142.1999900002766</v>
      </c>
      <c r="R74" s="18">
        <f>+'Solar Report_Base'!R96</f>
        <v>0</v>
      </c>
      <c r="S74" s="191">
        <f>+'Solar Report_Base'!S96</f>
        <v>0</v>
      </c>
      <c r="T74" s="191">
        <f>+'Solar Report_Base'!T96</f>
        <v>0</v>
      </c>
      <c r="U74" s="191">
        <f>+'Solar Report_Base'!U96</f>
        <v>0</v>
      </c>
      <c r="V74" s="191">
        <f>+'Solar Report_Base'!V96</f>
        <v>0</v>
      </c>
      <c r="W74" s="191">
        <f>+'Solar Report_Base'!W96</f>
        <v>0</v>
      </c>
      <c r="X74" s="191">
        <f>+'Solar Report_Base'!X96</f>
        <v>0</v>
      </c>
      <c r="Y74" s="191">
        <f>+'Solar Report_Base'!Y96</f>
        <v>0</v>
      </c>
      <c r="Z74" s="191">
        <f>+'Solar Report_Base'!Z96</f>
        <v>0</v>
      </c>
      <c r="AA74" s="191">
        <f>+'Solar Report_Base'!AA96</f>
        <v>0</v>
      </c>
      <c r="AB74" s="191">
        <f>+'Solar Report_Base'!AB96</f>
        <v>0</v>
      </c>
      <c r="AC74" s="191">
        <f>+'Solar Report_Base'!AC96</f>
        <v>0</v>
      </c>
      <c r="AD74" s="191">
        <f>+'Solar Report_Base'!AD96</f>
        <v>0</v>
      </c>
      <c r="AE74" s="191">
        <f>+'Solar Report_Base'!AE96</f>
        <v>0</v>
      </c>
      <c r="AF74" s="191">
        <f>+'Solar Report_Base'!AF96</f>
        <v>0</v>
      </c>
      <c r="AG74" s="191">
        <f>+'Solar Report_Base'!AG96</f>
        <v>0</v>
      </c>
      <c r="AH74" s="191">
        <f>+'Solar Report_Base'!AH96</f>
        <v>0</v>
      </c>
      <c r="AI74" s="23">
        <f t="shared" si="2"/>
        <v>52746.499920000286</v>
      </c>
      <c r="AJ74" s="4">
        <f>AI74+AI114</f>
        <v>65596.000000000291</v>
      </c>
    </row>
    <row r="75" spans="2:36" x14ac:dyDescent="0.25">
      <c r="B75" s="21" t="s">
        <v>25</v>
      </c>
      <c r="C75" s="1" t="s">
        <v>26</v>
      </c>
      <c r="D75" s="90">
        <f>+'Solar Report_Base'!D97</f>
        <v>3.8021127226666667</v>
      </c>
      <c r="E75" s="90">
        <f>+'Solar Report_Base'!E97</f>
        <v>6.1734034288333479</v>
      </c>
      <c r="F75" s="90">
        <f>+'Solar Report_Base'!F97</f>
        <v>5.6312319011666689</v>
      </c>
      <c r="G75" s="90">
        <f>+'Solar Report_Base'!G97</f>
        <v>5.1097855565000101</v>
      </c>
      <c r="H75" s="90">
        <f>+'Solar Report_Base'!H97</f>
        <v>6.5756401111666696</v>
      </c>
      <c r="I75" s="90">
        <f>+'Solar Report_Base'!I97</f>
        <v>6.6654338230000034</v>
      </c>
      <c r="J75" s="90">
        <f>+'Solar Report_Base'!J97</f>
        <v>6.3107921193333318</v>
      </c>
      <c r="K75" s="90">
        <f>+'Solar Report_Base'!K97</f>
        <v>6.5488712061666758</v>
      </c>
      <c r="L75" s="90">
        <f>+'Solar Report_Base'!L97</f>
        <v>6.2748642586666703</v>
      </c>
      <c r="M75" s="90">
        <f>+'Solar Report_Base'!M97</f>
        <v>5.7799787166666716</v>
      </c>
      <c r="N75" s="90">
        <f>+'Solar Report_Base'!N97</f>
        <v>6.0817430948333371</v>
      </c>
      <c r="O75" s="90">
        <f>+'Solar Report_Base'!O97</f>
        <v>5.2979098706666745</v>
      </c>
      <c r="P75" s="90">
        <f>+'Solar Report_Base'!P97</f>
        <v>4.1240273200000033</v>
      </c>
      <c r="Q75" s="90">
        <f>+'Solar Report_Base'!Q97</f>
        <v>6.7644430633333252</v>
      </c>
      <c r="R75" s="90">
        <f>+'Solar Report_Base'!R97</f>
        <v>0</v>
      </c>
      <c r="S75" s="90">
        <f>+'Solar Report_Base'!S97</f>
        <v>0</v>
      </c>
      <c r="T75" s="90">
        <f>+'Solar Report_Base'!T97</f>
        <v>0</v>
      </c>
      <c r="U75" s="90">
        <f>+'Solar Report_Base'!U97</f>
        <v>0</v>
      </c>
      <c r="V75" s="90">
        <f>+'Solar Report_Base'!V97</f>
        <v>0</v>
      </c>
      <c r="W75" s="90">
        <f>+'Solar Report_Base'!W97</f>
        <v>0</v>
      </c>
      <c r="X75" s="90">
        <f>+'Solar Report_Base'!X97</f>
        <v>0</v>
      </c>
      <c r="Y75" s="90">
        <f>+'Solar Report_Base'!Y97</f>
        <v>0</v>
      </c>
      <c r="Z75" s="90">
        <f>+'Solar Report_Base'!Z97</f>
        <v>0</v>
      </c>
      <c r="AA75" s="90">
        <f>+'Solar Report_Base'!AA97</f>
        <v>0</v>
      </c>
      <c r="AB75" s="90">
        <f>+'Solar Report_Base'!AB97</f>
        <v>0</v>
      </c>
      <c r="AC75" s="90">
        <f>+'Solar Report_Base'!AC97</f>
        <v>0</v>
      </c>
      <c r="AD75" s="90">
        <f>+'Solar Report_Base'!AD97</f>
        <v>0</v>
      </c>
      <c r="AE75" s="90">
        <f>+'Solar Report_Base'!AE97</f>
        <v>0</v>
      </c>
      <c r="AF75" s="90">
        <f>+'Solar Report_Base'!AF97</f>
        <v>0</v>
      </c>
      <c r="AG75" s="90">
        <f>+'Solar Report_Base'!AG97</f>
        <v>0</v>
      </c>
      <c r="AH75" s="90">
        <f>+'Solar Report_Base'!AH97</f>
        <v>0</v>
      </c>
      <c r="AI75" s="24">
        <f>AVERAGE(D75:AH75)</f>
        <v>2.6174270062258085</v>
      </c>
    </row>
    <row r="76" spans="2:36" x14ac:dyDescent="0.25">
      <c r="B76" s="21" t="s">
        <v>27</v>
      </c>
      <c r="C76" s="1" t="s">
        <v>6</v>
      </c>
      <c r="D76" s="18">
        <f>+'Solar Report_Base'!D98</f>
        <v>103347.9999999945</v>
      </c>
      <c r="E76" s="18">
        <f>+'Solar Report_Base'!E98</f>
        <v>141380.00000001374</v>
      </c>
      <c r="F76" s="18">
        <f>+'Solar Report_Base'!F98</f>
        <v>151916.00000000253</v>
      </c>
      <c r="G76" s="18">
        <f>+'Solar Report_Base'!G98</f>
        <v>144736.00000000151</v>
      </c>
      <c r="H76" s="18">
        <f>+'Solar Report_Base'!H98</f>
        <v>145707.99999999616</v>
      </c>
      <c r="I76" s="18">
        <f>+'Solar Report_Base'!I98</f>
        <v>152579.99999999738</v>
      </c>
      <c r="J76" s="18">
        <f>+'Solar Report_Base'!J98</f>
        <v>150564.00000000722</v>
      </c>
      <c r="K76" s="18">
        <f>+'Solar Report_Base'!K98</f>
        <v>107814.80000000799</v>
      </c>
      <c r="L76" s="18">
        <f>+'Solar Report_Base'!L98</f>
        <v>57770.30000001275</v>
      </c>
      <c r="M76" s="18">
        <f>+'Solar Report_Base'!M98</f>
        <v>13167.899999985559</v>
      </c>
      <c r="N76" s="18">
        <f>+'Solar Report_Base'!N98</f>
        <v>91806.399999994712</v>
      </c>
      <c r="O76" s="18">
        <f>+'Solar Report_Base'!O98</f>
        <v>117901.09999998882</v>
      </c>
      <c r="P76" s="18">
        <f>+'Solar Report_Base'!P98</f>
        <v>104300.00000000618</v>
      </c>
      <c r="Q76" s="18">
        <f>+'Solar Report_Base'!Q98</f>
        <v>67512.100000010527</v>
      </c>
      <c r="R76" s="18">
        <f>+'Solar Report_Base'!R98</f>
        <v>0</v>
      </c>
      <c r="S76" s="191">
        <f>+'Solar Report_Base'!S98</f>
        <v>0</v>
      </c>
      <c r="T76" s="191">
        <f>+'Solar Report_Base'!T98</f>
        <v>0</v>
      </c>
      <c r="U76" s="191">
        <f>+'Solar Report_Base'!U98</f>
        <v>0</v>
      </c>
      <c r="V76" s="191">
        <f>+'Solar Report_Base'!V98</f>
        <v>0</v>
      </c>
      <c r="W76" s="191">
        <f>+'Solar Report_Base'!W98</f>
        <v>0</v>
      </c>
      <c r="X76" s="191">
        <f>+'Solar Report_Base'!X98</f>
        <v>0</v>
      </c>
      <c r="Y76" s="191">
        <f>+'Solar Report_Base'!Y98</f>
        <v>0</v>
      </c>
      <c r="Z76" s="191">
        <f>+'Solar Report_Base'!Z98</f>
        <v>0</v>
      </c>
      <c r="AA76" s="191">
        <f>+'Solar Report_Base'!AA98</f>
        <v>0</v>
      </c>
      <c r="AB76" s="191">
        <f>+'Solar Report_Base'!AB98</f>
        <v>0</v>
      </c>
      <c r="AC76" s="191">
        <f>+'Solar Report_Base'!AC98</f>
        <v>0</v>
      </c>
      <c r="AD76" s="191">
        <f>+'Solar Report_Base'!AD98</f>
        <v>0</v>
      </c>
      <c r="AE76" s="191">
        <f>+'Solar Report_Base'!AE98</f>
        <v>0</v>
      </c>
      <c r="AF76" s="191">
        <f>+'Solar Report_Base'!AF98</f>
        <v>0</v>
      </c>
      <c r="AG76" s="191">
        <f>+'Solar Report_Base'!AG98</f>
        <v>0</v>
      </c>
      <c r="AH76" s="191">
        <f>+'Solar Report_Base'!AH98</f>
        <v>0</v>
      </c>
      <c r="AI76" s="23">
        <f t="shared" si="2"/>
        <v>1550504.6000000199</v>
      </c>
    </row>
    <row r="77" spans="2:36" x14ac:dyDescent="0.25">
      <c r="B77" s="25" t="s">
        <v>28</v>
      </c>
      <c r="C77" s="1" t="s">
        <v>0</v>
      </c>
      <c r="D77" s="89">
        <f>+'Solar Report_Base'!D99</f>
        <v>0.1212375842925406</v>
      </c>
      <c r="E77" s="89">
        <f>+'Solar Report_Base'!E99</f>
        <v>0.19131359712007337</v>
      </c>
      <c r="F77" s="89">
        <f>+'Solar Report_Base'!F99</f>
        <v>0.17345129310154853</v>
      </c>
      <c r="G77" s="89">
        <f>+'Solar Report_Base'!G99</f>
        <v>0.15725102254214274</v>
      </c>
      <c r="H77" s="89">
        <f>+'Solar Report_Base'!H99</f>
        <v>0.20484204087814661</v>
      </c>
      <c r="I77" s="89">
        <f>+'Solar Report_Base'!I99</f>
        <v>0.20482415629170619</v>
      </c>
      <c r="J77" s="89">
        <f>+'Solar Report_Base'!J99</f>
        <v>0.19181895467363222</v>
      </c>
      <c r="K77" s="89">
        <f>+'Solar Report_Base'!K99</f>
        <v>0.1972044907992633</v>
      </c>
      <c r="L77" s="89">
        <f>+'Solar Report_Base'!L99</f>
        <v>0.1878991317741544</v>
      </c>
      <c r="M77" s="89">
        <f>+'Solar Report_Base'!M99</f>
        <v>0.17757018893147095</v>
      </c>
      <c r="N77" s="89">
        <f>+'Solar Report_Base'!N99</f>
        <v>0.18835015330438684</v>
      </c>
      <c r="O77" s="89">
        <f>+'Solar Report_Base'!O99</f>
        <v>0.16565110096745234</v>
      </c>
      <c r="P77" s="89">
        <f>+'Solar Report_Base'!P99</f>
        <v>0.13001072105981318</v>
      </c>
      <c r="Q77" s="89">
        <f>+'Solar Report_Base'!Q99</f>
        <v>0.20881314619730351</v>
      </c>
      <c r="R77" s="89">
        <f>+'Solar Report_Base'!R99</f>
        <v>0</v>
      </c>
      <c r="S77" s="93">
        <f>+'Solar Report_Base'!S99</f>
        <v>0</v>
      </c>
      <c r="T77" s="93">
        <f>+'Solar Report_Base'!T99</f>
        <v>0</v>
      </c>
      <c r="U77" s="223">
        <f>+'Solar Report_Base'!U99</f>
        <v>0</v>
      </c>
      <c r="V77" s="223">
        <f>+'Solar Report_Base'!V99</f>
        <v>0</v>
      </c>
      <c r="W77" s="93">
        <f>+'Solar Report_Base'!W99</f>
        <v>0</v>
      </c>
      <c r="X77" s="93">
        <f>+'Solar Report_Base'!X99</f>
        <v>0</v>
      </c>
      <c r="Y77" s="93">
        <f>+'Solar Report_Base'!Y99</f>
        <v>0</v>
      </c>
      <c r="Z77" s="93">
        <f>+'Solar Report_Base'!Z99</f>
        <v>0</v>
      </c>
      <c r="AA77" s="93">
        <f>+'Solar Report_Base'!AA99</f>
        <v>0</v>
      </c>
      <c r="AB77" s="93">
        <f>+'Solar Report_Base'!AB99</f>
        <v>0</v>
      </c>
      <c r="AC77" s="93">
        <f>+'Solar Report_Base'!AC99</f>
        <v>0</v>
      </c>
      <c r="AD77" s="93">
        <f>+'Solar Report_Base'!AD99</f>
        <v>0</v>
      </c>
      <c r="AE77" s="93">
        <f>+'Solar Report_Base'!AE99</f>
        <v>0</v>
      </c>
      <c r="AF77" s="93">
        <f>+'Solar Report_Base'!AF99</f>
        <v>0</v>
      </c>
      <c r="AG77" s="93">
        <f>+'Solar Report_Base'!AG99</f>
        <v>0</v>
      </c>
      <c r="AH77" s="93">
        <f>+'Solar Report_Base'!AH99</f>
        <v>0</v>
      </c>
      <c r="AI77" s="26">
        <f>AVERAGE(D77:AH77)</f>
        <v>8.0652825223665639E-2</v>
      </c>
    </row>
    <row r="78" spans="2:36" x14ac:dyDescent="0.25">
      <c r="B78" s="25" t="s">
        <v>35</v>
      </c>
      <c r="C78" s="1" t="s">
        <v>0</v>
      </c>
      <c r="D78" s="89">
        <f>+'Solar Report_Base'!D100</f>
        <v>0.1144645116236445</v>
      </c>
      <c r="E78" s="89">
        <f>+'Solar Report_Base'!E100</f>
        <v>0.180896038039491</v>
      </c>
      <c r="F78" s="89">
        <f>+'Solar Report_Base'!F100</f>
        <v>0.16282269236541805</v>
      </c>
      <c r="G78" s="89">
        <f>+'Solar Report_Base'!G100</f>
        <v>0.14725918842972935</v>
      </c>
      <c r="H78" s="89">
        <f>+'Solar Report_Base'!H100</f>
        <v>0.1904934623273922</v>
      </c>
      <c r="I78" s="89">
        <f>+'Solar Report_Base'!I100</f>
        <v>0.1902558201587595</v>
      </c>
      <c r="J78" s="89">
        <f>+'Solar Report_Base'!J100</f>
        <v>0.17871139225202759</v>
      </c>
      <c r="K78" s="89">
        <f>+'Solar Report_Base'!K100</f>
        <v>0.18385197827029856</v>
      </c>
      <c r="L78" s="89">
        <f>+'Solar Report_Base'!L100</f>
        <v>0.1610216138016119</v>
      </c>
      <c r="M78" s="89">
        <f>+'Solar Report_Base'!M100</f>
        <v>0.13572726927823361</v>
      </c>
      <c r="N78" s="89">
        <f>+'Solar Report_Base'!N100</f>
        <v>0.17041057884731142</v>
      </c>
      <c r="O78" s="89">
        <f>+'Solar Report_Base'!O100</f>
        <v>0.1556809089620336</v>
      </c>
      <c r="P78" s="89">
        <f>+'Solar Report_Base'!P100</f>
        <v>9.6491228070171201E-2</v>
      </c>
      <c r="Q78" s="89">
        <f>+'Solar Report_Base'!Q100</f>
        <v>0.13100360174439149</v>
      </c>
      <c r="R78" s="89">
        <f>+'Solar Report_Base'!R100</f>
        <v>0</v>
      </c>
      <c r="S78" s="93">
        <f>+'Solar Report_Base'!S100</f>
        <v>0</v>
      </c>
      <c r="T78" s="93">
        <f>+'Solar Report_Base'!T100</f>
        <v>0</v>
      </c>
      <c r="U78" s="223">
        <f>+'Solar Report_Base'!U100</f>
        <v>0</v>
      </c>
      <c r="V78" s="223">
        <f>+'Solar Report_Base'!V100</f>
        <v>0</v>
      </c>
      <c r="W78" s="93">
        <f>+'Solar Report_Base'!W100</f>
        <v>0</v>
      </c>
      <c r="X78" s="93">
        <f>+'Solar Report_Base'!X100</f>
        <v>0</v>
      </c>
      <c r="Y78" s="93">
        <f>+'Solar Report_Base'!Y100</f>
        <v>0</v>
      </c>
      <c r="Z78" s="93">
        <f>+'Solar Report_Base'!Z100</f>
        <v>0</v>
      </c>
      <c r="AA78" s="93">
        <f>+'Solar Report_Base'!AA100</f>
        <v>0</v>
      </c>
      <c r="AB78" s="93">
        <f>+'Solar Report_Base'!AB100</f>
        <v>0</v>
      </c>
      <c r="AC78" s="93">
        <f>+'Solar Report_Base'!AC100</f>
        <v>0</v>
      </c>
      <c r="AD78" s="93">
        <f>+'Solar Report_Base'!AD100</f>
        <v>0</v>
      </c>
      <c r="AE78" s="93">
        <f>+'Solar Report_Base'!AE100</f>
        <v>0</v>
      </c>
      <c r="AF78" s="93">
        <f>+'Solar Report_Base'!AF100</f>
        <v>0</v>
      </c>
      <c r="AG78" s="93">
        <f>+'Solar Report_Base'!AG100</f>
        <v>0</v>
      </c>
      <c r="AH78" s="93">
        <f>+'Solar Report_Base'!AH100</f>
        <v>0</v>
      </c>
      <c r="AI78" s="26">
        <f>AVERAGE(D78:AH78)</f>
        <v>7.0938396263564962E-2</v>
      </c>
    </row>
    <row r="79" spans="2:36" x14ac:dyDescent="0.25">
      <c r="B79" s="85"/>
      <c r="C79" s="86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8"/>
    </row>
    <row r="80" spans="2:36" ht="15.75" thickBot="1" x14ac:dyDescent="0.3">
      <c r="B80" s="652" t="s">
        <v>36</v>
      </c>
      <c r="C80" s="653"/>
      <c r="D80" s="653"/>
      <c r="E80" s="653"/>
      <c r="F80" s="653"/>
      <c r="G80" s="653"/>
      <c r="H80" s="653"/>
      <c r="I80" s="653"/>
      <c r="J80" s="653"/>
      <c r="K80" s="653"/>
      <c r="L80" s="653"/>
      <c r="M80" s="653"/>
      <c r="N80" s="653"/>
      <c r="O80" s="653"/>
      <c r="P80" s="653"/>
      <c r="Q80" s="653"/>
      <c r="R80" s="653"/>
      <c r="S80" s="653"/>
      <c r="T80" s="653"/>
      <c r="U80" s="653"/>
      <c r="V80" s="653"/>
      <c r="W80" s="653"/>
      <c r="X80" s="653"/>
      <c r="Y80" s="653"/>
      <c r="Z80" s="653"/>
      <c r="AA80" s="653"/>
      <c r="AB80" s="653"/>
      <c r="AC80" s="653"/>
      <c r="AD80" s="653"/>
      <c r="AE80" s="653"/>
      <c r="AF80" s="653"/>
      <c r="AG80" s="653"/>
      <c r="AH80" s="653"/>
      <c r="AI80" s="654"/>
    </row>
    <row r="81" spans="1:35" x14ac:dyDescent="0.25">
      <c r="A81" t="s">
        <v>228</v>
      </c>
      <c r="B81" s="68" t="s">
        <v>2</v>
      </c>
      <c r="C81" s="69" t="s">
        <v>3</v>
      </c>
      <c r="D81" s="70">
        <v>1</v>
      </c>
      <c r="E81" s="70">
        <v>2</v>
      </c>
      <c r="F81" s="70">
        <v>3</v>
      </c>
      <c r="G81" s="70">
        <v>4</v>
      </c>
      <c r="H81" s="70">
        <v>5</v>
      </c>
      <c r="I81" s="70">
        <v>6</v>
      </c>
      <c r="J81" s="70">
        <v>7</v>
      </c>
      <c r="K81" s="70">
        <v>8</v>
      </c>
      <c r="L81" s="70">
        <v>9</v>
      </c>
      <c r="M81" s="70">
        <v>10</v>
      </c>
      <c r="N81" s="70">
        <v>11</v>
      </c>
      <c r="O81" s="70">
        <v>12</v>
      </c>
      <c r="P81" s="70">
        <v>13</v>
      </c>
      <c r="Q81" s="70">
        <v>14</v>
      </c>
      <c r="R81" s="70">
        <v>15</v>
      </c>
      <c r="S81" s="70">
        <v>16</v>
      </c>
      <c r="T81" s="70">
        <v>17</v>
      </c>
      <c r="U81" s="70">
        <v>18</v>
      </c>
      <c r="V81" s="70">
        <v>19</v>
      </c>
      <c r="W81" s="70">
        <v>20</v>
      </c>
      <c r="X81" s="70">
        <v>21</v>
      </c>
      <c r="Y81" s="70">
        <v>22</v>
      </c>
      <c r="Z81" s="70">
        <v>23</v>
      </c>
      <c r="AA81" s="70">
        <v>24</v>
      </c>
      <c r="AB81" s="70">
        <v>25</v>
      </c>
      <c r="AC81" s="70">
        <v>26</v>
      </c>
      <c r="AD81" s="70">
        <v>27</v>
      </c>
      <c r="AE81" s="70">
        <v>28</v>
      </c>
      <c r="AF81" s="70">
        <v>29</v>
      </c>
      <c r="AG81" s="70">
        <v>30</v>
      </c>
      <c r="AH81" s="70">
        <v>31</v>
      </c>
      <c r="AI81" s="71" t="s">
        <v>4</v>
      </c>
    </row>
    <row r="82" spans="1:35" x14ac:dyDescent="0.25">
      <c r="B82" s="21" t="s">
        <v>5</v>
      </c>
      <c r="C82" s="1" t="s">
        <v>6</v>
      </c>
      <c r="D82" s="18">
        <f>+'Solar Report_Base'!D115</f>
        <v>502.89999389648437</v>
      </c>
      <c r="E82" s="18">
        <f>+'Solar Report_Base'!E115</f>
        <v>417.89999389648437</v>
      </c>
      <c r="F82" s="18">
        <f>+'Solar Report_Base'!F115</f>
        <v>463.29998779296875</v>
      </c>
      <c r="G82" s="18">
        <f>+'Solar Report_Base'!G115</f>
        <v>443.89999389648437</v>
      </c>
      <c r="H82" s="18">
        <f>+'Solar Report_Base'!H115</f>
        <v>488.79998779296875</v>
      </c>
      <c r="I82" s="18">
        <f>+'Solar Report_Base'!I115</f>
        <v>415</v>
      </c>
      <c r="J82" s="18">
        <f>+'Solar Report_Base'!J115</f>
        <v>345</v>
      </c>
      <c r="K82" s="18">
        <f>+'Solar Report_Base'!K115</f>
        <v>387.20001220703125</v>
      </c>
      <c r="L82" s="18">
        <f>+'Solar Report_Base'!L115</f>
        <v>251.39999389648438</v>
      </c>
      <c r="M82" s="18">
        <f>+'Solar Report_Base'!M115</f>
        <v>389.79998779296875</v>
      </c>
      <c r="N82" s="18">
        <f>+'Solar Report_Base'!N115</f>
        <v>408.89999389648437</v>
      </c>
      <c r="O82" s="18">
        <f>+'Solar Report_Base'!O115</f>
        <v>343.70001220703125</v>
      </c>
      <c r="P82" s="18">
        <f>+'Solar Report_Base'!P115</f>
        <v>264.20001220703125</v>
      </c>
      <c r="Q82" s="18">
        <f>+'Solar Report_Base'!Q115</f>
        <v>221.89999389648437</v>
      </c>
      <c r="R82" s="18">
        <f>+'Solar Report_Base'!R115</f>
        <v>0</v>
      </c>
      <c r="S82" s="191">
        <f>+'Solar Report_Base'!S115</f>
        <v>0</v>
      </c>
      <c r="T82" s="191">
        <f>+'Solar Report_Base'!T115</f>
        <v>0</v>
      </c>
      <c r="U82" s="191">
        <f>+'Solar Report_Base'!U115</f>
        <v>0</v>
      </c>
      <c r="V82" s="191">
        <f>+'Solar Report_Base'!V115</f>
        <v>0</v>
      </c>
      <c r="W82" s="191">
        <f>+'Solar Report_Base'!W115</f>
        <v>0</v>
      </c>
      <c r="X82" s="191">
        <f>+'Solar Report_Base'!X115</f>
        <v>0</v>
      </c>
      <c r="Y82" s="191">
        <f>+'Solar Report_Base'!Y115</f>
        <v>0</v>
      </c>
      <c r="Z82" s="191">
        <f>+'Solar Report_Base'!Z115</f>
        <v>0</v>
      </c>
      <c r="AA82" s="191">
        <f>+'Solar Report_Base'!AA115</f>
        <v>0</v>
      </c>
      <c r="AB82" s="191">
        <f>+'Solar Report_Base'!AB115</f>
        <v>0</v>
      </c>
      <c r="AC82" s="191">
        <f>+'Solar Report_Base'!AC115</f>
        <v>0</v>
      </c>
      <c r="AD82" s="191">
        <f>+'Solar Report_Base'!AD115</f>
        <v>0</v>
      </c>
      <c r="AE82" s="191">
        <f>+'Solar Report_Base'!AE115</f>
        <v>0</v>
      </c>
      <c r="AF82" s="191">
        <f>+'Solar Report_Base'!AF115</f>
        <v>0</v>
      </c>
      <c r="AG82" s="191">
        <f>+'Solar Report_Base'!AG115</f>
        <v>0</v>
      </c>
      <c r="AH82" s="191">
        <f>+'Solar Report_Base'!AH115</f>
        <v>0</v>
      </c>
      <c r="AI82" s="23">
        <f>SUM(D82:AH82)</f>
        <v>5343.8999633789062</v>
      </c>
    </row>
    <row r="83" spans="1:35" x14ac:dyDescent="0.25">
      <c r="B83" s="21" t="s">
        <v>7</v>
      </c>
      <c r="C83" s="1" t="s">
        <v>6</v>
      </c>
      <c r="D83" s="18">
        <f>+'Solar Report_Base'!D116</f>
        <v>496.39999389648437</v>
      </c>
      <c r="E83" s="18">
        <f>+'Solar Report_Base'!E116</f>
        <v>409.70001220703125</v>
      </c>
      <c r="F83" s="18">
        <f>+'Solar Report_Base'!F116</f>
        <v>467.10000610351562</v>
      </c>
      <c r="G83" s="18">
        <f>+'Solar Report_Base'!G116</f>
        <v>454.20001220703125</v>
      </c>
      <c r="H83" s="18">
        <f>+'Solar Report_Base'!H116</f>
        <v>491.60000610351562</v>
      </c>
      <c r="I83" s="18">
        <f>+'Solar Report_Base'!I116</f>
        <v>410</v>
      </c>
      <c r="J83" s="18">
        <f>+'Solar Report_Base'!J116</f>
        <v>337</v>
      </c>
      <c r="K83" s="18">
        <f>+'Solar Report_Base'!K116</f>
        <v>390.89999389648437</v>
      </c>
      <c r="L83" s="18">
        <f>+'Solar Report_Base'!L116</f>
        <v>227.60000610351562</v>
      </c>
      <c r="M83" s="18">
        <f>+'Solar Report_Base'!M116</f>
        <v>379.29998779296875</v>
      </c>
      <c r="N83" s="18">
        <f>+'Solar Report_Base'!N116</f>
        <v>425.10000610351562</v>
      </c>
      <c r="O83" s="18">
        <f>+'Solar Report_Base'!O116</f>
        <v>350.5</v>
      </c>
      <c r="P83" s="18">
        <f>+'Solar Report_Base'!P116</f>
        <v>267.10000610351562</v>
      </c>
      <c r="Q83" s="18">
        <f>+'Solar Report_Base'!Q116</f>
        <v>224.80000305175781</v>
      </c>
      <c r="R83" s="18">
        <f>+'Solar Report_Base'!R116</f>
        <v>0</v>
      </c>
      <c r="S83" s="191">
        <f>+'Solar Report_Base'!S116</f>
        <v>0</v>
      </c>
      <c r="T83" s="191">
        <f>+'Solar Report_Base'!T116</f>
        <v>0</v>
      </c>
      <c r="U83" s="191">
        <f>+'Solar Report_Base'!U116</f>
        <v>0</v>
      </c>
      <c r="V83" s="191">
        <f>+'Solar Report_Base'!V116</f>
        <v>0</v>
      </c>
      <c r="W83" s="191">
        <f>+'Solar Report_Base'!W116</f>
        <v>0</v>
      </c>
      <c r="X83" s="191">
        <f>+'Solar Report_Base'!X116</f>
        <v>0</v>
      </c>
      <c r="Y83" s="191">
        <f>+'Solar Report_Base'!Y116</f>
        <v>0</v>
      </c>
      <c r="Z83" s="191">
        <f>+'Solar Report_Base'!Z116</f>
        <v>0</v>
      </c>
      <c r="AA83" s="191">
        <f>+'Solar Report_Base'!AA116</f>
        <v>0</v>
      </c>
      <c r="AB83" s="191">
        <f>+'Solar Report_Base'!AB116</f>
        <v>0</v>
      </c>
      <c r="AC83" s="191">
        <f>+'Solar Report_Base'!AC116</f>
        <v>0</v>
      </c>
      <c r="AD83" s="191">
        <f>+'Solar Report_Base'!AD116</f>
        <v>0</v>
      </c>
      <c r="AE83" s="191">
        <f>+'Solar Report_Base'!AE116</f>
        <v>0</v>
      </c>
      <c r="AF83" s="191">
        <f>+'Solar Report_Base'!AF116</f>
        <v>0</v>
      </c>
      <c r="AG83" s="191">
        <f>+'Solar Report_Base'!AG116</f>
        <v>0</v>
      </c>
      <c r="AH83" s="191">
        <f>+'Solar Report_Base'!AH116</f>
        <v>0</v>
      </c>
      <c r="AI83" s="23">
        <f t="shared" ref="AI83:AI100" si="3">SUM(D83:AH83)</f>
        <v>5331.3000335693359</v>
      </c>
    </row>
    <row r="84" spans="1:35" x14ac:dyDescent="0.25">
      <c r="B84" s="21" t="s">
        <v>8</v>
      </c>
      <c r="C84" s="1" t="s">
        <v>6</v>
      </c>
      <c r="D84" s="18">
        <f>+'Solar Report_Base'!D117</f>
        <v>503.89999389648437</v>
      </c>
      <c r="E84" s="18">
        <f>+'Solar Report_Base'!E117</f>
        <v>411.60000610351562</v>
      </c>
      <c r="F84" s="18">
        <f>+'Solar Report_Base'!F117</f>
        <v>464.5</v>
      </c>
      <c r="G84" s="18">
        <f>+'Solar Report_Base'!G117</f>
        <v>447</v>
      </c>
      <c r="H84" s="18">
        <f>+'Solar Report_Base'!H117</f>
        <v>484.29998779296875</v>
      </c>
      <c r="I84" s="18">
        <f>+'Solar Report_Base'!I117</f>
        <v>414</v>
      </c>
      <c r="J84" s="18">
        <f>+'Solar Report_Base'!J117</f>
        <v>345</v>
      </c>
      <c r="K84" s="18">
        <f>+'Solar Report_Base'!K117</f>
        <v>383.5</v>
      </c>
      <c r="L84" s="18">
        <f>+'Solar Report_Base'!L117</f>
        <v>228.30000305175781</v>
      </c>
      <c r="M84" s="18">
        <f>+'Solar Report_Base'!M117</f>
        <v>388.5</v>
      </c>
      <c r="N84" s="18">
        <f>+'Solar Report_Base'!N117</f>
        <v>405.20001220703125</v>
      </c>
      <c r="O84" s="18">
        <f>+'Solar Report_Base'!O117</f>
        <v>343.10000610351562</v>
      </c>
      <c r="P84" s="18">
        <f>+'Solar Report_Base'!P117</f>
        <v>262.39999389648438</v>
      </c>
      <c r="Q84" s="18">
        <f>+'Solar Report_Base'!Q117</f>
        <v>221.30000305175781</v>
      </c>
      <c r="R84" s="18">
        <f>+'Solar Report_Base'!R117</f>
        <v>0</v>
      </c>
      <c r="S84" s="191">
        <f>+'Solar Report_Base'!S117</f>
        <v>0</v>
      </c>
      <c r="T84" s="191">
        <f>+'Solar Report_Base'!T117</f>
        <v>0</v>
      </c>
      <c r="U84" s="191">
        <f>+'Solar Report_Base'!U117</f>
        <v>0</v>
      </c>
      <c r="V84" s="191">
        <f>+'Solar Report_Base'!V117</f>
        <v>0</v>
      </c>
      <c r="W84" s="191">
        <f>+'Solar Report_Base'!W117</f>
        <v>0</v>
      </c>
      <c r="X84" s="191">
        <f>+'Solar Report_Base'!X117</f>
        <v>0</v>
      </c>
      <c r="Y84" s="191">
        <f>+'Solar Report_Base'!Y117</f>
        <v>0</v>
      </c>
      <c r="Z84" s="191">
        <f>+'Solar Report_Base'!Z117</f>
        <v>0</v>
      </c>
      <c r="AA84" s="191">
        <f>+'Solar Report_Base'!AA117</f>
        <v>0</v>
      </c>
      <c r="AB84" s="191">
        <f>+'Solar Report_Base'!AB117</f>
        <v>0</v>
      </c>
      <c r="AC84" s="191">
        <f>+'Solar Report_Base'!AC117</f>
        <v>0</v>
      </c>
      <c r="AD84" s="191">
        <f>+'Solar Report_Base'!AD117</f>
        <v>0</v>
      </c>
      <c r="AE84" s="191">
        <f>+'Solar Report_Base'!AE117</f>
        <v>0</v>
      </c>
      <c r="AF84" s="191">
        <f>+'Solar Report_Base'!AF117</f>
        <v>0</v>
      </c>
      <c r="AG84" s="191">
        <f>+'Solar Report_Base'!AG117</f>
        <v>0</v>
      </c>
      <c r="AH84" s="191">
        <f>+'Solar Report_Base'!AH117</f>
        <v>0</v>
      </c>
      <c r="AI84" s="23">
        <f t="shared" si="3"/>
        <v>5302.6000061035156</v>
      </c>
    </row>
    <row r="85" spans="1:35" x14ac:dyDescent="0.25">
      <c r="B85" s="21" t="s">
        <v>9</v>
      </c>
      <c r="C85" s="1" t="s">
        <v>6</v>
      </c>
      <c r="D85" s="18">
        <f>+'Solar Report_Base'!D118</f>
        <v>502.70001220703125</v>
      </c>
      <c r="E85" s="18">
        <f>+'Solar Report_Base'!E118</f>
        <v>417.70001220703125</v>
      </c>
      <c r="F85" s="18">
        <f>+'Solar Report_Base'!F118</f>
        <v>471.10000610351562</v>
      </c>
      <c r="G85" s="18">
        <f>+'Solar Report_Base'!G118</f>
        <v>443.89999389648437</v>
      </c>
      <c r="H85" s="18">
        <f>+'Solar Report_Base'!H118</f>
        <v>479.70001220703125</v>
      </c>
      <c r="I85" s="18">
        <f>+'Solar Report_Base'!I118</f>
        <v>403</v>
      </c>
      <c r="J85" s="18">
        <f>+'Solar Report_Base'!J118</f>
        <v>335</v>
      </c>
      <c r="K85" s="18">
        <f>+'Solar Report_Base'!K118</f>
        <v>394</v>
      </c>
      <c r="L85" s="18">
        <f>+'Solar Report_Base'!L118</f>
        <v>243.60000610351562</v>
      </c>
      <c r="M85" s="18">
        <f>+'Solar Report_Base'!M118</f>
        <v>395.89999389648438</v>
      </c>
      <c r="N85" s="18">
        <f>+'Solar Report_Base'!N118</f>
        <v>403.10000610351562</v>
      </c>
      <c r="O85" s="18">
        <f>+'Solar Report_Base'!O118</f>
        <v>352.89999389648437</v>
      </c>
      <c r="P85" s="18">
        <f>+'Solar Report_Base'!P118</f>
        <v>270</v>
      </c>
      <c r="Q85" s="18">
        <f>+'Solar Report_Base'!Q118</f>
        <v>226.5</v>
      </c>
      <c r="R85" s="18">
        <f>+'Solar Report_Base'!R118</f>
        <v>0</v>
      </c>
      <c r="S85" s="191">
        <f>+'Solar Report_Base'!S118</f>
        <v>0</v>
      </c>
      <c r="T85" s="191">
        <f>+'Solar Report_Base'!T118</f>
        <v>0</v>
      </c>
      <c r="U85" s="191">
        <f>+'Solar Report_Base'!U118</f>
        <v>0</v>
      </c>
      <c r="V85" s="191">
        <f>+'Solar Report_Base'!V118</f>
        <v>0</v>
      </c>
      <c r="W85" s="191">
        <f>+'Solar Report_Base'!W118</f>
        <v>0</v>
      </c>
      <c r="X85" s="191">
        <f>+'Solar Report_Base'!X118</f>
        <v>0</v>
      </c>
      <c r="Y85" s="191">
        <f>+'Solar Report_Base'!Y118</f>
        <v>0</v>
      </c>
      <c r="Z85" s="191">
        <f>+'Solar Report_Base'!Z118</f>
        <v>0</v>
      </c>
      <c r="AA85" s="191">
        <f>+'Solar Report_Base'!AA118</f>
        <v>0</v>
      </c>
      <c r="AB85" s="191">
        <f>+'Solar Report_Base'!AB118</f>
        <v>0</v>
      </c>
      <c r="AC85" s="191">
        <f>+'Solar Report_Base'!AC118</f>
        <v>0</v>
      </c>
      <c r="AD85" s="191">
        <f>+'Solar Report_Base'!AD118</f>
        <v>0</v>
      </c>
      <c r="AE85" s="191">
        <f>+'Solar Report_Base'!AE118</f>
        <v>0</v>
      </c>
      <c r="AF85" s="191">
        <f>+'Solar Report_Base'!AF118</f>
        <v>0</v>
      </c>
      <c r="AG85" s="191">
        <f>+'Solar Report_Base'!AG118</f>
        <v>0</v>
      </c>
      <c r="AH85" s="191">
        <f>+'Solar Report_Base'!AH118</f>
        <v>0</v>
      </c>
      <c r="AI85" s="23">
        <f t="shared" si="3"/>
        <v>5339.1000366210937</v>
      </c>
    </row>
    <row r="86" spans="1:35" x14ac:dyDescent="0.25">
      <c r="B86" s="21" t="s">
        <v>10</v>
      </c>
      <c r="C86" s="1" t="s">
        <v>6</v>
      </c>
      <c r="D86" s="18">
        <f>+'Solar Report_Base'!D119</f>
        <v>508.20001220703125</v>
      </c>
      <c r="E86" s="18">
        <f>+'Solar Report_Base'!E119</f>
        <v>425.70001220703125</v>
      </c>
      <c r="F86" s="18">
        <f>+'Solar Report_Base'!F119</f>
        <v>488.5</v>
      </c>
      <c r="G86" s="18">
        <f>+'Solar Report_Base'!G119</f>
        <v>471.29998779296875</v>
      </c>
      <c r="H86" s="18">
        <f>+'Solar Report_Base'!H119</f>
        <v>497.89999389648437</v>
      </c>
      <c r="I86" s="18">
        <f>+'Solar Report_Base'!I119</f>
        <v>397</v>
      </c>
      <c r="J86" s="18">
        <f>+'Solar Report_Base'!J119</f>
        <v>335</v>
      </c>
      <c r="K86" s="18">
        <f>+'Solar Report_Base'!K119</f>
        <v>379.20001220703125</v>
      </c>
      <c r="L86" s="18">
        <f>+'Solar Report_Base'!L119</f>
        <v>230.69999694824219</v>
      </c>
      <c r="M86" s="18">
        <f>+'Solar Report_Base'!M119</f>
        <v>405.79998779296875</v>
      </c>
      <c r="N86" s="18">
        <f>+'Solar Report_Base'!N119</f>
        <v>430</v>
      </c>
      <c r="O86" s="18">
        <f>+'Solar Report_Base'!O119</f>
        <v>364.10000610351562</v>
      </c>
      <c r="P86" s="18">
        <f>+'Solar Report_Base'!P119</f>
        <v>272.39999389648437</v>
      </c>
      <c r="Q86" s="18">
        <f>+'Solar Report_Base'!Q119</f>
        <v>229.19999694824219</v>
      </c>
      <c r="R86" s="18">
        <f>+'Solar Report_Base'!R119</f>
        <v>0</v>
      </c>
      <c r="S86" s="191">
        <f>+'Solar Report_Base'!S119</f>
        <v>0</v>
      </c>
      <c r="T86" s="191">
        <f>+'Solar Report_Base'!T119</f>
        <v>0</v>
      </c>
      <c r="U86" s="191">
        <f>+'Solar Report_Base'!U119</f>
        <v>0</v>
      </c>
      <c r="V86" s="191">
        <f>+'Solar Report_Base'!V119</f>
        <v>0</v>
      </c>
      <c r="W86" s="191">
        <f>+'Solar Report_Base'!W119</f>
        <v>0</v>
      </c>
      <c r="X86" s="191">
        <f>+'Solar Report_Base'!X119</f>
        <v>0</v>
      </c>
      <c r="Y86" s="191">
        <f>+'Solar Report_Base'!Y119</f>
        <v>0</v>
      </c>
      <c r="Z86" s="191">
        <f>+'Solar Report_Base'!Z119</f>
        <v>0</v>
      </c>
      <c r="AA86" s="191">
        <f>+'Solar Report_Base'!AA119</f>
        <v>0</v>
      </c>
      <c r="AB86" s="191">
        <f>+'Solar Report_Base'!AB119</f>
        <v>0</v>
      </c>
      <c r="AC86" s="191">
        <f>+'Solar Report_Base'!AC119</f>
        <v>0</v>
      </c>
      <c r="AD86" s="191">
        <f>+'Solar Report_Base'!AD119</f>
        <v>0</v>
      </c>
      <c r="AE86" s="191">
        <f>+'Solar Report_Base'!AE119</f>
        <v>0</v>
      </c>
      <c r="AF86" s="191">
        <f>+'Solar Report_Base'!AF119</f>
        <v>0</v>
      </c>
      <c r="AG86" s="191">
        <f>+'Solar Report_Base'!AG119</f>
        <v>0</v>
      </c>
      <c r="AH86" s="191">
        <f>+'Solar Report_Base'!AH119</f>
        <v>0</v>
      </c>
      <c r="AI86" s="23">
        <f t="shared" si="3"/>
        <v>5435</v>
      </c>
    </row>
    <row r="87" spans="1:35" x14ac:dyDescent="0.25">
      <c r="B87" s="21" t="s">
        <v>11</v>
      </c>
      <c r="C87" s="1" t="s">
        <v>6</v>
      </c>
      <c r="D87" s="18">
        <f>+'Solar Report_Base'!D120</f>
        <v>507.20001220703125</v>
      </c>
      <c r="E87" s="18">
        <f>+'Solar Report_Base'!E120</f>
        <v>423.60000610351562</v>
      </c>
      <c r="F87" s="18">
        <f>+'Solar Report_Base'!F120</f>
        <v>484</v>
      </c>
      <c r="G87" s="18">
        <f>+'Solar Report_Base'!G120</f>
        <v>466.20001220703125</v>
      </c>
      <c r="H87" s="18">
        <v>0</v>
      </c>
      <c r="I87" s="18">
        <v>0</v>
      </c>
      <c r="J87" s="18">
        <f>+'Solar Report_Base'!J120</f>
        <v>342</v>
      </c>
      <c r="K87" s="18">
        <f>+'Solar Report_Base'!K120</f>
        <v>390.20001220703125</v>
      </c>
      <c r="L87" s="18">
        <f>+'Solar Report_Base'!L120</f>
        <v>252.69999694824219</v>
      </c>
      <c r="M87" s="18">
        <f>+'Solar Report_Base'!M120</f>
        <v>386.60000610351562</v>
      </c>
      <c r="N87" s="18">
        <f>+'Solar Report_Base'!N120</f>
        <v>404.89999389648437</v>
      </c>
      <c r="O87" s="18">
        <f>+'Solar Report_Base'!O120</f>
        <v>338.5</v>
      </c>
      <c r="P87" s="18">
        <f>+'Solar Report_Base'!P120</f>
        <v>257.20001220703125</v>
      </c>
      <c r="Q87" s="18">
        <f>+'Solar Report_Base'!Q120</f>
        <v>218.30000305175781</v>
      </c>
      <c r="R87" s="18">
        <f>+'Solar Report_Base'!R120</f>
        <v>0</v>
      </c>
      <c r="S87" s="191">
        <f>+'Solar Report_Base'!S120</f>
        <v>0</v>
      </c>
      <c r="T87" s="191">
        <f>+'Solar Report_Base'!T120</f>
        <v>0</v>
      </c>
      <c r="U87" s="191">
        <f>+'Solar Report_Base'!U120</f>
        <v>0</v>
      </c>
      <c r="V87" s="191">
        <f>+'Solar Report_Base'!V120</f>
        <v>0</v>
      </c>
      <c r="W87" s="191">
        <f>+'Solar Report_Base'!W120</f>
        <v>0</v>
      </c>
      <c r="X87" s="191">
        <f>+'Solar Report_Base'!X120</f>
        <v>0</v>
      </c>
      <c r="Y87" s="191">
        <f>+'Solar Report_Base'!Y120</f>
        <v>0</v>
      </c>
      <c r="Z87" s="191">
        <f>+'Solar Report_Base'!Z120</f>
        <v>0</v>
      </c>
      <c r="AA87" s="191">
        <f>+'Solar Report_Base'!AA120</f>
        <v>0</v>
      </c>
      <c r="AB87" s="191">
        <f>+'Solar Report_Base'!AB120</f>
        <v>0</v>
      </c>
      <c r="AC87" s="191">
        <f>+'Solar Report_Base'!AC120</f>
        <v>0</v>
      </c>
      <c r="AD87" s="191">
        <f>+'Solar Report_Base'!AD120</f>
        <v>0</v>
      </c>
      <c r="AE87" s="191">
        <f>+'Solar Report_Base'!AE120</f>
        <v>0</v>
      </c>
      <c r="AF87" s="191">
        <f>+'Solar Report_Base'!AF120</f>
        <v>0</v>
      </c>
      <c r="AG87" s="191">
        <f>+'Solar Report_Base'!AG120</f>
        <v>0</v>
      </c>
      <c r="AH87" s="191">
        <f>+'Solar Report_Base'!AH120</f>
        <v>0</v>
      </c>
      <c r="AI87" s="23">
        <f t="shared" si="3"/>
        <v>4471.4000549316406</v>
      </c>
    </row>
    <row r="88" spans="1:35" x14ac:dyDescent="0.25">
      <c r="B88" s="21" t="s">
        <v>12</v>
      </c>
      <c r="C88" s="1" t="s">
        <v>6</v>
      </c>
      <c r="D88" s="18">
        <f>+'Solar Report_Base'!D121</f>
        <v>500.70001220703125</v>
      </c>
      <c r="E88" s="18">
        <f>+'Solar Report_Base'!E121</f>
        <v>405.5</v>
      </c>
      <c r="F88" s="18">
        <f>+'Solar Report_Base'!F121</f>
        <v>469.20001220703125</v>
      </c>
      <c r="G88" s="18">
        <f>+'Solar Report_Base'!G121</f>
        <v>448.29998779296875</v>
      </c>
      <c r="H88" s="18">
        <f>+'Solar Report_Base'!H121</f>
        <v>485.79998779296875</v>
      </c>
      <c r="I88" s="18">
        <f>+'Solar Report_Base'!I121</f>
        <v>394</v>
      </c>
      <c r="J88" s="18">
        <f>+'Solar Report_Base'!J121</f>
        <v>333</v>
      </c>
      <c r="K88" s="18">
        <f>+'Solar Report_Base'!K121</f>
        <v>406.5</v>
      </c>
      <c r="L88" s="18">
        <f>+'Solar Report_Base'!L121</f>
        <v>234.39999389648437</v>
      </c>
      <c r="M88" s="18">
        <f>+'Solar Report_Base'!M121</f>
        <v>385</v>
      </c>
      <c r="N88" s="18">
        <f>+'Solar Report_Base'!N121</f>
        <v>403.29998779296875</v>
      </c>
      <c r="O88" s="18">
        <f>+'Solar Report_Base'!O121</f>
        <v>348.10000610351562</v>
      </c>
      <c r="P88" s="18">
        <f>+'Solar Report_Base'!P121</f>
        <v>265.29998779296875</v>
      </c>
      <c r="Q88" s="18">
        <f>+'Solar Report_Base'!Q121</f>
        <v>223.60000610351562</v>
      </c>
      <c r="R88" s="18">
        <f>+'Solar Report_Base'!R121</f>
        <v>0</v>
      </c>
      <c r="S88" s="191">
        <f>+'Solar Report_Base'!S121</f>
        <v>0</v>
      </c>
      <c r="T88" s="191">
        <f>+'Solar Report_Base'!T121</f>
        <v>0</v>
      </c>
      <c r="U88" s="191">
        <f>+'Solar Report_Base'!U121</f>
        <v>0</v>
      </c>
      <c r="V88" s="191">
        <f>+'Solar Report_Base'!V121</f>
        <v>0</v>
      </c>
      <c r="W88" s="191">
        <f>+'Solar Report_Base'!W121</f>
        <v>0</v>
      </c>
      <c r="X88" s="191">
        <f>+'Solar Report_Base'!X121</f>
        <v>0</v>
      </c>
      <c r="Y88" s="191">
        <f>+'Solar Report_Base'!Y121</f>
        <v>0</v>
      </c>
      <c r="Z88" s="191">
        <f>+'Solar Report_Base'!Z121</f>
        <v>0</v>
      </c>
      <c r="AA88" s="191">
        <f>+'Solar Report_Base'!AA121</f>
        <v>0</v>
      </c>
      <c r="AB88" s="191">
        <f>+'Solar Report_Base'!AB121</f>
        <v>0</v>
      </c>
      <c r="AC88" s="191">
        <f>+'Solar Report_Base'!AC121</f>
        <v>0</v>
      </c>
      <c r="AD88" s="191">
        <f>+'Solar Report_Base'!AD121</f>
        <v>0</v>
      </c>
      <c r="AE88" s="191">
        <f>+'Solar Report_Base'!AE121</f>
        <v>0</v>
      </c>
      <c r="AF88" s="191">
        <f>+'Solar Report_Base'!AF121</f>
        <v>0</v>
      </c>
      <c r="AG88" s="191">
        <f>+'Solar Report_Base'!AG121</f>
        <v>0</v>
      </c>
      <c r="AH88" s="191">
        <f>+'Solar Report_Base'!AH121</f>
        <v>0</v>
      </c>
      <c r="AI88" s="23">
        <f t="shared" si="3"/>
        <v>5302.6999816894531</v>
      </c>
    </row>
    <row r="89" spans="1:35" x14ac:dyDescent="0.25">
      <c r="B89" s="21" t="s">
        <v>13</v>
      </c>
      <c r="C89" s="1" t="s">
        <v>6</v>
      </c>
      <c r="D89" s="18">
        <f>+'Solar Report_Base'!D122</f>
        <v>498.5</v>
      </c>
      <c r="E89" s="18">
        <f>+'Solar Report_Base'!E122</f>
        <v>410.10000610351562</v>
      </c>
      <c r="F89" s="18">
        <f>+'Solar Report_Base'!F122</f>
        <v>481.79998779296875</v>
      </c>
      <c r="G89" s="18">
        <f>+'Solar Report_Base'!G122</f>
        <v>472.5</v>
      </c>
      <c r="H89" s="18">
        <f>+'Solar Report_Base'!H122</f>
        <v>502.89999389648437</v>
      </c>
      <c r="I89" s="18">
        <f>+'Solar Report_Base'!I122</f>
        <v>408</v>
      </c>
      <c r="J89" s="18">
        <f>+'Solar Report_Base'!J122</f>
        <v>341</v>
      </c>
      <c r="K89" s="18">
        <f>+'Solar Report_Base'!K122</f>
        <v>394.39999389648437</v>
      </c>
      <c r="L89" s="18">
        <f>+'Solar Report_Base'!L122</f>
        <v>224.69999694824219</v>
      </c>
      <c r="M89" s="18">
        <f>+'Solar Report_Base'!M122</f>
        <v>398.70001220703125</v>
      </c>
      <c r="N89" s="18">
        <f>+'Solar Report_Base'!N122</f>
        <v>408.39999389648437</v>
      </c>
      <c r="O89" s="18">
        <f>+'Solar Report_Base'!O122</f>
        <v>345.20001220703125</v>
      </c>
      <c r="P89" s="18">
        <f>+'Solar Report_Base'!P122</f>
        <v>260.89999389648437</v>
      </c>
      <c r="Q89" s="18">
        <f>+'Solar Report_Base'!Q122</f>
        <v>220.39999389648437</v>
      </c>
      <c r="R89" s="18">
        <f>+'Solar Report_Base'!R122</f>
        <v>0</v>
      </c>
      <c r="S89" s="191">
        <f>+'Solar Report_Base'!S122</f>
        <v>0</v>
      </c>
      <c r="T89" s="191">
        <f>+'Solar Report_Base'!T122</f>
        <v>0</v>
      </c>
      <c r="U89" s="191">
        <f>+'Solar Report_Base'!U122</f>
        <v>0</v>
      </c>
      <c r="V89" s="191">
        <f>+'Solar Report_Base'!V122</f>
        <v>0</v>
      </c>
      <c r="W89" s="191">
        <f>+'Solar Report_Base'!W122</f>
        <v>0</v>
      </c>
      <c r="X89" s="191">
        <f>+'Solar Report_Base'!X122</f>
        <v>0</v>
      </c>
      <c r="Y89" s="191">
        <f>+'Solar Report_Base'!Y122</f>
        <v>0</v>
      </c>
      <c r="Z89" s="191">
        <f>+'Solar Report_Base'!Z122</f>
        <v>0</v>
      </c>
      <c r="AA89" s="191">
        <f>+'Solar Report_Base'!AA122</f>
        <v>0</v>
      </c>
      <c r="AB89" s="191">
        <f>+'Solar Report_Base'!AB122</f>
        <v>0</v>
      </c>
      <c r="AC89" s="191">
        <f>+'Solar Report_Base'!AC122</f>
        <v>0</v>
      </c>
      <c r="AD89" s="191">
        <f>+'Solar Report_Base'!AD122</f>
        <v>0</v>
      </c>
      <c r="AE89" s="191">
        <f>+'Solar Report_Base'!AE122</f>
        <v>0</v>
      </c>
      <c r="AF89" s="191">
        <f>+'Solar Report_Base'!AF122</f>
        <v>0</v>
      </c>
      <c r="AG89" s="191">
        <f>+'Solar Report_Base'!AG122</f>
        <v>0</v>
      </c>
      <c r="AH89" s="191">
        <f>+'Solar Report_Base'!AH122</f>
        <v>0</v>
      </c>
      <c r="AI89" s="23">
        <f t="shared" si="3"/>
        <v>5367.4999847412109</v>
      </c>
    </row>
    <row r="90" spans="1:35" x14ac:dyDescent="0.25">
      <c r="B90" s="21" t="s">
        <v>14</v>
      </c>
      <c r="C90" s="1" t="s">
        <v>6</v>
      </c>
      <c r="D90" s="18">
        <f>+'Solar Report_Base'!D123</f>
        <v>508.29998779296875</v>
      </c>
      <c r="E90" s="18">
        <f>+'Solar Report_Base'!E123</f>
        <v>424.20001220703125</v>
      </c>
      <c r="F90" s="18">
        <f>+'Solar Report_Base'!F123</f>
        <v>489</v>
      </c>
      <c r="G90" s="18">
        <f>+'Solar Report_Base'!G123</f>
        <v>473.79998779296875</v>
      </c>
      <c r="H90" s="18">
        <f>+'Solar Report_Base'!H123</f>
        <v>504.29998779296875</v>
      </c>
      <c r="I90" s="18">
        <f>+'Solar Report_Base'!I123</f>
        <v>414</v>
      </c>
      <c r="J90" s="18">
        <f>+'Solar Report_Base'!J123</f>
        <v>342</v>
      </c>
      <c r="K90" s="18">
        <f>+'Solar Report_Base'!K123</f>
        <v>386.20001220703125</v>
      </c>
      <c r="L90" s="18">
        <f>+'Solar Report_Base'!L123</f>
        <v>240.30000305175781</v>
      </c>
      <c r="M90" s="18">
        <f>+'Solar Report_Base'!M123</f>
        <v>396.10000610351562</v>
      </c>
      <c r="N90" s="18">
        <f>+'Solar Report_Base'!N123</f>
        <v>412.70001220703125</v>
      </c>
      <c r="O90" s="18">
        <f>+'Solar Report_Base'!O123</f>
        <v>343.79998779296875</v>
      </c>
      <c r="P90" s="18">
        <f>+'Solar Report_Base'!P123</f>
        <v>258.60000610351562</v>
      </c>
      <c r="Q90" s="18">
        <f>+'Solar Report_Base'!Q123</f>
        <v>224.60000610351562</v>
      </c>
      <c r="R90" s="18">
        <f>+'Solar Report_Base'!R123</f>
        <v>0</v>
      </c>
      <c r="S90" s="191">
        <f>+'Solar Report_Base'!S123</f>
        <v>0</v>
      </c>
      <c r="T90" s="191">
        <f>+'Solar Report_Base'!T123</f>
        <v>0</v>
      </c>
      <c r="U90" s="191">
        <f>+'Solar Report_Base'!U123</f>
        <v>0</v>
      </c>
      <c r="V90" s="191">
        <f>+'Solar Report_Base'!V123</f>
        <v>0</v>
      </c>
      <c r="W90" s="191">
        <f>+'Solar Report_Base'!W123</f>
        <v>0</v>
      </c>
      <c r="X90" s="191">
        <f>+'Solar Report_Base'!X123</f>
        <v>0</v>
      </c>
      <c r="Y90" s="191">
        <f>+'Solar Report_Base'!Y123</f>
        <v>0</v>
      </c>
      <c r="Z90" s="191">
        <f>+'Solar Report_Base'!Z123</f>
        <v>0</v>
      </c>
      <c r="AA90" s="191">
        <f>+'Solar Report_Base'!AA123</f>
        <v>0</v>
      </c>
      <c r="AB90" s="191">
        <f>+'Solar Report_Base'!AB123</f>
        <v>0</v>
      </c>
      <c r="AC90" s="191">
        <f>+'Solar Report_Base'!AC123</f>
        <v>0</v>
      </c>
      <c r="AD90" s="191">
        <f>+'Solar Report_Base'!AD123</f>
        <v>0</v>
      </c>
      <c r="AE90" s="191">
        <f>+'Solar Report_Base'!AE123</f>
        <v>0</v>
      </c>
      <c r="AF90" s="191">
        <f>+'Solar Report_Base'!AF123</f>
        <v>0</v>
      </c>
      <c r="AG90" s="191">
        <f>+'Solar Report_Base'!AG123</f>
        <v>0</v>
      </c>
      <c r="AH90" s="191">
        <f>+'Solar Report_Base'!AH123</f>
        <v>0</v>
      </c>
      <c r="AI90" s="23">
        <f t="shared" si="3"/>
        <v>5417.9000091552734</v>
      </c>
    </row>
    <row r="91" spans="1:35" x14ac:dyDescent="0.25">
      <c r="B91" s="21" t="s">
        <v>15</v>
      </c>
      <c r="C91" s="1" t="s">
        <v>6</v>
      </c>
      <c r="D91" s="18">
        <f>+'Solar Report_Base'!D124</f>
        <v>502.60000610351562</v>
      </c>
      <c r="E91" s="18">
        <f>+'Solar Report_Base'!E124</f>
        <v>426.70001220703125</v>
      </c>
      <c r="F91" s="18">
        <f>+'Solar Report_Base'!F124</f>
        <v>491.60000610351562</v>
      </c>
      <c r="G91" s="18">
        <f>+'Solar Report_Base'!G124</f>
        <v>474.70001220703125</v>
      </c>
      <c r="H91" s="18">
        <f>+'Solar Report_Base'!H124</f>
        <v>508.60000610351562</v>
      </c>
      <c r="I91" s="18">
        <f>+'Solar Report_Base'!I124</f>
        <v>423</v>
      </c>
      <c r="J91" s="18">
        <f>+'Solar Report_Base'!J124</f>
        <v>352</v>
      </c>
      <c r="K91" s="18">
        <f>+'Solar Report_Base'!K124</f>
        <v>395.79998779296875</v>
      </c>
      <c r="L91" s="18">
        <f>+'Solar Report_Base'!L124</f>
        <v>248.39999389648437</v>
      </c>
      <c r="M91" s="18">
        <f>+'Solar Report_Base'!M124</f>
        <v>395.5</v>
      </c>
      <c r="N91" s="18">
        <f>+'Solar Report_Base'!N124</f>
        <v>406.79998779296875</v>
      </c>
      <c r="O91" s="18">
        <f>+'Solar Report_Base'!O124</f>
        <v>349.29998779296875</v>
      </c>
      <c r="P91" s="18">
        <f>+'Solar Report_Base'!P124</f>
        <v>262.79998779296875</v>
      </c>
      <c r="Q91" s="18">
        <f>+'Solar Report_Base'!Q124</f>
        <v>223.80000305175781</v>
      </c>
      <c r="R91" s="18">
        <f>+'Solar Report_Base'!R124</f>
        <v>0</v>
      </c>
      <c r="S91" s="191">
        <f>+'Solar Report_Base'!S124</f>
        <v>0</v>
      </c>
      <c r="T91" s="191">
        <f>+'Solar Report_Base'!T124</f>
        <v>0</v>
      </c>
      <c r="U91" s="191">
        <f>+'Solar Report_Base'!U124</f>
        <v>0</v>
      </c>
      <c r="V91" s="191">
        <f>+'Solar Report_Base'!V124</f>
        <v>0</v>
      </c>
      <c r="W91" s="191">
        <f>+'Solar Report_Base'!W124</f>
        <v>0</v>
      </c>
      <c r="X91" s="191">
        <f>+'Solar Report_Base'!X124</f>
        <v>0</v>
      </c>
      <c r="Y91" s="191">
        <f>+'Solar Report_Base'!Y124</f>
        <v>0</v>
      </c>
      <c r="Z91" s="191">
        <f>+'Solar Report_Base'!Z124</f>
        <v>0</v>
      </c>
      <c r="AA91" s="191">
        <f>+'Solar Report_Base'!AA124</f>
        <v>0</v>
      </c>
      <c r="AB91" s="191">
        <f>+'Solar Report_Base'!AB124</f>
        <v>0</v>
      </c>
      <c r="AC91" s="191">
        <f>+'Solar Report_Base'!AC124</f>
        <v>0</v>
      </c>
      <c r="AD91" s="191">
        <f>+'Solar Report_Base'!AD124</f>
        <v>0</v>
      </c>
      <c r="AE91" s="191">
        <f>+'Solar Report_Base'!AE124</f>
        <v>0</v>
      </c>
      <c r="AF91" s="191">
        <f>+'Solar Report_Base'!AF124</f>
        <v>0</v>
      </c>
      <c r="AG91" s="191">
        <f>+'Solar Report_Base'!AG124</f>
        <v>0</v>
      </c>
      <c r="AH91" s="191">
        <f>+'Solar Report_Base'!AH124</f>
        <v>0</v>
      </c>
      <c r="AI91" s="23">
        <f t="shared" si="3"/>
        <v>5461.5999908447266</v>
      </c>
    </row>
    <row r="92" spans="1:35" x14ac:dyDescent="0.25">
      <c r="B92" s="21" t="s">
        <v>16</v>
      </c>
      <c r="C92" s="1" t="s">
        <v>6</v>
      </c>
      <c r="D92" s="18">
        <f>+'Solar Report_Base'!D125</f>
        <v>472.89999389648438</v>
      </c>
      <c r="E92" s="18">
        <f>+'Solar Report_Base'!E125</f>
        <v>391.79998779296875</v>
      </c>
      <c r="F92" s="18">
        <f>+'Solar Report_Base'!F125</f>
        <v>452.10000610351562</v>
      </c>
      <c r="G92" s="18">
        <f>+'Solar Report_Base'!G125</f>
        <v>435.20001220703125</v>
      </c>
      <c r="H92" s="18">
        <f>+'Solar Report_Base'!H125</f>
        <v>470.29998779296875</v>
      </c>
      <c r="I92" s="18">
        <f>+'Solar Report_Base'!I125</f>
        <v>380</v>
      </c>
      <c r="J92" s="18">
        <f>+'Solar Report_Base'!J125</f>
        <v>319</v>
      </c>
      <c r="K92" s="18">
        <f>+'Solar Report_Base'!K125</f>
        <v>360.10000610351562</v>
      </c>
      <c r="L92" s="18">
        <f>+'Solar Report_Base'!L125</f>
        <v>226.19999694824219</v>
      </c>
      <c r="M92" s="18">
        <f>+'Solar Report_Base'!M125</f>
        <v>366.70001220703125</v>
      </c>
      <c r="N92" s="18">
        <f>+'Solar Report_Base'!N125</f>
        <v>376.20001220703125</v>
      </c>
      <c r="O92" s="18">
        <f>+'Solar Report_Base'!O125</f>
        <v>322.5</v>
      </c>
      <c r="P92" s="18">
        <f>+'Solar Report_Base'!P125</f>
        <v>242.39999389648437</v>
      </c>
      <c r="Q92" s="18">
        <f>+'Solar Report_Base'!Q125</f>
        <v>205.39999389648437</v>
      </c>
      <c r="R92" s="18">
        <f>+'Solar Report_Base'!R125</f>
        <v>0</v>
      </c>
      <c r="S92" s="191">
        <f>+'Solar Report_Base'!S125</f>
        <v>0</v>
      </c>
      <c r="T92" s="191">
        <f>+'Solar Report_Base'!T125</f>
        <v>0</v>
      </c>
      <c r="U92" s="191">
        <f>+'Solar Report_Base'!U125</f>
        <v>0</v>
      </c>
      <c r="V92" s="191">
        <f>+'Solar Report_Base'!V125</f>
        <v>0</v>
      </c>
      <c r="W92" s="191">
        <f>+'Solar Report_Base'!W125</f>
        <v>0</v>
      </c>
      <c r="X92" s="191">
        <f>+'Solar Report_Base'!X125</f>
        <v>0</v>
      </c>
      <c r="Y92" s="191">
        <f>+'Solar Report_Base'!Y125</f>
        <v>0</v>
      </c>
      <c r="Z92" s="191">
        <f>+'Solar Report_Base'!Z125</f>
        <v>0</v>
      </c>
      <c r="AA92" s="191">
        <f>+'Solar Report_Base'!AA125</f>
        <v>0</v>
      </c>
      <c r="AB92" s="191">
        <f>+'Solar Report_Base'!AB125</f>
        <v>0</v>
      </c>
      <c r="AC92" s="191">
        <f>+'Solar Report_Base'!AC125</f>
        <v>0</v>
      </c>
      <c r="AD92" s="191">
        <f>+'Solar Report_Base'!AD125</f>
        <v>0</v>
      </c>
      <c r="AE92" s="191">
        <f>+'Solar Report_Base'!AE125</f>
        <v>0</v>
      </c>
      <c r="AF92" s="191">
        <f>+'Solar Report_Base'!AF125</f>
        <v>0</v>
      </c>
      <c r="AG92" s="191">
        <f>+'Solar Report_Base'!AG125</f>
        <v>0</v>
      </c>
      <c r="AH92" s="191">
        <f>+'Solar Report_Base'!AH125</f>
        <v>0</v>
      </c>
      <c r="AI92" s="23">
        <f t="shared" si="3"/>
        <v>5020.8000030517578</v>
      </c>
    </row>
    <row r="93" spans="1:35" x14ac:dyDescent="0.25">
      <c r="B93" s="21" t="s">
        <v>17</v>
      </c>
      <c r="C93" s="1" t="s">
        <v>6</v>
      </c>
      <c r="D93" s="18">
        <f>+'Solar Report_Base'!D126</f>
        <v>469</v>
      </c>
      <c r="E93" s="18">
        <f>+'Solar Report_Base'!E126</f>
        <v>387.5</v>
      </c>
      <c r="F93" s="18">
        <f>+'Solar Report_Base'!F126</f>
        <v>445.5</v>
      </c>
      <c r="G93" s="18">
        <f>+'Solar Report_Base'!G126</f>
        <v>429.39999389648437</v>
      </c>
      <c r="H93" s="18">
        <f>+'Solar Report_Base'!H126</f>
        <v>474</v>
      </c>
      <c r="I93" s="18">
        <f>+'Solar Report_Base'!I126</f>
        <v>386</v>
      </c>
      <c r="J93" s="18">
        <f>+'Solar Report_Base'!J126</f>
        <v>322</v>
      </c>
      <c r="K93" s="18">
        <f>+'Solar Report_Base'!K126</f>
        <v>367.70001220703125</v>
      </c>
      <c r="L93" s="18">
        <f>+'Solar Report_Base'!L126</f>
        <v>239.89999389648437</v>
      </c>
      <c r="M93" s="18">
        <f>+'Solar Report_Base'!M126</f>
        <v>374</v>
      </c>
      <c r="N93" s="18">
        <f>+'Solar Report_Base'!N126</f>
        <v>383.60000610351562</v>
      </c>
      <c r="O93" s="18">
        <f>+'Solar Report_Base'!O126</f>
        <v>327.5</v>
      </c>
      <c r="P93" s="18">
        <f>+'Solar Report_Base'!P126</f>
        <v>245.39999389648437</v>
      </c>
      <c r="Q93" s="18">
        <f>+'Solar Report_Base'!Q126</f>
        <v>206.5</v>
      </c>
      <c r="R93" s="18">
        <f>+'Solar Report_Base'!R126</f>
        <v>0</v>
      </c>
      <c r="S93" s="191">
        <f>+'Solar Report_Base'!S126</f>
        <v>0</v>
      </c>
      <c r="T93" s="191">
        <f>+'Solar Report_Base'!T126</f>
        <v>0</v>
      </c>
      <c r="U93" s="191">
        <f>+'Solar Report_Base'!U126</f>
        <v>0</v>
      </c>
      <c r="V93" s="191">
        <f>+'Solar Report_Base'!V126</f>
        <v>0</v>
      </c>
      <c r="W93" s="191">
        <f>+'Solar Report_Base'!W126</f>
        <v>0</v>
      </c>
      <c r="X93" s="191">
        <f>+'Solar Report_Base'!X126</f>
        <v>0</v>
      </c>
      <c r="Y93" s="191">
        <f>+'Solar Report_Base'!Y126</f>
        <v>0</v>
      </c>
      <c r="Z93" s="191">
        <f>+'Solar Report_Base'!Z126</f>
        <v>0</v>
      </c>
      <c r="AA93" s="191">
        <f>+'Solar Report_Base'!AA126</f>
        <v>0</v>
      </c>
      <c r="AB93" s="191">
        <f>+'Solar Report_Base'!AB126</f>
        <v>0</v>
      </c>
      <c r="AC93" s="191">
        <f>+'Solar Report_Base'!AC126</f>
        <v>0</v>
      </c>
      <c r="AD93" s="191">
        <f>+'Solar Report_Base'!AD126</f>
        <v>0</v>
      </c>
      <c r="AE93" s="191">
        <f>+'Solar Report_Base'!AE126</f>
        <v>0</v>
      </c>
      <c r="AF93" s="191">
        <f>+'Solar Report_Base'!AF126</f>
        <v>0</v>
      </c>
      <c r="AG93" s="191">
        <f>+'Solar Report_Base'!AG126</f>
        <v>0</v>
      </c>
      <c r="AH93" s="191">
        <f>+'Solar Report_Base'!AH126</f>
        <v>0</v>
      </c>
      <c r="AI93" s="23">
        <f t="shared" si="3"/>
        <v>5058</v>
      </c>
    </row>
    <row r="94" spans="1:35" x14ac:dyDescent="0.25">
      <c r="B94" s="21" t="s">
        <v>18</v>
      </c>
      <c r="C94" s="1" t="s">
        <v>6</v>
      </c>
      <c r="D94" s="18">
        <f>+'Solar Report_Base'!D127</f>
        <v>506.5</v>
      </c>
      <c r="E94" s="18">
        <f>+'Solar Report_Base'!E127</f>
        <v>423.60000610351562</v>
      </c>
      <c r="F94" s="18">
        <f>+'Solar Report_Base'!F127</f>
        <v>491.20001220703125</v>
      </c>
      <c r="G94" s="18">
        <f>+'Solar Report_Base'!G127</f>
        <v>476</v>
      </c>
      <c r="H94" s="18">
        <f>+'Solar Report_Base'!H127</f>
        <v>508.39999389648437</v>
      </c>
      <c r="I94" s="18">
        <f>+'Solar Report_Base'!I127</f>
        <v>418</v>
      </c>
      <c r="J94" s="18">
        <f>+'Solar Report_Base'!J127</f>
        <v>349</v>
      </c>
      <c r="K94" s="18">
        <f>+'Solar Report_Base'!K127</f>
        <v>394.5</v>
      </c>
      <c r="L94" s="18">
        <f>+'Solar Report_Base'!L127</f>
        <v>250.10000610351562</v>
      </c>
      <c r="M94" s="18">
        <f>+'Solar Report_Base'!M127</f>
        <v>402.20001220703125</v>
      </c>
      <c r="N94" s="18">
        <f>+'Solar Report_Base'!N127</f>
        <v>411.39999389648437</v>
      </c>
      <c r="O94" s="18">
        <f>+'Solar Report_Base'!O127</f>
        <v>354</v>
      </c>
      <c r="P94" s="18">
        <f>+'Solar Report_Base'!P127</f>
        <v>266.39999389648437</v>
      </c>
      <c r="Q94" s="18">
        <f>+'Solar Report_Base'!Q127</f>
        <v>227.10000610351562</v>
      </c>
      <c r="R94" s="18">
        <f>+'Solar Report_Base'!R127</f>
        <v>0</v>
      </c>
      <c r="S94" s="191">
        <f>+'Solar Report_Base'!S127</f>
        <v>0</v>
      </c>
      <c r="T94" s="191">
        <f>+'Solar Report_Base'!T127</f>
        <v>0</v>
      </c>
      <c r="U94" s="191">
        <f>+'Solar Report_Base'!U127</f>
        <v>0</v>
      </c>
      <c r="V94" s="191">
        <f>+'Solar Report_Base'!V127</f>
        <v>0</v>
      </c>
      <c r="W94" s="191">
        <f>+'Solar Report_Base'!W127</f>
        <v>0</v>
      </c>
      <c r="X94" s="191">
        <f>+'Solar Report_Base'!X127</f>
        <v>0</v>
      </c>
      <c r="Y94" s="191">
        <f>+'Solar Report_Base'!Y127</f>
        <v>0</v>
      </c>
      <c r="Z94" s="191">
        <f>+'Solar Report_Base'!Z127</f>
        <v>0</v>
      </c>
      <c r="AA94" s="191">
        <f>+'Solar Report_Base'!AA127</f>
        <v>0</v>
      </c>
      <c r="AB94" s="191">
        <f>+'Solar Report_Base'!AB127</f>
        <v>0</v>
      </c>
      <c r="AC94" s="191">
        <f>+'Solar Report_Base'!AC127</f>
        <v>0</v>
      </c>
      <c r="AD94" s="191">
        <f>+'Solar Report_Base'!AD127</f>
        <v>0</v>
      </c>
      <c r="AE94" s="191">
        <f>+'Solar Report_Base'!AE127</f>
        <v>0</v>
      </c>
      <c r="AF94" s="191">
        <f>+'Solar Report_Base'!AF127</f>
        <v>0</v>
      </c>
      <c r="AG94" s="191">
        <f>+'Solar Report_Base'!AG127</f>
        <v>0</v>
      </c>
      <c r="AH94" s="191">
        <f>+'Solar Report_Base'!AH127</f>
        <v>0</v>
      </c>
      <c r="AI94" s="23">
        <f t="shared" si="3"/>
        <v>5478.4000244140625</v>
      </c>
    </row>
    <row r="95" spans="1:35" x14ac:dyDescent="0.25">
      <c r="B95" s="21" t="s">
        <v>19</v>
      </c>
      <c r="C95" s="1" t="s">
        <v>6</v>
      </c>
      <c r="D95" s="18">
        <f>+'Solar Report_Base'!D128</f>
        <v>459.5</v>
      </c>
      <c r="E95" s="18">
        <f>+'Solar Report_Base'!E128</f>
        <v>395.29998779296875</v>
      </c>
      <c r="F95" s="18">
        <f>+'Solar Report_Base'!F128</f>
        <v>458.29998779296875</v>
      </c>
      <c r="G95" s="18">
        <f>+'Solar Report_Base'!G128</f>
        <v>444.20001220703125</v>
      </c>
      <c r="H95" s="18">
        <f>+'Solar Report_Base'!H128</f>
        <v>476.5</v>
      </c>
      <c r="I95" s="18">
        <f>+'Solar Report_Base'!I128</f>
        <v>391</v>
      </c>
      <c r="J95" s="18">
        <f>+'Solar Report_Base'!J128</f>
        <v>325</v>
      </c>
      <c r="K95" s="18">
        <f>+'Solar Report_Base'!K128</f>
        <v>374.20001220703125</v>
      </c>
      <c r="L95" s="18">
        <f>+'Solar Report_Base'!L128</f>
        <v>252.39999389648437</v>
      </c>
      <c r="M95" s="18">
        <f>+'Solar Report_Base'!M128</f>
        <v>379.60000610351562</v>
      </c>
      <c r="N95" s="18">
        <f>+'Solar Report_Base'!N128</f>
        <v>388.39999389648437</v>
      </c>
      <c r="O95" s="18">
        <f>+'Solar Report_Base'!O128</f>
        <v>331.89999389648437</v>
      </c>
      <c r="P95" s="18">
        <f>+'Solar Report_Base'!P128</f>
        <v>248.5</v>
      </c>
      <c r="Q95" s="18">
        <f>+'Solar Report_Base'!Q128</f>
        <v>210.39999389648437</v>
      </c>
      <c r="R95" s="18">
        <f>+'Solar Report_Base'!R128</f>
        <v>0</v>
      </c>
      <c r="S95" s="191">
        <f>+'Solar Report_Base'!S128</f>
        <v>0</v>
      </c>
      <c r="T95" s="191">
        <f>+'Solar Report_Base'!T128</f>
        <v>0</v>
      </c>
      <c r="U95" s="191">
        <f>+'Solar Report_Base'!U128</f>
        <v>0</v>
      </c>
      <c r="V95" s="191">
        <f>+'Solar Report_Base'!V128</f>
        <v>0</v>
      </c>
      <c r="W95" s="191">
        <f>+'Solar Report_Base'!W128</f>
        <v>0</v>
      </c>
      <c r="X95" s="191">
        <f>+'Solar Report_Base'!X128</f>
        <v>0</v>
      </c>
      <c r="Y95" s="191">
        <f>+'Solar Report_Base'!Y128</f>
        <v>0</v>
      </c>
      <c r="Z95" s="191">
        <f>+'Solar Report_Base'!Z128</f>
        <v>0</v>
      </c>
      <c r="AA95" s="191">
        <f>+'Solar Report_Base'!AA128</f>
        <v>0</v>
      </c>
      <c r="AB95" s="191">
        <f>+'Solar Report_Base'!AB128</f>
        <v>0</v>
      </c>
      <c r="AC95" s="191">
        <f>+'Solar Report_Base'!AC128</f>
        <v>0</v>
      </c>
      <c r="AD95" s="191">
        <f>+'Solar Report_Base'!AD128</f>
        <v>0</v>
      </c>
      <c r="AE95" s="191">
        <f>+'Solar Report_Base'!AE128</f>
        <v>0</v>
      </c>
      <c r="AF95" s="191">
        <f>+'Solar Report_Base'!AF128</f>
        <v>0</v>
      </c>
      <c r="AG95" s="191">
        <f>+'Solar Report_Base'!AG128</f>
        <v>0</v>
      </c>
      <c r="AH95" s="191">
        <f>+'Solar Report_Base'!AH128</f>
        <v>0</v>
      </c>
      <c r="AI95" s="23">
        <f t="shared" si="3"/>
        <v>5135.1999816894531</v>
      </c>
    </row>
    <row r="96" spans="1:35" x14ac:dyDescent="0.25">
      <c r="B96" s="21" t="s">
        <v>20</v>
      </c>
      <c r="C96" s="1" t="s">
        <v>6</v>
      </c>
      <c r="D96" s="18">
        <f>+'Solar Report_Base'!D129</f>
        <v>470.39999389648437</v>
      </c>
      <c r="E96" s="18">
        <f>+'Solar Report_Base'!E129</f>
        <v>392.60000610351562</v>
      </c>
      <c r="F96" s="18">
        <f>+'Solar Report_Base'!F129</f>
        <v>457.39999389648437</v>
      </c>
      <c r="G96" s="18">
        <f>+'Solar Report_Base'!G129</f>
        <v>443.39999389648437</v>
      </c>
      <c r="H96" s="18">
        <f>+'Solar Report_Base'!H129</f>
        <v>475.60000610351562</v>
      </c>
      <c r="I96" s="18">
        <f>+'Solar Report_Base'!I129</f>
        <v>390</v>
      </c>
      <c r="J96" s="18">
        <f>+'Solar Report_Base'!J129</f>
        <v>325</v>
      </c>
      <c r="K96" s="18">
        <f>+'Solar Report_Base'!K129</f>
        <v>371.89999389648437</v>
      </c>
      <c r="L96" s="18">
        <f>+'Solar Report_Base'!L129</f>
        <v>241.10000610351562</v>
      </c>
      <c r="M96" s="18">
        <f>+'Solar Report_Base'!M129</f>
        <v>380.39999389648437</v>
      </c>
      <c r="N96" s="18">
        <f>+'Solar Report_Base'!N129</f>
        <v>390.5</v>
      </c>
      <c r="O96" s="18">
        <f>+'Solar Report_Base'!O129</f>
        <v>333.89999389648437</v>
      </c>
      <c r="P96" s="18">
        <f>+'Solar Report_Base'!P129</f>
        <v>250.69999694824219</v>
      </c>
      <c r="Q96" s="18">
        <f>+'Solar Report_Base'!Q129</f>
        <v>211.60000610351562</v>
      </c>
      <c r="R96" s="18">
        <f>+'Solar Report_Base'!R129</f>
        <v>0</v>
      </c>
      <c r="S96" s="191">
        <f>+'Solar Report_Base'!S129</f>
        <v>0</v>
      </c>
      <c r="T96" s="191">
        <f>+'Solar Report_Base'!T129</f>
        <v>0</v>
      </c>
      <c r="U96" s="191">
        <f>+'Solar Report_Base'!U129</f>
        <v>0</v>
      </c>
      <c r="V96" s="191">
        <f>+'Solar Report_Base'!V129</f>
        <v>0</v>
      </c>
      <c r="W96" s="191">
        <f>+'Solar Report_Base'!W129</f>
        <v>0</v>
      </c>
      <c r="X96" s="191">
        <f>+'Solar Report_Base'!X129</f>
        <v>0</v>
      </c>
      <c r="Y96" s="191">
        <f>+'Solar Report_Base'!Y129</f>
        <v>0</v>
      </c>
      <c r="Z96" s="191">
        <f>+'Solar Report_Base'!Z129</f>
        <v>0</v>
      </c>
      <c r="AA96" s="191">
        <f>+'Solar Report_Base'!AA129</f>
        <v>0</v>
      </c>
      <c r="AB96" s="191">
        <f>+'Solar Report_Base'!AB129</f>
        <v>0</v>
      </c>
      <c r="AC96" s="191">
        <f>+'Solar Report_Base'!AC129</f>
        <v>0</v>
      </c>
      <c r="AD96" s="191">
        <f>+'Solar Report_Base'!AD129</f>
        <v>0</v>
      </c>
      <c r="AE96" s="191">
        <f>+'Solar Report_Base'!AE129</f>
        <v>0</v>
      </c>
      <c r="AF96" s="191">
        <f>+'Solar Report_Base'!AF129</f>
        <v>0</v>
      </c>
      <c r="AG96" s="191">
        <f>+'Solar Report_Base'!AG129</f>
        <v>0</v>
      </c>
      <c r="AH96" s="191">
        <f>+'Solar Report_Base'!AH129</f>
        <v>0</v>
      </c>
      <c r="AI96" s="23">
        <f t="shared" si="3"/>
        <v>5134.4999847412109</v>
      </c>
    </row>
    <row r="97" spans="1:35" x14ac:dyDescent="0.25">
      <c r="B97" s="21" t="s">
        <v>21</v>
      </c>
      <c r="C97" s="1" t="s">
        <v>6</v>
      </c>
      <c r="D97" s="18">
        <f>+'Solar Report_Base'!D130</f>
        <v>461.20001220703125</v>
      </c>
      <c r="E97" s="18">
        <f>+'Solar Report_Base'!E130</f>
        <v>379</v>
      </c>
      <c r="F97" s="18">
        <f>+'Solar Report_Base'!F130</f>
        <v>443.10000610351562</v>
      </c>
      <c r="G97" s="18">
        <f>+'Solar Report_Base'!G130</f>
        <v>440</v>
      </c>
      <c r="H97" s="18">
        <f>+'Solar Report_Base'!H130</f>
        <v>472.39999389648437</v>
      </c>
      <c r="I97" s="18">
        <f>+'Solar Report_Base'!I130</f>
        <v>386</v>
      </c>
      <c r="J97" s="18">
        <f>+'Solar Report_Base'!J130</f>
        <v>321</v>
      </c>
      <c r="K97" s="18">
        <f>+'Solar Report_Base'!K130</f>
        <v>372.60000610351562</v>
      </c>
      <c r="L97" s="18">
        <f>+'Solar Report_Base'!L130</f>
        <v>233.80000305175781</v>
      </c>
      <c r="M97" s="18">
        <f>+'Solar Report_Base'!M130</f>
        <v>370.70001220703125</v>
      </c>
      <c r="N97" s="18">
        <f>+'Solar Report_Base'!N130</f>
        <v>381.10000610351562</v>
      </c>
      <c r="O97" s="18">
        <f>+'Solar Report_Base'!O130</f>
        <v>325.89999389648437</v>
      </c>
      <c r="P97" s="18">
        <f>+'Solar Report_Base'!P130</f>
        <v>244.5</v>
      </c>
      <c r="Q97" s="18">
        <f>+'Solar Report_Base'!Q130</f>
        <v>206.30000305175781</v>
      </c>
      <c r="R97" s="18">
        <f>+'Solar Report_Base'!R130</f>
        <v>0</v>
      </c>
      <c r="S97" s="191">
        <f>+'Solar Report_Base'!S130</f>
        <v>0</v>
      </c>
      <c r="T97" s="191">
        <f>+'Solar Report_Base'!T130</f>
        <v>0</v>
      </c>
      <c r="U97" s="191">
        <f>+'Solar Report_Base'!U130</f>
        <v>0</v>
      </c>
      <c r="V97" s="191">
        <f>+'Solar Report_Base'!V130</f>
        <v>0</v>
      </c>
      <c r="W97" s="191">
        <f>+'Solar Report_Base'!W130</f>
        <v>0</v>
      </c>
      <c r="X97" s="191">
        <f>+'Solar Report_Base'!X130</f>
        <v>0</v>
      </c>
      <c r="Y97" s="191">
        <f>+'Solar Report_Base'!Y130</f>
        <v>0</v>
      </c>
      <c r="Z97" s="191">
        <f>+'Solar Report_Base'!Z130</f>
        <v>0</v>
      </c>
      <c r="AA97" s="191">
        <f>+'Solar Report_Base'!AA130</f>
        <v>0</v>
      </c>
      <c r="AB97" s="191">
        <f>+'Solar Report_Base'!AB130</f>
        <v>0</v>
      </c>
      <c r="AC97" s="191">
        <f>+'Solar Report_Base'!AC130</f>
        <v>0</v>
      </c>
      <c r="AD97" s="191">
        <f>+'Solar Report_Base'!AD130</f>
        <v>0</v>
      </c>
      <c r="AE97" s="191">
        <f>+'Solar Report_Base'!AE130</f>
        <v>0</v>
      </c>
      <c r="AF97" s="191">
        <f>+'Solar Report_Base'!AF130</f>
        <v>0</v>
      </c>
      <c r="AG97" s="191">
        <f>+'Solar Report_Base'!AG130</f>
        <v>0</v>
      </c>
      <c r="AH97" s="191">
        <f>+'Solar Report_Base'!AH130</f>
        <v>0</v>
      </c>
      <c r="AI97" s="23">
        <f t="shared" si="3"/>
        <v>5037.6000366210937</v>
      </c>
    </row>
    <row r="98" spans="1:35" x14ac:dyDescent="0.25">
      <c r="B98" s="21" t="s">
        <v>22</v>
      </c>
      <c r="C98" s="1" t="s">
        <v>6</v>
      </c>
      <c r="D98" s="18">
        <f>+'Solar Report_Base'!D131</f>
        <v>469.60000610351562</v>
      </c>
      <c r="E98" s="18">
        <f>+'Solar Report_Base'!E131</f>
        <v>390.60000610351562</v>
      </c>
      <c r="F98" s="18">
        <f>+'Solar Report_Base'!F131</f>
        <v>454.89999389648437</v>
      </c>
      <c r="G98" s="18">
        <f>+'Solar Report_Base'!G131</f>
        <v>442.5</v>
      </c>
      <c r="H98" s="18">
        <f>+'Solar Report_Base'!H131</f>
        <v>474.29998779296875</v>
      </c>
      <c r="I98" s="18">
        <f>+'Solar Report_Base'!I131</f>
        <v>391</v>
      </c>
      <c r="J98" s="18">
        <f>+'Solar Report_Base'!J131</f>
        <v>326</v>
      </c>
      <c r="K98" s="18">
        <f>+'Solar Report_Base'!K131</f>
        <v>395.79998779296875</v>
      </c>
      <c r="L98" s="18">
        <f>+'Solar Report_Base'!L131</f>
        <v>247</v>
      </c>
      <c r="M98" s="18">
        <f>+'Solar Report_Base'!M131</f>
        <v>383.60000610351562</v>
      </c>
      <c r="N98" s="18">
        <f>+'Solar Report_Base'!N131</f>
        <v>391.60000610351562</v>
      </c>
      <c r="O98" s="18">
        <f>+'Solar Report_Base'!O131</f>
        <v>335.20001220703125</v>
      </c>
      <c r="P98" s="18">
        <f>+'Solar Report_Base'!P131</f>
        <v>250.60000610351562</v>
      </c>
      <c r="Q98" s="18">
        <f>+'Solar Report_Base'!Q131</f>
        <v>213</v>
      </c>
      <c r="R98" s="18">
        <f>+'Solar Report_Base'!R131</f>
        <v>0</v>
      </c>
      <c r="S98" s="191">
        <f>+'Solar Report_Base'!S131</f>
        <v>0</v>
      </c>
      <c r="T98" s="191">
        <f>+'Solar Report_Base'!T131</f>
        <v>0</v>
      </c>
      <c r="U98" s="191">
        <f>+'Solar Report_Base'!U131</f>
        <v>0</v>
      </c>
      <c r="V98" s="191">
        <f>+'Solar Report_Base'!V131</f>
        <v>0</v>
      </c>
      <c r="W98" s="191">
        <f>+'Solar Report_Base'!W131</f>
        <v>0</v>
      </c>
      <c r="X98" s="191">
        <f>+'Solar Report_Base'!X131</f>
        <v>0</v>
      </c>
      <c r="Y98" s="191">
        <f>+'Solar Report_Base'!Y131</f>
        <v>0</v>
      </c>
      <c r="Z98" s="191">
        <f>+'Solar Report_Base'!Z131</f>
        <v>0</v>
      </c>
      <c r="AA98" s="191">
        <f>+'Solar Report_Base'!AA131</f>
        <v>0</v>
      </c>
      <c r="AB98" s="191">
        <f>+'Solar Report_Base'!AB131</f>
        <v>0</v>
      </c>
      <c r="AC98" s="191">
        <f>+'Solar Report_Base'!AC131</f>
        <v>0</v>
      </c>
      <c r="AD98" s="191">
        <f>+'Solar Report_Base'!AD131</f>
        <v>0</v>
      </c>
      <c r="AE98" s="191">
        <f>+'Solar Report_Base'!AE131</f>
        <v>0</v>
      </c>
      <c r="AF98" s="191">
        <f>+'Solar Report_Base'!AF131</f>
        <v>0</v>
      </c>
      <c r="AG98" s="191">
        <f>+'Solar Report_Base'!AG131</f>
        <v>0</v>
      </c>
      <c r="AH98" s="191">
        <f>+'Solar Report_Base'!AH131</f>
        <v>0</v>
      </c>
      <c r="AI98" s="23">
        <f t="shared" si="3"/>
        <v>5165.7000122070312</v>
      </c>
    </row>
    <row r="99" spans="1:35" x14ac:dyDescent="0.25">
      <c r="B99" s="21" t="s">
        <v>23</v>
      </c>
      <c r="C99" s="1" t="s">
        <v>6</v>
      </c>
      <c r="D99" s="18">
        <f>+'Solar Report_Base'!D132</f>
        <v>470.10000610351562</v>
      </c>
      <c r="E99" s="18">
        <f>+'Solar Report_Base'!E132</f>
        <v>393.79998779296875</v>
      </c>
      <c r="F99" s="18">
        <f>+'Solar Report_Base'!F132</f>
        <v>459</v>
      </c>
      <c r="G99" s="18">
        <f>+'Solar Report_Base'!G132</f>
        <v>446.10000610351562</v>
      </c>
      <c r="H99" s="18">
        <f>+'Solar Report_Base'!H132</f>
        <v>479.10000610351562</v>
      </c>
      <c r="I99" s="18">
        <f>+'Solar Report_Base'!I132</f>
        <v>396</v>
      </c>
      <c r="J99" s="18">
        <f>+'Solar Report_Base'!J132</f>
        <v>329</v>
      </c>
      <c r="K99" s="18">
        <f>+'Solar Report_Base'!K132</f>
        <v>388.60000610351562</v>
      </c>
      <c r="L99" s="18">
        <f>+'Solar Report_Base'!L132</f>
        <v>238.60000610351562</v>
      </c>
      <c r="M99" s="18">
        <f>+'Solar Report_Base'!M132</f>
        <v>386.20001220703125</v>
      </c>
      <c r="N99" s="18">
        <f>+'Solar Report_Base'!N132</f>
        <v>391.60000610351562</v>
      </c>
      <c r="O99" s="18">
        <f>+'Solar Report_Base'!O132</f>
        <v>336.5</v>
      </c>
      <c r="P99" s="18">
        <f>+'Solar Report_Base'!P132</f>
        <v>251</v>
      </c>
      <c r="Q99" s="18">
        <f>+'Solar Report_Base'!Q132</f>
        <v>213.60000610351562</v>
      </c>
      <c r="R99" s="18">
        <f>+'Solar Report_Base'!R132</f>
        <v>0</v>
      </c>
      <c r="S99" s="191">
        <f>+'Solar Report_Base'!S132</f>
        <v>0</v>
      </c>
      <c r="T99" s="191">
        <f>+'Solar Report_Base'!T132</f>
        <v>0</v>
      </c>
      <c r="U99" s="191">
        <f>+'Solar Report_Base'!U132</f>
        <v>0</v>
      </c>
      <c r="V99" s="191">
        <f>+'Solar Report_Base'!V132</f>
        <v>0</v>
      </c>
      <c r="W99" s="191">
        <f>+'Solar Report_Base'!W132</f>
        <v>0</v>
      </c>
      <c r="X99" s="191">
        <f>+'Solar Report_Base'!X132</f>
        <v>0</v>
      </c>
      <c r="Y99" s="191">
        <f>+'Solar Report_Base'!Y132</f>
        <v>0</v>
      </c>
      <c r="Z99" s="191">
        <f>+'Solar Report_Base'!Z132</f>
        <v>0</v>
      </c>
      <c r="AA99" s="191">
        <f>+'Solar Report_Base'!AA132</f>
        <v>0</v>
      </c>
      <c r="AB99" s="191">
        <f>+'Solar Report_Base'!AB132</f>
        <v>0</v>
      </c>
      <c r="AC99" s="191">
        <f>+'Solar Report_Base'!AC132</f>
        <v>0</v>
      </c>
      <c r="AD99" s="191">
        <f>+'Solar Report_Base'!AD132</f>
        <v>0</v>
      </c>
      <c r="AE99" s="191">
        <f>+'Solar Report_Base'!AE132</f>
        <v>0</v>
      </c>
      <c r="AF99" s="191">
        <f>+'Solar Report_Base'!AF132</f>
        <v>0</v>
      </c>
      <c r="AG99" s="191">
        <f>+'Solar Report_Base'!AG132</f>
        <v>0</v>
      </c>
      <c r="AH99" s="191">
        <f>+'Solar Report_Base'!AH132</f>
        <v>0</v>
      </c>
      <c r="AI99" s="23">
        <f t="shared" si="3"/>
        <v>5179.2000427246094</v>
      </c>
    </row>
    <row r="100" spans="1:35" x14ac:dyDescent="0.25">
      <c r="B100" s="21" t="s">
        <v>37</v>
      </c>
      <c r="C100" s="1" t="s">
        <v>6</v>
      </c>
      <c r="D100" s="18">
        <f>+'Solar Report_Base'!D133</f>
        <v>468.5</v>
      </c>
      <c r="E100" s="18">
        <f>+'Solar Report_Base'!E133</f>
        <v>386.89999389648437</v>
      </c>
      <c r="F100" s="18">
        <f>+'Solar Report_Base'!F133</f>
        <v>451.89999389648437</v>
      </c>
      <c r="G100" s="18">
        <f>+'Solar Report_Base'!G133</f>
        <v>438.29998779296875</v>
      </c>
      <c r="H100" s="18">
        <f>+'Solar Report_Base'!H133</f>
        <v>472.04327132791417</v>
      </c>
      <c r="I100" s="18">
        <f>+'Solar Report_Base'!I133</f>
        <v>389</v>
      </c>
      <c r="J100" s="18">
        <f>+'Solar Report_Base'!J133</f>
        <v>324</v>
      </c>
      <c r="K100" s="18">
        <f>+'Solar Report_Base'!K133</f>
        <v>372.39999389648437</v>
      </c>
      <c r="L100" s="18">
        <f>+'Solar Report_Base'!L133</f>
        <v>231.5</v>
      </c>
      <c r="M100" s="18">
        <f>+'Solar Report_Base'!M133</f>
        <v>379.60000610351562</v>
      </c>
      <c r="N100" s="18">
        <f>+'Solar Report_Base'!N133</f>
        <v>384.89999389648438</v>
      </c>
      <c r="O100" s="18">
        <f>+'Solar Report_Base'!O133</f>
        <v>330.20001220703125</v>
      </c>
      <c r="P100" s="18">
        <f>+'Solar Report_Base'!P133</f>
        <v>247</v>
      </c>
      <c r="Q100" s="18">
        <f>+'Solar Report_Base'!Q133</f>
        <v>209.89999389648437</v>
      </c>
      <c r="R100" s="18">
        <f>+'Solar Report_Base'!R133</f>
        <v>0</v>
      </c>
      <c r="S100" s="191">
        <f>+'Solar Report_Base'!S133</f>
        <v>0</v>
      </c>
      <c r="T100" s="191">
        <f>+'Solar Report_Base'!T133</f>
        <v>0</v>
      </c>
      <c r="U100" s="191">
        <f>+'Solar Report_Base'!U133</f>
        <v>0</v>
      </c>
      <c r="V100" s="191">
        <f>+'Solar Report_Base'!V133</f>
        <v>0</v>
      </c>
      <c r="W100" s="191">
        <f>+'Solar Report_Base'!W133</f>
        <v>0</v>
      </c>
      <c r="X100" s="191">
        <f>+'Solar Report_Base'!X133</f>
        <v>0</v>
      </c>
      <c r="Y100" s="191">
        <f>+'Solar Report_Base'!Y133</f>
        <v>0</v>
      </c>
      <c r="Z100" s="191">
        <f>+'Solar Report_Base'!Z133</f>
        <v>0</v>
      </c>
      <c r="AA100" s="191">
        <f>+'Solar Report_Base'!AA133</f>
        <v>0</v>
      </c>
      <c r="AB100" s="191">
        <f>+'Solar Report_Base'!AB133</f>
        <v>0</v>
      </c>
      <c r="AC100" s="191">
        <f>+'Solar Report_Base'!AC133</f>
        <v>0</v>
      </c>
      <c r="AD100" s="191">
        <f>+'Solar Report_Base'!AD133</f>
        <v>0</v>
      </c>
      <c r="AE100" s="191">
        <f>+'Solar Report_Base'!AE133</f>
        <v>0</v>
      </c>
      <c r="AF100" s="191">
        <f>+'Solar Report_Base'!AF133</f>
        <v>0</v>
      </c>
      <c r="AG100" s="191">
        <f>+'Solar Report_Base'!AG133</f>
        <v>0</v>
      </c>
      <c r="AH100" s="191">
        <f>+'Solar Report_Base'!AH133</f>
        <v>0</v>
      </c>
      <c r="AI100" s="23">
        <f t="shared" si="3"/>
        <v>5086.1432469138517</v>
      </c>
    </row>
    <row r="101" spans="1:35" x14ac:dyDescent="0.25">
      <c r="B101" s="21" t="s">
        <v>38</v>
      </c>
      <c r="C101" s="1" t="s">
        <v>6</v>
      </c>
      <c r="D101" s="18">
        <f>+'Solar Report_Base'!D134</f>
        <v>466</v>
      </c>
      <c r="E101" s="18">
        <f>+'Solar Report_Base'!E134</f>
        <v>385.89999389648437</v>
      </c>
      <c r="F101" s="18">
        <f>+'Solar Report_Base'!F134</f>
        <v>452.29998779296875</v>
      </c>
      <c r="G101" s="18">
        <f>+'Solar Report_Base'!G134</f>
        <v>435.89999389648438</v>
      </c>
      <c r="H101" s="18">
        <f>+'Solar Report_Base'!H134</f>
        <v>471.70001220703125</v>
      </c>
      <c r="I101" s="18">
        <f>+'Solar Report_Base'!I134</f>
        <v>389</v>
      </c>
      <c r="J101" s="18">
        <f>+'Solar Report_Base'!J134</f>
        <v>325</v>
      </c>
      <c r="K101" s="18">
        <f>+'Solar Report_Base'!K134</f>
        <v>379.79998779296875</v>
      </c>
      <c r="L101" s="18">
        <f>+'Solar Report_Base'!L134</f>
        <v>234.89999389648437</v>
      </c>
      <c r="M101" s="18">
        <f>+'Solar Report_Base'!M134</f>
        <v>377.5</v>
      </c>
      <c r="N101" s="18">
        <f>+'Solar Report_Base'!N134</f>
        <v>391</v>
      </c>
      <c r="O101" s="18">
        <f>+'Solar Report_Base'!O134</f>
        <v>332.29998779296875</v>
      </c>
      <c r="P101" s="18">
        <f>+'Solar Report_Base'!P134</f>
        <v>248.5</v>
      </c>
      <c r="Q101" s="18">
        <f>+'Solar Report_Base'!Q134</f>
        <v>210.30000305175781</v>
      </c>
      <c r="R101" s="18">
        <f>+'Solar Report_Base'!R134</f>
        <v>0</v>
      </c>
      <c r="S101" s="191">
        <f>+'Solar Report_Base'!S134</f>
        <v>0</v>
      </c>
      <c r="T101" s="191">
        <f>+'Solar Report_Base'!T134</f>
        <v>0</v>
      </c>
      <c r="U101" s="191">
        <f>+'Solar Report_Base'!U134</f>
        <v>0</v>
      </c>
      <c r="V101" s="191">
        <f>+'Solar Report_Base'!V134</f>
        <v>0</v>
      </c>
      <c r="W101" s="191">
        <f>+'Solar Report_Base'!W134</f>
        <v>0</v>
      </c>
      <c r="X101" s="191">
        <f>+'Solar Report_Base'!X134</f>
        <v>0</v>
      </c>
      <c r="Y101" s="191">
        <f>+'Solar Report_Base'!Y134</f>
        <v>0</v>
      </c>
      <c r="Z101" s="191">
        <f>+'Solar Report_Base'!Z134</f>
        <v>0</v>
      </c>
      <c r="AA101" s="191">
        <f>+'Solar Report_Base'!AA134</f>
        <v>0</v>
      </c>
      <c r="AB101" s="191">
        <f>+'Solar Report_Base'!AB134</f>
        <v>0</v>
      </c>
      <c r="AC101" s="191">
        <f>+'Solar Report_Base'!AC134</f>
        <v>0</v>
      </c>
      <c r="AD101" s="191">
        <f>+'Solar Report_Base'!AD134</f>
        <v>0</v>
      </c>
      <c r="AE101" s="191">
        <f>+'Solar Report_Base'!AE134</f>
        <v>0</v>
      </c>
      <c r="AF101" s="191">
        <f>+'Solar Report_Base'!AF134</f>
        <v>0</v>
      </c>
      <c r="AG101" s="191">
        <f>+'Solar Report_Base'!AG134</f>
        <v>0</v>
      </c>
      <c r="AH101" s="191">
        <f>+'Solar Report_Base'!AH134</f>
        <v>0</v>
      </c>
      <c r="AI101" s="23">
        <f>SUM(D101:AH101)</f>
        <v>5100.0999603271484</v>
      </c>
    </row>
    <row r="102" spans="1:35" x14ac:dyDescent="0.25">
      <c r="B102" s="21" t="s">
        <v>39</v>
      </c>
      <c r="C102" s="1" t="s">
        <v>6</v>
      </c>
      <c r="D102" s="18">
        <f>+'Solar Report_Base'!D135</f>
        <v>467.20001220703125</v>
      </c>
      <c r="E102" s="18">
        <f>+'Solar Report_Base'!E135</f>
        <v>385.89999389648437</v>
      </c>
      <c r="F102" s="18">
        <f>+'Solar Report_Base'!F135</f>
        <v>452.39999389648437</v>
      </c>
      <c r="G102" s="18">
        <f>+'Solar Report_Base'!G135</f>
        <v>438.39999389648437</v>
      </c>
      <c r="H102" s="18">
        <f>+'Solar Report_Base'!H135</f>
        <v>473.5</v>
      </c>
      <c r="I102" s="18">
        <f>+'Solar Report_Base'!I135</f>
        <v>391</v>
      </c>
      <c r="J102" s="18">
        <f>+'Solar Report_Base'!J135</f>
        <v>326</v>
      </c>
      <c r="K102" s="18">
        <f>+'Solar Report_Base'!K135</f>
        <v>375</v>
      </c>
      <c r="L102" s="18">
        <f>+'Solar Report_Base'!L135</f>
        <v>232.89999389648437</v>
      </c>
      <c r="M102" s="18">
        <f>+'Solar Report_Base'!M135</f>
        <v>380</v>
      </c>
      <c r="N102" s="18">
        <f>+'Solar Report_Base'!N135</f>
        <v>388.39999389648437</v>
      </c>
      <c r="O102" s="18">
        <f>+'Solar Report_Base'!O135</f>
        <v>330.70001220703125</v>
      </c>
      <c r="P102" s="18">
        <f>+'Solar Report_Base'!P135</f>
        <v>247.30000305175781</v>
      </c>
      <c r="Q102" s="18">
        <f>+'Solar Report_Base'!Q135</f>
        <v>208.80000305175781</v>
      </c>
      <c r="R102" s="18">
        <f>+'Solar Report_Base'!R135</f>
        <v>0</v>
      </c>
      <c r="S102" s="191">
        <f>+'Solar Report_Base'!S135</f>
        <v>0</v>
      </c>
      <c r="T102" s="191">
        <f>+'Solar Report_Base'!T135</f>
        <v>0</v>
      </c>
      <c r="U102" s="191">
        <f>+'Solar Report_Base'!U135</f>
        <v>0</v>
      </c>
      <c r="V102" s="191">
        <f>+'Solar Report_Base'!V135</f>
        <v>0</v>
      </c>
      <c r="W102" s="191">
        <f>+'Solar Report_Base'!W135</f>
        <v>0</v>
      </c>
      <c r="X102" s="191">
        <f>+'Solar Report_Base'!X135</f>
        <v>0</v>
      </c>
      <c r="Y102" s="191">
        <f>+'Solar Report_Base'!Y135</f>
        <v>0</v>
      </c>
      <c r="Z102" s="191">
        <f>+'Solar Report_Base'!Z135</f>
        <v>0</v>
      </c>
      <c r="AA102" s="191">
        <f>+'Solar Report_Base'!AA135</f>
        <v>0</v>
      </c>
      <c r="AB102" s="191">
        <f>+'Solar Report_Base'!AB135</f>
        <v>0</v>
      </c>
      <c r="AC102" s="191">
        <f>+'Solar Report_Base'!AC135</f>
        <v>0</v>
      </c>
      <c r="AD102" s="191">
        <f>+'Solar Report_Base'!AD135</f>
        <v>0</v>
      </c>
      <c r="AE102" s="191">
        <f>+'Solar Report_Base'!AE135</f>
        <v>0</v>
      </c>
      <c r="AF102" s="191">
        <f>+'Solar Report_Base'!AF135</f>
        <v>0</v>
      </c>
      <c r="AG102" s="191">
        <f>+'Solar Report_Base'!AG135</f>
        <v>0</v>
      </c>
      <c r="AH102" s="191">
        <f>+'Solar Report_Base'!AH135</f>
        <v>0</v>
      </c>
      <c r="AI102" s="23">
        <f>SUM(D102:AH102)</f>
        <v>5097.5</v>
      </c>
    </row>
    <row r="103" spans="1:35" x14ac:dyDescent="0.25">
      <c r="B103" s="21" t="s">
        <v>24</v>
      </c>
      <c r="C103" s="1" t="s">
        <v>6</v>
      </c>
      <c r="D103" s="18">
        <f>+'Solar Report_Base'!D136</f>
        <v>10060</v>
      </c>
      <c r="E103" s="18">
        <f>+'Solar Report_Base'!E136</f>
        <v>8360</v>
      </c>
      <c r="F103" s="18">
        <f>+'Solar Report_Base'!F136</f>
        <v>9650</v>
      </c>
      <c r="G103" s="18">
        <f>+'Solar Report_Base'!G136</f>
        <v>9320</v>
      </c>
      <c r="H103" s="18">
        <f>+'Solar Report_Base'!H136</f>
        <v>10040</v>
      </c>
      <c r="I103" s="18">
        <f>+'Solar Report_Base'!I136</f>
        <v>8290</v>
      </c>
      <c r="J103" s="18">
        <f>+'Solar Report_Base'!J136</f>
        <v>6920</v>
      </c>
      <c r="K103" s="18">
        <f>+'Solar Report_Base'!K136</f>
        <v>7960</v>
      </c>
      <c r="L103" s="18">
        <f>+'Solar Report_Base'!L136</f>
        <v>4960</v>
      </c>
      <c r="M103" s="18">
        <f>+'Solar Report_Base'!M136</f>
        <v>7990</v>
      </c>
      <c r="N103" s="18">
        <f>+'Solar Report_Base'!N136</f>
        <v>8260</v>
      </c>
      <c r="O103" s="18">
        <f>+'Solar Report_Base'!O136</f>
        <v>7060</v>
      </c>
      <c r="P103" s="18">
        <f>+'Solar Report_Base'!P136</f>
        <v>5330</v>
      </c>
      <c r="Q103" s="18">
        <f>+'Solar Report_Base'!Q136</f>
        <v>4520</v>
      </c>
      <c r="R103" s="18">
        <f>+'Solar Report_Base'!R136</f>
        <v>0</v>
      </c>
      <c r="S103" s="191">
        <f>+'Solar Report_Base'!S136</f>
        <v>0</v>
      </c>
      <c r="T103" s="191">
        <f>+'Solar Report_Base'!T136</f>
        <v>0</v>
      </c>
      <c r="U103" s="191">
        <f>+'Solar Report_Base'!U136</f>
        <v>0</v>
      </c>
      <c r="V103" s="191">
        <f>+'Solar Report_Base'!V136</f>
        <v>0</v>
      </c>
      <c r="W103" s="191">
        <f>+'Solar Report_Base'!W136</f>
        <v>0</v>
      </c>
      <c r="X103" s="191">
        <f>+'Solar Report_Base'!X136</f>
        <v>0</v>
      </c>
      <c r="Y103" s="191">
        <f>+'Solar Report_Base'!Y136</f>
        <v>0</v>
      </c>
      <c r="Z103" s="191">
        <f>+'Solar Report_Base'!Z136</f>
        <v>0</v>
      </c>
      <c r="AA103" s="191">
        <f>+'Solar Report_Base'!AA136</f>
        <v>0</v>
      </c>
      <c r="AB103" s="191">
        <f>+'Solar Report_Base'!AB136</f>
        <v>0</v>
      </c>
      <c r="AC103" s="191">
        <f>+'Solar Report_Base'!AC136</f>
        <v>0</v>
      </c>
      <c r="AD103" s="191">
        <f>+'Solar Report_Base'!AD136</f>
        <v>0</v>
      </c>
      <c r="AE103" s="191">
        <f>+'Solar Report_Base'!AE136</f>
        <v>0</v>
      </c>
      <c r="AF103" s="191">
        <f>+'Solar Report_Base'!AF136</f>
        <v>0</v>
      </c>
      <c r="AG103" s="191">
        <f>+'Solar Report_Base'!AG136</f>
        <v>0</v>
      </c>
      <c r="AH103" s="191">
        <f>+'Solar Report_Base'!AH136</f>
        <v>0</v>
      </c>
      <c r="AI103" s="23">
        <f>SUM(D103:AH103)</f>
        <v>108720</v>
      </c>
    </row>
    <row r="104" spans="1:35" x14ac:dyDescent="0.25">
      <c r="B104" s="21" t="s">
        <v>25</v>
      </c>
      <c r="C104" s="1" t="s">
        <v>26</v>
      </c>
      <c r="D104" s="90">
        <f>+'Solar Report_Base'!D137</f>
        <v>6.8079499999999999</v>
      </c>
      <c r="E104" s="90">
        <f>+'Solar Report_Base'!E137</f>
        <v>5.6304833333333333</v>
      </c>
      <c r="F104" s="90">
        <f>+'Solar Report_Base'!F137</f>
        <v>6.7135831836894937</v>
      </c>
      <c r="G104" s="90">
        <f>+'Solar Report_Base'!G137</f>
        <v>6.7765666666666675</v>
      </c>
      <c r="H104" s="90">
        <f>+'Solar Report_Base'!H137</f>
        <v>6.911550000000001</v>
      </c>
      <c r="I104" s="90">
        <f>+'Solar Report_Base'!I137</f>
        <v>5.7897407624520207</v>
      </c>
      <c r="J104" s="90">
        <f>+'Solar Report_Base'!J137</f>
        <v>4.8250868382557437</v>
      </c>
      <c r="K104" s="90">
        <f>+'Solar Report_Base'!K137</f>
        <v>5.7816497017771473</v>
      </c>
      <c r="L104" s="90">
        <f>+'Solar Report_Base'!L137</f>
        <v>3.7466481502220197</v>
      </c>
      <c r="M104" s="90">
        <f>+'Solar Report_Base'!M137</f>
        <v>5.75</v>
      </c>
      <c r="N104" s="90">
        <f>+'Solar Report_Base'!N137</f>
        <v>5.9797407624520211</v>
      </c>
      <c r="O104" s="90">
        <f>+'Solar Report_Base'!O137</f>
        <v>4.8500000000000005</v>
      </c>
      <c r="P104" s="90">
        <f>+'Solar Report_Base'!P137</f>
        <v>3.6</v>
      </c>
      <c r="Q104" s="90">
        <f>+'Solar Report_Base'!Q137</f>
        <v>3</v>
      </c>
      <c r="R104" s="90">
        <f>+'Solar Report_Base'!R137</f>
        <v>0</v>
      </c>
      <c r="S104" s="90">
        <f>+'Solar Report_Base'!S137</f>
        <v>0</v>
      </c>
      <c r="T104" s="90">
        <f>+'Solar Report_Base'!T144</f>
        <v>0</v>
      </c>
      <c r="U104" s="90">
        <f>+'Solar Report_Base'!U137</f>
        <v>0</v>
      </c>
      <c r="V104" s="90">
        <f>+'Solar Report_Base'!V137</f>
        <v>0</v>
      </c>
      <c r="W104" s="90">
        <f>+'Solar Report_Base'!W137</f>
        <v>0</v>
      </c>
      <c r="X104" s="90">
        <f>+'Solar Report_Base'!X137</f>
        <v>0</v>
      </c>
      <c r="Y104" s="90">
        <f>+'Solar Report_Base'!Y137</f>
        <v>0</v>
      </c>
      <c r="Z104" s="90">
        <f>+'Solar Report_Base'!Z137</f>
        <v>0</v>
      </c>
      <c r="AA104" s="90">
        <f>+'Solar Report_Base'!AA137</f>
        <v>0</v>
      </c>
      <c r="AB104" s="90">
        <f>+'Solar Report_Base'!AB137</f>
        <v>0</v>
      </c>
      <c r="AC104" s="90">
        <f>+'Solar Report_Base'!AC137</f>
        <v>0</v>
      </c>
      <c r="AD104" s="90">
        <f>+'Solar Report_Base'!AD137</f>
        <v>0</v>
      </c>
      <c r="AE104" s="90">
        <f>+'Solar Report_Base'!AE137</f>
        <v>0</v>
      </c>
      <c r="AF104" s="90">
        <f>+'Solar Report_Base'!AF137</f>
        <v>0</v>
      </c>
      <c r="AG104" s="90">
        <f>+'Solar Report_Base'!AG137</f>
        <v>0</v>
      </c>
      <c r="AH104" s="90">
        <f>+'Solar Report_Base'!AH137</f>
        <v>0</v>
      </c>
      <c r="AI104" s="24">
        <f>AVERAGE(D104:AH104)</f>
        <v>2.4568709483499496</v>
      </c>
    </row>
    <row r="105" spans="1:35" x14ac:dyDescent="0.25">
      <c r="B105" s="21" t="s">
        <v>27</v>
      </c>
      <c r="C105" s="1" t="s">
        <v>6</v>
      </c>
      <c r="D105" s="18">
        <f>+'Solar Report_Base'!D138</f>
        <v>126240</v>
      </c>
      <c r="E105" s="18">
        <f>+'Solar Report_Base'!E138</f>
        <v>67340</v>
      </c>
      <c r="F105" s="18">
        <f>+'Solar Report_Base'!F138</f>
        <v>260620</v>
      </c>
      <c r="G105" s="18">
        <f>+'Solar Report_Base'!G138</f>
        <v>107890</v>
      </c>
      <c r="H105" s="18">
        <f>+'Solar Report_Base'!H138</f>
        <v>176110</v>
      </c>
      <c r="I105" s="18">
        <f>+'Solar Report_Base'!I138</f>
        <v>240760</v>
      </c>
      <c r="J105" s="18">
        <f>+'Solar Report_Base'!J138</f>
        <v>83990</v>
      </c>
      <c r="K105" s="18">
        <f>+'Solar Report_Base'!K138</f>
        <v>239340</v>
      </c>
      <c r="L105" s="18">
        <f>+'Solar Report_Base'!L138</f>
        <v>204750</v>
      </c>
      <c r="M105" s="18">
        <f>+'Solar Report_Base'!M138</f>
        <v>135150</v>
      </c>
      <c r="N105" s="18">
        <f>+'Solar Report_Base'!N138</f>
        <v>205940</v>
      </c>
      <c r="O105" s="18">
        <f>+'Solar Report_Base'!O138</f>
        <v>95730</v>
      </c>
      <c r="P105" s="18">
        <f>+'Solar Report_Base'!P138</f>
        <v>270300</v>
      </c>
      <c r="Q105" s="18">
        <f>+'Solar Report_Base'!Q138</f>
        <v>57890</v>
      </c>
      <c r="R105" s="18">
        <f>+'Solar Report_Base'!R138</f>
        <v>0</v>
      </c>
      <c r="S105" s="191">
        <f>+'Solar Report_Base'!S138</f>
        <v>0</v>
      </c>
      <c r="T105" s="191">
        <f>+'Solar Report_Base'!T138</f>
        <v>0</v>
      </c>
      <c r="U105" s="191">
        <f>+'Solar Report_Base'!U138</f>
        <v>0</v>
      </c>
      <c r="V105" s="191">
        <f>+'Solar Report_Base'!V138</f>
        <v>0</v>
      </c>
      <c r="W105" s="191">
        <f>+'Solar Report_Base'!W138</f>
        <v>0</v>
      </c>
      <c r="X105" s="191">
        <f>+'Solar Report_Base'!X138</f>
        <v>0</v>
      </c>
      <c r="Y105" s="191">
        <f>+'Solar Report_Base'!Y138</f>
        <v>0</v>
      </c>
      <c r="Z105" s="191">
        <f>+'Solar Report_Base'!Z138</f>
        <v>0</v>
      </c>
      <c r="AA105" s="191">
        <f>+'Solar Report_Base'!AA138</f>
        <v>0</v>
      </c>
      <c r="AB105" s="191">
        <f>+'Solar Report_Base'!AB138</f>
        <v>0</v>
      </c>
      <c r="AC105" s="191">
        <f>+'Solar Report_Base'!AC138</f>
        <v>0</v>
      </c>
      <c r="AD105" s="191">
        <f>+'Solar Report_Base'!AD138</f>
        <v>0</v>
      </c>
      <c r="AE105" s="191">
        <f>+'Solar Report_Base'!AE138</f>
        <v>0</v>
      </c>
      <c r="AF105" s="191">
        <f>+'Solar Report_Base'!AF138</f>
        <v>0</v>
      </c>
      <c r="AG105" s="191">
        <f>+'Solar Report_Base'!AG138</f>
        <v>0</v>
      </c>
      <c r="AH105" s="191">
        <f>+'Solar Report_Base'!AH138</f>
        <v>0</v>
      </c>
      <c r="AI105" s="23">
        <f>SUM(D105:AH105)</f>
        <v>2272050</v>
      </c>
    </row>
    <row r="106" spans="1:35" x14ac:dyDescent="0.25">
      <c r="B106" s="21" t="s">
        <v>28</v>
      </c>
      <c r="C106" s="1" t="s">
        <v>0</v>
      </c>
      <c r="D106" s="89">
        <f>+'Solar Report_Base'!D139</f>
        <v>0.21265270364129288</v>
      </c>
      <c r="E106" s="89">
        <f>+'Solar Report_Base'!E139</f>
        <v>0.17847704895701852</v>
      </c>
      <c r="F106" s="93">
        <f>+'Solar Report_Base'!F139</f>
        <v>0.21073988857675066</v>
      </c>
      <c r="G106" s="89">
        <f>+'Solar Report_Base'!G139</f>
        <v>0.21062788666354659</v>
      </c>
      <c r="H106" s="89">
        <f>+'Solar Report_Base'!H139</f>
        <v>0.21588874681100445</v>
      </c>
      <c r="I106" s="89">
        <f>+'Solar Report_Base'!I139</f>
        <v>0.18174040445818682</v>
      </c>
      <c r="J106" s="89">
        <f>+'Solar Report_Base'!J139</f>
        <v>0.1529473064514715</v>
      </c>
      <c r="K106" s="89">
        <f>+'Solar Report_Base'!K139</f>
        <v>0.18059525122684286</v>
      </c>
      <c r="L106" s="89">
        <f>+'Solar Report_Base'!L139</f>
        <v>0.11760757141317865</v>
      </c>
      <c r="M106" s="89">
        <f>+'Solar Report_Base'!M139</f>
        <v>0.17783405153684206</v>
      </c>
      <c r="N106" s="89">
        <f>+'Solar Report_Base'!N139</f>
        <v>0.1895479342762928</v>
      </c>
      <c r="O106" s="89">
        <f>+'Solar Report_Base'!O139</f>
        <v>0.15448458387710523</v>
      </c>
      <c r="P106" s="89">
        <f>+'Solar Report_Base'!P139</f>
        <v>0.1163336641673684</v>
      </c>
      <c r="Q106" s="93">
        <f>+'Solar Report_Base'!Q139</f>
        <v>9.8331965715789449E-2</v>
      </c>
      <c r="R106" s="93">
        <f>+'Solar Report_Base'!R139</f>
        <v>0</v>
      </c>
      <c r="S106" s="93">
        <f>+'Solar Report_Base'!S139</f>
        <v>0</v>
      </c>
      <c r="T106" s="93">
        <f>+'Solar Report_Base'!T139</f>
        <v>0</v>
      </c>
      <c r="U106" s="93">
        <f>+'Solar Report_Base'!U139</f>
        <v>0</v>
      </c>
      <c r="V106" s="93">
        <f>+'Solar Report_Base'!V139</f>
        <v>0</v>
      </c>
      <c r="W106" s="93">
        <f>+'Solar Report_Base'!W139</f>
        <v>0</v>
      </c>
      <c r="X106" s="93">
        <f>+'Solar Report_Base'!X139</f>
        <v>0</v>
      </c>
      <c r="Y106" s="93">
        <f>+'Solar Report_Base'!Y139</f>
        <v>0</v>
      </c>
      <c r="Z106" s="93">
        <f>+'Solar Report_Base'!Z139</f>
        <v>0</v>
      </c>
      <c r="AA106" s="93">
        <f>+'Solar Report_Base'!AA139</f>
        <v>0</v>
      </c>
      <c r="AB106" s="93">
        <f>+'Solar Report_Base'!AB139</f>
        <v>0</v>
      </c>
      <c r="AC106" s="93">
        <f>+'Solar Report_Base'!AC139</f>
        <v>0</v>
      </c>
      <c r="AD106" s="93">
        <f>+'Solar Report_Base'!AD139</f>
        <v>0</v>
      </c>
      <c r="AE106" s="93">
        <f>+'Solar Report_Base'!AE139</f>
        <v>0</v>
      </c>
      <c r="AF106" s="93">
        <f>+'Solar Report_Base'!AF139</f>
        <v>0</v>
      </c>
      <c r="AG106" s="93">
        <f>+'Solar Report_Base'!AG139</f>
        <v>0</v>
      </c>
      <c r="AH106" s="93">
        <f>+'Solar Report_Base'!AH139</f>
        <v>0</v>
      </c>
      <c r="AI106" s="26">
        <f>AVERAGE(D106:AH106)</f>
        <v>7.734867767008681E-2</v>
      </c>
    </row>
    <row r="107" spans="1:35" x14ac:dyDescent="0.25">
      <c r="B107" s="25" t="s">
        <v>35</v>
      </c>
      <c r="C107" s="1" t="s">
        <v>0</v>
      </c>
      <c r="D107" s="89">
        <f>+'Solar Report_Base'!D140</f>
        <v>0.20970915882863053</v>
      </c>
      <c r="E107" s="89">
        <f>+'Solar Report_Base'!E140</f>
        <v>0.17427122940430925</v>
      </c>
      <c r="F107" s="93">
        <f>+'Solar Report_Base'!F140</f>
        <v>0.20116236408511776</v>
      </c>
      <c r="G107" s="89">
        <f>+'Solar Report_Base'!G140</f>
        <v>0.19428323660863187</v>
      </c>
      <c r="H107" s="89">
        <f>+'Solar Report_Base'!H140</f>
        <v>0.2092922420118738</v>
      </c>
      <c r="I107" s="89">
        <f>+'Solar Report_Base'!I140</f>
        <v>0.17281202054566075</v>
      </c>
      <c r="J107" s="89">
        <f>+'Solar Report_Base'!J140</f>
        <v>0.14425321859782536</v>
      </c>
      <c r="K107" s="89">
        <f>+'Solar Report_Base'!K140</f>
        <v>0.16593289306917486</v>
      </c>
      <c r="L107" s="89">
        <f>+'Solar Report_Base'!L140</f>
        <v>0.10339537055566674</v>
      </c>
      <c r="M107" s="89">
        <f>+'Solar Report_Base'!M140</f>
        <v>0.16655826829430992</v>
      </c>
      <c r="N107" s="89">
        <f>+'Solar Report_Base'!N140</f>
        <v>0.17218664532052566</v>
      </c>
      <c r="O107" s="89">
        <f>+'Solar Report_Base'!O140</f>
        <v>0.14717163631512242</v>
      </c>
      <c r="P107" s="89">
        <f>+'Solar Report_Base'!P140</f>
        <v>0.11110833166566607</v>
      </c>
      <c r="Q107" s="93">
        <f>+'Solar Report_Base'!Q140</f>
        <v>9.4223200587018885E-2</v>
      </c>
      <c r="R107" s="93">
        <f>+'Solar Report_Base'!R140</f>
        <v>0</v>
      </c>
      <c r="S107" s="93">
        <f>+'Solar Report_Base'!S140</f>
        <v>0</v>
      </c>
      <c r="T107" s="93">
        <f>+'Solar Report_Base'!T140</f>
        <v>0</v>
      </c>
      <c r="U107" s="93">
        <f>+'Solar Report_Base'!U140</f>
        <v>0</v>
      </c>
      <c r="V107" s="93">
        <f>+'Solar Report_Base'!V140</f>
        <v>0</v>
      </c>
      <c r="W107" s="93">
        <f>+'Solar Report_Base'!W140</f>
        <v>0</v>
      </c>
      <c r="X107" s="93">
        <f>+'Solar Report_Base'!X140</f>
        <v>0</v>
      </c>
      <c r="Y107" s="93">
        <f>+'Solar Report_Base'!Y140</f>
        <v>0</v>
      </c>
      <c r="Z107" s="93">
        <f>+'Solar Report_Base'!Z140</f>
        <v>0</v>
      </c>
      <c r="AA107" s="93">
        <f>+'Solar Report_Base'!AA140</f>
        <v>0</v>
      </c>
      <c r="AB107" s="93">
        <f>+'Solar Report_Base'!AB140</f>
        <v>0</v>
      </c>
      <c r="AC107" s="93">
        <f>+'Solar Report_Base'!AC140</f>
        <v>0</v>
      </c>
      <c r="AD107" s="93">
        <f>+'Solar Report_Base'!AD140</f>
        <v>0</v>
      </c>
      <c r="AE107" s="93">
        <f>+'Solar Report_Base'!AE140</f>
        <v>0</v>
      </c>
      <c r="AF107" s="93">
        <f>+'Solar Report_Base'!AF140</f>
        <v>0</v>
      </c>
      <c r="AG107" s="93">
        <f>+'Solar Report_Base'!AG140</f>
        <v>0</v>
      </c>
      <c r="AH107" s="93">
        <f>+'Solar Report_Base'!AH140</f>
        <v>0</v>
      </c>
      <c r="AI107" s="26">
        <f>AVERAGE(D107:AH107)</f>
        <v>7.3108381157726915E-2</v>
      </c>
    </row>
    <row r="108" spans="1:35" x14ac:dyDescent="0.25">
      <c r="B108" s="652" t="s">
        <v>227</v>
      </c>
      <c r="C108" s="653"/>
      <c r="D108" s="653"/>
      <c r="E108" s="653"/>
      <c r="F108" s="653"/>
      <c r="G108" s="653"/>
      <c r="H108" s="653"/>
      <c r="I108" s="653"/>
      <c r="J108" s="653"/>
      <c r="K108" s="653"/>
      <c r="L108" s="653"/>
      <c r="M108" s="653"/>
      <c r="N108" s="653"/>
      <c r="O108" s="653"/>
      <c r="P108" s="653"/>
      <c r="Q108" s="653"/>
      <c r="R108" s="653"/>
      <c r="S108" s="653"/>
      <c r="T108" s="653"/>
      <c r="U108" s="653"/>
      <c r="V108" s="653"/>
      <c r="W108" s="653"/>
      <c r="X108" s="653"/>
      <c r="Y108" s="653"/>
      <c r="Z108" s="653"/>
      <c r="AA108" s="653"/>
      <c r="AB108" s="653"/>
      <c r="AC108" s="653"/>
      <c r="AD108" s="653"/>
      <c r="AE108" s="653"/>
      <c r="AF108" s="653"/>
      <c r="AG108" s="653"/>
      <c r="AH108" s="653"/>
      <c r="AI108" s="654"/>
    </row>
    <row r="109" spans="1:35" x14ac:dyDescent="0.25">
      <c r="A109" t="s">
        <v>293</v>
      </c>
      <c r="B109" s="1" t="s">
        <v>2</v>
      </c>
      <c r="C109" s="1" t="s">
        <v>3</v>
      </c>
      <c r="D109" s="187">
        <v>1</v>
      </c>
      <c r="E109" s="187">
        <v>2</v>
      </c>
      <c r="F109" s="187">
        <v>3</v>
      </c>
      <c r="G109" s="187">
        <v>4</v>
      </c>
      <c r="H109" s="187">
        <v>5</v>
      </c>
      <c r="I109" s="187">
        <v>6</v>
      </c>
      <c r="J109" s="187">
        <v>7</v>
      </c>
      <c r="K109" s="187">
        <v>8</v>
      </c>
      <c r="L109" s="187">
        <v>9</v>
      </c>
      <c r="M109" s="187">
        <v>10</v>
      </c>
      <c r="N109" s="187">
        <v>11</v>
      </c>
      <c r="O109" s="187">
        <v>12</v>
      </c>
      <c r="P109" s="187">
        <v>13</v>
      </c>
      <c r="Q109" s="187">
        <v>14</v>
      </c>
      <c r="R109" s="187">
        <v>15</v>
      </c>
      <c r="S109" s="187">
        <v>16</v>
      </c>
      <c r="T109" s="187">
        <v>17</v>
      </c>
      <c r="U109" s="187">
        <v>18</v>
      </c>
      <c r="V109" s="187">
        <v>19</v>
      </c>
      <c r="W109" s="187">
        <v>20</v>
      </c>
      <c r="X109" s="187">
        <v>21</v>
      </c>
      <c r="Y109" s="187">
        <v>22</v>
      </c>
      <c r="Z109" s="187">
        <v>23</v>
      </c>
      <c r="AA109" s="187">
        <v>24</v>
      </c>
      <c r="AB109" s="187">
        <v>25</v>
      </c>
      <c r="AC109" s="187">
        <v>26</v>
      </c>
      <c r="AD109" s="187">
        <v>27</v>
      </c>
      <c r="AE109" s="187">
        <v>28</v>
      </c>
      <c r="AF109" s="187">
        <v>29</v>
      </c>
      <c r="AG109" s="187">
        <v>30</v>
      </c>
      <c r="AH109" s="187">
        <v>31</v>
      </c>
      <c r="AI109" s="187" t="s">
        <v>4</v>
      </c>
    </row>
    <row r="110" spans="1:35" x14ac:dyDescent="0.25">
      <c r="B110" s="1" t="s">
        <v>5</v>
      </c>
      <c r="C110" s="1" t="s">
        <v>6</v>
      </c>
      <c r="D110" s="191">
        <f>'Solar Report_Base'!D155</f>
        <v>170.5</v>
      </c>
      <c r="E110" s="191">
        <f>'Solar Report_Base'!E155</f>
        <v>271.70001000000002</v>
      </c>
      <c r="F110" s="191">
        <f>'Solar Report_Base'!F155</f>
        <v>244.3</v>
      </c>
      <c r="G110" s="191">
        <f>'Solar Report_Base'!G155</f>
        <v>220.5</v>
      </c>
      <c r="H110" s="191">
        <f>'Solar Report_Base'!H155</f>
        <v>283.60001</v>
      </c>
      <c r="I110" s="191">
        <f>'Solar Report_Base'!I155</f>
        <v>287.60000000000002</v>
      </c>
      <c r="J110" s="191">
        <f>'Solar Report_Base'!J155</f>
        <v>256.10001</v>
      </c>
      <c r="K110" s="191">
        <f>'Solar Report_Base'!K155</f>
        <v>274.89999</v>
      </c>
      <c r="L110" s="191">
        <f>'Solar Report_Base'!L155</f>
        <v>291</v>
      </c>
      <c r="M110" s="191">
        <f>'Solar Report_Base'!M155</f>
        <v>263.10001</v>
      </c>
      <c r="N110" s="191">
        <f>'Solar Report_Base'!N155</f>
        <v>273.20001000000002</v>
      </c>
      <c r="O110" s="191">
        <f>'Solar Report_Base'!O155</f>
        <v>242.89999</v>
      </c>
      <c r="P110" s="191">
        <f>'Solar Report_Base'!P155</f>
        <v>157.80000000000001</v>
      </c>
      <c r="Q110" s="191">
        <f>'Solar Report_Base'!Q155</f>
        <v>294.70001000000002</v>
      </c>
      <c r="R110" s="191">
        <f>'Solar Report_Base'!R155</f>
        <v>0</v>
      </c>
      <c r="S110" s="191">
        <f>'Solar Report_Base'!S155</f>
        <v>0</v>
      </c>
      <c r="T110" s="191">
        <f>'Solar Report_Base'!T155</f>
        <v>0</v>
      </c>
      <c r="U110" s="191">
        <f>'Solar Report_Base'!U155</f>
        <v>0</v>
      </c>
      <c r="V110" s="191">
        <f>'Solar Report_Base'!V155</f>
        <v>0</v>
      </c>
      <c r="W110" s="191">
        <f>'Solar Report_Base'!W155</f>
        <v>0</v>
      </c>
      <c r="X110" s="191">
        <f>'Solar Report_Base'!X155</f>
        <v>0</v>
      </c>
      <c r="Y110" s="191">
        <f>'Solar Report_Base'!Y155</f>
        <v>0</v>
      </c>
      <c r="Z110" s="191">
        <f>'Solar Report_Base'!Z155</f>
        <v>0</v>
      </c>
      <c r="AA110" s="191">
        <f>'Solar Report_Base'!AA155</f>
        <v>0</v>
      </c>
      <c r="AB110" s="191">
        <f>'Solar Report_Base'!AB155</f>
        <v>0</v>
      </c>
      <c r="AC110" s="191">
        <f>'Solar Report_Base'!AC155</f>
        <v>0</v>
      </c>
      <c r="AD110" s="191">
        <f>'Solar Report_Base'!AD155</f>
        <v>0</v>
      </c>
      <c r="AE110" s="191">
        <f>'Solar Report_Base'!AE155</f>
        <v>0</v>
      </c>
      <c r="AF110" s="191">
        <f>'Solar Report_Base'!AF155</f>
        <v>0</v>
      </c>
      <c r="AG110" s="191">
        <f>'Solar Report_Base'!AG155</f>
        <v>0</v>
      </c>
      <c r="AH110" s="191">
        <f>'Solar Report_Base'!AH155</f>
        <v>0</v>
      </c>
      <c r="AI110" s="3">
        <f>SUM(D110:AH110)</f>
        <v>3531.90004</v>
      </c>
    </row>
    <row r="111" spans="1:35" x14ac:dyDescent="0.25">
      <c r="B111" s="1" t="s">
        <v>7</v>
      </c>
      <c r="C111" s="1" t="s">
        <v>6</v>
      </c>
      <c r="D111" s="191">
        <f>'Solar Report_Base'!D156</f>
        <v>91.2</v>
      </c>
      <c r="E111" s="191">
        <f>'Solar Report_Base'!E156</f>
        <v>249.89999</v>
      </c>
      <c r="F111" s="191">
        <f>'Solar Report_Base'!F156</f>
        <v>224.10001</v>
      </c>
      <c r="G111" s="191">
        <f>'Solar Report_Base'!G156</f>
        <v>207.3</v>
      </c>
      <c r="H111" s="191">
        <f>'Solar Report_Base'!H156</f>
        <v>114.2</v>
      </c>
      <c r="I111" s="191">
        <f>'Solar Report_Base'!I156</f>
        <v>267.8</v>
      </c>
      <c r="J111" s="191">
        <f>'Solar Report_Base'!J156</f>
        <v>221.60001</v>
      </c>
      <c r="K111" s="191">
        <f>'Solar Report_Base'!K156</f>
        <v>222.60001</v>
      </c>
      <c r="L111" s="191">
        <f>'Solar Report_Base'!L156</f>
        <v>240.39999</v>
      </c>
      <c r="M111" s="191">
        <f>'Solar Report_Base'!M156</f>
        <v>195</v>
      </c>
      <c r="N111" s="191">
        <f>'Solar Report_Base'!N156</f>
        <v>264</v>
      </c>
      <c r="O111" s="191">
        <f>'Solar Report_Base'!O156</f>
        <v>235.39999</v>
      </c>
      <c r="P111" s="191">
        <f>'Solar Report_Base'!P156</f>
        <v>154.19999999999999</v>
      </c>
      <c r="Q111" s="191">
        <f>'Solar Report_Base'!Q156</f>
        <v>261</v>
      </c>
      <c r="R111" s="191">
        <f>'Solar Report_Base'!R156</f>
        <v>0</v>
      </c>
      <c r="S111" s="191">
        <f>'Solar Report_Base'!S156</f>
        <v>0</v>
      </c>
      <c r="T111" s="191">
        <f>'Solar Report_Base'!T156</f>
        <v>0</v>
      </c>
      <c r="U111" s="191">
        <f>'Solar Report_Base'!U156</f>
        <v>0</v>
      </c>
      <c r="V111" s="191">
        <f>'Solar Report_Base'!V156</f>
        <v>0</v>
      </c>
      <c r="W111" s="191">
        <f>'Solar Report_Base'!W156</f>
        <v>0</v>
      </c>
      <c r="X111" s="191">
        <f>'Solar Report_Base'!X156</f>
        <v>0</v>
      </c>
      <c r="Y111" s="191">
        <f>'Solar Report_Base'!Y156</f>
        <v>0</v>
      </c>
      <c r="Z111" s="191">
        <f>'Solar Report_Base'!Z156</f>
        <v>0</v>
      </c>
      <c r="AA111" s="191">
        <f>'Solar Report_Base'!AA156</f>
        <v>0</v>
      </c>
      <c r="AB111" s="191">
        <f>'Solar Report_Base'!AB156</f>
        <v>0</v>
      </c>
      <c r="AC111" s="191">
        <f>'Solar Report_Base'!AC156</f>
        <v>0</v>
      </c>
      <c r="AD111" s="191">
        <f>'Solar Report_Base'!AD156</f>
        <v>0</v>
      </c>
      <c r="AE111" s="191">
        <f>'Solar Report_Base'!AE156</f>
        <v>0</v>
      </c>
      <c r="AF111" s="191">
        <f>'Solar Report_Base'!AF156</f>
        <v>0</v>
      </c>
      <c r="AG111" s="191">
        <f>'Solar Report_Base'!AG156</f>
        <v>0</v>
      </c>
      <c r="AH111" s="191">
        <f>'Solar Report_Base'!AH156</f>
        <v>0</v>
      </c>
      <c r="AI111" s="3">
        <f>SUM(D111:AH111)</f>
        <v>2948.7</v>
      </c>
    </row>
    <row r="112" spans="1:35" x14ac:dyDescent="0.25">
      <c r="B112" s="1" t="s">
        <v>8</v>
      </c>
      <c r="C112" s="1" t="s">
        <v>6</v>
      </c>
      <c r="D112" s="191">
        <f>'Solar Report_Base'!D157</f>
        <v>168.7</v>
      </c>
      <c r="E112" s="191">
        <f>'Solar Report_Base'!E157</f>
        <v>276.29998999999998</v>
      </c>
      <c r="F112" s="191">
        <f>'Solar Report_Base'!F157</f>
        <v>243.60001</v>
      </c>
      <c r="G112" s="191">
        <f>'Solar Report_Base'!G157</f>
        <v>221.60001</v>
      </c>
      <c r="H112" s="191">
        <f>'Solar Report_Base'!H157</f>
        <v>289.20001000000002</v>
      </c>
      <c r="I112" s="191">
        <f>'Solar Report_Base'!I157</f>
        <v>289.8</v>
      </c>
      <c r="J112" s="191">
        <f>'Solar Report_Base'!J157</f>
        <v>255.2</v>
      </c>
      <c r="K112" s="191">
        <f>'Solar Report_Base'!K157</f>
        <v>271.89999</v>
      </c>
      <c r="L112" s="191">
        <f>'Solar Report_Base'!L157</f>
        <v>247.39999</v>
      </c>
      <c r="M112" s="191">
        <f>'Solar Report_Base'!M157</f>
        <v>197.7</v>
      </c>
      <c r="N112" s="191">
        <f>'Solar Report_Base'!N157</f>
        <v>274.70001000000002</v>
      </c>
      <c r="O112" s="191">
        <f>'Solar Report_Base'!O157</f>
        <v>244.10001</v>
      </c>
      <c r="P112" s="191">
        <f>'Solar Report_Base'!P157</f>
        <v>159.69999999999999</v>
      </c>
      <c r="Q112" s="191">
        <f>'Solar Report_Base'!Q157</f>
        <v>270.70001000000002</v>
      </c>
      <c r="R112" s="191">
        <f>'Solar Report_Base'!R157</f>
        <v>0</v>
      </c>
      <c r="S112" s="191">
        <f>'Solar Report_Base'!S157</f>
        <v>0</v>
      </c>
      <c r="T112" s="191">
        <f>'Solar Report_Base'!T157</f>
        <v>0</v>
      </c>
      <c r="U112" s="191">
        <f>'Solar Report_Base'!U157</f>
        <v>0</v>
      </c>
      <c r="V112" s="191">
        <f>'Solar Report_Base'!V157</f>
        <v>0</v>
      </c>
      <c r="W112" s="191">
        <f>'Solar Report_Base'!W157</f>
        <v>0</v>
      </c>
      <c r="X112" s="191">
        <f>'Solar Report_Base'!X157</f>
        <v>0</v>
      </c>
      <c r="Y112" s="191">
        <f>'Solar Report_Base'!Y157</f>
        <v>0</v>
      </c>
      <c r="Z112" s="191">
        <f>'Solar Report_Base'!Z157</f>
        <v>0</v>
      </c>
      <c r="AA112" s="191">
        <f>'Solar Report_Base'!AA157</f>
        <v>0</v>
      </c>
      <c r="AB112" s="191">
        <f>'Solar Report_Base'!AB157</f>
        <v>0</v>
      </c>
      <c r="AC112" s="191">
        <f>'Solar Report_Base'!AC157</f>
        <v>0</v>
      </c>
      <c r="AD112" s="191">
        <f>'Solar Report_Base'!AD157</f>
        <v>0</v>
      </c>
      <c r="AE112" s="191">
        <f>'Solar Report_Base'!AE157</f>
        <v>0</v>
      </c>
      <c r="AF112" s="191">
        <f>'Solar Report_Base'!AF157</f>
        <v>0</v>
      </c>
      <c r="AG112" s="191">
        <f>'Solar Report_Base'!AG157</f>
        <v>0</v>
      </c>
      <c r="AH112" s="191">
        <f>'Solar Report_Base'!AH157</f>
        <v>0</v>
      </c>
      <c r="AI112" s="3">
        <f>SUM(D112:AH112)</f>
        <v>3410.6000299999996</v>
      </c>
    </row>
    <row r="113" spans="1:37" x14ac:dyDescent="0.25">
      <c r="B113" s="1" t="s">
        <v>9</v>
      </c>
      <c r="C113" s="1" t="s">
        <v>6</v>
      </c>
      <c r="D113" s="191">
        <f>'Solar Report_Base'!D158</f>
        <v>128.10001</v>
      </c>
      <c r="E113" s="191">
        <f>'Solar Report_Base'!E158</f>
        <v>247.2</v>
      </c>
      <c r="F113" s="191">
        <f>'Solar Report_Base'!F158</f>
        <v>214.60001</v>
      </c>
      <c r="G113" s="191">
        <f>'Solar Report_Base'!G158</f>
        <v>190.5</v>
      </c>
      <c r="H113" s="191">
        <f>'Solar Report_Base'!H158</f>
        <v>255.89999</v>
      </c>
      <c r="I113" s="191">
        <f>'Solar Report_Base'!I158</f>
        <v>255.4</v>
      </c>
      <c r="J113" s="191">
        <f>'Solar Report_Base'!J158</f>
        <v>224.60001</v>
      </c>
      <c r="K113" s="191">
        <f>'Solar Report_Base'!K158</f>
        <v>240.8</v>
      </c>
      <c r="L113" s="191">
        <f>'Solar Report_Base'!L158</f>
        <v>223</v>
      </c>
      <c r="M113" s="191">
        <f>'Solar Report_Base'!M158</f>
        <v>188.7</v>
      </c>
      <c r="N113" s="191">
        <f>'Solar Report_Base'!N158</f>
        <v>220.7</v>
      </c>
      <c r="O113" s="191">
        <f>'Solar Report_Base'!O158</f>
        <v>215.5</v>
      </c>
      <c r="P113" s="191">
        <f>'Solar Report_Base'!P158</f>
        <v>125.9</v>
      </c>
      <c r="Q113" s="191">
        <f>'Solar Report_Base'!Q158</f>
        <v>227.39999</v>
      </c>
      <c r="R113" s="191">
        <f>'Solar Report_Base'!R158</f>
        <v>0</v>
      </c>
      <c r="S113" s="191">
        <f>'Solar Report_Base'!S158</f>
        <v>0</v>
      </c>
      <c r="T113" s="191">
        <f>'Solar Report_Base'!T158</f>
        <v>0</v>
      </c>
      <c r="U113" s="191">
        <f>'Solar Report_Base'!U158</f>
        <v>0</v>
      </c>
      <c r="V113" s="191">
        <f>'Solar Report_Base'!V158</f>
        <v>0</v>
      </c>
      <c r="W113" s="191">
        <f>'Solar Report_Base'!W158</f>
        <v>0</v>
      </c>
      <c r="X113" s="191">
        <f>'Solar Report_Base'!X158</f>
        <v>0</v>
      </c>
      <c r="Y113" s="191">
        <f>'Solar Report_Base'!Y158</f>
        <v>0</v>
      </c>
      <c r="Z113" s="191">
        <f>'Solar Report_Base'!Z158</f>
        <v>0</v>
      </c>
      <c r="AA113" s="191">
        <f>'Solar Report_Base'!AA158</f>
        <v>0</v>
      </c>
      <c r="AB113" s="191">
        <f>'Solar Report_Base'!AB158</f>
        <v>0</v>
      </c>
      <c r="AC113" s="191">
        <f>'Solar Report_Base'!AC158</f>
        <v>0</v>
      </c>
      <c r="AD113" s="191">
        <f>'Solar Report_Base'!AD158</f>
        <v>0</v>
      </c>
      <c r="AE113" s="191">
        <f>'Solar Report_Base'!AE158</f>
        <v>0</v>
      </c>
      <c r="AF113" s="191">
        <f>'Solar Report_Base'!AF158</f>
        <v>0</v>
      </c>
      <c r="AG113" s="191">
        <f>'Solar Report_Base'!AG158</f>
        <v>0</v>
      </c>
      <c r="AH113" s="191">
        <f>'Solar Report_Base'!AH158</f>
        <v>0</v>
      </c>
      <c r="AI113" s="3">
        <f>SUM(D113:AH113)</f>
        <v>2958.3000099999999</v>
      </c>
    </row>
    <row r="114" spans="1:37" x14ac:dyDescent="0.25">
      <c r="B114" s="1" t="s">
        <v>24</v>
      </c>
      <c r="C114" s="1" t="s">
        <v>6</v>
      </c>
      <c r="D114" s="216">
        <f>+'Solar Report_Base'!D159</f>
        <v>558.50000999999997</v>
      </c>
      <c r="E114" s="216">
        <f>+'Solar Report_Base'!E159</f>
        <v>1045.0999899999999</v>
      </c>
      <c r="F114" s="216">
        <f>+'Solar Report_Base'!F159</f>
        <v>926.60002999999995</v>
      </c>
      <c r="G114" s="216">
        <f>+'Solar Report_Base'!G159</f>
        <v>839.90001000000007</v>
      </c>
      <c r="H114" s="216">
        <f>+'Solar Report_Base'!H159</f>
        <v>942.90000999999995</v>
      </c>
      <c r="I114" s="216">
        <f>+'Solar Report_Base'!I159</f>
        <v>1100.6000000000001</v>
      </c>
      <c r="J114" s="216">
        <f>+'Solar Report_Base'!J159</f>
        <v>957.50003000000004</v>
      </c>
      <c r="K114" s="216">
        <f>+'Solar Report_Base'!K159</f>
        <v>1010.1999900000001</v>
      </c>
      <c r="L114" s="216">
        <f>+'Solar Report_Base'!L159</f>
        <v>1001.79998</v>
      </c>
      <c r="M114" s="216">
        <f>+'Solar Report_Base'!M159</f>
        <v>844.50000999999997</v>
      </c>
      <c r="N114" s="216">
        <f>+'Solar Report_Base'!N159</f>
        <v>1032.6000200000001</v>
      </c>
      <c r="O114" s="216">
        <f>+'Solar Report_Base'!O159</f>
        <v>937.89999</v>
      </c>
      <c r="P114" s="216">
        <f>+'Solar Report_Base'!P159</f>
        <v>597.6</v>
      </c>
      <c r="Q114" s="216">
        <f>+'Solar Report_Base'!Q159</f>
        <v>1053.8000099999999</v>
      </c>
      <c r="R114" s="216">
        <f>+'Solar Report_Base'!R159</f>
        <v>0</v>
      </c>
      <c r="S114" s="216">
        <f>+'Solar Report_Base'!S159</f>
        <v>0</v>
      </c>
      <c r="T114" s="216">
        <f>+'Solar Report_Base'!T159</f>
        <v>0</v>
      </c>
      <c r="U114" s="216">
        <f>+'Solar Report_Base'!U159</f>
        <v>0</v>
      </c>
      <c r="V114" s="216">
        <f>+'Solar Report_Base'!V159</f>
        <v>0</v>
      </c>
      <c r="W114" s="216">
        <f>+'Solar Report_Base'!W159</f>
        <v>0</v>
      </c>
      <c r="X114" s="216">
        <f>+'Solar Report_Base'!X159</f>
        <v>0</v>
      </c>
      <c r="Y114" s="216">
        <f>+'Solar Report_Base'!Y159</f>
        <v>0</v>
      </c>
      <c r="Z114" s="216">
        <f>+'Solar Report_Base'!Z159</f>
        <v>0</v>
      </c>
      <c r="AA114" s="216">
        <f>+'Solar Report_Base'!AA159</f>
        <v>0</v>
      </c>
      <c r="AB114" s="216">
        <f>+'Solar Report_Base'!AB159</f>
        <v>0</v>
      </c>
      <c r="AC114" s="216">
        <f>+'Solar Report_Base'!AC159</f>
        <v>0</v>
      </c>
      <c r="AD114" s="216">
        <f>+'Solar Report_Base'!AD159</f>
        <v>0</v>
      </c>
      <c r="AE114" s="216">
        <f>+'Solar Report_Base'!AE159</f>
        <v>0</v>
      </c>
      <c r="AF114" s="216">
        <f>+'Solar Report_Base'!AF159</f>
        <v>0</v>
      </c>
      <c r="AG114" s="216">
        <f>+'Solar Report_Base'!AG159</f>
        <v>0</v>
      </c>
      <c r="AH114" s="216">
        <f>+'Solar Report_Base'!AH159</f>
        <v>0</v>
      </c>
      <c r="AI114" s="3">
        <f>SUM(D114:AH114)</f>
        <v>12849.500080000002</v>
      </c>
      <c r="AK114" s="4">
        <f>AI114+AJ48</f>
        <v>86404.00016000004</v>
      </c>
    </row>
    <row r="115" spans="1:37" x14ac:dyDescent="0.25">
      <c r="B115" s="21" t="s">
        <v>25</v>
      </c>
      <c r="C115" s="1" t="s">
        <v>26</v>
      </c>
      <c r="D115" s="216">
        <f>+'Solar Report_Base'!D160</f>
        <v>3.7484500000000001</v>
      </c>
      <c r="E115" s="216">
        <f>+'Solar Report_Base'!E160</f>
        <v>6.0716673890814263</v>
      </c>
      <c r="F115" s="216">
        <f>+'Solar Report_Base'!F160</f>
        <v>5.4782427087693755</v>
      </c>
      <c r="G115" s="216">
        <f>+'Solar Report_Base'!G160</f>
        <v>5.0100119005253374</v>
      </c>
      <c r="H115" s="216">
        <f>+'Solar Report_Base'!H160</f>
        <v>6.3320500000000006</v>
      </c>
      <c r="I115" s="216">
        <f>+'Solar Report_Base'!I160</f>
        <v>6.461333333333334</v>
      </c>
      <c r="J115" s="216">
        <f>+'Solar Report_Base'!J160</f>
        <v>5.8683599258412542</v>
      </c>
      <c r="K115" s="216">
        <f>+'Solar Report_Base'!K160</f>
        <v>6.3128986409965853</v>
      </c>
      <c r="L115" s="216">
        <f>+'Solar Report_Base'!L160</f>
        <v>6.3731500000000008</v>
      </c>
      <c r="M115" s="216">
        <f>+'Solar Report_Base'!M160</f>
        <v>5.9816623144314329</v>
      </c>
      <c r="N115" s="216">
        <f>+'Solar Report_Base'!N160</f>
        <v>6.1945907327065033</v>
      </c>
      <c r="O115" s="216">
        <f>+'Solar Report_Base'!O160</f>
        <v>5.4119333333333328</v>
      </c>
      <c r="P115" s="216">
        <f>+'Solar Report_Base'!P160</f>
        <v>4.0240273200000036</v>
      </c>
      <c r="Q115" s="216">
        <f>+'Solar Report_Base'!Q160</f>
        <v>6.6786094831844771</v>
      </c>
      <c r="R115" s="216">
        <f>+'Solar Report_Base'!R160</f>
        <v>0</v>
      </c>
      <c r="S115" s="216">
        <f>+'Solar Report_Base'!S160</f>
        <v>0</v>
      </c>
      <c r="T115" s="216">
        <f>+'Solar Report_Base'!T160</f>
        <v>0</v>
      </c>
      <c r="U115" s="216">
        <f>+'Solar Report_Base'!U160</f>
        <v>0</v>
      </c>
      <c r="V115" s="216">
        <f>+'Solar Report_Base'!V160</f>
        <v>0</v>
      </c>
      <c r="W115" s="216">
        <f>+'Solar Report_Base'!W160</f>
        <v>0</v>
      </c>
      <c r="X115" s="216">
        <f>+'Solar Report_Base'!X160</f>
        <v>0</v>
      </c>
      <c r="Y115" s="216">
        <f>+'Solar Report_Base'!Y160</f>
        <v>0</v>
      </c>
      <c r="Z115" s="216">
        <f>+'Solar Report_Base'!Z160</f>
        <v>0</v>
      </c>
      <c r="AA115" s="216">
        <f>+'Solar Report_Base'!AA160</f>
        <v>0</v>
      </c>
      <c r="AB115" s="216">
        <f>+'Solar Report_Base'!AB160</f>
        <v>0</v>
      </c>
      <c r="AC115" s="216">
        <f>+'Solar Report_Base'!AC160</f>
        <v>0</v>
      </c>
      <c r="AD115" s="216">
        <f>+'Solar Report_Base'!AD160</f>
        <v>0</v>
      </c>
      <c r="AE115" s="216">
        <f>+'Solar Report_Base'!AE160</f>
        <v>0</v>
      </c>
      <c r="AF115" s="216">
        <f>+'Solar Report_Base'!AF160</f>
        <v>0</v>
      </c>
      <c r="AG115" s="216">
        <f>+'Solar Report_Base'!AG160</f>
        <v>0</v>
      </c>
      <c r="AH115" s="216">
        <f>+'Solar Report_Base'!AH160</f>
        <v>0</v>
      </c>
      <c r="AI115" s="24">
        <f>AVERAGE(D115:AH115)</f>
        <v>2.578935067167841</v>
      </c>
    </row>
    <row r="116" spans="1:37" x14ac:dyDescent="0.25">
      <c r="B116" s="21" t="s">
        <v>27</v>
      </c>
      <c r="C116" s="1" t="s">
        <v>6</v>
      </c>
      <c r="D116" s="216">
        <f>+'Solar Report_Base'!D161</f>
        <v>0</v>
      </c>
      <c r="E116" s="216">
        <f>+'Solar Report_Base'!E161</f>
        <v>0</v>
      </c>
      <c r="F116" s="216">
        <f>+'Solar Report_Base'!F161</f>
        <v>0</v>
      </c>
      <c r="G116" s="216">
        <f>+'Solar Report_Base'!G161</f>
        <v>0</v>
      </c>
      <c r="H116" s="216">
        <f>+'Solar Report_Base'!H161</f>
        <v>0</v>
      </c>
      <c r="I116" s="216">
        <f>+'Solar Report_Base'!I161</f>
        <v>0</v>
      </c>
      <c r="J116" s="216">
        <f>+'Solar Report_Base'!J161</f>
        <v>0</v>
      </c>
      <c r="K116" s="216">
        <f>+'Solar Report_Base'!K161</f>
        <v>0</v>
      </c>
      <c r="L116" s="216">
        <f>+'Solar Report_Base'!L161</f>
        <v>0</v>
      </c>
      <c r="M116" s="216">
        <f>+'Solar Report_Base'!M161</f>
        <v>0</v>
      </c>
      <c r="N116" s="216">
        <f>+'Solar Report_Base'!N161</f>
        <v>0</v>
      </c>
      <c r="O116" s="216">
        <f>+'Solar Report_Base'!O161</f>
        <v>0</v>
      </c>
      <c r="P116" s="216">
        <f>+'Solar Report_Base'!P161</f>
        <v>0</v>
      </c>
      <c r="Q116" s="216">
        <f>+'Solar Report_Base'!Q161</f>
        <v>0</v>
      </c>
      <c r="R116" s="216">
        <f>+'Solar Report_Base'!R161</f>
        <v>0</v>
      </c>
      <c r="S116" s="216">
        <f>+'Solar Report_Base'!S161</f>
        <v>0</v>
      </c>
      <c r="T116" s="216">
        <f>+'Solar Report_Base'!T161</f>
        <v>0</v>
      </c>
      <c r="U116" s="216">
        <f>+'Solar Report_Base'!U161</f>
        <v>0</v>
      </c>
      <c r="V116" s="216">
        <f>+'Solar Report_Base'!V161</f>
        <v>0</v>
      </c>
      <c r="W116" s="216">
        <f>+'Solar Report_Base'!W161</f>
        <v>0</v>
      </c>
      <c r="X116" s="216">
        <f>+'Solar Report_Base'!X161</f>
        <v>0</v>
      </c>
      <c r="Y116" s="216">
        <f>+'Solar Report_Base'!Y161</f>
        <v>0</v>
      </c>
      <c r="Z116" s="216">
        <f>+'Solar Report_Base'!Z161</f>
        <v>0</v>
      </c>
      <c r="AA116" s="216">
        <f>+'Solar Report_Base'!AA161</f>
        <v>0</v>
      </c>
      <c r="AB116" s="216">
        <f>+'Solar Report_Base'!AB161</f>
        <v>0</v>
      </c>
      <c r="AC116" s="216">
        <f>+'Solar Report_Base'!AC161</f>
        <v>0</v>
      </c>
      <c r="AD116" s="216">
        <f>+'Solar Report_Base'!AD161</f>
        <v>0</v>
      </c>
      <c r="AE116" s="216">
        <f>+'Solar Report_Base'!AE161</f>
        <v>0</v>
      </c>
      <c r="AF116" s="216">
        <f>+'Solar Report_Base'!AF161</f>
        <v>0</v>
      </c>
      <c r="AG116" s="216">
        <f>+'Solar Report_Base'!AG161</f>
        <v>0</v>
      </c>
      <c r="AH116" s="216">
        <f>+'Solar Report_Base'!AH161</f>
        <v>0</v>
      </c>
      <c r="AI116" s="3">
        <f t="shared" ref="AI116:AI118" si="4">SUM(D116:AH116)</f>
        <v>0</v>
      </c>
    </row>
    <row r="117" spans="1:37" x14ac:dyDescent="0.25">
      <c r="B117" s="21" t="s">
        <v>28</v>
      </c>
      <c r="C117" s="1" t="s">
        <v>0</v>
      </c>
      <c r="D117" s="72">
        <f>+'Solar Report_Base'!D162</f>
        <v>0.11805420005798625</v>
      </c>
      <c r="E117" s="72">
        <f>+'Solar Report_Base'!E162</f>
        <v>0.1858431618864109</v>
      </c>
      <c r="F117" s="72">
        <f>+'Solar Report_Base'!F162</f>
        <v>0.16666055871596444</v>
      </c>
      <c r="G117" s="72">
        <f>+'Solar Report_Base'!G162</f>
        <v>0.1522814473517099</v>
      </c>
      <c r="H117" s="72">
        <f>+'Solar Report_Base'!H162</f>
        <v>0.19482416713890438</v>
      </c>
      <c r="I117" s="72">
        <f>+'Solar Report_Base'!I162</f>
        <v>0.19610665623485329</v>
      </c>
      <c r="J117" s="72">
        <f>+'Solar Report_Base'!J162</f>
        <v>0.17617400313322309</v>
      </c>
      <c r="K117" s="72">
        <f>+'Solar Report_Base'!K162</f>
        <v>0.18775720093336667</v>
      </c>
      <c r="L117" s="72">
        <f>+'Solar Report_Base'!L162</f>
        <v>0.18849160519214692</v>
      </c>
      <c r="M117" s="72">
        <f>+'Solar Report_Base'!M162</f>
        <v>0.18013673589403514</v>
      </c>
      <c r="N117" s="72">
        <f>+'Solar Report_Base'!N162</f>
        <v>0.18948200014074298</v>
      </c>
      <c r="O117" s="72">
        <f>+'Solar Report_Base'!O162</f>
        <v>0.16713200904391609</v>
      </c>
      <c r="P117" s="72">
        <f>+'Solar Report_Base'!P162</f>
        <v>0.1252956485744543</v>
      </c>
      <c r="Q117" s="72">
        <f>+'Solar Report_Base'!Q162</f>
        <v>0.20362414593350392</v>
      </c>
      <c r="R117" s="72">
        <f>+'Solar Report_Base'!R162</f>
        <v>0</v>
      </c>
      <c r="S117" s="72">
        <f>+'Solar Report_Base'!S162</f>
        <v>0</v>
      </c>
      <c r="T117" s="72">
        <f>+'Solar Report_Base'!T162</f>
        <v>0</v>
      </c>
      <c r="U117" s="72">
        <f>+'Solar Report_Base'!U162</f>
        <v>0</v>
      </c>
      <c r="V117" s="72">
        <f>+'Solar Report_Base'!V162</f>
        <v>0</v>
      </c>
      <c r="W117" s="72">
        <f>+'Solar Report_Base'!W162</f>
        <v>0</v>
      </c>
      <c r="X117" s="72">
        <f>+'Solar Report_Base'!X162</f>
        <v>0</v>
      </c>
      <c r="Y117" s="72">
        <f>+'Solar Report_Base'!Y162</f>
        <v>0</v>
      </c>
      <c r="Z117" s="72">
        <f>+'Solar Report_Base'!Z162</f>
        <v>0</v>
      </c>
      <c r="AA117" s="72">
        <f>+'Solar Report_Base'!AA162</f>
        <v>0</v>
      </c>
      <c r="AB117" s="72">
        <f>+'Solar Report_Base'!AB162</f>
        <v>0</v>
      </c>
      <c r="AC117" s="72">
        <f>+'Solar Report_Base'!AC162</f>
        <v>0</v>
      </c>
      <c r="AD117" s="72">
        <f>+'Solar Report_Base'!AD162</f>
        <v>0</v>
      </c>
      <c r="AE117" s="72">
        <f>+'Solar Report_Base'!AE162</f>
        <v>0</v>
      </c>
      <c r="AF117" s="72">
        <f>+'Solar Report_Base'!AF162</f>
        <v>0</v>
      </c>
      <c r="AG117" s="72">
        <f>+'Solar Report_Base'!AG162</f>
        <v>0</v>
      </c>
      <c r="AH117" s="72">
        <f>+'Solar Report_Base'!AH162</f>
        <v>0</v>
      </c>
      <c r="AI117" s="3">
        <f t="shared" si="4"/>
        <v>2.4318635402312179</v>
      </c>
    </row>
    <row r="118" spans="1:37" x14ac:dyDescent="0.25">
      <c r="B118" s="25" t="s">
        <v>35</v>
      </c>
      <c r="C118" s="1" t="s">
        <v>0</v>
      </c>
      <c r="D118" s="72">
        <f>+'Solar Report_Base'!D163</f>
        <v>9.3834007056451604E-2</v>
      </c>
      <c r="E118" s="72">
        <f>+'Solar Report_Base'!E163</f>
        <v>0.17558803595430106</v>
      </c>
      <c r="F118" s="72">
        <f>+'Solar Report_Base'!F163</f>
        <v>0.15567876848118278</v>
      </c>
      <c r="G118" s="72">
        <f>+'Solar Report_Base'!G163</f>
        <v>0.14111223286290323</v>
      </c>
      <c r="H118" s="72">
        <f>+'Solar Report_Base'!H163</f>
        <v>0.15841734038978494</v>
      </c>
      <c r="I118" s="72">
        <f>+'Solar Report_Base'!I163</f>
        <v>0.18491263440860217</v>
      </c>
      <c r="J118" s="72">
        <f>+'Solar Report_Base'!J163</f>
        <v>0.16087030073924732</v>
      </c>
      <c r="K118" s="72">
        <f>+'Solar Report_Base'!K163</f>
        <v>0.16972446068548389</v>
      </c>
      <c r="L118" s="72">
        <f>+'Solar Report_Base'!L163</f>
        <v>0.16831316868279569</v>
      </c>
      <c r="M118" s="72">
        <f>+'Solar Report_Base'!M163</f>
        <v>0.14188508232526881</v>
      </c>
      <c r="N118" s="72">
        <f>+'Solar Report_Base'!N163</f>
        <v>0.17348790658602151</v>
      </c>
      <c r="O118" s="72">
        <f>+'Solar Report_Base'!O163</f>
        <v>0.15757728326612902</v>
      </c>
      <c r="P118" s="72">
        <f>+'Solar Report_Base'!P163</f>
        <v>0.10040322580645161</v>
      </c>
      <c r="Q118" s="72">
        <f>+'Solar Report_Base'!Q163</f>
        <v>0.17704973286290321</v>
      </c>
      <c r="R118" s="72">
        <f>+'Solar Report_Base'!R163</f>
        <v>0</v>
      </c>
      <c r="S118" s="72">
        <f>+'Solar Report_Base'!S163</f>
        <v>0</v>
      </c>
      <c r="T118" s="72">
        <f>+'Solar Report_Base'!T163</f>
        <v>0</v>
      </c>
      <c r="U118" s="72">
        <f>+'Solar Report_Base'!U163</f>
        <v>0</v>
      </c>
      <c r="V118" s="72">
        <f>+'Solar Report_Base'!V163</f>
        <v>0</v>
      </c>
      <c r="W118" s="72">
        <f>+'Solar Report_Base'!W163</f>
        <v>0</v>
      </c>
      <c r="X118" s="72">
        <f>+'Solar Report_Base'!X163</f>
        <v>0</v>
      </c>
      <c r="Y118" s="72">
        <f>+'Solar Report_Base'!Y163</f>
        <v>0</v>
      </c>
      <c r="Z118" s="72">
        <f>+'Solar Report_Base'!Z163</f>
        <v>0</v>
      </c>
      <c r="AA118" s="72">
        <f>+'Solar Report_Base'!AA163</f>
        <v>0</v>
      </c>
      <c r="AB118" s="72">
        <f>+'Solar Report_Base'!AB163</f>
        <v>0</v>
      </c>
      <c r="AC118" s="72">
        <f>+'Solar Report_Base'!AC163</f>
        <v>0</v>
      </c>
      <c r="AD118" s="72">
        <f>+'Solar Report_Base'!AD163</f>
        <v>0</v>
      </c>
      <c r="AE118" s="72">
        <f>+'Solar Report_Base'!AE163</f>
        <v>0</v>
      </c>
      <c r="AF118" s="72">
        <f>+'Solar Report_Base'!AF163</f>
        <v>0</v>
      </c>
      <c r="AG118" s="72">
        <f>+'Solar Report_Base'!AG163</f>
        <v>0</v>
      </c>
      <c r="AH118" s="72">
        <f>+'Solar Report_Base'!AH163</f>
        <v>0</v>
      </c>
      <c r="AI118" s="3">
        <f t="shared" si="4"/>
        <v>2.1588541801075269</v>
      </c>
    </row>
    <row r="120" spans="1:37" x14ac:dyDescent="0.25">
      <c r="A120" t="s">
        <v>41</v>
      </c>
      <c r="B120" s="1" t="s">
        <v>2</v>
      </c>
      <c r="C120" s="1" t="s">
        <v>3</v>
      </c>
      <c r="D120" s="187">
        <v>1</v>
      </c>
      <c r="E120" s="187">
        <v>2</v>
      </c>
      <c r="F120" s="187">
        <v>3</v>
      </c>
      <c r="G120" s="187">
        <v>4</v>
      </c>
      <c r="H120" s="187">
        <v>5</v>
      </c>
      <c r="I120" s="187">
        <v>6</v>
      </c>
      <c r="J120" s="187">
        <v>7</v>
      </c>
      <c r="K120" s="187">
        <v>8</v>
      </c>
      <c r="L120" s="187">
        <v>9</v>
      </c>
      <c r="M120" s="187">
        <v>10</v>
      </c>
      <c r="N120" s="187">
        <v>11</v>
      </c>
      <c r="O120" s="187">
        <v>12</v>
      </c>
      <c r="P120" s="187">
        <v>13</v>
      </c>
      <c r="Q120" s="187">
        <v>14</v>
      </c>
      <c r="R120" s="187">
        <v>15</v>
      </c>
      <c r="S120" s="187">
        <v>16</v>
      </c>
      <c r="T120" s="187">
        <v>17</v>
      </c>
      <c r="U120" s="187">
        <v>18</v>
      </c>
      <c r="V120" s="187">
        <v>19</v>
      </c>
      <c r="W120" s="187">
        <v>20</v>
      </c>
      <c r="X120" s="187">
        <v>21</v>
      </c>
      <c r="Y120" s="187">
        <v>22</v>
      </c>
      <c r="Z120" s="187">
        <v>23</v>
      </c>
      <c r="AA120" s="187">
        <v>24</v>
      </c>
      <c r="AB120" s="187">
        <v>25</v>
      </c>
      <c r="AC120" s="91">
        <v>26</v>
      </c>
      <c r="AD120" s="187">
        <v>27</v>
      </c>
      <c r="AE120" s="187">
        <v>28</v>
      </c>
      <c r="AF120" s="187">
        <v>29</v>
      </c>
      <c r="AG120" s="187">
        <v>30</v>
      </c>
      <c r="AH120" s="187">
        <v>31</v>
      </c>
      <c r="AI120" s="187" t="s">
        <v>4</v>
      </c>
    </row>
    <row r="121" spans="1:37" x14ac:dyDescent="0.25">
      <c r="B121" s="1" t="s">
        <v>265</v>
      </c>
      <c r="C121" s="1" t="s">
        <v>6</v>
      </c>
      <c r="D121" s="191">
        <f>+'Solar Report_Base'!D178</f>
        <v>78.680000000000007</v>
      </c>
      <c r="E121" s="191">
        <f>+'Solar Report_Base'!E178</f>
        <v>60.12</v>
      </c>
      <c r="F121" s="191">
        <f>+'Solar Report_Base'!F178</f>
        <v>84.43</v>
      </c>
      <c r="G121" s="191">
        <f>+'Solar Report_Base'!G178</f>
        <v>63.11</v>
      </c>
      <c r="H121" s="191">
        <f>+'Solar Report_Base'!H178</f>
        <v>95.01</v>
      </c>
      <c r="I121" s="191">
        <f>+'Solar Report_Base'!I178</f>
        <v>100.1</v>
      </c>
      <c r="J121" s="191">
        <f>+'Solar Report_Base'!J178</f>
        <v>102.49</v>
      </c>
      <c r="K121" s="191">
        <f>+'Solar Report_Base'!K178</f>
        <v>103.22</v>
      </c>
      <c r="L121" s="191">
        <f>+'Solar Report_Base'!L178</f>
        <v>105.09</v>
      </c>
      <c r="M121" s="191">
        <f>+'Solar Report_Base'!M178</f>
        <v>105.08</v>
      </c>
      <c r="N121" s="191">
        <f>+'Solar Report_Base'!N178</f>
        <v>106.26</v>
      </c>
      <c r="O121" s="191">
        <f>+'Solar Report_Base'!O178</f>
        <v>105.1</v>
      </c>
      <c r="P121" s="191">
        <f>+'Solar Report_Base'!P178</f>
        <v>98.96</v>
      </c>
      <c r="Q121" s="191">
        <f>+'Solar Report_Base'!Q178</f>
        <v>96.74</v>
      </c>
      <c r="R121" s="191">
        <f>+'Solar Report_Base'!R178</f>
        <v>0</v>
      </c>
      <c r="S121" s="191">
        <f>+'Solar Report_Base'!S178</f>
        <v>0</v>
      </c>
      <c r="T121" s="191">
        <f>+'Solar Report_Base'!T178</f>
        <v>0</v>
      </c>
      <c r="U121" s="191">
        <f>+'Solar Report_Base'!U178</f>
        <v>0</v>
      </c>
      <c r="V121" s="191">
        <f>+'Solar Report_Base'!V178</f>
        <v>0</v>
      </c>
      <c r="W121" s="191">
        <f>+'Solar Report_Base'!W178</f>
        <v>0</v>
      </c>
      <c r="X121" s="191">
        <f>+'Solar Report_Base'!X178</f>
        <v>0</v>
      </c>
      <c r="Y121" s="191">
        <f>+'Solar Report_Base'!Y178</f>
        <v>0</v>
      </c>
      <c r="Z121" s="191">
        <f>+'Solar Report_Base'!Z178</f>
        <v>0</v>
      </c>
      <c r="AA121" s="191">
        <f>+'Solar Report_Base'!AA178</f>
        <v>0</v>
      </c>
      <c r="AB121" s="191">
        <f>+'Solar Report_Base'!AB178</f>
        <v>0</v>
      </c>
      <c r="AC121" s="191">
        <f>+'Solar Report_Base'!AC178</f>
        <v>0</v>
      </c>
      <c r="AD121" s="191">
        <f>+'Solar Report_Base'!AD178</f>
        <v>0</v>
      </c>
      <c r="AE121" s="191">
        <f>+'Solar Report_Base'!AE178</f>
        <v>0</v>
      </c>
      <c r="AF121" s="191">
        <f>+'Solar Report_Base'!AF178</f>
        <v>0</v>
      </c>
      <c r="AG121" s="191">
        <f>+'Solar Report_Base'!AG178</f>
        <v>0</v>
      </c>
      <c r="AH121" s="191">
        <f>+'Solar Report_Base'!AH178</f>
        <v>0</v>
      </c>
      <c r="AI121" s="3">
        <f t="shared" ref="AI121:AI123" si="5">SUM(D121:AH121)</f>
        <v>1304.3900000000001</v>
      </c>
    </row>
    <row r="122" spans="1:37" x14ac:dyDescent="0.25">
      <c r="B122" s="1" t="s">
        <v>266</v>
      </c>
      <c r="C122" s="1" t="s">
        <v>6</v>
      </c>
      <c r="D122" s="191">
        <f>+'Solar Report_Base'!D179</f>
        <v>109.03</v>
      </c>
      <c r="E122" s="191">
        <f>+'Solar Report_Base'!E179</f>
        <v>70.38</v>
      </c>
      <c r="F122" s="191">
        <f>+'Solar Report_Base'!F179</f>
        <v>80.38</v>
      </c>
      <c r="G122" s="191">
        <f>+'Solar Report_Base'!G179</f>
        <v>97.18</v>
      </c>
      <c r="H122" s="191">
        <f>+'Solar Report_Base'!H179</f>
        <v>129</v>
      </c>
      <c r="I122" s="191">
        <f>+'Solar Report_Base'!I179</f>
        <v>143.16999999999999</v>
      </c>
      <c r="J122" s="191">
        <f>+'Solar Report_Base'!J179</f>
        <v>147.08000000000001</v>
      </c>
      <c r="K122" s="191">
        <f>+'Solar Report_Base'!K179</f>
        <v>148.74</v>
      </c>
      <c r="L122" s="191">
        <f>+'Solar Report_Base'!L179</f>
        <v>152.57</v>
      </c>
      <c r="M122" s="191">
        <f>+'Solar Report_Base'!M179</f>
        <v>153.69999999999999</v>
      </c>
      <c r="N122" s="191">
        <f>+'Solar Report_Base'!N179</f>
        <v>151.74</v>
      </c>
      <c r="O122" s="191">
        <f>+'Solar Report_Base'!O179</f>
        <v>146.1</v>
      </c>
      <c r="P122" s="191">
        <f>+'Solar Report_Base'!P179</f>
        <v>138.25</v>
      </c>
      <c r="Q122" s="191">
        <f>+'Solar Report_Base'!Q179</f>
        <v>135.84</v>
      </c>
      <c r="R122" s="191">
        <f>+'Solar Report_Base'!R179</f>
        <v>0</v>
      </c>
      <c r="S122" s="191">
        <f>+'Solar Report_Base'!S179</f>
        <v>0</v>
      </c>
      <c r="T122" s="191">
        <f>+'Solar Report_Base'!T179</f>
        <v>0</v>
      </c>
      <c r="U122" s="191">
        <f>+'Solar Report_Base'!U179</f>
        <v>0</v>
      </c>
      <c r="V122" s="191">
        <f>+'Solar Report_Base'!V179</f>
        <v>0</v>
      </c>
      <c r="W122" s="191">
        <f>+'Solar Report_Base'!W179</f>
        <v>0</v>
      </c>
      <c r="X122" s="191">
        <f>+'Solar Report_Base'!X179</f>
        <v>0</v>
      </c>
      <c r="Y122" s="191">
        <f>+'Solar Report_Base'!Y179</f>
        <v>0</v>
      </c>
      <c r="Z122" s="191">
        <f>+'Solar Report_Base'!Z179</f>
        <v>0</v>
      </c>
      <c r="AA122" s="191">
        <f>+'Solar Report_Base'!AA179</f>
        <v>0</v>
      </c>
      <c r="AB122" s="191">
        <f>+'Solar Report_Base'!AB179</f>
        <v>0</v>
      </c>
      <c r="AC122" s="191">
        <f>+'Solar Report_Base'!AC179</f>
        <v>0</v>
      </c>
      <c r="AD122" s="191">
        <f>+'Solar Report_Base'!AD179</f>
        <v>0</v>
      </c>
      <c r="AE122" s="191">
        <f>+'Solar Report_Base'!AE179</f>
        <v>0</v>
      </c>
      <c r="AF122" s="191">
        <f>+'Solar Report_Base'!AF179</f>
        <v>0</v>
      </c>
      <c r="AG122" s="191">
        <f>+'Solar Report_Base'!AG179</f>
        <v>0</v>
      </c>
      <c r="AH122" s="191">
        <f>+'Solar Report_Base'!AH179</f>
        <v>0</v>
      </c>
      <c r="AI122" s="3">
        <f t="shared" si="5"/>
        <v>1803.1599999999999</v>
      </c>
    </row>
    <row r="123" spans="1:37" x14ac:dyDescent="0.25">
      <c r="B123" s="1" t="s">
        <v>267</v>
      </c>
      <c r="C123" s="1" t="s">
        <v>6</v>
      </c>
      <c r="D123" s="191">
        <f>+'Solar Report_Base'!D180</f>
        <v>87.63</v>
      </c>
      <c r="E123" s="191">
        <f>+'Solar Report_Base'!E180</f>
        <v>74.53</v>
      </c>
      <c r="F123" s="191">
        <f>+'Solar Report_Base'!F180</f>
        <v>85.62</v>
      </c>
      <c r="G123" s="191">
        <f>+'Solar Report_Base'!G180</f>
        <v>79.739999999999995</v>
      </c>
      <c r="H123" s="191">
        <f>+'Solar Report_Base'!H180</f>
        <v>105.56</v>
      </c>
      <c r="I123" s="191">
        <f>+'Solar Report_Base'!I180</f>
        <v>117.35</v>
      </c>
      <c r="J123" s="191">
        <f>+'Solar Report_Base'!J180</f>
        <v>120.6</v>
      </c>
      <c r="K123" s="191">
        <f>+'Solar Report_Base'!K180</f>
        <v>121.96</v>
      </c>
      <c r="L123" s="191">
        <f>+'Solar Report_Base'!L180</f>
        <v>124.62</v>
      </c>
      <c r="M123" s="191">
        <f>+'Solar Report_Base'!M180</f>
        <v>127.12</v>
      </c>
      <c r="N123" s="191">
        <f>+'Solar Report_Base'!N180</f>
        <v>126.45</v>
      </c>
      <c r="O123" s="191">
        <f>+'Solar Report_Base'!O180</f>
        <v>125.02</v>
      </c>
      <c r="P123" s="191">
        <f>+'Solar Report_Base'!P180</f>
        <v>118.54</v>
      </c>
      <c r="Q123" s="191">
        <f>+'Solar Report_Base'!Q180</f>
        <v>117.65</v>
      </c>
      <c r="R123" s="191">
        <f>+'Solar Report_Base'!R180</f>
        <v>0</v>
      </c>
      <c r="S123" s="191">
        <f>+'Solar Report_Base'!S180</f>
        <v>0</v>
      </c>
      <c r="T123" s="191">
        <f>+'Solar Report_Base'!T180</f>
        <v>0</v>
      </c>
      <c r="U123" s="191">
        <f>+'Solar Report_Base'!U180</f>
        <v>0</v>
      </c>
      <c r="V123" s="191">
        <f>+'Solar Report_Base'!V180</f>
        <v>0</v>
      </c>
      <c r="W123" s="191">
        <f>+'Solar Report_Base'!W180</f>
        <v>0</v>
      </c>
      <c r="X123" s="191">
        <f>+'Solar Report_Base'!X180</f>
        <v>0</v>
      </c>
      <c r="Y123" s="191">
        <f>+'Solar Report_Base'!Y180</f>
        <v>0</v>
      </c>
      <c r="Z123" s="191">
        <f>+'Solar Report_Base'!Z180</f>
        <v>0</v>
      </c>
      <c r="AA123" s="191">
        <f>+'Solar Report_Base'!AA180</f>
        <v>0</v>
      </c>
      <c r="AB123" s="191">
        <f>+'Solar Report_Base'!AB180</f>
        <v>0</v>
      </c>
      <c r="AC123" s="191">
        <f>+'Solar Report_Base'!AC180</f>
        <v>0</v>
      </c>
      <c r="AD123" s="191">
        <f>+'Solar Report_Base'!AD180</f>
        <v>0</v>
      </c>
      <c r="AE123" s="191">
        <f>+'Solar Report_Base'!AE180</f>
        <v>0</v>
      </c>
      <c r="AF123" s="191">
        <f>+'Solar Report_Base'!AF180</f>
        <v>0</v>
      </c>
      <c r="AG123" s="191">
        <f>+'Solar Report_Base'!AG180</f>
        <v>0</v>
      </c>
      <c r="AH123" s="191">
        <f>+'Solar Report_Base'!AH180</f>
        <v>0</v>
      </c>
      <c r="AI123" s="3">
        <f t="shared" si="5"/>
        <v>1532.39</v>
      </c>
    </row>
    <row r="124" spans="1:37" x14ac:dyDescent="0.25">
      <c r="B124" s="1" t="s">
        <v>24</v>
      </c>
      <c r="C124" s="1" t="s">
        <v>6</v>
      </c>
      <c r="D124" s="191">
        <f>+'Solar Report_Base'!D181</f>
        <v>288</v>
      </c>
      <c r="E124" s="191">
        <f>+'Solar Report_Base'!E181</f>
        <v>205.03000000002794</v>
      </c>
      <c r="F124" s="191">
        <f>+'Solar Report_Base'!F181</f>
        <v>265.42999999999302</v>
      </c>
      <c r="G124" s="191">
        <f>+'Solar Report_Base'!G181</f>
        <v>272.53999999997905</v>
      </c>
      <c r="H124" s="191">
        <f>+'Solar Report_Base'!H181</f>
        <v>343</v>
      </c>
      <c r="I124" s="191">
        <f>+'Solar Report_Base'!I181</f>
        <v>366</v>
      </c>
      <c r="J124" s="191">
        <f>+'Solar Report_Base'!J181</f>
        <v>379</v>
      </c>
      <c r="K124" s="191">
        <f>+'Solar Report_Base'!K181</f>
        <v>391</v>
      </c>
      <c r="L124" s="191">
        <f>+'Solar Report_Base'!L181</f>
        <v>399</v>
      </c>
      <c r="M124" s="191">
        <f>+'Solar Report_Base'!M181</f>
        <v>402</v>
      </c>
      <c r="N124" s="191">
        <f>+'Solar Report_Base'!N181</f>
        <v>401</v>
      </c>
      <c r="O124" s="191">
        <f>+'Solar Report_Base'!O181</f>
        <v>392</v>
      </c>
      <c r="P124" s="191">
        <f>+'Solar Report_Base'!P181</f>
        <v>372</v>
      </c>
      <c r="Q124" s="191">
        <f>+'Solar Report_Base'!Q181</f>
        <v>360</v>
      </c>
      <c r="R124" s="191">
        <f>+'Solar Report_Base'!R181</f>
        <v>0</v>
      </c>
      <c r="S124" s="191">
        <f>+'Solar Report_Base'!S181</f>
        <v>0</v>
      </c>
      <c r="T124" s="191">
        <f>+'Solar Report_Base'!T181</f>
        <v>0</v>
      </c>
      <c r="U124" s="191">
        <f>+'Solar Report_Base'!U181</f>
        <v>0</v>
      </c>
      <c r="V124" s="191">
        <f>+'Solar Report_Base'!V181</f>
        <v>0</v>
      </c>
      <c r="W124" s="191">
        <f>+'Solar Report_Base'!W181</f>
        <v>0</v>
      </c>
      <c r="X124" s="191">
        <f>+'Solar Report_Base'!X181</f>
        <v>0</v>
      </c>
      <c r="Y124" s="191">
        <f>+'Solar Report_Base'!Y181</f>
        <v>0</v>
      </c>
      <c r="Z124" s="191">
        <f>+'Solar Report_Base'!Z181</f>
        <v>0</v>
      </c>
      <c r="AA124" s="191">
        <f>+'Solar Report_Base'!AA181</f>
        <v>0</v>
      </c>
      <c r="AB124" s="191">
        <f>+'Solar Report_Base'!AB181</f>
        <v>0</v>
      </c>
      <c r="AC124" s="191">
        <f>+'Solar Report_Base'!AC181</f>
        <v>0</v>
      </c>
      <c r="AD124" s="191">
        <f>+'Solar Report_Base'!AD181</f>
        <v>0</v>
      </c>
      <c r="AE124" s="191">
        <f>+'Solar Report_Base'!AE181</f>
        <v>0</v>
      </c>
      <c r="AF124" s="191">
        <f>+'Solar Report_Base'!AF181</f>
        <v>0</v>
      </c>
      <c r="AG124" s="191">
        <f>+'Solar Report_Base'!AG181</f>
        <v>0</v>
      </c>
      <c r="AH124" s="191">
        <f>+'Solar Report_Base'!AH181</f>
        <v>0</v>
      </c>
      <c r="AI124" s="3">
        <f>SUM(D124:AH124)</f>
        <v>4836</v>
      </c>
    </row>
    <row r="125" spans="1:37" x14ac:dyDescent="0.25">
      <c r="B125" s="1" t="s">
        <v>268</v>
      </c>
      <c r="C125" s="1" t="s">
        <v>26</v>
      </c>
      <c r="D125" s="191">
        <f>+'Solar Report_Base'!D182</f>
        <v>6.0602980555422841</v>
      </c>
      <c r="E125" s="191">
        <f>+'Solar Report_Base'!E182</f>
        <v>4.3829091096323207</v>
      </c>
      <c r="F125" s="191">
        <f>+'Solar Report_Base'!F182</f>
        <v>6.1879275958747018</v>
      </c>
      <c r="G125" s="191">
        <f>+'Solar Report_Base'!G182</f>
        <v>5.6760141666572306</v>
      </c>
      <c r="H125" s="191">
        <f>+'Solar Report_Base'!H182</f>
        <v>7.0802785777878015</v>
      </c>
      <c r="I125" s="191">
        <f>+'Solar Report_Base'!I182</f>
        <v>7.6730766944788629</v>
      </c>
      <c r="J125" s="191">
        <f>+'Solar Report_Base'!J182</f>
        <v>7.896776944457379</v>
      </c>
      <c r="K125" s="191">
        <f>+'Solar Report_Base'!K182</f>
        <v>8.1790866666540385</v>
      </c>
      <c r="L125" s="191">
        <f>+'Solar Report_Base'!L182</f>
        <v>8.4593119444358749</v>
      </c>
      <c r="M125" s="191">
        <f>+'Solar Report_Base'!M182</f>
        <v>8.6077625000067641</v>
      </c>
      <c r="N125" s="191">
        <f>+'Solar Report_Base'!N182</f>
        <v>8.5083499999995684</v>
      </c>
      <c r="O125" s="191">
        <f>+'Solar Report_Base'!O182</f>
        <v>8.3337833333364681</v>
      </c>
      <c r="P125" s="191">
        <f>+'Solar Report_Base'!P182</f>
        <v>7.9130858262623658</v>
      </c>
      <c r="Q125" s="191">
        <f>+'Solar Report_Base'!Q182</f>
        <v>7.6000786140746204</v>
      </c>
      <c r="R125" s="191">
        <f>+'Solar Report_Base'!R182</f>
        <v>0</v>
      </c>
      <c r="S125" s="191">
        <f>+'Solar Report_Base'!S182</f>
        <v>0</v>
      </c>
      <c r="T125" s="191">
        <f>+'Solar Report_Base'!T182</f>
        <v>0</v>
      </c>
      <c r="U125" s="191">
        <f>+'Solar Report_Base'!U182</f>
        <v>0</v>
      </c>
      <c r="V125" s="191">
        <f>+'Solar Report_Base'!V182</f>
        <v>0</v>
      </c>
      <c r="W125" s="191">
        <f>+'Solar Report_Base'!W182</f>
        <v>0</v>
      </c>
      <c r="X125" s="191">
        <f>+'Solar Report_Base'!X182</f>
        <v>0</v>
      </c>
      <c r="Y125" s="191">
        <f>+'Solar Report_Base'!Y182</f>
        <v>0</v>
      </c>
      <c r="Z125" s="191">
        <f>+'Solar Report_Base'!Z182</f>
        <v>0</v>
      </c>
      <c r="AA125" s="191">
        <f>+'Solar Report_Base'!AA182</f>
        <v>0</v>
      </c>
      <c r="AB125" s="191">
        <f>+'Solar Report_Base'!AB182</f>
        <v>0</v>
      </c>
      <c r="AC125" s="191">
        <f>+'Solar Report_Base'!AC182</f>
        <v>0</v>
      </c>
      <c r="AD125" s="191">
        <f>+'Solar Report_Base'!AD182</f>
        <v>0</v>
      </c>
      <c r="AE125" s="191">
        <f>+'Solar Report_Base'!AE182</f>
        <v>0</v>
      </c>
      <c r="AF125" s="191">
        <f>+'Solar Report_Base'!AF182</f>
        <v>0</v>
      </c>
      <c r="AG125" s="191">
        <f>+'Solar Report_Base'!AG182</f>
        <v>0</v>
      </c>
      <c r="AH125" s="191">
        <f>+'Solar Report_Base'!AH182</f>
        <v>0</v>
      </c>
      <c r="AI125" s="24">
        <f>AVERAGE(D125:AH125)</f>
        <v>3.3083464525548472</v>
      </c>
    </row>
    <row r="126" spans="1:37" x14ac:dyDescent="0.25">
      <c r="B126" s="1" t="s">
        <v>28</v>
      </c>
      <c r="C126" s="1" t="s">
        <v>6</v>
      </c>
      <c r="D126" s="319">
        <f>+'Solar Report_Base'!D183</f>
        <v>0.19644722575060616</v>
      </c>
      <c r="E126" s="320">
        <f>+'Solar Report_Base'!E183</f>
        <v>0.1412329622155952</v>
      </c>
      <c r="F126" s="319">
        <f>+'Solar Report_Base'!F183</f>
        <v>0.19820979669546696</v>
      </c>
      <c r="G126" s="319">
        <f>+'Solar Report_Base'!G183</f>
        <v>0.18535183932027469</v>
      </c>
      <c r="H126" s="319">
        <f>+'Solar Report_Base'!H183</f>
        <v>0.23346362645803748</v>
      </c>
      <c r="I126" s="319">
        <f>+'Solar Report_Base'!I183</f>
        <v>0.24910894166423736</v>
      </c>
      <c r="J126" s="319">
        <f>+'Solar Report_Base'!J183</f>
        <v>0.25726540014947291</v>
      </c>
      <c r="K126" s="319">
        <f>+'Solar Report_Base'!K183</f>
        <v>0.26591336441266411</v>
      </c>
      <c r="L126" s="319">
        <f>+'Solar Report_Base'!L183</f>
        <v>0.27502387386749605</v>
      </c>
      <c r="M126" s="319">
        <f>+'Solar Report_Base'!M183</f>
        <v>0.27733977348152999</v>
      </c>
      <c r="N126" s="319">
        <f>+'Solar Report_Base'!N183</f>
        <v>0.27224300003781049</v>
      </c>
      <c r="O126" s="319">
        <f>+'Solar Report_Base'!O183</f>
        <v>0.26673731476125062</v>
      </c>
      <c r="P126" s="319">
        <f>+'Solar Report_Base'!P183</f>
        <v>0.25316587335977953</v>
      </c>
      <c r="Q126" s="319">
        <f>+'Solar Report_Base'!Q183</f>
        <v>0.24500371466687026</v>
      </c>
      <c r="R126" s="319">
        <f>+'Solar Report_Base'!R183</f>
        <v>0</v>
      </c>
      <c r="S126" s="319">
        <f>+'Solar Report_Base'!S183</f>
        <v>0</v>
      </c>
      <c r="T126" s="319">
        <f>+'Solar Report_Base'!T183</f>
        <v>0</v>
      </c>
      <c r="U126" s="319">
        <f>+'Solar Report_Base'!U183</f>
        <v>0</v>
      </c>
      <c r="V126" s="319">
        <f>+'Solar Report_Base'!V183</f>
        <v>0</v>
      </c>
      <c r="W126" s="319">
        <f>+'Solar Report_Base'!W183</f>
        <v>0</v>
      </c>
      <c r="X126" s="319">
        <f>+'Solar Report_Base'!X183</f>
        <v>0</v>
      </c>
      <c r="Y126" s="320">
        <f>+'Solar Report_Base'!Y183</f>
        <v>0</v>
      </c>
      <c r="Z126" s="320">
        <f>+'Solar Report_Base'!Z183</f>
        <v>0</v>
      </c>
      <c r="AA126" s="319">
        <f>+'Solar Report_Base'!AA183</f>
        <v>0</v>
      </c>
      <c r="AB126" s="319">
        <f>+'Solar Report_Base'!AB183</f>
        <v>0</v>
      </c>
      <c r="AC126" s="319">
        <f>+'Solar Report_Base'!AC183</f>
        <v>0</v>
      </c>
      <c r="AD126" s="319">
        <f>+'Solar Report_Base'!AD183</f>
        <v>0</v>
      </c>
      <c r="AE126" s="319">
        <f>+'Solar Report_Base'!AE183</f>
        <v>0</v>
      </c>
      <c r="AF126" s="319">
        <f>+'Solar Report_Base'!AF183</f>
        <v>0</v>
      </c>
      <c r="AG126" s="319">
        <f>+'Solar Report_Base'!AG183</f>
        <v>0</v>
      </c>
      <c r="AH126" s="319">
        <f>+'Solar Report_Base'!AH183</f>
        <v>0</v>
      </c>
      <c r="AI126" s="318">
        <v>0.13300000000000001</v>
      </c>
    </row>
    <row r="127" spans="1:37" x14ac:dyDescent="0.25">
      <c r="B127" s="1" t="s">
        <v>35</v>
      </c>
      <c r="C127" s="1" t="s">
        <v>0</v>
      </c>
      <c r="D127" s="319">
        <f>+'Solar Report_Base'!D184</f>
        <v>0.19354838709677419</v>
      </c>
      <c r="E127" s="319">
        <f>+'Solar Report_Base'!E184</f>
        <v>0.13778897849464244</v>
      </c>
      <c r="F127" s="319">
        <f>+'Solar Report_Base'!F184</f>
        <v>0.17838037634408133</v>
      </c>
      <c r="G127" s="319">
        <f>+'Solar Report_Base'!G184</f>
        <v>0.18315860215052354</v>
      </c>
      <c r="H127" s="319">
        <f>+'Solar Report_Base'!H184</f>
        <v>0.23051075268817203</v>
      </c>
      <c r="I127" s="319">
        <f>+'Solar Report_Base'!I184</f>
        <v>0.24596774193548387</v>
      </c>
      <c r="J127" s="319">
        <f>+'Solar Report_Base'!J184</f>
        <v>0.25470430107526881</v>
      </c>
      <c r="K127" s="319">
        <f>+'Solar Report_Base'!K184</f>
        <v>0.26276881720430106</v>
      </c>
      <c r="L127" s="319">
        <f>+'Solar Report_Base'!L184</f>
        <v>0.26814516129032256</v>
      </c>
      <c r="M127" s="319">
        <f>+'Solar Report_Base'!M184</f>
        <v>0.27016129032258063</v>
      </c>
      <c r="N127" s="319">
        <f>+'Solar Report_Base'!N184</f>
        <v>0.26948924731182794</v>
      </c>
      <c r="O127" s="319">
        <f>+'Solar Report_Base'!O184</f>
        <v>0.26344086021505375</v>
      </c>
      <c r="P127" s="319">
        <f>+'Solar Report_Base'!P184</f>
        <v>0.25</v>
      </c>
      <c r="Q127" s="319">
        <f>+'Solar Report_Base'!Q184</f>
        <v>0.24193548387096775</v>
      </c>
      <c r="R127" s="319">
        <f>+'Solar Report_Base'!R184</f>
        <v>0</v>
      </c>
      <c r="S127" s="319">
        <f>+'Solar Report_Base'!S184</f>
        <v>0</v>
      </c>
      <c r="T127" s="319">
        <f>+'Solar Report_Base'!T184</f>
        <v>0</v>
      </c>
      <c r="U127" s="319">
        <f>+'Solar Report_Base'!U184</f>
        <v>0</v>
      </c>
      <c r="V127" s="319">
        <f>+'Solar Report_Base'!V184</f>
        <v>0</v>
      </c>
      <c r="W127" s="319">
        <f>+'Solar Report_Base'!W184</f>
        <v>0</v>
      </c>
      <c r="X127" s="319">
        <f>+'Solar Report_Base'!X184</f>
        <v>0</v>
      </c>
      <c r="Y127" s="320">
        <f>+'Solar Report_Base'!Y184</f>
        <v>0</v>
      </c>
      <c r="Z127" s="320">
        <f>+'Solar Report_Base'!Z184</f>
        <v>0</v>
      </c>
      <c r="AA127" s="319">
        <f>+'Solar Report_Base'!AA184</f>
        <v>0</v>
      </c>
      <c r="AB127" s="319">
        <f>+'Solar Report_Base'!AB184</f>
        <v>0</v>
      </c>
      <c r="AC127" s="319">
        <f>+'Solar Report_Base'!AC184</f>
        <v>0</v>
      </c>
      <c r="AD127" s="319">
        <f>+'Solar Report_Base'!AD184</f>
        <v>0</v>
      </c>
      <c r="AE127" s="319">
        <f>+'Solar Report_Base'!AE184</f>
        <v>0</v>
      </c>
      <c r="AF127" s="319">
        <f>+'Solar Report_Base'!AF184</f>
        <v>0</v>
      </c>
      <c r="AG127" s="319">
        <f>+'Solar Report_Base'!AG184</f>
        <v>0</v>
      </c>
      <c r="AH127" s="319">
        <f>+'Solar Report_Base'!AH184</f>
        <v>0</v>
      </c>
      <c r="AI127" s="318">
        <v>0.108</v>
      </c>
    </row>
    <row r="130" spans="1:35" x14ac:dyDescent="0.25">
      <c r="A130" t="s">
        <v>1</v>
      </c>
      <c r="B130" s="1" t="s">
        <v>2</v>
      </c>
      <c r="C130" s="1" t="s">
        <v>3</v>
      </c>
      <c r="D130" s="187">
        <v>1</v>
      </c>
      <c r="E130" s="187">
        <v>2</v>
      </c>
      <c r="F130" s="187">
        <v>3</v>
      </c>
      <c r="G130" s="187">
        <v>4</v>
      </c>
      <c r="H130" s="187">
        <v>5</v>
      </c>
      <c r="I130" s="187">
        <v>6</v>
      </c>
      <c r="J130" s="187">
        <v>7</v>
      </c>
      <c r="K130" s="187">
        <v>8</v>
      </c>
      <c r="L130" s="187">
        <v>9</v>
      </c>
      <c r="M130" s="187">
        <v>10</v>
      </c>
      <c r="N130" s="187">
        <v>11</v>
      </c>
      <c r="O130" s="187">
        <v>12</v>
      </c>
      <c r="P130" s="187">
        <v>13</v>
      </c>
      <c r="Q130" s="187">
        <v>14</v>
      </c>
      <c r="R130" s="187">
        <v>15</v>
      </c>
      <c r="S130" s="187">
        <v>16</v>
      </c>
      <c r="T130" s="187">
        <v>17</v>
      </c>
      <c r="U130" s="187">
        <v>18</v>
      </c>
      <c r="V130" s="187">
        <v>19</v>
      </c>
      <c r="W130" s="187">
        <v>20</v>
      </c>
      <c r="X130" s="187">
        <v>21</v>
      </c>
      <c r="Y130" s="187">
        <v>22</v>
      </c>
      <c r="Z130" s="187">
        <v>23</v>
      </c>
      <c r="AA130" s="187">
        <v>24</v>
      </c>
      <c r="AB130" s="187">
        <v>25</v>
      </c>
      <c r="AC130" s="187">
        <v>26</v>
      </c>
      <c r="AD130" s="187">
        <v>27</v>
      </c>
      <c r="AE130" s="187">
        <v>28</v>
      </c>
      <c r="AF130" s="387">
        <v>29</v>
      </c>
      <c r="AG130" s="187">
        <v>30</v>
      </c>
      <c r="AH130" s="187">
        <v>31</v>
      </c>
      <c r="AI130" s="22" t="s">
        <v>4</v>
      </c>
    </row>
    <row r="131" spans="1:35" ht="15.75" x14ac:dyDescent="0.25">
      <c r="B131" s="388" t="s">
        <v>100</v>
      </c>
      <c r="C131" s="1" t="s">
        <v>59</v>
      </c>
      <c r="D131" s="192">
        <f>+'Solar Report_Base'!D31</f>
        <v>0</v>
      </c>
      <c r="E131" s="192">
        <f>+'Solar Report_Base'!E31</f>
        <v>0</v>
      </c>
      <c r="F131" s="192">
        <f>+'Solar Report_Base'!F31</f>
        <v>0</v>
      </c>
      <c r="G131" s="192">
        <f>+'Solar Report_Base'!G31</f>
        <v>0</v>
      </c>
      <c r="H131" s="192">
        <f>+'Solar Report_Base'!H31</f>
        <v>0</v>
      </c>
      <c r="I131" s="192">
        <f>+'Solar Report_Base'!I31</f>
        <v>0</v>
      </c>
      <c r="J131" s="192">
        <f>+'Solar Report_Base'!J31</f>
        <v>0</v>
      </c>
      <c r="K131" s="192">
        <f>+'Solar Report_Base'!K31</f>
        <v>0</v>
      </c>
      <c r="L131" s="192">
        <f>+'Solar Report_Base'!L31</f>
        <v>0</v>
      </c>
      <c r="M131" s="192">
        <f>+'Solar Report_Base'!M31</f>
        <v>0</v>
      </c>
      <c r="N131" s="192">
        <f>+'Solar Report_Base'!N31</f>
        <v>0</v>
      </c>
      <c r="O131" s="192">
        <f>+'Solar Report_Base'!O31</f>
        <v>0</v>
      </c>
      <c r="P131" s="192">
        <f>+'Solar Report_Base'!P31</f>
        <v>0</v>
      </c>
      <c r="Q131" s="192">
        <f>+'Solar Report_Base'!Q31</f>
        <v>0</v>
      </c>
      <c r="R131" s="192">
        <f>+'Solar Report_Base'!R31</f>
        <v>0</v>
      </c>
      <c r="S131" s="192">
        <f>+'Solar Report_Base'!S31</f>
        <v>0</v>
      </c>
      <c r="T131" s="192">
        <f>+'Solar Report_Base'!T31</f>
        <v>0</v>
      </c>
      <c r="U131" s="192">
        <f>+'Solar Report_Base'!U31</f>
        <v>0</v>
      </c>
      <c r="V131" s="192">
        <f>+'Solar Report_Base'!V31</f>
        <v>0</v>
      </c>
      <c r="W131" s="192">
        <f>+'Solar Report_Base'!W31</f>
        <v>0</v>
      </c>
      <c r="X131" s="192">
        <f>+'Solar Report_Base'!X31</f>
        <v>0</v>
      </c>
      <c r="Y131" s="192">
        <f>+'Solar Report_Base'!Y31</f>
        <v>0</v>
      </c>
      <c r="Z131" s="192">
        <f>+'Solar Report_Base'!Z31</f>
        <v>0</v>
      </c>
      <c r="AA131" s="192">
        <f>+'Solar Report_Base'!AA31</f>
        <v>0</v>
      </c>
      <c r="AB131" s="192">
        <f>+'Solar Report_Base'!AB31</f>
        <v>0</v>
      </c>
      <c r="AC131" s="192">
        <f>+'Solar Report_Base'!AC31</f>
        <v>0</v>
      </c>
      <c r="AD131" s="192">
        <f>+'Solar Report_Base'!AD31</f>
        <v>0</v>
      </c>
      <c r="AE131" s="192">
        <f>+'Solar Report_Base'!AE31</f>
        <v>0</v>
      </c>
      <c r="AF131" s="192">
        <f>+'Solar Report_Base'!AF31</f>
        <v>0</v>
      </c>
      <c r="AG131" s="192">
        <f>+'Solar Report_Base'!AG31</f>
        <v>0</v>
      </c>
      <c r="AH131" s="192">
        <f>+'Solar Report_Base'!AH31</f>
        <v>0</v>
      </c>
      <c r="AI131" s="3">
        <f t="shared" ref="AI131:AI134" si="6">SUM(D131:AH131)</f>
        <v>0</v>
      </c>
    </row>
    <row r="132" spans="1:35" ht="15.75" x14ac:dyDescent="0.25">
      <c r="B132" s="388" t="s">
        <v>101</v>
      </c>
      <c r="C132" s="1" t="s">
        <v>59</v>
      </c>
      <c r="D132" s="192">
        <f>+'Solar Report_Base'!D32</f>
        <v>0</v>
      </c>
      <c r="E132" s="192">
        <f>+'Solar Report_Base'!E32</f>
        <v>0</v>
      </c>
      <c r="F132" s="192">
        <f>+'Solar Report_Base'!F32</f>
        <v>0</v>
      </c>
      <c r="G132" s="192">
        <f>+'Solar Report_Base'!G32</f>
        <v>0</v>
      </c>
      <c r="H132" s="192">
        <f>+'Solar Report_Base'!H32</f>
        <v>0</v>
      </c>
      <c r="I132" s="192">
        <f>+'Solar Report_Base'!I32</f>
        <v>0</v>
      </c>
      <c r="J132" s="192">
        <f>+'Solar Report_Base'!J32</f>
        <v>0</v>
      </c>
      <c r="K132" s="192">
        <f>+'Solar Report_Base'!K32</f>
        <v>0</v>
      </c>
      <c r="L132" s="192">
        <f>+'Solar Report_Base'!L32</f>
        <v>0</v>
      </c>
      <c r="M132" s="192">
        <f>+'Solar Report_Base'!M32</f>
        <v>0</v>
      </c>
      <c r="N132" s="192">
        <f>+'Solar Report_Base'!N32</f>
        <v>0</v>
      </c>
      <c r="O132" s="192">
        <f>+'Solar Report_Base'!O32</f>
        <v>0</v>
      </c>
      <c r="P132" s="192">
        <f>+'Solar Report_Base'!P32</f>
        <v>0</v>
      </c>
      <c r="Q132" s="192">
        <f>+'Solar Report_Base'!Q32</f>
        <v>0</v>
      </c>
      <c r="R132" s="192">
        <f>+'Solar Report_Base'!R32</f>
        <v>0</v>
      </c>
      <c r="S132" s="192">
        <f>+'Solar Report_Base'!S32</f>
        <v>0</v>
      </c>
      <c r="T132" s="192">
        <f>+'Solar Report_Base'!T32</f>
        <v>0</v>
      </c>
      <c r="U132" s="192">
        <f>+'Solar Report_Base'!U32</f>
        <v>0</v>
      </c>
      <c r="V132" s="192">
        <f>+'Solar Report_Base'!V32</f>
        <v>0</v>
      </c>
      <c r="W132" s="192">
        <f>+'Solar Report_Base'!W32</f>
        <v>0</v>
      </c>
      <c r="X132" s="192">
        <f>+'Solar Report_Base'!X32</f>
        <v>0</v>
      </c>
      <c r="Y132" s="192">
        <f>+'Solar Report_Base'!Y32</f>
        <v>0</v>
      </c>
      <c r="Z132" s="192">
        <f>+'Solar Report_Base'!Z32</f>
        <v>0</v>
      </c>
      <c r="AA132" s="192">
        <f>+'Solar Report_Base'!AA32</f>
        <v>0</v>
      </c>
      <c r="AB132" s="192">
        <f>+'Solar Report_Base'!AB32</f>
        <v>0</v>
      </c>
      <c r="AC132" s="192">
        <f>+'Solar Report_Base'!AC32</f>
        <v>0</v>
      </c>
      <c r="AD132" s="192">
        <f>+'Solar Report_Base'!AD32</f>
        <v>0</v>
      </c>
      <c r="AE132" s="192">
        <f>+'Solar Report_Base'!AE32</f>
        <v>0</v>
      </c>
      <c r="AF132" s="192">
        <f>+'Solar Report_Base'!AF32</f>
        <v>0</v>
      </c>
      <c r="AG132" s="192">
        <f>+'Solar Report_Base'!AG32</f>
        <v>0</v>
      </c>
      <c r="AH132" s="192">
        <f>+'Solar Report_Base'!AH32</f>
        <v>0</v>
      </c>
      <c r="AI132" s="3">
        <f t="shared" si="6"/>
        <v>0</v>
      </c>
    </row>
    <row r="133" spans="1:35" ht="15.75" x14ac:dyDescent="0.25">
      <c r="B133" s="388" t="s">
        <v>102</v>
      </c>
      <c r="C133" s="1" t="s">
        <v>59</v>
      </c>
      <c r="D133" s="192">
        <f>+'Solar Report_Base'!D33</f>
        <v>0</v>
      </c>
      <c r="E133" s="192">
        <f>+'Solar Report_Base'!E33</f>
        <v>0</v>
      </c>
      <c r="F133" s="192">
        <f>+'Solar Report_Base'!F33</f>
        <v>0</v>
      </c>
      <c r="G133" s="192">
        <f>+'Solar Report_Base'!G33</f>
        <v>0</v>
      </c>
      <c r="H133" s="192">
        <f>+'Solar Report_Base'!H33</f>
        <v>0</v>
      </c>
      <c r="I133" s="192">
        <f>+'Solar Report_Base'!I33</f>
        <v>0</v>
      </c>
      <c r="J133" s="192">
        <f>+'Solar Report_Base'!J33</f>
        <v>0</v>
      </c>
      <c r="K133" s="192">
        <f>+'Solar Report_Base'!K33</f>
        <v>0</v>
      </c>
      <c r="L133" s="192">
        <f>+'Solar Report_Base'!L33</f>
        <v>0</v>
      </c>
      <c r="M133" s="192">
        <f>+'Solar Report_Base'!M33</f>
        <v>0</v>
      </c>
      <c r="N133" s="192">
        <f>+'Solar Report_Base'!N33</f>
        <v>0</v>
      </c>
      <c r="O133" s="192">
        <f>+'Solar Report_Base'!O33</f>
        <v>0</v>
      </c>
      <c r="P133" s="192">
        <f>+'Solar Report_Base'!P33</f>
        <v>0</v>
      </c>
      <c r="Q133" s="192">
        <f>+'Solar Report_Base'!Q33</f>
        <v>0</v>
      </c>
      <c r="R133" s="192">
        <f>+'Solar Report_Base'!R33</f>
        <v>0</v>
      </c>
      <c r="S133" s="192">
        <f>+'Solar Report_Base'!S33</f>
        <v>0</v>
      </c>
      <c r="T133" s="192">
        <f>+'Solar Report_Base'!T33</f>
        <v>0</v>
      </c>
      <c r="U133" s="192">
        <f>+'Solar Report_Base'!U33</f>
        <v>0</v>
      </c>
      <c r="V133" s="192">
        <f>+'Solar Report_Base'!V33</f>
        <v>0</v>
      </c>
      <c r="W133" s="192">
        <f>+'Solar Report_Base'!W33</f>
        <v>0</v>
      </c>
      <c r="X133" s="192">
        <f>+'Solar Report_Base'!X33</f>
        <v>0</v>
      </c>
      <c r="Y133" s="192">
        <f>+'Solar Report_Base'!Y33</f>
        <v>0</v>
      </c>
      <c r="Z133" s="192">
        <f>+'Solar Report_Base'!Z33</f>
        <v>0</v>
      </c>
      <c r="AA133" s="192">
        <f>+'Solar Report_Base'!AA33</f>
        <v>0</v>
      </c>
      <c r="AB133" s="192">
        <f>+'Solar Report_Base'!AB33</f>
        <v>0</v>
      </c>
      <c r="AC133" s="192">
        <f>+'Solar Report_Base'!AC33</f>
        <v>0</v>
      </c>
      <c r="AD133" s="192">
        <f>+'Solar Report_Base'!AD33</f>
        <v>0</v>
      </c>
      <c r="AE133" s="192">
        <f>+'Solar Report_Base'!AE33</f>
        <v>0</v>
      </c>
      <c r="AF133" s="192">
        <f>+'Solar Report_Base'!AF33</f>
        <v>0</v>
      </c>
      <c r="AG133" s="192">
        <f>+'Solar Report_Base'!AG33</f>
        <v>0</v>
      </c>
      <c r="AH133" s="192">
        <f>+'Solar Report_Base'!AH33</f>
        <v>0</v>
      </c>
      <c r="AI133" s="3">
        <f t="shared" si="6"/>
        <v>0</v>
      </c>
    </row>
    <row r="134" spans="1:35" ht="15.75" x14ac:dyDescent="0.25">
      <c r="B134" s="388" t="s">
        <v>103</v>
      </c>
      <c r="C134" s="1" t="s">
        <v>59</v>
      </c>
      <c r="D134" s="192">
        <f>+'Solar Report_Base'!D34</f>
        <v>1620</v>
      </c>
      <c r="E134" s="192">
        <f>+'Solar Report_Base'!E34</f>
        <v>260</v>
      </c>
      <c r="F134" s="192">
        <f>+'Solar Report_Base'!F34</f>
        <v>450</v>
      </c>
      <c r="G134" s="192">
        <f>+'Solar Report_Base'!G34</f>
        <v>30</v>
      </c>
      <c r="H134" s="192">
        <f>+'Solar Report_Base'!H34</f>
        <v>18</v>
      </c>
      <c r="I134" s="192">
        <f>+'Solar Report_Base'!I34</f>
        <v>0</v>
      </c>
      <c r="J134" s="192">
        <f>+'Solar Report_Base'!J34</f>
        <v>1930</v>
      </c>
      <c r="K134" s="192">
        <f>+'Solar Report_Base'!K34</f>
        <v>0</v>
      </c>
      <c r="L134" s="192">
        <f>+'Solar Report_Base'!L34</f>
        <v>0</v>
      </c>
      <c r="M134" s="192">
        <f>+'Solar Report_Base'!M34</f>
        <v>0</v>
      </c>
      <c r="N134" s="192">
        <f>+'Solar Report_Base'!N34</f>
        <v>1480</v>
      </c>
      <c r="O134" s="192">
        <f>+'Solar Report_Base'!O34</f>
        <v>0</v>
      </c>
      <c r="P134" s="192">
        <f>+'Solar Report_Base'!P34</f>
        <v>200</v>
      </c>
      <c r="Q134" s="192">
        <f>+'Solar Report_Base'!Q34</f>
        <v>200</v>
      </c>
      <c r="R134" s="192">
        <f>+'Solar Report_Base'!R34</f>
        <v>0</v>
      </c>
      <c r="S134" s="192">
        <f>+'Solar Report_Base'!S34</f>
        <v>0</v>
      </c>
      <c r="T134" s="192">
        <f>+'Solar Report_Base'!T34</f>
        <v>0</v>
      </c>
      <c r="U134" s="192">
        <f>+'Solar Report_Base'!U34</f>
        <v>0</v>
      </c>
      <c r="V134" s="192">
        <f>+'Solar Report_Base'!V34</f>
        <v>0</v>
      </c>
      <c r="W134" s="192">
        <f>+'Solar Report_Base'!W34</f>
        <v>0</v>
      </c>
      <c r="X134" s="192">
        <f>+'Solar Report_Base'!X34</f>
        <v>0</v>
      </c>
      <c r="Y134" s="192">
        <f>+'Solar Report_Base'!Y34</f>
        <v>0</v>
      </c>
      <c r="Z134" s="192">
        <f>+'Solar Report_Base'!Z34</f>
        <v>0</v>
      </c>
      <c r="AA134" s="192">
        <f>+'Solar Report_Base'!AA34</f>
        <v>0</v>
      </c>
      <c r="AB134" s="192">
        <f>+'Solar Report_Base'!AB34</f>
        <v>0</v>
      </c>
      <c r="AC134" s="192">
        <f>+'Solar Report_Base'!AC34</f>
        <v>0</v>
      </c>
      <c r="AD134" s="192">
        <f>+'Solar Report_Base'!AD34</f>
        <v>0</v>
      </c>
      <c r="AE134" s="192">
        <f>+'Solar Report_Base'!AE34</f>
        <v>0</v>
      </c>
      <c r="AF134" s="192">
        <f>+'Solar Report_Base'!AF34</f>
        <v>0</v>
      </c>
      <c r="AG134" s="192">
        <f>+'Solar Report_Base'!AG34</f>
        <v>0</v>
      </c>
      <c r="AH134" s="192">
        <f>+'Solar Report_Base'!AH34</f>
        <v>0</v>
      </c>
      <c r="AI134" s="3">
        <f t="shared" si="6"/>
        <v>6188</v>
      </c>
    </row>
    <row r="136" spans="1:35" x14ac:dyDescent="0.25">
      <c r="A136" t="s">
        <v>30</v>
      </c>
      <c r="B136" s="1" t="s">
        <v>2</v>
      </c>
      <c r="C136" s="1" t="s">
        <v>3</v>
      </c>
      <c r="D136" s="187">
        <v>1</v>
      </c>
      <c r="E136" s="187">
        <v>2</v>
      </c>
      <c r="F136" s="187">
        <v>3</v>
      </c>
      <c r="G136" s="187">
        <v>4</v>
      </c>
      <c r="H136" s="187">
        <v>5</v>
      </c>
      <c r="I136" s="187">
        <v>6</v>
      </c>
      <c r="J136" s="187">
        <v>7</v>
      </c>
      <c r="K136" s="187">
        <v>8</v>
      </c>
      <c r="L136" s="187">
        <v>9</v>
      </c>
      <c r="M136" s="187">
        <v>10</v>
      </c>
      <c r="N136" s="187">
        <v>11</v>
      </c>
      <c r="O136" s="187">
        <v>12</v>
      </c>
      <c r="P136" s="187">
        <v>13</v>
      </c>
      <c r="Q136" s="187">
        <v>14</v>
      </c>
      <c r="R136" s="187">
        <v>15</v>
      </c>
      <c r="S136" s="187">
        <v>16</v>
      </c>
      <c r="T136" s="187">
        <v>17</v>
      </c>
      <c r="U136" s="187">
        <v>18</v>
      </c>
      <c r="V136" s="187">
        <v>19</v>
      </c>
      <c r="W136" s="187">
        <v>20</v>
      </c>
      <c r="X136" s="187">
        <v>21</v>
      </c>
      <c r="Y136" s="187">
        <v>22</v>
      </c>
      <c r="Z136" s="187">
        <v>23</v>
      </c>
      <c r="AA136" s="187">
        <v>24</v>
      </c>
      <c r="AB136" s="187">
        <v>25</v>
      </c>
      <c r="AC136" s="187">
        <v>26</v>
      </c>
      <c r="AD136" s="187">
        <v>27</v>
      </c>
      <c r="AE136" s="187">
        <v>28</v>
      </c>
      <c r="AF136" s="387">
        <v>29</v>
      </c>
      <c r="AG136" s="187">
        <v>30</v>
      </c>
      <c r="AH136" s="187">
        <v>31</v>
      </c>
      <c r="AI136" s="22" t="s">
        <v>4</v>
      </c>
    </row>
    <row r="137" spans="1:35" ht="15.75" x14ac:dyDescent="0.25">
      <c r="B137" s="388" t="s">
        <v>100</v>
      </c>
      <c r="C137" s="1" t="s">
        <v>59</v>
      </c>
      <c r="D137" s="192">
        <f>+'Solar Report_Base'!D68</f>
        <v>22</v>
      </c>
      <c r="E137" s="192">
        <f>+'Solar Report_Base'!E68</f>
        <v>52</v>
      </c>
      <c r="F137" s="192">
        <f>+'Solar Report_Base'!F68</f>
        <v>79</v>
      </c>
      <c r="G137" s="192">
        <f>+'Solar Report_Base'!G68</f>
        <v>51</v>
      </c>
      <c r="H137" s="192">
        <f>+'Solar Report_Base'!H68</f>
        <v>32</v>
      </c>
      <c r="I137" s="192">
        <f>+'Solar Report_Base'!I68</f>
        <v>56</v>
      </c>
      <c r="J137" s="192">
        <f>+'Solar Report_Base'!J68</f>
        <v>95</v>
      </c>
      <c r="K137" s="192">
        <f>+'Solar Report_Base'!K68</f>
        <v>52</v>
      </c>
      <c r="L137" s="192">
        <f>+'Solar Report_Base'!L68</f>
        <v>46</v>
      </c>
      <c r="M137" s="192">
        <f>+'Solar Report_Base'!M68</f>
        <v>16</v>
      </c>
      <c r="N137" s="192">
        <f>+'Solar Report_Base'!N68</f>
        <v>0</v>
      </c>
      <c r="O137" s="192">
        <f>+'Solar Report_Base'!O68</f>
        <v>29</v>
      </c>
      <c r="P137" s="192">
        <f>+'Solar Report_Base'!P68</f>
        <v>20</v>
      </c>
      <c r="Q137" s="192">
        <f>+'Solar Report_Base'!Q68</f>
        <v>69</v>
      </c>
      <c r="R137" s="192">
        <f>+'Solar Report_Base'!R68</f>
        <v>0</v>
      </c>
      <c r="S137" s="192">
        <f>+'Solar Report_Base'!S68</f>
        <v>0</v>
      </c>
      <c r="T137" s="192">
        <f>+'Solar Report_Base'!T68</f>
        <v>0</v>
      </c>
      <c r="U137" s="192">
        <f>+'Solar Report_Base'!U68</f>
        <v>0</v>
      </c>
      <c r="V137" s="192">
        <f>+'Solar Report_Base'!V68</f>
        <v>0</v>
      </c>
      <c r="W137" s="192">
        <f>+'Solar Report_Base'!W68</f>
        <v>0</v>
      </c>
      <c r="X137" s="192">
        <f>+'Solar Report_Base'!X68</f>
        <v>0</v>
      </c>
      <c r="Y137" s="192">
        <f>+'Solar Report_Base'!Y68</f>
        <v>0</v>
      </c>
      <c r="Z137" s="192">
        <f>+'Solar Report_Base'!Z68</f>
        <v>0</v>
      </c>
      <c r="AA137" s="192">
        <f>+'Solar Report_Base'!AA68</f>
        <v>0</v>
      </c>
      <c r="AB137" s="192">
        <f>+'Solar Report_Base'!AB68</f>
        <v>0</v>
      </c>
      <c r="AC137" s="192">
        <f>+'Solar Report_Base'!AC68</f>
        <v>0</v>
      </c>
      <c r="AD137" s="192">
        <f>+'Solar Report_Base'!AD68</f>
        <v>0</v>
      </c>
      <c r="AE137" s="192">
        <f>+'Solar Report_Base'!AE68</f>
        <v>0</v>
      </c>
      <c r="AF137" s="192">
        <f>+'Solar Report_Base'!AF68</f>
        <v>0</v>
      </c>
      <c r="AG137" s="192">
        <f>+'Solar Report_Base'!AG68</f>
        <v>0</v>
      </c>
      <c r="AH137" s="192">
        <f>+'Solar Report_Base'!AH68</f>
        <v>0</v>
      </c>
      <c r="AI137" s="3">
        <f t="shared" ref="AI137:AI140" si="7">SUM(D137:AH137)</f>
        <v>619</v>
      </c>
    </row>
    <row r="138" spans="1:35" ht="15.75" x14ac:dyDescent="0.25">
      <c r="B138" s="388" t="s">
        <v>101</v>
      </c>
      <c r="C138" s="1" t="s">
        <v>59</v>
      </c>
      <c r="D138" s="192">
        <f>+'Solar Report_Base'!D69</f>
        <v>0</v>
      </c>
      <c r="E138" s="192">
        <f>+'Solar Report_Base'!E69</f>
        <v>0</v>
      </c>
      <c r="F138" s="192">
        <f>+'Solar Report_Base'!F69</f>
        <v>0</v>
      </c>
      <c r="G138" s="192">
        <f>+'Solar Report_Base'!G69</f>
        <v>0</v>
      </c>
      <c r="H138" s="192">
        <f>+'Solar Report_Base'!H69</f>
        <v>0</v>
      </c>
      <c r="I138" s="192">
        <f>+'Solar Report_Base'!I69</f>
        <v>0</v>
      </c>
      <c r="J138" s="192">
        <f>+'Solar Report_Base'!J69</f>
        <v>0</v>
      </c>
      <c r="K138" s="192">
        <f>+'Solar Report_Base'!K69</f>
        <v>0</v>
      </c>
      <c r="L138" s="192">
        <f>+'Solar Report_Base'!L69</f>
        <v>0</v>
      </c>
      <c r="M138" s="192">
        <f>+'Solar Report_Base'!M69</f>
        <v>0</v>
      </c>
      <c r="N138" s="192">
        <f>+'Solar Report_Base'!N69</f>
        <v>0</v>
      </c>
      <c r="O138" s="192">
        <f>+'Solar Report_Base'!O69</f>
        <v>0</v>
      </c>
      <c r="P138" s="192">
        <f>+'Solar Report_Base'!P69</f>
        <v>0</v>
      </c>
      <c r="Q138" s="192">
        <f>+'Solar Report_Base'!Q69</f>
        <v>0</v>
      </c>
      <c r="R138" s="192">
        <f>+'Solar Report_Base'!R69</f>
        <v>0</v>
      </c>
      <c r="S138" s="192">
        <f>+'Solar Report_Base'!S69</f>
        <v>0</v>
      </c>
      <c r="T138" s="192">
        <f>+'Solar Report_Base'!T69</f>
        <v>0</v>
      </c>
      <c r="U138" s="192">
        <f>+'Solar Report_Base'!U69</f>
        <v>0</v>
      </c>
      <c r="V138" s="192">
        <f>+'Solar Report_Base'!V69</f>
        <v>0</v>
      </c>
      <c r="W138" s="192">
        <f>+'Solar Report_Base'!W69</f>
        <v>0</v>
      </c>
      <c r="X138" s="192">
        <f>+'Solar Report_Base'!X69</f>
        <v>0</v>
      </c>
      <c r="Y138" s="192">
        <f>+'Solar Report_Base'!Y69</f>
        <v>0</v>
      </c>
      <c r="Z138" s="192">
        <f>+'Solar Report_Base'!Z69</f>
        <v>0</v>
      </c>
      <c r="AA138" s="192">
        <f>+'Solar Report_Base'!AA69</f>
        <v>0</v>
      </c>
      <c r="AB138" s="192">
        <f>+'Solar Report_Base'!AB69</f>
        <v>0</v>
      </c>
      <c r="AC138" s="192">
        <f>+'Solar Report_Base'!AC69</f>
        <v>0</v>
      </c>
      <c r="AD138" s="192">
        <f>+'Solar Report_Base'!AD69</f>
        <v>0</v>
      </c>
      <c r="AE138" s="192">
        <f>+'Solar Report_Base'!AE69</f>
        <v>0</v>
      </c>
      <c r="AF138" s="192">
        <f>+'Solar Report_Base'!AF69</f>
        <v>0</v>
      </c>
      <c r="AG138" s="192">
        <f>+'Solar Report_Base'!AG69</f>
        <v>0</v>
      </c>
      <c r="AH138" s="192">
        <f>+'Solar Report_Base'!AH69</f>
        <v>0</v>
      </c>
      <c r="AI138" s="3">
        <f t="shared" si="7"/>
        <v>0</v>
      </c>
    </row>
    <row r="139" spans="1:35" ht="15.75" x14ac:dyDescent="0.25">
      <c r="B139" s="388" t="s">
        <v>102</v>
      </c>
      <c r="C139" s="1" t="s">
        <v>59</v>
      </c>
      <c r="D139" s="192">
        <f>+'Solar Report_Base'!D70</f>
        <v>0</v>
      </c>
      <c r="E139" s="192">
        <f>+'Solar Report_Base'!E70</f>
        <v>0</v>
      </c>
      <c r="F139" s="192">
        <f>+'Solar Report_Base'!F70</f>
        <v>0</v>
      </c>
      <c r="G139" s="192">
        <f>+'Solar Report_Base'!G70</f>
        <v>0</v>
      </c>
      <c r="H139" s="192">
        <f>+'Solar Report_Base'!H70</f>
        <v>0</v>
      </c>
      <c r="I139" s="192">
        <f>+'Solar Report_Base'!I70</f>
        <v>0</v>
      </c>
      <c r="J139" s="192">
        <f>+'Solar Report_Base'!J70</f>
        <v>0</v>
      </c>
      <c r="K139" s="192">
        <f>+'Solar Report_Base'!K70</f>
        <v>0</v>
      </c>
      <c r="L139" s="192">
        <f>+'Solar Report_Base'!L70</f>
        <v>0</v>
      </c>
      <c r="M139" s="192">
        <f>+'Solar Report_Base'!M70</f>
        <v>0</v>
      </c>
      <c r="N139" s="192">
        <f>+'Solar Report_Base'!N70</f>
        <v>0</v>
      </c>
      <c r="O139" s="192">
        <f>+'Solar Report_Base'!O70</f>
        <v>0</v>
      </c>
      <c r="P139" s="192">
        <f>+'Solar Report_Base'!P70</f>
        <v>0</v>
      </c>
      <c r="Q139" s="192">
        <f>+'Solar Report_Base'!Q70</f>
        <v>0</v>
      </c>
      <c r="R139" s="192">
        <f>+'Solar Report_Base'!R70</f>
        <v>0</v>
      </c>
      <c r="S139" s="192">
        <f>+'Solar Report_Base'!S70</f>
        <v>0</v>
      </c>
      <c r="T139" s="192">
        <f>+'Solar Report_Base'!T70</f>
        <v>0</v>
      </c>
      <c r="U139" s="192">
        <f>+'Solar Report_Base'!U70</f>
        <v>0</v>
      </c>
      <c r="V139" s="192">
        <f>+'Solar Report_Base'!V70</f>
        <v>0</v>
      </c>
      <c r="W139" s="192">
        <f>+'Solar Report_Base'!W70</f>
        <v>0</v>
      </c>
      <c r="X139" s="192">
        <f>+'Solar Report_Base'!X70</f>
        <v>0</v>
      </c>
      <c r="Y139" s="192">
        <f>+'Solar Report_Base'!Y70</f>
        <v>0</v>
      </c>
      <c r="Z139" s="192">
        <f>+'Solar Report_Base'!Z70</f>
        <v>0</v>
      </c>
      <c r="AA139" s="192">
        <f>+'Solar Report_Base'!AA70</f>
        <v>0</v>
      </c>
      <c r="AB139" s="192">
        <f>+'Solar Report_Base'!AB70</f>
        <v>0</v>
      </c>
      <c r="AC139" s="192">
        <f>+'Solar Report_Base'!AC70</f>
        <v>0</v>
      </c>
      <c r="AD139" s="192">
        <f>+'Solar Report_Base'!AD70</f>
        <v>0</v>
      </c>
      <c r="AE139" s="192">
        <f>+'Solar Report_Base'!AE70</f>
        <v>0</v>
      </c>
      <c r="AF139" s="192">
        <f>+'Solar Report_Base'!AF70</f>
        <v>0</v>
      </c>
      <c r="AG139" s="192">
        <f>+'Solar Report_Base'!AG70</f>
        <v>0</v>
      </c>
      <c r="AH139" s="192">
        <f>+'Solar Report_Base'!AH70</f>
        <v>0</v>
      </c>
      <c r="AI139" s="3">
        <f t="shared" si="7"/>
        <v>0</v>
      </c>
    </row>
    <row r="140" spans="1:35" ht="15.75" x14ac:dyDescent="0.25">
      <c r="B140" s="388" t="s">
        <v>103</v>
      </c>
      <c r="C140" s="1" t="s">
        <v>59</v>
      </c>
      <c r="D140" s="192">
        <f>+'Solar Report_Base'!D71</f>
        <v>569</v>
      </c>
      <c r="E140" s="192">
        <f>+'Solar Report_Base'!E71</f>
        <v>0</v>
      </c>
      <c r="F140" s="192">
        <f>+'Solar Report_Base'!F71</f>
        <v>0</v>
      </c>
      <c r="G140" s="192">
        <f>+'Solar Report_Base'!G71</f>
        <v>0</v>
      </c>
      <c r="H140" s="192">
        <f>+'Solar Report_Base'!H71</f>
        <v>1829</v>
      </c>
      <c r="I140" s="192">
        <f>+'Solar Report_Base'!I71</f>
        <v>0</v>
      </c>
      <c r="J140" s="192">
        <f>+'Solar Report_Base'!J71</f>
        <v>2936</v>
      </c>
      <c r="K140" s="192">
        <f>+'Solar Report_Base'!K71</f>
        <v>0</v>
      </c>
      <c r="L140" s="192">
        <f>+'Solar Report_Base'!L71</f>
        <v>0</v>
      </c>
      <c r="M140" s="192">
        <f>+'Solar Report_Base'!M71</f>
        <v>0</v>
      </c>
      <c r="N140" s="192">
        <f>+'Solar Report_Base'!N71</f>
        <v>1690</v>
      </c>
      <c r="O140" s="192">
        <f>+'Solar Report_Base'!O71</f>
        <v>0</v>
      </c>
      <c r="P140" s="192">
        <f>+'Solar Report_Base'!P71</f>
        <v>0</v>
      </c>
      <c r="Q140" s="192">
        <f>+'Solar Report_Base'!Q71</f>
        <v>0</v>
      </c>
      <c r="R140" s="192">
        <f>+'Solar Report_Base'!R71</f>
        <v>0</v>
      </c>
      <c r="S140" s="192">
        <f>+'Solar Report_Base'!S71</f>
        <v>0</v>
      </c>
      <c r="T140" s="192">
        <f>+'Solar Report_Base'!T71</f>
        <v>0</v>
      </c>
      <c r="U140" s="192">
        <f>+'Solar Report_Base'!U71</f>
        <v>0</v>
      </c>
      <c r="V140" s="192">
        <f>+'Solar Report_Base'!V71</f>
        <v>0</v>
      </c>
      <c r="W140" s="192">
        <f>+'Solar Report_Base'!W71</f>
        <v>0</v>
      </c>
      <c r="X140" s="192">
        <f>+'Solar Report_Base'!X71</f>
        <v>0</v>
      </c>
      <c r="Y140" s="192">
        <f>+'Solar Report_Base'!Y71</f>
        <v>0</v>
      </c>
      <c r="Z140" s="192">
        <f>+'Solar Report_Base'!Z71</f>
        <v>0</v>
      </c>
      <c r="AA140" s="192">
        <f>+'Solar Report_Base'!AA71</f>
        <v>0</v>
      </c>
      <c r="AB140" s="192">
        <f>+'Solar Report_Base'!AB71</f>
        <v>0</v>
      </c>
      <c r="AC140" s="192">
        <f>+'Solar Report_Base'!AC71</f>
        <v>0</v>
      </c>
      <c r="AD140" s="192">
        <f>+'Solar Report_Base'!AD71</f>
        <v>0</v>
      </c>
      <c r="AE140" s="192">
        <f>+'Solar Report_Base'!AE71</f>
        <v>0</v>
      </c>
      <c r="AF140" s="192">
        <f>+'Solar Report_Base'!AF71</f>
        <v>0</v>
      </c>
      <c r="AG140" s="192">
        <f>+'Solar Report_Base'!AG71</f>
        <v>0</v>
      </c>
      <c r="AH140" s="192">
        <f>+'Solar Report_Base'!AH71</f>
        <v>0</v>
      </c>
      <c r="AI140" s="3">
        <f t="shared" si="7"/>
        <v>7024</v>
      </c>
    </row>
    <row r="142" spans="1:35" x14ac:dyDescent="0.25">
      <c r="A142" t="s">
        <v>31</v>
      </c>
      <c r="B142" s="1" t="s">
        <v>2</v>
      </c>
      <c r="C142" s="1" t="s">
        <v>3</v>
      </c>
      <c r="D142" s="187">
        <v>1</v>
      </c>
      <c r="E142" s="187">
        <v>2</v>
      </c>
      <c r="F142" s="187">
        <v>3</v>
      </c>
      <c r="G142" s="187">
        <v>4</v>
      </c>
      <c r="H142" s="187">
        <v>5</v>
      </c>
      <c r="I142" s="187">
        <v>6</v>
      </c>
      <c r="J142" s="187">
        <v>7</v>
      </c>
      <c r="K142" s="187">
        <v>8</v>
      </c>
      <c r="L142" s="187">
        <v>9</v>
      </c>
      <c r="M142" s="187">
        <v>10</v>
      </c>
      <c r="N142" s="187">
        <v>11</v>
      </c>
      <c r="O142" s="187">
        <v>12</v>
      </c>
      <c r="P142" s="187">
        <v>13</v>
      </c>
      <c r="Q142" s="187">
        <v>14</v>
      </c>
      <c r="R142" s="187">
        <v>15</v>
      </c>
      <c r="S142" s="187">
        <v>16</v>
      </c>
      <c r="T142" s="187">
        <v>17</v>
      </c>
      <c r="U142" s="187">
        <v>18</v>
      </c>
      <c r="V142" s="187">
        <v>19</v>
      </c>
      <c r="W142" s="187">
        <v>20</v>
      </c>
      <c r="X142" s="187">
        <v>21</v>
      </c>
      <c r="Y142" s="187">
        <v>22</v>
      </c>
      <c r="Z142" s="187">
        <v>23</v>
      </c>
      <c r="AA142" s="187">
        <v>24</v>
      </c>
      <c r="AB142" s="187">
        <v>25</v>
      </c>
      <c r="AC142" s="187">
        <v>26</v>
      </c>
      <c r="AD142" s="187">
        <v>27</v>
      </c>
      <c r="AE142" s="187">
        <v>28</v>
      </c>
      <c r="AF142" s="387">
        <v>29</v>
      </c>
      <c r="AG142" s="187">
        <v>30</v>
      </c>
      <c r="AH142" s="187">
        <v>31</v>
      </c>
      <c r="AI142" s="22" t="s">
        <v>4</v>
      </c>
    </row>
    <row r="143" spans="1:35" ht="15.75" x14ac:dyDescent="0.25">
      <c r="B143" s="388" t="s">
        <v>100</v>
      </c>
      <c r="C143" s="1" t="s">
        <v>59</v>
      </c>
      <c r="D143" s="192">
        <f>+'Solar Report_Base'!D105</f>
        <v>89</v>
      </c>
      <c r="E143" s="192">
        <f>+'Solar Report_Base'!E105</f>
        <v>202</v>
      </c>
      <c r="F143" s="192">
        <f>+'Solar Report_Base'!F105</f>
        <v>207</v>
      </c>
      <c r="G143" s="192">
        <f>+'Solar Report_Base'!G105</f>
        <v>192</v>
      </c>
      <c r="H143" s="192">
        <f>+'Solar Report_Base'!H105</f>
        <v>296</v>
      </c>
      <c r="I143" s="192">
        <f>+'Solar Report_Base'!I105</f>
        <v>301</v>
      </c>
      <c r="J143" s="192">
        <f>+'Solar Report_Base'!J105</f>
        <v>266</v>
      </c>
      <c r="K143" s="192">
        <f>+'Solar Report_Base'!K105</f>
        <v>272</v>
      </c>
      <c r="L143" s="192">
        <f>+'Solar Report_Base'!L105</f>
        <v>190</v>
      </c>
      <c r="M143" s="192">
        <f>+'Solar Report_Base'!M105</f>
        <v>198</v>
      </c>
      <c r="N143" s="192">
        <f>+'Solar Report_Base'!N105</f>
        <v>234</v>
      </c>
      <c r="O143" s="192">
        <f>+'Solar Report_Base'!O105</f>
        <v>155</v>
      </c>
      <c r="P143" s="192">
        <f>+'Solar Report_Base'!P105</f>
        <v>168</v>
      </c>
      <c r="Q143" s="192">
        <f>+'Solar Report_Base'!Q105</f>
        <v>328</v>
      </c>
      <c r="R143" s="192">
        <f>+'Solar Report_Base'!R105</f>
        <v>0</v>
      </c>
      <c r="S143" s="192">
        <f>+'Solar Report_Base'!S105</f>
        <v>0</v>
      </c>
      <c r="T143" s="192">
        <f>+'Solar Report_Base'!T105</f>
        <v>0</v>
      </c>
      <c r="U143" s="192">
        <f>+'Solar Report_Base'!U105</f>
        <v>0</v>
      </c>
      <c r="V143" s="192">
        <f>+'Solar Report_Base'!V105</f>
        <v>0</v>
      </c>
      <c r="W143" s="192">
        <f>+'Solar Report_Base'!W105</f>
        <v>0</v>
      </c>
      <c r="X143" s="192">
        <f>+'Solar Report_Base'!X105</f>
        <v>0</v>
      </c>
      <c r="Y143" s="192">
        <f>+'Solar Report_Base'!Y105</f>
        <v>0</v>
      </c>
      <c r="Z143" s="192">
        <f>+'Solar Report_Base'!Z105</f>
        <v>0</v>
      </c>
      <c r="AA143" s="192">
        <f>+'Solar Report_Base'!AA105</f>
        <v>0</v>
      </c>
      <c r="AB143" s="192">
        <f>+'Solar Report_Base'!AB105</f>
        <v>0</v>
      </c>
      <c r="AC143" s="192">
        <f>+'Solar Report_Base'!AC105</f>
        <v>0</v>
      </c>
      <c r="AD143" s="192">
        <f>+'Solar Report_Base'!AD105</f>
        <v>0</v>
      </c>
      <c r="AE143" s="192">
        <f>+'Solar Report_Base'!AE105</f>
        <v>0</v>
      </c>
      <c r="AF143" s="192">
        <f>+'Solar Report_Base'!AF105</f>
        <v>0</v>
      </c>
      <c r="AG143" s="192">
        <f>+'Solar Report_Base'!AG105</f>
        <v>0</v>
      </c>
      <c r="AH143" s="192">
        <f>+'Solar Report_Base'!AH105</f>
        <v>0</v>
      </c>
      <c r="AI143" s="3">
        <f t="shared" ref="AI143:AI146" si="8">SUM(D143:AH143)</f>
        <v>3098</v>
      </c>
    </row>
    <row r="144" spans="1:35" ht="15.75" x14ac:dyDescent="0.25">
      <c r="B144" s="388" t="s">
        <v>101</v>
      </c>
      <c r="C144" s="1" t="s">
        <v>59</v>
      </c>
      <c r="D144" s="192">
        <f>+'Solar Report_Base'!D106</f>
        <v>0</v>
      </c>
      <c r="E144" s="192">
        <f>+'Solar Report_Base'!E106</f>
        <v>0</v>
      </c>
      <c r="F144" s="192">
        <f>+'Solar Report_Base'!F106</f>
        <v>0</v>
      </c>
      <c r="G144" s="192">
        <f>+'Solar Report_Base'!G106</f>
        <v>0</v>
      </c>
      <c r="H144" s="192">
        <f>+'Solar Report_Base'!H106</f>
        <v>0</v>
      </c>
      <c r="I144" s="192">
        <f>+'Solar Report_Base'!I106</f>
        <v>0</v>
      </c>
      <c r="J144" s="192">
        <f>+'Solar Report_Base'!J106</f>
        <v>0</v>
      </c>
      <c r="K144" s="192">
        <f>+'Solar Report_Base'!K106</f>
        <v>0</v>
      </c>
      <c r="L144" s="192">
        <f>+'Solar Report_Base'!L106</f>
        <v>407</v>
      </c>
      <c r="M144" s="192">
        <f>+'Solar Report_Base'!M106</f>
        <v>758</v>
      </c>
      <c r="N144" s="192">
        <f>+'Solar Report_Base'!N106</f>
        <v>0</v>
      </c>
      <c r="O144" s="192">
        <f>+'Solar Report_Base'!O106</f>
        <v>0</v>
      </c>
      <c r="P144" s="192">
        <f>+'Solar Report_Base'!P106</f>
        <v>588</v>
      </c>
      <c r="Q144" s="192">
        <f>+'Solar Report_Base'!Q106</f>
        <v>1058</v>
      </c>
      <c r="R144" s="192">
        <f>+'Solar Report_Base'!R106</f>
        <v>0</v>
      </c>
      <c r="S144" s="192">
        <f>+'Solar Report_Base'!S106</f>
        <v>0</v>
      </c>
      <c r="T144" s="192">
        <f>+'Solar Report_Base'!T106</f>
        <v>0</v>
      </c>
      <c r="U144" s="192">
        <f>+'Solar Report_Base'!U106</f>
        <v>0</v>
      </c>
      <c r="V144" s="192">
        <f>+'Solar Report_Base'!V106</f>
        <v>0</v>
      </c>
      <c r="W144" s="192">
        <f>+'Solar Report_Base'!W106</f>
        <v>0</v>
      </c>
      <c r="X144" s="192">
        <f>+'Solar Report_Base'!X106</f>
        <v>0</v>
      </c>
      <c r="Y144" s="192">
        <f>+'Solar Report_Base'!Y106</f>
        <v>0</v>
      </c>
      <c r="Z144" s="192">
        <f>+'Solar Report_Base'!Z106</f>
        <v>0</v>
      </c>
      <c r="AA144" s="192">
        <f>+'Solar Report_Base'!AA106</f>
        <v>0</v>
      </c>
      <c r="AB144" s="192">
        <f>+'Solar Report_Base'!AB106</f>
        <v>0</v>
      </c>
      <c r="AC144" s="192">
        <f>+'Solar Report_Base'!AC106</f>
        <v>0</v>
      </c>
      <c r="AD144" s="192">
        <f>+'Solar Report_Base'!AD106</f>
        <v>0</v>
      </c>
      <c r="AE144" s="192">
        <f>+'Solar Report_Base'!AE106</f>
        <v>0</v>
      </c>
      <c r="AF144" s="192">
        <f>+'Solar Report_Base'!AF106</f>
        <v>0</v>
      </c>
      <c r="AG144" s="192">
        <f>+'Solar Report_Base'!AG106</f>
        <v>0</v>
      </c>
      <c r="AH144" s="192">
        <f>+'Solar Report_Base'!AH106</f>
        <v>0</v>
      </c>
      <c r="AI144" s="3">
        <f t="shared" si="8"/>
        <v>2811</v>
      </c>
    </row>
    <row r="145" spans="1:35" ht="15.75" x14ac:dyDescent="0.25">
      <c r="B145" s="388" t="s">
        <v>102</v>
      </c>
      <c r="C145" s="1" t="s">
        <v>59</v>
      </c>
      <c r="D145" s="192">
        <f>+'Solar Report_Base'!D107</f>
        <v>0</v>
      </c>
      <c r="E145" s="192">
        <f>+'Solar Report_Base'!E107</f>
        <v>0</v>
      </c>
      <c r="F145" s="192">
        <f>+'Solar Report_Base'!F107</f>
        <v>0</v>
      </c>
      <c r="G145" s="192">
        <f>+'Solar Report_Base'!G107</f>
        <v>0</v>
      </c>
      <c r="H145" s="192">
        <f>+'Solar Report_Base'!H107</f>
        <v>0</v>
      </c>
      <c r="I145" s="192">
        <f>+'Solar Report_Base'!I107</f>
        <v>0</v>
      </c>
      <c r="J145" s="192">
        <f>+'Solar Report_Base'!J107</f>
        <v>0</v>
      </c>
      <c r="K145" s="192">
        <f>+'Solar Report_Base'!K107</f>
        <v>0</v>
      </c>
      <c r="L145" s="192">
        <f>+'Solar Report_Base'!L107</f>
        <v>0</v>
      </c>
      <c r="M145" s="192">
        <f>+'Solar Report_Base'!M107</f>
        <v>0</v>
      </c>
      <c r="N145" s="192">
        <f>+'Solar Report_Base'!N107</f>
        <v>0</v>
      </c>
      <c r="O145" s="192">
        <f>+'Solar Report_Base'!O107</f>
        <v>0</v>
      </c>
      <c r="P145" s="192">
        <f>+'Solar Report_Base'!P107</f>
        <v>0</v>
      </c>
      <c r="Q145" s="192">
        <f>+'Solar Report_Base'!Q107</f>
        <v>0</v>
      </c>
      <c r="R145" s="192">
        <f>+'Solar Report_Base'!R107</f>
        <v>0</v>
      </c>
      <c r="S145" s="192">
        <f>+'Solar Report_Base'!S107</f>
        <v>0</v>
      </c>
      <c r="T145" s="192">
        <f>+'Solar Report_Base'!T107</f>
        <v>0</v>
      </c>
      <c r="U145" s="192">
        <f>+'Solar Report_Base'!U107</f>
        <v>0</v>
      </c>
      <c r="V145" s="192">
        <f>+'Solar Report_Base'!V107</f>
        <v>0</v>
      </c>
      <c r="W145" s="192">
        <f>+'Solar Report_Base'!W107</f>
        <v>0</v>
      </c>
      <c r="X145" s="192">
        <f>+'Solar Report_Base'!X107</f>
        <v>0</v>
      </c>
      <c r="Y145" s="192">
        <f>+'Solar Report_Base'!Y107</f>
        <v>0</v>
      </c>
      <c r="Z145" s="192">
        <f>+'Solar Report_Base'!Z107</f>
        <v>0</v>
      </c>
      <c r="AA145" s="192">
        <f>+'Solar Report_Base'!AA107</f>
        <v>0</v>
      </c>
      <c r="AB145" s="192">
        <f>+'Solar Report_Base'!AB107</f>
        <v>0</v>
      </c>
      <c r="AC145" s="192">
        <f>+'Solar Report_Base'!AC107</f>
        <v>0</v>
      </c>
      <c r="AD145" s="192">
        <f>+'Solar Report_Base'!AD107</f>
        <v>0</v>
      </c>
      <c r="AE145" s="192">
        <f>+'Solar Report_Base'!AE107</f>
        <v>0</v>
      </c>
      <c r="AF145" s="192">
        <f>+'Solar Report_Base'!AF107</f>
        <v>0</v>
      </c>
      <c r="AG145" s="192">
        <f>+'Solar Report_Base'!AG107</f>
        <v>0</v>
      </c>
      <c r="AH145" s="192">
        <f>+'Solar Report_Base'!AH107</f>
        <v>0</v>
      </c>
      <c r="AI145" s="3">
        <f t="shared" si="8"/>
        <v>0</v>
      </c>
    </row>
    <row r="146" spans="1:35" ht="15.75" x14ac:dyDescent="0.25">
      <c r="B146" s="388" t="s">
        <v>103</v>
      </c>
      <c r="C146" s="1" t="s">
        <v>59</v>
      </c>
      <c r="D146" s="192">
        <f>+'Solar Report_Base'!D108</f>
        <v>25</v>
      </c>
      <c r="E146" s="192">
        <f>+'Solar Report_Base'!E108</f>
        <v>0</v>
      </c>
      <c r="F146" s="192">
        <f>+'Solar Report_Base'!F108</f>
        <v>0</v>
      </c>
      <c r="G146" s="192">
        <f>+'Solar Report_Base'!G108</f>
        <v>0</v>
      </c>
      <c r="H146" s="192">
        <f>+'Solar Report_Base'!H108</f>
        <v>0</v>
      </c>
      <c r="I146" s="192">
        <f>+'Solar Report_Base'!I108</f>
        <v>0</v>
      </c>
      <c r="J146" s="192">
        <f>+'Solar Report_Base'!J108</f>
        <v>0</v>
      </c>
      <c r="K146" s="192">
        <f>+'Solar Report_Base'!K108</f>
        <v>0</v>
      </c>
      <c r="L146" s="192">
        <f>+'Solar Report_Base'!L108</f>
        <v>0</v>
      </c>
      <c r="M146" s="192">
        <f>+'Solar Report_Base'!M108</f>
        <v>0</v>
      </c>
      <c r="N146" s="192">
        <f>+'Solar Report_Base'!N108</f>
        <v>84</v>
      </c>
      <c r="O146" s="192">
        <f>+'Solar Report_Base'!O108</f>
        <v>36</v>
      </c>
      <c r="P146" s="192">
        <f>+'Solar Report_Base'!P108</f>
        <v>0</v>
      </c>
      <c r="Q146" s="192">
        <f>+'Solar Report_Base'!Q108</f>
        <v>432</v>
      </c>
      <c r="R146" s="192">
        <f>+'Solar Report_Base'!R108</f>
        <v>0</v>
      </c>
      <c r="S146" s="192">
        <f>+'Solar Report_Base'!S108</f>
        <v>0</v>
      </c>
      <c r="T146" s="192">
        <f>+'Solar Report_Base'!T108</f>
        <v>0</v>
      </c>
      <c r="U146" s="192">
        <f>+'Solar Report_Base'!U108</f>
        <v>0</v>
      </c>
      <c r="V146" s="192">
        <f>+'Solar Report_Base'!V108</f>
        <v>0</v>
      </c>
      <c r="W146" s="192">
        <f>+'Solar Report_Base'!W108</f>
        <v>0</v>
      </c>
      <c r="X146" s="192">
        <f>+'Solar Report_Base'!X108</f>
        <v>0</v>
      </c>
      <c r="Y146" s="192">
        <f>+'Solar Report_Base'!Y108</f>
        <v>0</v>
      </c>
      <c r="Z146" s="192">
        <f>+'Solar Report_Base'!Z108</f>
        <v>0</v>
      </c>
      <c r="AA146" s="192">
        <f>+'Solar Report_Base'!AA108</f>
        <v>0</v>
      </c>
      <c r="AB146" s="192">
        <f>+'Solar Report_Base'!AB108</f>
        <v>0</v>
      </c>
      <c r="AC146" s="192">
        <f>+'Solar Report_Base'!AC108</f>
        <v>0</v>
      </c>
      <c r="AD146" s="192">
        <f>+'Solar Report_Base'!AD108</f>
        <v>0</v>
      </c>
      <c r="AE146" s="192">
        <f>+'Solar Report_Base'!AE108</f>
        <v>0</v>
      </c>
      <c r="AF146" s="192">
        <f>+'Solar Report_Base'!AF108</f>
        <v>0</v>
      </c>
      <c r="AG146" s="192">
        <f>+'Solar Report_Base'!AG108</f>
        <v>0</v>
      </c>
      <c r="AH146" s="192">
        <f>+'Solar Report_Base'!AH108</f>
        <v>0</v>
      </c>
      <c r="AI146" s="3">
        <f t="shared" si="8"/>
        <v>577</v>
      </c>
    </row>
    <row r="148" spans="1:35" x14ac:dyDescent="0.25">
      <c r="A148" t="s">
        <v>36</v>
      </c>
      <c r="B148" s="1" t="s">
        <v>2</v>
      </c>
      <c r="C148" s="1" t="s">
        <v>3</v>
      </c>
      <c r="D148" s="187">
        <v>1</v>
      </c>
      <c r="E148" s="187">
        <v>2</v>
      </c>
      <c r="F148" s="187">
        <v>3</v>
      </c>
      <c r="G148" s="187">
        <v>4</v>
      </c>
      <c r="H148" s="187">
        <v>5</v>
      </c>
      <c r="I148" s="187">
        <v>6</v>
      </c>
      <c r="J148" s="187">
        <v>7</v>
      </c>
      <c r="K148" s="187">
        <v>8</v>
      </c>
      <c r="L148" s="187">
        <v>9</v>
      </c>
      <c r="M148" s="187">
        <v>10</v>
      </c>
      <c r="N148" s="187">
        <v>11</v>
      </c>
      <c r="O148" s="187">
        <v>12</v>
      </c>
      <c r="P148" s="187">
        <v>13</v>
      </c>
      <c r="Q148" s="187">
        <v>14</v>
      </c>
      <c r="R148" s="187">
        <v>15</v>
      </c>
      <c r="S148" s="187">
        <v>16</v>
      </c>
      <c r="T148" s="187">
        <v>17</v>
      </c>
      <c r="U148" s="187">
        <v>18</v>
      </c>
      <c r="V148" s="187">
        <v>19</v>
      </c>
      <c r="W148" s="187">
        <v>20</v>
      </c>
      <c r="X148" s="187">
        <v>21</v>
      </c>
      <c r="Y148" s="187">
        <v>22</v>
      </c>
      <c r="Z148" s="187">
        <v>23</v>
      </c>
      <c r="AA148" s="187">
        <v>24</v>
      </c>
      <c r="AB148" s="187">
        <v>25</v>
      </c>
      <c r="AC148" s="187">
        <v>26</v>
      </c>
      <c r="AD148" s="187">
        <v>27</v>
      </c>
      <c r="AE148" s="187">
        <v>28</v>
      </c>
      <c r="AF148" s="387">
        <v>29</v>
      </c>
      <c r="AG148" s="187">
        <v>30</v>
      </c>
      <c r="AH148" s="187">
        <v>31</v>
      </c>
      <c r="AI148" s="22" t="s">
        <v>4</v>
      </c>
    </row>
    <row r="149" spans="1:35" ht="15.75" x14ac:dyDescent="0.25">
      <c r="B149" s="388" t="s">
        <v>100</v>
      </c>
      <c r="C149" s="1" t="s">
        <v>59</v>
      </c>
      <c r="D149" s="91">
        <f>'Solar Report_Base'!D145</f>
        <v>45</v>
      </c>
      <c r="E149" s="91">
        <f>'Solar Report_Base'!E145</f>
        <v>106</v>
      </c>
      <c r="F149" s="91">
        <f>'Solar Report_Base'!F145</f>
        <v>228</v>
      </c>
      <c r="G149" s="91">
        <f>'Solar Report_Base'!G145</f>
        <v>249</v>
      </c>
      <c r="H149" s="91">
        <f>'Solar Report_Base'!H145</f>
        <v>220</v>
      </c>
      <c r="I149" s="91">
        <f>'Solar Report_Base'!I145</f>
        <v>284</v>
      </c>
      <c r="J149" s="91">
        <f>'Solar Report_Base'!J145</f>
        <v>240</v>
      </c>
      <c r="K149" s="91">
        <f>'Solar Report_Base'!K145</f>
        <v>607</v>
      </c>
      <c r="L149" s="91">
        <f>'Solar Report_Base'!L145</f>
        <v>541</v>
      </c>
      <c r="M149" s="91">
        <f>'Solar Report_Base'!M145</f>
        <v>371</v>
      </c>
      <c r="N149" s="91">
        <f>'Solar Report_Base'!N145</f>
        <v>312</v>
      </c>
      <c r="O149" s="91">
        <f>'Solar Report_Base'!O145</f>
        <v>255</v>
      </c>
      <c r="P149" s="91">
        <f>'Solar Report_Base'!P145</f>
        <v>155</v>
      </c>
      <c r="Q149" s="91">
        <f>'Solar Report_Base'!Q145</f>
        <v>101</v>
      </c>
      <c r="R149" s="91">
        <f>'Solar Report_Base'!R145</f>
        <v>0</v>
      </c>
      <c r="S149" s="91">
        <f>'Solar Report_Base'!S145</f>
        <v>0</v>
      </c>
      <c r="T149" s="91">
        <f>'Solar Report_Base'!T145</f>
        <v>0</v>
      </c>
      <c r="U149" s="91">
        <f>'Solar Report_Base'!U145</f>
        <v>0</v>
      </c>
      <c r="V149" s="91">
        <f>'Solar Report_Base'!V145</f>
        <v>0</v>
      </c>
      <c r="W149" s="91">
        <f>'Solar Report_Base'!W145</f>
        <v>0</v>
      </c>
      <c r="X149" s="91">
        <f>'Solar Report_Base'!X145</f>
        <v>0</v>
      </c>
      <c r="Y149" s="91">
        <f>'Solar Report_Base'!Y145</f>
        <v>0</v>
      </c>
      <c r="Z149" s="91">
        <f>'Solar Report_Base'!Z145</f>
        <v>0</v>
      </c>
      <c r="AA149" s="91">
        <f>'Solar Report_Base'!AA145</f>
        <v>0</v>
      </c>
      <c r="AB149" s="91">
        <f>'Solar Report_Base'!AB145</f>
        <v>0</v>
      </c>
      <c r="AC149" s="91">
        <f>'Solar Report_Base'!AC145</f>
        <v>0</v>
      </c>
      <c r="AD149" s="91">
        <f>'Solar Report_Base'!AD145</f>
        <v>0</v>
      </c>
      <c r="AE149" s="91">
        <f>'Solar Report_Base'!AE145</f>
        <v>0</v>
      </c>
      <c r="AF149" s="91">
        <f>'Solar Report_Base'!AF145</f>
        <v>0</v>
      </c>
      <c r="AG149" s="91">
        <f>'Solar Report_Base'!AG145</f>
        <v>0</v>
      </c>
      <c r="AH149" s="91">
        <f>'Solar Report_Base'!AH145</f>
        <v>0</v>
      </c>
      <c r="AI149" s="3">
        <f t="shared" ref="AI149:AI152" si="9">SUM(D149:AH149)</f>
        <v>3714</v>
      </c>
    </row>
    <row r="150" spans="1:35" ht="15.75" x14ac:dyDescent="0.25">
      <c r="B150" s="388" t="s">
        <v>101</v>
      </c>
      <c r="C150" s="1" t="s">
        <v>59</v>
      </c>
      <c r="D150" s="91">
        <f>'Solar Report_Base'!D146</f>
        <v>0</v>
      </c>
      <c r="E150" s="91">
        <f>'Solar Report_Base'!E146</f>
        <v>0</v>
      </c>
      <c r="F150" s="91">
        <f>'Solar Report_Base'!F146</f>
        <v>0</v>
      </c>
      <c r="G150" s="91">
        <f>'Solar Report_Base'!G146</f>
        <v>0</v>
      </c>
      <c r="H150" s="91">
        <f>'Solar Report_Base'!H146</f>
        <v>0</v>
      </c>
      <c r="I150" s="91">
        <f>'Solar Report_Base'!I146</f>
        <v>0</v>
      </c>
      <c r="J150" s="91">
        <f>'Solar Report_Base'!J146</f>
        <v>0</v>
      </c>
      <c r="K150" s="91">
        <f>'Solar Report_Base'!K146</f>
        <v>0</v>
      </c>
      <c r="L150" s="91">
        <f>'Solar Report_Base'!L146</f>
        <v>0</v>
      </c>
      <c r="M150" s="91">
        <f>'Solar Report_Base'!M146</f>
        <v>0</v>
      </c>
      <c r="N150" s="91">
        <f>'Solar Report_Base'!N146</f>
        <v>0</v>
      </c>
      <c r="O150" s="91">
        <f>'Solar Report_Base'!O146</f>
        <v>0</v>
      </c>
      <c r="P150" s="91">
        <f>'Solar Report_Base'!P146</f>
        <v>0</v>
      </c>
      <c r="Q150" s="91">
        <f>'Solar Report_Base'!Q146</f>
        <v>0</v>
      </c>
      <c r="R150" s="91">
        <f>'Solar Report_Base'!R146</f>
        <v>0</v>
      </c>
      <c r="S150" s="91">
        <f>'Solar Report_Base'!S146</f>
        <v>0</v>
      </c>
      <c r="T150" s="91">
        <f>'Solar Report_Base'!T146</f>
        <v>0</v>
      </c>
      <c r="U150" s="91">
        <f>'Solar Report_Base'!U146</f>
        <v>0</v>
      </c>
      <c r="V150" s="91">
        <f>'Solar Report_Base'!V146</f>
        <v>0</v>
      </c>
      <c r="W150" s="91">
        <f>'Solar Report_Base'!W146</f>
        <v>0</v>
      </c>
      <c r="X150" s="91">
        <f>'Solar Report_Base'!X146</f>
        <v>0</v>
      </c>
      <c r="Y150" s="91">
        <f>'Solar Report_Base'!Y146</f>
        <v>0</v>
      </c>
      <c r="Z150" s="91">
        <f>'Solar Report_Base'!Z146</f>
        <v>0</v>
      </c>
      <c r="AA150" s="91">
        <f>'Solar Report_Base'!AA146</f>
        <v>0</v>
      </c>
      <c r="AB150" s="91">
        <f>'Solar Report_Base'!AB146</f>
        <v>0</v>
      </c>
      <c r="AC150" s="91">
        <f>'Solar Report_Base'!AC146</f>
        <v>0</v>
      </c>
      <c r="AD150" s="91">
        <f>'Solar Report_Base'!AD146</f>
        <v>0</v>
      </c>
      <c r="AE150" s="91">
        <f>'Solar Report_Base'!AE146</f>
        <v>0</v>
      </c>
      <c r="AF150" s="91">
        <f>'Solar Report_Base'!AF146</f>
        <v>0</v>
      </c>
      <c r="AG150" s="91">
        <f>'Solar Report_Base'!AG146</f>
        <v>0</v>
      </c>
      <c r="AH150" s="91">
        <f>'Solar Report_Base'!AH146</f>
        <v>0</v>
      </c>
      <c r="AI150" s="3">
        <f t="shared" si="9"/>
        <v>0</v>
      </c>
    </row>
    <row r="151" spans="1:35" ht="15.75" x14ac:dyDescent="0.25">
      <c r="B151" s="388" t="s">
        <v>102</v>
      </c>
      <c r="C151" s="1" t="s">
        <v>59</v>
      </c>
      <c r="D151" s="91">
        <f>'Solar Report_Base'!D147</f>
        <v>0</v>
      </c>
      <c r="E151" s="91">
        <f>'Solar Report_Base'!E147</f>
        <v>0</v>
      </c>
      <c r="F151" s="91">
        <f>'Solar Report_Base'!F147</f>
        <v>0</v>
      </c>
      <c r="G151" s="91">
        <f>'Solar Report_Base'!G147</f>
        <v>0</v>
      </c>
      <c r="H151" s="91">
        <f>'Solar Report_Base'!H147</f>
        <v>0</v>
      </c>
      <c r="I151" s="91">
        <f>'Solar Report_Base'!I147</f>
        <v>0</v>
      </c>
      <c r="J151" s="91">
        <f>'Solar Report_Base'!J147</f>
        <v>0</v>
      </c>
      <c r="K151" s="91">
        <f>'Solar Report_Base'!K147</f>
        <v>0</v>
      </c>
      <c r="L151" s="91">
        <f>'Solar Report_Base'!L147</f>
        <v>0</v>
      </c>
      <c r="M151" s="91">
        <f>'Solar Report_Base'!M147</f>
        <v>0</v>
      </c>
      <c r="N151" s="91">
        <f>'Solar Report_Base'!N147</f>
        <v>0</v>
      </c>
      <c r="O151" s="91">
        <f>'Solar Report_Base'!O147</f>
        <v>0</v>
      </c>
      <c r="P151" s="91">
        <f>'Solar Report_Base'!P147</f>
        <v>0</v>
      </c>
      <c r="Q151" s="91">
        <f>'Solar Report_Base'!Q147</f>
        <v>0</v>
      </c>
      <c r="R151" s="91">
        <f>'Solar Report_Base'!R147</f>
        <v>0</v>
      </c>
      <c r="S151" s="91">
        <f>'Solar Report_Base'!S147</f>
        <v>0</v>
      </c>
      <c r="T151" s="91">
        <f>'Solar Report_Base'!T147</f>
        <v>0</v>
      </c>
      <c r="U151" s="91">
        <f>'Solar Report_Base'!U147</f>
        <v>0</v>
      </c>
      <c r="V151" s="91">
        <f>'Solar Report_Base'!V147</f>
        <v>0</v>
      </c>
      <c r="W151" s="91">
        <f>'Solar Report_Base'!W147</f>
        <v>0</v>
      </c>
      <c r="X151" s="91">
        <f>'Solar Report_Base'!X147</f>
        <v>0</v>
      </c>
      <c r="Y151" s="91">
        <f>'Solar Report_Base'!Y147</f>
        <v>0</v>
      </c>
      <c r="Z151" s="91">
        <f>'Solar Report_Base'!Z147</f>
        <v>0</v>
      </c>
      <c r="AA151" s="91">
        <f>'Solar Report_Base'!AA147</f>
        <v>0</v>
      </c>
      <c r="AB151" s="91">
        <f>'Solar Report_Base'!AB147</f>
        <v>0</v>
      </c>
      <c r="AC151" s="91">
        <f>'Solar Report_Base'!AC147</f>
        <v>0</v>
      </c>
      <c r="AD151" s="91">
        <f>'Solar Report_Base'!AD147</f>
        <v>0</v>
      </c>
      <c r="AE151" s="91">
        <f>'Solar Report_Base'!AE147</f>
        <v>0</v>
      </c>
      <c r="AF151" s="91">
        <f>'Solar Report_Base'!AF147</f>
        <v>0</v>
      </c>
      <c r="AG151" s="91">
        <f>'Solar Report_Base'!AG147</f>
        <v>0</v>
      </c>
      <c r="AH151" s="91">
        <f>'Solar Report_Base'!AH147</f>
        <v>0</v>
      </c>
      <c r="AI151" s="3">
        <f t="shared" si="9"/>
        <v>0</v>
      </c>
    </row>
    <row r="152" spans="1:35" ht="15.75" x14ac:dyDescent="0.25">
      <c r="B152" s="388" t="s">
        <v>103</v>
      </c>
      <c r="C152" s="1" t="s">
        <v>59</v>
      </c>
      <c r="D152" s="91">
        <f>'Solar Report_Base'!D148</f>
        <v>0</v>
      </c>
      <c r="E152" s="91">
        <f>'Solar Report_Base'!E148</f>
        <v>0</v>
      </c>
      <c r="F152" s="91">
        <f>'Solar Report_Base'!F148</f>
        <v>132</v>
      </c>
      <c r="G152" s="91">
        <f>'Solar Report_Base'!G148</f>
        <v>0</v>
      </c>
      <c r="H152" s="91">
        <f>'Solar Report_Base'!H148</f>
        <v>0</v>
      </c>
      <c r="I152" s="91">
        <f>'Solar Report_Base'!I148</f>
        <v>0</v>
      </c>
      <c r="J152" s="91">
        <f>'Solar Report_Base'!J148</f>
        <v>0</v>
      </c>
      <c r="K152" s="91">
        <f>'Solar Report_Base'!K148</f>
        <v>0</v>
      </c>
      <c r="L152" s="91">
        <f>'Solar Report_Base'!L148</f>
        <v>44</v>
      </c>
      <c r="M152" s="91">
        <f>'Solar Report_Base'!M148</f>
        <v>0</v>
      </c>
      <c r="N152" s="91">
        <f>'Solar Report_Base'!N148</f>
        <v>0</v>
      </c>
      <c r="O152" s="91">
        <f>'Solar Report_Base'!O148</f>
        <v>0</v>
      </c>
      <c r="P152" s="91">
        <f>'Solar Report_Base'!P148</f>
        <v>0</v>
      </c>
      <c r="Q152" s="91">
        <f>'Solar Report_Base'!Q148</f>
        <v>0</v>
      </c>
      <c r="R152" s="91">
        <f>'Solar Report_Base'!R148</f>
        <v>0</v>
      </c>
      <c r="S152" s="91">
        <f>'Solar Report_Base'!S148</f>
        <v>0</v>
      </c>
      <c r="T152" s="91">
        <f>'Solar Report_Base'!T148</f>
        <v>0</v>
      </c>
      <c r="U152" s="91">
        <f>'Solar Report_Base'!U148</f>
        <v>0</v>
      </c>
      <c r="V152" s="91">
        <f>'Solar Report_Base'!V148</f>
        <v>0</v>
      </c>
      <c r="W152" s="91">
        <f>'Solar Report_Base'!W148</f>
        <v>0</v>
      </c>
      <c r="X152" s="91">
        <f>'Solar Report_Base'!X148</f>
        <v>0</v>
      </c>
      <c r="Y152" s="91">
        <f>'Solar Report_Base'!Y148</f>
        <v>0</v>
      </c>
      <c r="Z152" s="91">
        <f>'Solar Report_Base'!Z148</f>
        <v>0</v>
      </c>
      <c r="AA152" s="91">
        <f>'Solar Report_Base'!AA148</f>
        <v>0</v>
      </c>
      <c r="AB152" s="91">
        <f>'Solar Report_Base'!AB148</f>
        <v>0</v>
      </c>
      <c r="AC152" s="91">
        <f>'Solar Report_Base'!AC148</f>
        <v>0</v>
      </c>
      <c r="AD152" s="91">
        <f>'Solar Report_Base'!AD148</f>
        <v>0</v>
      </c>
      <c r="AE152" s="91">
        <f>'Solar Report_Base'!AE148</f>
        <v>0</v>
      </c>
      <c r="AF152" s="91">
        <f>'Solar Report_Base'!AF148</f>
        <v>0</v>
      </c>
      <c r="AG152" s="91">
        <f>'Solar Report_Base'!AG148</f>
        <v>0</v>
      </c>
      <c r="AH152" s="91">
        <f>'Solar Report_Base'!AH148</f>
        <v>0</v>
      </c>
      <c r="AI152" s="3">
        <f t="shared" si="9"/>
        <v>176</v>
      </c>
    </row>
    <row r="154" spans="1:35" x14ac:dyDescent="0.25">
      <c r="A154" t="s">
        <v>31</v>
      </c>
      <c r="B154" s="1" t="s">
        <v>2</v>
      </c>
      <c r="C154" s="1" t="s">
        <v>3</v>
      </c>
      <c r="D154" s="187">
        <v>1</v>
      </c>
      <c r="E154" s="187">
        <v>2</v>
      </c>
      <c r="F154" s="187">
        <v>3</v>
      </c>
      <c r="G154" s="187">
        <v>4</v>
      </c>
      <c r="H154" s="187">
        <v>5</v>
      </c>
      <c r="I154" s="187">
        <v>6</v>
      </c>
      <c r="J154" s="187">
        <v>7</v>
      </c>
      <c r="K154" s="187">
        <v>8</v>
      </c>
      <c r="L154" s="187">
        <v>9</v>
      </c>
      <c r="M154" s="187">
        <v>10</v>
      </c>
      <c r="N154" s="187">
        <v>11</v>
      </c>
      <c r="O154" s="187">
        <v>12</v>
      </c>
      <c r="P154" s="187">
        <v>13</v>
      </c>
      <c r="Q154" s="187">
        <v>14</v>
      </c>
      <c r="R154" s="187">
        <v>15</v>
      </c>
      <c r="S154" s="187">
        <v>16</v>
      </c>
      <c r="T154" s="187">
        <v>17</v>
      </c>
      <c r="U154" s="187">
        <v>18</v>
      </c>
      <c r="V154" s="187">
        <v>19</v>
      </c>
      <c r="W154" s="187">
        <v>20</v>
      </c>
      <c r="X154" s="187">
        <v>21</v>
      </c>
      <c r="Y154" s="187">
        <v>22</v>
      </c>
      <c r="Z154" s="187">
        <v>23</v>
      </c>
      <c r="AA154" s="187">
        <v>24</v>
      </c>
      <c r="AB154" s="187">
        <v>25</v>
      </c>
      <c r="AC154" s="187">
        <v>26</v>
      </c>
      <c r="AD154" s="187">
        <v>27</v>
      </c>
      <c r="AE154" s="187">
        <v>28</v>
      </c>
      <c r="AF154" s="387">
        <v>29</v>
      </c>
      <c r="AG154" s="187">
        <v>30</v>
      </c>
      <c r="AH154" s="187">
        <v>31</v>
      </c>
      <c r="AI154" s="22" t="s">
        <v>4</v>
      </c>
    </row>
    <row r="155" spans="1:35" ht="15.75" x14ac:dyDescent="0.25">
      <c r="B155" s="388" t="s">
        <v>100</v>
      </c>
      <c r="C155" s="1" t="s">
        <v>59</v>
      </c>
      <c r="D155" s="192">
        <f>'Solar Report_Base'!D168</f>
        <v>53</v>
      </c>
      <c r="E155" s="192">
        <f>'Solar Report_Base'!E168</f>
        <v>28</v>
      </c>
      <c r="F155" s="192">
        <f>'Solar Report_Base'!F168</f>
        <v>33</v>
      </c>
      <c r="G155" s="192">
        <f>'Solar Report_Base'!G168</f>
        <v>41</v>
      </c>
      <c r="H155" s="192">
        <f>'Solar Report_Base'!H168</f>
        <v>35</v>
      </c>
      <c r="I155" s="192">
        <f>'Solar Report_Base'!I168</f>
        <v>34</v>
      </c>
      <c r="J155" s="192">
        <f>'Solar Report_Base'!J168</f>
        <v>37</v>
      </c>
      <c r="K155" s="192">
        <f>'Solar Report_Base'!K168</f>
        <v>43</v>
      </c>
      <c r="L155" s="192">
        <f>'Solar Report_Base'!L168</f>
        <v>24</v>
      </c>
      <c r="M155" s="192">
        <f>'Solar Report_Base'!M168</f>
        <v>9</v>
      </c>
      <c r="N155" s="192">
        <f>'Solar Report_Base'!N168</f>
        <v>5</v>
      </c>
      <c r="O155" s="192">
        <f>'Solar Report_Base'!O168</f>
        <v>45</v>
      </c>
      <c r="P155" s="192">
        <f>'Solar Report_Base'!P168</f>
        <v>40</v>
      </c>
      <c r="Q155" s="192">
        <f>'Solar Report_Base'!Q168</f>
        <v>42</v>
      </c>
      <c r="R155" s="192">
        <f>'Solar Report_Base'!R168</f>
        <v>0</v>
      </c>
      <c r="S155" s="192">
        <f>'Solar Report_Base'!S168</f>
        <v>0</v>
      </c>
      <c r="T155" s="192">
        <f>'Solar Report_Base'!T168</f>
        <v>0</v>
      </c>
      <c r="U155" s="192">
        <f>'Solar Report_Base'!U168</f>
        <v>0</v>
      </c>
      <c r="V155" s="192">
        <f>'Solar Report_Base'!V168</f>
        <v>0</v>
      </c>
      <c r="W155" s="192">
        <f>'Solar Report_Base'!W168</f>
        <v>0</v>
      </c>
      <c r="X155" s="192">
        <f>'Solar Report_Base'!X168</f>
        <v>0</v>
      </c>
      <c r="Y155" s="192">
        <f>'Solar Report_Base'!Y168</f>
        <v>0</v>
      </c>
      <c r="Z155" s="192">
        <f>'Solar Report_Base'!Z168</f>
        <v>0</v>
      </c>
      <c r="AA155" s="192">
        <f>'Solar Report_Base'!AA168</f>
        <v>0</v>
      </c>
      <c r="AB155" s="192">
        <f>'Solar Report_Base'!AB168</f>
        <v>0</v>
      </c>
      <c r="AC155" s="192">
        <f>'Solar Report_Base'!AC168</f>
        <v>0</v>
      </c>
      <c r="AD155" s="192">
        <f>'Solar Report_Base'!AD168</f>
        <v>0</v>
      </c>
      <c r="AE155" s="192">
        <f>'Solar Report_Base'!AE168</f>
        <v>0</v>
      </c>
      <c r="AF155" s="192">
        <f>'Solar Report_Base'!AF168</f>
        <v>0</v>
      </c>
      <c r="AG155" s="192">
        <f>'Solar Report_Base'!AG168</f>
        <v>0</v>
      </c>
      <c r="AH155" s="192">
        <f>'Solar Report_Base'!AH168</f>
        <v>0</v>
      </c>
      <c r="AI155" s="3">
        <f t="shared" ref="AI155:AI158" si="10">SUM(D155:AH155)</f>
        <v>469</v>
      </c>
    </row>
    <row r="156" spans="1:35" ht="15.75" x14ac:dyDescent="0.25">
      <c r="B156" s="388" t="s">
        <v>101</v>
      </c>
      <c r="C156" s="1" t="s">
        <v>59</v>
      </c>
      <c r="D156" s="192">
        <f>'Solar Report_Base'!D169</f>
        <v>0</v>
      </c>
      <c r="E156" s="192">
        <f>'Solar Report_Base'!E169</f>
        <v>0</v>
      </c>
      <c r="F156" s="192">
        <f>'Solar Report_Base'!F169</f>
        <v>0</v>
      </c>
      <c r="G156" s="192">
        <f>'Solar Report_Base'!G169</f>
        <v>0</v>
      </c>
      <c r="H156" s="192">
        <f>'Solar Report_Base'!H169</f>
        <v>0</v>
      </c>
      <c r="I156" s="192">
        <f>'Solar Report_Base'!I169</f>
        <v>0</v>
      </c>
      <c r="J156" s="192">
        <f>'Solar Report_Base'!J169</f>
        <v>0</v>
      </c>
      <c r="K156" s="192">
        <f>'Solar Report_Base'!K169</f>
        <v>0</v>
      </c>
      <c r="L156" s="192">
        <f>'Solar Report_Base'!L169</f>
        <v>84</v>
      </c>
      <c r="M156" s="192">
        <f>'Solar Report_Base'!M169</f>
        <v>206</v>
      </c>
      <c r="N156" s="192">
        <f>'Solar Report_Base'!N169</f>
        <v>0</v>
      </c>
      <c r="O156" s="192">
        <f>'Solar Report_Base'!O169</f>
        <v>0</v>
      </c>
      <c r="P156" s="192">
        <f>'Solar Report_Base'!P169</f>
        <v>96</v>
      </c>
      <c r="Q156" s="192">
        <f>'Solar Report_Base'!Q169</f>
        <v>86</v>
      </c>
      <c r="R156" s="192">
        <f>'Solar Report_Base'!R169</f>
        <v>0</v>
      </c>
      <c r="S156" s="192">
        <f>'Solar Report_Base'!S169</f>
        <v>0</v>
      </c>
      <c r="T156" s="192">
        <f>'Solar Report_Base'!T169</f>
        <v>0</v>
      </c>
      <c r="U156" s="192">
        <f>'Solar Report_Base'!U169</f>
        <v>0</v>
      </c>
      <c r="V156" s="192">
        <f>'Solar Report_Base'!V169</f>
        <v>0</v>
      </c>
      <c r="W156" s="192">
        <f>'Solar Report_Base'!W169</f>
        <v>0</v>
      </c>
      <c r="X156" s="192">
        <f>'Solar Report_Base'!X169</f>
        <v>0</v>
      </c>
      <c r="Y156" s="192">
        <f>'Solar Report_Base'!Y169</f>
        <v>0</v>
      </c>
      <c r="Z156" s="192">
        <f>'Solar Report_Base'!Z169</f>
        <v>0</v>
      </c>
      <c r="AA156" s="192">
        <f>'Solar Report_Base'!AA169</f>
        <v>0</v>
      </c>
      <c r="AB156" s="192">
        <f>'Solar Report_Base'!AB169</f>
        <v>0</v>
      </c>
      <c r="AC156" s="192">
        <f>'Solar Report_Base'!AC169</f>
        <v>0</v>
      </c>
      <c r="AD156" s="192">
        <f>'Solar Report_Base'!AD169</f>
        <v>0</v>
      </c>
      <c r="AE156" s="192">
        <f>'Solar Report_Base'!AE169</f>
        <v>0</v>
      </c>
      <c r="AF156" s="192">
        <f>'Solar Report_Base'!AF169</f>
        <v>0</v>
      </c>
      <c r="AG156" s="192">
        <f>'Solar Report_Base'!AG169</f>
        <v>0</v>
      </c>
      <c r="AH156" s="192">
        <f>'Solar Report_Base'!AH169</f>
        <v>0</v>
      </c>
      <c r="AI156" s="3">
        <f t="shared" si="10"/>
        <v>472</v>
      </c>
    </row>
    <row r="157" spans="1:35" ht="15.75" x14ac:dyDescent="0.25">
      <c r="B157" s="388" t="s">
        <v>102</v>
      </c>
      <c r="C157" s="1" t="s">
        <v>59</v>
      </c>
      <c r="D157" s="192">
        <f>'Solar Report_Base'!D170</f>
        <v>79</v>
      </c>
      <c r="E157" s="192">
        <f>'Solar Report_Base'!E170</f>
        <v>21</v>
      </c>
      <c r="F157" s="192">
        <f>'Solar Report_Base'!F170</f>
        <v>20</v>
      </c>
      <c r="G157" s="192">
        <f>'Solar Report_Base'!G170</f>
        <v>13</v>
      </c>
      <c r="H157" s="192">
        <f>'Solar Report_Base'!H170</f>
        <v>169</v>
      </c>
      <c r="I157" s="192">
        <f>'Solar Report_Base'!I170</f>
        <v>20</v>
      </c>
      <c r="J157" s="192">
        <f>'Solar Report_Base'!J170</f>
        <v>41</v>
      </c>
      <c r="K157" s="192">
        <f>'Solar Report_Base'!K170</f>
        <v>52</v>
      </c>
      <c r="L157" s="192">
        <f>'Solar Report_Base'!L170</f>
        <v>0</v>
      </c>
      <c r="M157" s="192">
        <f>'Solar Report_Base'!M170</f>
        <v>0</v>
      </c>
      <c r="N157" s="192">
        <f>'Solar Report_Base'!N170</f>
        <v>0</v>
      </c>
      <c r="O157" s="192">
        <f>'Solar Report_Base'!O170</f>
        <v>0</v>
      </c>
      <c r="P157" s="192">
        <f>'Solar Report_Base'!P170</f>
        <v>0</v>
      </c>
      <c r="Q157" s="192">
        <f>'Solar Report_Base'!Q170</f>
        <v>0</v>
      </c>
      <c r="R157" s="192">
        <f>'Solar Report_Base'!R170</f>
        <v>0</v>
      </c>
      <c r="S157" s="192">
        <f>'Solar Report_Base'!S170</f>
        <v>0</v>
      </c>
      <c r="T157" s="192">
        <f>'Solar Report_Base'!T170</f>
        <v>0</v>
      </c>
      <c r="U157" s="192">
        <f>'Solar Report_Base'!U170</f>
        <v>0</v>
      </c>
      <c r="V157" s="192">
        <f>'Solar Report_Base'!V170</f>
        <v>0</v>
      </c>
      <c r="W157" s="192">
        <f>'Solar Report_Base'!W170</f>
        <v>0</v>
      </c>
      <c r="X157" s="192">
        <f>'Solar Report_Base'!X170</f>
        <v>0</v>
      </c>
      <c r="Y157" s="192">
        <f>'Solar Report_Base'!Y170</f>
        <v>0</v>
      </c>
      <c r="Z157" s="192">
        <f>'Solar Report_Base'!Z170</f>
        <v>0</v>
      </c>
      <c r="AA157" s="192">
        <f>'Solar Report_Base'!AA170</f>
        <v>0</v>
      </c>
      <c r="AB157" s="192">
        <f>'Solar Report_Base'!AB170</f>
        <v>0</v>
      </c>
      <c r="AC157" s="192">
        <f>'Solar Report_Base'!AC170</f>
        <v>0</v>
      </c>
      <c r="AD157" s="192">
        <f>'Solar Report_Base'!AD170</f>
        <v>0</v>
      </c>
      <c r="AE157" s="192">
        <f>'Solar Report_Base'!AE170</f>
        <v>0</v>
      </c>
      <c r="AF157" s="192">
        <f>'Solar Report_Base'!AF170</f>
        <v>0</v>
      </c>
      <c r="AG157" s="192">
        <f>'Solar Report_Base'!AG170</f>
        <v>0</v>
      </c>
      <c r="AH157" s="192">
        <f>'Solar Report_Base'!AH170</f>
        <v>0</v>
      </c>
      <c r="AI157" s="3">
        <f t="shared" si="10"/>
        <v>415</v>
      </c>
    </row>
    <row r="158" spans="1:35" ht="15.75" x14ac:dyDescent="0.25">
      <c r="B158" s="388" t="s">
        <v>103</v>
      </c>
      <c r="C158" s="1" t="s">
        <v>59</v>
      </c>
      <c r="D158" s="192">
        <f>'Solar Report_Base'!D171</f>
        <v>0</v>
      </c>
      <c r="E158" s="192">
        <f>'Solar Report_Base'!E171</f>
        <v>0</v>
      </c>
      <c r="F158" s="192">
        <f>'Solar Report_Base'!F171</f>
        <v>0</v>
      </c>
      <c r="G158" s="192">
        <f>'Solar Report_Base'!G171</f>
        <v>0</v>
      </c>
      <c r="H158" s="192">
        <f>'Solar Report_Base'!H171</f>
        <v>0</v>
      </c>
      <c r="I158" s="192">
        <f>'Solar Report_Base'!I171</f>
        <v>0</v>
      </c>
      <c r="J158" s="192">
        <f>'Solar Report_Base'!J171</f>
        <v>0</v>
      </c>
      <c r="K158" s="192">
        <f>'Solar Report_Base'!K171</f>
        <v>0</v>
      </c>
      <c r="L158" s="192">
        <f>'Solar Report_Base'!L171</f>
        <v>0</v>
      </c>
      <c r="M158" s="192">
        <f>'Solar Report_Base'!M171</f>
        <v>0</v>
      </c>
      <c r="N158" s="192">
        <f>'Solar Report_Base'!N171</f>
        <v>19</v>
      </c>
      <c r="O158" s="192">
        <f>'Solar Report_Base'!O171</f>
        <v>0</v>
      </c>
      <c r="P158" s="192">
        <f>'Solar Report_Base'!P171</f>
        <v>0</v>
      </c>
      <c r="Q158" s="192">
        <f>'Solar Report_Base'!Q171</f>
        <v>18</v>
      </c>
      <c r="R158" s="192">
        <f>'Solar Report_Base'!R171</f>
        <v>0</v>
      </c>
      <c r="S158" s="192">
        <f>'Solar Report_Base'!S171</f>
        <v>0</v>
      </c>
      <c r="T158" s="192">
        <f>'Solar Report_Base'!T171</f>
        <v>0</v>
      </c>
      <c r="U158" s="192">
        <f>'Solar Report_Base'!U171</f>
        <v>0</v>
      </c>
      <c r="V158" s="192">
        <f>'Solar Report_Base'!V171</f>
        <v>0</v>
      </c>
      <c r="W158" s="192">
        <f>'Solar Report_Base'!W171</f>
        <v>0</v>
      </c>
      <c r="X158" s="192">
        <f>'Solar Report_Base'!X171</f>
        <v>0</v>
      </c>
      <c r="Y158" s="192">
        <f>'Solar Report_Base'!Y171</f>
        <v>0</v>
      </c>
      <c r="Z158" s="192">
        <f>'Solar Report_Base'!Z171</f>
        <v>0</v>
      </c>
      <c r="AA158" s="192">
        <f>'Solar Report_Base'!AA171</f>
        <v>0</v>
      </c>
      <c r="AB158" s="192">
        <f>'Solar Report_Base'!AB171</f>
        <v>0</v>
      </c>
      <c r="AC158" s="192">
        <f>'Solar Report_Base'!AC171</f>
        <v>0</v>
      </c>
      <c r="AD158" s="192">
        <f>'Solar Report_Base'!AD171</f>
        <v>0</v>
      </c>
      <c r="AE158" s="192">
        <f>'Solar Report_Base'!AE171</f>
        <v>0</v>
      </c>
      <c r="AF158" s="192">
        <f>'Solar Report_Base'!AF171</f>
        <v>0</v>
      </c>
      <c r="AG158" s="192">
        <f>'Solar Report_Base'!AG171</f>
        <v>0</v>
      </c>
      <c r="AH158" s="192">
        <f>'Solar Report_Base'!AH171</f>
        <v>0</v>
      </c>
      <c r="AI158" s="3">
        <f t="shared" si="10"/>
        <v>37</v>
      </c>
    </row>
  </sheetData>
  <mergeCells count="5">
    <mergeCell ref="B2:AI2"/>
    <mergeCell ref="B28:AI28"/>
    <mergeCell ref="B54:AI54"/>
    <mergeCell ref="B80:AI80"/>
    <mergeCell ref="B108:AI108"/>
  </mergeCells>
  <pageMargins left="0.2" right="0.2" top="0.25" bottom="0.25" header="0.3" footer="0.3"/>
  <pageSetup paperSize="8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opLeftCell="A16" workbookViewId="0">
      <selection activeCell="E35" sqref="E35"/>
    </sheetView>
  </sheetViews>
  <sheetFormatPr defaultRowHeight="15" x14ac:dyDescent="0.25"/>
  <cols>
    <col min="3" max="3" width="11.7109375" bestFit="1" customWidth="1"/>
    <col min="4" max="5" width="11.28515625" bestFit="1" customWidth="1"/>
    <col min="7" max="7" width="13" bestFit="1" customWidth="1"/>
    <col min="8" max="8" width="9.7109375" bestFit="1" customWidth="1"/>
    <col min="11" max="11" width="15.5703125" bestFit="1" customWidth="1"/>
    <col min="12" max="12" width="34" customWidth="1"/>
    <col min="259" max="259" width="11.7109375" bestFit="1" customWidth="1"/>
    <col min="260" max="261" width="11.28515625" bestFit="1" customWidth="1"/>
    <col min="263" max="263" width="13" bestFit="1" customWidth="1"/>
    <col min="264" max="264" width="9.7109375" bestFit="1" customWidth="1"/>
    <col min="267" max="267" width="15.5703125" bestFit="1" customWidth="1"/>
    <col min="268" max="268" width="34" customWidth="1"/>
    <col min="515" max="515" width="11.7109375" bestFit="1" customWidth="1"/>
    <col min="516" max="517" width="11.28515625" bestFit="1" customWidth="1"/>
    <col min="519" max="519" width="13" bestFit="1" customWidth="1"/>
    <col min="520" max="520" width="9.7109375" bestFit="1" customWidth="1"/>
    <col min="523" max="523" width="15.5703125" bestFit="1" customWidth="1"/>
    <col min="524" max="524" width="34" customWidth="1"/>
    <col min="771" max="771" width="11.7109375" bestFit="1" customWidth="1"/>
    <col min="772" max="773" width="11.28515625" bestFit="1" customWidth="1"/>
    <col min="775" max="775" width="13" bestFit="1" customWidth="1"/>
    <col min="776" max="776" width="9.7109375" bestFit="1" customWidth="1"/>
    <col min="779" max="779" width="15.5703125" bestFit="1" customWidth="1"/>
    <col min="780" max="780" width="34" customWidth="1"/>
    <col min="1027" max="1027" width="11.7109375" bestFit="1" customWidth="1"/>
    <col min="1028" max="1029" width="11.28515625" bestFit="1" customWidth="1"/>
    <col min="1031" max="1031" width="13" bestFit="1" customWidth="1"/>
    <col min="1032" max="1032" width="9.7109375" bestFit="1" customWidth="1"/>
    <col min="1035" max="1035" width="15.5703125" bestFit="1" customWidth="1"/>
    <col min="1036" max="1036" width="34" customWidth="1"/>
    <col min="1283" max="1283" width="11.7109375" bestFit="1" customWidth="1"/>
    <col min="1284" max="1285" width="11.28515625" bestFit="1" customWidth="1"/>
    <col min="1287" max="1287" width="13" bestFit="1" customWidth="1"/>
    <col min="1288" max="1288" width="9.7109375" bestFit="1" customWidth="1"/>
    <col min="1291" max="1291" width="15.5703125" bestFit="1" customWidth="1"/>
    <col min="1292" max="1292" width="34" customWidth="1"/>
    <col min="1539" max="1539" width="11.7109375" bestFit="1" customWidth="1"/>
    <col min="1540" max="1541" width="11.28515625" bestFit="1" customWidth="1"/>
    <col min="1543" max="1543" width="13" bestFit="1" customWidth="1"/>
    <col min="1544" max="1544" width="9.7109375" bestFit="1" customWidth="1"/>
    <col min="1547" max="1547" width="15.5703125" bestFit="1" customWidth="1"/>
    <col min="1548" max="1548" width="34" customWidth="1"/>
    <col min="1795" max="1795" width="11.7109375" bestFit="1" customWidth="1"/>
    <col min="1796" max="1797" width="11.28515625" bestFit="1" customWidth="1"/>
    <col min="1799" max="1799" width="13" bestFit="1" customWidth="1"/>
    <col min="1800" max="1800" width="9.7109375" bestFit="1" customWidth="1"/>
    <col min="1803" max="1803" width="15.5703125" bestFit="1" customWidth="1"/>
    <col min="1804" max="1804" width="34" customWidth="1"/>
    <col min="2051" max="2051" width="11.7109375" bestFit="1" customWidth="1"/>
    <col min="2052" max="2053" width="11.28515625" bestFit="1" customWidth="1"/>
    <col min="2055" max="2055" width="13" bestFit="1" customWidth="1"/>
    <col min="2056" max="2056" width="9.7109375" bestFit="1" customWidth="1"/>
    <col min="2059" max="2059" width="15.5703125" bestFit="1" customWidth="1"/>
    <col min="2060" max="2060" width="34" customWidth="1"/>
    <col min="2307" max="2307" width="11.7109375" bestFit="1" customWidth="1"/>
    <col min="2308" max="2309" width="11.28515625" bestFit="1" customWidth="1"/>
    <col min="2311" max="2311" width="13" bestFit="1" customWidth="1"/>
    <col min="2312" max="2312" width="9.7109375" bestFit="1" customWidth="1"/>
    <col min="2315" max="2315" width="15.5703125" bestFit="1" customWidth="1"/>
    <col min="2316" max="2316" width="34" customWidth="1"/>
    <col min="2563" max="2563" width="11.7109375" bestFit="1" customWidth="1"/>
    <col min="2564" max="2565" width="11.28515625" bestFit="1" customWidth="1"/>
    <col min="2567" max="2567" width="13" bestFit="1" customWidth="1"/>
    <col min="2568" max="2568" width="9.7109375" bestFit="1" customWidth="1"/>
    <col min="2571" max="2571" width="15.5703125" bestFit="1" customWidth="1"/>
    <col min="2572" max="2572" width="34" customWidth="1"/>
    <col min="2819" max="2819" width="11.7109375" bestFit="1" customWidth="1"/>
    <col min="2820" max="2821" width="11.28515625" bestFit="1" customWidth="1"/>
    <col min="2823" max="2823" width="13" bestFit="1" customWidth="1"/>
    <col min="2824" max="2824" width="9.7109375" bestFit="1" customWidth="1"/>
    <col min="2827" max="2827" width="15.5703125" bestFit="1" customWidth="1"/>
    <col min="2828" max="2828" width="34" customWidth="1"/>
    <col min="3075" max="3075" width="11.7109375" bestFit="1" customWidth="1"/>
    <col min="3076" max="3077" width="11.28515625" bestFit="1" customWidth="1"/>
    <col min="3079" max="3079" width="13" bestFit="1" customWidth="1"/>
    <col min="3080" max="3080" width="9.7109375" bestFit="1" customWidth="1"/>
    <col min="3083" max="3083" width="15.5703125" bestFit="1" customWidth="1"/>
    <col min="3084" max="3084" width="34" customWidth="1"/>
    <col min="3331" max="3331" width="11.7109375" bestFit="1" customWidth="1"/>
    <col min="3332" max="3333" width="11.28515625" bestFit="1" customWidth="1"/>
    <col min="3335" max="3335" width="13" bestFit="1" customWidth="1"/>
    <col min="3336" max="3336" width="9.7109375" bestFit="1" customWidth="1"/>
    <col min="3339" max="3339" width="15.5703125" bestFit="1" customWidth="1"/>
    <col min="3340" max="3340" width="34" customWidth="1"/>
    <col min="3587" max="3587" width="11.7109375" bestFit="1" customWidth="1"/>
    <col min="3588" max="3589" width="11.28515625" bestFit="1" customWidth="1"/>
    <col min="3591" max="3591" width="13" bestFit="1" customWidth="1"/>
    <col min="3592" max="3592" width="9.7109375" bestFit="1" customWidth="1"/>
    <col min="3595" max="3595" width="15.5703125" bestFit="1" customWidth="1"/>
    <col min="3596" max="3596" width="34" customWidth="1"/>
    <col min="3843" max="3843" width="11.7109375" bestFit="1" customWidth="1"/>
    <col min="3844" max="3845" width="11.28515625" bestFit="1" customWidth="1"/>
    <col min="3847" max="3847" width="13" bestFit="1" customWidth="1"/>
    <col min="3848" max="3848" width="9.7109375" bestFit="1" customWidth="1"/>
    <col min="3851" max="3851" width="15.5703125" bestFit="1" customWidth="1"/>
    <col min="3852" max="3852" width="34" customWidth="1"/>
    <col min="4099" max="4099" width="11.7109375" bestFit="1" customWidth="1"/>
    <col min="4100" max="4101" width="11.28515625" bestFit="1" customWidth="1"/>
    <col min="4103" max="4103" width="13" bestFit="1" customWidth="1"/>
    <col min="4104" max="4104" width="9.7109375" bestFit="1" customWidth="1"/>
    <col min="4107" max="4107" width="15.5703125" bestFit="1" customWidth="1"/>
    <col min="4108" max="4108" width="34" customWidth="1"/>
    <col min="4355" max="4355" width="11.7109375" bestFit="1" customWidth="1"/>
    <col min="4356" max="4357" width="11.28515625" bestFit="1" customWidth="1"/>
    <col min="4359" max="4359" width="13" bestFit="1" customWidth="1"/>
    <col min="4360" max="4360" width="9.7109375" bestFit="1" customWidth="1"/>
    <col min="4363" max="4363" width="15.5703125" bestFit="1" customWidth="1"/>
    <col min="4364" max="4364" width="34" customWidth="1"/>
    <col min="4611" max="4611" width="11.7109375" bestFit="1" customWidth="1"/>
    <col min="4612" max="4613" width="11.28515625" bestFit="1" customWidth="1"/>
    <col min="4615" max="4615" width="13" bestFit="1" customWidth="1"/>
    <col min="4616" max="4616" width="9.7109375" bestFit="1" customWidth="1"/>
    <col min="4619" max="4619" width="15.5703125" bestFit="1" customWidth="1"/>
    <col min="4620" max="4620" width="34" customWidth="1"/>
    <col min="4867" max="4867" width="11.7109375" bestFit="1" customWidth="1"/>
    <col min="4868" max="4869" width="11.28515625" bestFit="1" customWidth="1"/>
    <col min="4871" max="4871" width="13" bestFit="1" customWidth="1"/>
    <col min="4872" max="4872" width="9.7109375" bestFit="1" customWidth="1"/>
    <col min="4875" max="4875" width="15.5703125" bestFit="1" customWidth="1"/>
    <col min="4876" max="4876" width="34" customWidth="1"/>
    <col min="5123" max="5123" width="11.7109375" bestFit="1" customWidth="1"/>
    <col min="5124" max="5125" width="11.28515625" bestFit="1" customWidth="1"/>
    <col min="5127" max="5127" width="13" bestFit="1" customWidth="1"/>
    <col min="5128" max="5128" width="9.7109375" bestFit="1" customWidth="1"/>
    <col min="5131" max="5131" width="15.5703125" bestFit="1" customWidth="1"/>
    <col min="5132" max="5132" width="34" customWidth="1"/>
    <col min="5379" max="5379" width="11.7109375" bestFit="1" customWidth="1"/>
    <col min="5380" max="5381" width="11.28515625" bestFit="1" customWidth="1"/>
    <col min="5383" max="5383" width="13" bestFit="1" customWidth="1"/>
    <col min="5384" max="5384" width="9.7109375" bestFit="1" customWidth="1"/>
    <col min="5387" max="5387" width="15.5703125" bestFit="1" customWidth="1"/>
    <col min="5388" max="5388" width="34" customWidth="1"/>
    <col min="5635" max="5635" width="11.7109375" bestFit="1" customWidth="1"/>
    <col min="5636" max="5637" width="11.28515625" bestFit="1" customWidth="1"/>
    <col min="5639" max="5639" width="13" bestFit="1" customWidth="1"/>
    <col min="5640" max="5640" width="9.7109375" bestFit="1" customWidth="1"/>
    <col min="5643" max="5643" width="15.5703125" bestFit="1" customWidth="1"/>
    <col min="5644" max="5644" width="34" customWidth="1"/>
    <col min="5891" max="5891" width="11.7109375" bestFit="1" customWidth="1"/>
    <col min="5892" max="5893" width="11.28515625" bestFit="1" customWidth="1"/>
    <col min="5895" max="5895" width="13" bestFit="1" customWidth="1"/>
    <col min="5896" max="5896" width="9.7109375" bestFit="1" customWidth="1"/>
    <col min="5899" max="5899" width="15.5703125" bestFit="1" customWidth="1"/>
    <col min="5900" max="5900" width="34" customWidth="1"/>
    <col min="6147" max="6147" width="11.7109375" bestFit="1" customWidth="1"/>
    <col min="6148" max="6149" width="11.28515625" bestFit="1" customWidth="1"/>
    <col min="6151" max="6151" width="13" bestFit="1" customWidth="1"/>
    <col min="6152" max="6152" width="9.7109375" bestFit="1" customWidth="1"/>
    <col min="6155" max="6155" width="15.5703125" bestFit="1" customWidth="1"/>
    <col min="6156" max="6156" width="34" customWidth="1"/>
    <col min="6403" max="6403" width="11.7109375" bestFit="1" customWidth="1"/>
    <col min="6404" max="6405" width="11.28515625" bestFit="1" customWidth="1"/>
    <col min="6407" max="6407" width="13" bestFit="1" customWidth="1"/>
    <col min="6408" max="6408" width="9.7109375" bestFit="1" customWidth="1"/>
    <col min="6411" max="6411" width="15.5703125" bestFit="1" customWidth="1"/>
    <col min="6412" max="6412" width="34" customWidth="1"/>
    <col min="6659" max="6659" width="11.7109375" bestFit="1" customWidth="1"/>
    <col min="6660" max="6661" width="11.28515625" bestFit="1" customWidth="1"/>
    <col min="6663" max="6663" width="13" bestFit="1" customWidth="1"/>
    <col min="6664" max="6664" width="9.7109375" bestFit="1" customWidth="1"/>
    <col min="6667" max="6667" width="15.5703125" bestFit="1" customWidth="1"/>
    <col min="6668" max="6668" width="34" customWidth="1"/>
    <col min="6915" max="6915" width="11.7109375" bestFit="1" customWidth="1"/>
    <col min="6916" max="6917" width="11.28515625" bestFit="1" customWidth="1"/>
    <col min="6919" max="6919" width="13" bestFit="1" customWidth="1"/>
    <col min="6920" max="6920" width="9.7109375" bestFit="1" customWidth="1"/>
    <col min="6923" max="6923" width="15.5703125" bestFit="1" customWidth="1"/>
    <col min="6924" max="6924" width="34" customWidth="1"/>
    <col min="7171" max="7171" width="11.7109375" bestFit="1" customWidth="1"/>
    <col min="7172" max="7173" width="11.28515625" bestFit="1" customWidth="1"/>
    <col min="7175" max="7175" width="13" bestFit="1" customWidth="1"/>
    <col min="7176" max="7176" width="9.7109375" bestFit="1" customWidth="1"/>
    <col min="7179" max="7179" width="15.5703125" bestFit="1" customWidth="1"/>
    <col min="7180" max="7180" width="34" customWidth="1"/>
    <col min="7427" max="7427" width="11.7109375" bestFit="1" customWidth="1"/>
    <col min="7428" max="7429" width="11.28515625" bestFit="1" customWidth="1"/>
    <col min="7431" max="7431" width="13" bestFit="1" customWidth="1"/>
    <col min="7432" max="7432" width="9.7109375" bestFit="1" customWidth="1"/>
    <col min="7435" max="7435" width="15.5703125" bestFit="1" customWidth="1"/>
    <col min="7436" max="7436" width="34" customWidth="1"/>
    <col min="7683" max="7683" width="11.7109375" bestFit="1" customWidth="1"/>
    <col min="7684" max="7685" width="11.28515625" bestFit="1" customWidth="1"/>
    <col min="7687" max="7687" width="13" bestFit="1" customWidth="1"/>
    <col min="7688" max="7688" width="9.7109375" bestFit="1" customWidth="1"/>
    <col min="7691" max="7691" width="15.5703125" bestFit="1" customWidth="1"/>
    <col min="7692" max="7692" width="34" customWidth="1"/>
    <col min="7939" max="7939" width="11.7109375" bestFit="1" customWidth="1"/>
    <col min="7940" max="7941" width="11.28515625" bestFit="1" customWidth="1"/>
    <col min="7943" max="7943" width="13" bestFit="1" customWidth="1"/>
    <col min="7944" max="7944" width="9.7109375" bestFit="1" customWidth="1"/>
    <col min="7947" max="7947" width="15.5703125" bestFit="1" customWidth="1"/>
    <col min="7948" max="7948" width="34" customWidth="1"/>
    <col min="8195" max="8195" width="11.7109375" bestFit="1" customWidth="1"/>
    <col min="8196" max="8197" width="11.28515625" bestFit="1" customWidth="1"/>
    <col min="8199" max="8199" width="13" bestFit="1" customWidth="1"/>
    <col min="8200" max="8200" width="9.7109375" bestFit="1" customWidth="1"/>
    <col min="8203" max="8203" width="15.5703125" bestFit="1" customWidth="1"/>
    <col min="8204" max="8204" width="34" customWidth="1"/>
    <col min="8451" max="8451" width="11.7109375" bestFit="1" customWidth="1"/>
    <col min="8452" max="8453" width="11.28515625" bestFit="1" customWidth="1"/>
    <col min="8455" max="8455" width="13" bestFit="1" customWidth="1"/>
    <col min="8456" max="8456" width="9.7109375" bestFit="1" customWidth="1"/>
    <col min="8459" max="8459" width="15.5703125" bestFit="1" customWidth="1"/>
    <col min="8460" max="8460" width="34" customWidth="1"/>
    <col min="8707" max="8707" width="11.7109375" bestFit="1" customWidth="1"/>
    <col min="8708" max="8709" width="11.28515625" bestFit="1" customWidth="1"/>
    <col min="8711" max="8711" width="13" bestFit="1" customWidth="1"/>
    <col min="8712" max="8712" width="9.7109375" bestFit="1" customWidth="1"/>
    <col min="8715" max="8715" width="15.5703125" bestFit="1" customWidth="1"/>
    <col min="8716" max="8716" width="34" customWidth="1"/>
    <col min="8963" max="8963" width="11.7109375" bestFit="1" customWidth="1"/>
    <col min="8964" max="8965" width="11.28515625" bestFit="1" customWidth="1"/>
    <col min="8967" max="8967" width="13" bestFit="1" customWidth="1"/>
    <col min="8968" max="8968" width="9.7109375" bestFit="1" customWidth="1"/>
    <col min="8971" max="8971" width="15.5703125" bestFit="1" customWidth="1"/>
    <col min="8972" max="8972" width="34" customWidth="1"/>
    <col min="9219" max="9219" width="11.7109375" bestFit="1" customWidth="1"/>
    <col min="9220" max="9221" width="11.28515625" bestFit="1" customWidth="1"/>
    <col min="9223" max="9223" width="13" bestFit="1" customWidth="1"/>
    <col min="9224" max="9224" width="9.7109375" bestFit="1" customWidth="1"/>
    <col min="9227" max="9227" width="15.5703125" bestFit="1" customWidth="1"/>
    <col min="9228" max="9228" width="34" customWidth="1"/>
    <col min="9475" max="9475" width="11.7109375" bestFit="1" customWidth="1"/>
    <col min="9476" max="9477" width="11.28515625" bestFit="1" customWidth="1"/>
    <col min="9479" max="9479" width="13" bestFit="1" customWidth="1"/>
    <col min="9480" max="9480" width="9.7109375" bestFit="1" customWidth="1"/>
    <col min="9483" max="9483" width="15.5703125" bestFit="1" customWidth="1"/>
    <col min="9484" max="9484" width="34" customWidth="1"/>
    <col min="9731" max="9731" width="11.7109375" bestFit="1" customWidth="1"/>
    <col min="9732" max="9733" width="11.28515625" bestFit="1" customWidth="1"/>
    <col min="9735" max="9735" width="13" bestFit="1" customWidth="1"/>
    <col min="9736" max="9736" width="9.7109375" bestFit="1" customWidth="1"/>
    <col min="9739" max="9739" width="15.5703125" bestFit="1" customWidth="1"/>
    <col min="9740" max="9740" width="34" customWidth="1"/>
    <col min="9987" max="9987" width="11.7109375" bestFit="1" customWidth="1"/>
    <col min="9988" max="9989" width="11.28515625" bestFit="1" customWidth="1"/>
    <col min="9991" max="9991" width="13" bestFit="1" customWidth="1"/>
    <col min="9992" max="9992" width="9.7109375" bestFit="1" customWidth="1"/>
    <col min="9995" max="9995" width="15.5703125" bestFit="1" customWidth="1"/>
    <col min="9996" max="9996" width="34" customWidth="1"/>
    <col min="10243" max="10243" width="11.7109375" bestFit="1" customWidth="1"/>
    <col min="10244" max="10245" width="11.28515625" bestFit="1" customWidth="1"/>
    <col min="10247" max="10247" width="13" bestFit="1" customWidth="1"/>
    <col min="10248" max="10248" width="9.7109375" bestFit="1" customWidth="1"/>
    <col min="10251" max="10251" width="15.5703125" bestFit="1" customWidth="1"/>
    <col min="10252" max="10252" width="34" customWidth="1"/>
    <col min="10499" max="10499" width="11.7109375" bestFit="1" customWidth="1"/>
    <col min="10500" max="10501" width="11.28515625" bestFit="1" customWidth="1"/>
    <col min="10503" max="10503" width="13" bestFit="1" customWidth="1"/>
    <col min="10504" max="10504" width="9.7109375" bestFit="1" customWidth="1"/>
    <col min="10507" max="10507" width="15.5703125" bestFit="1" customWidth="1"/>
    <col min="10508" max="10508" width="34" customWidth="1"/>
    <col min="10755" max="10755" width="11.7109375" bestFit="1" customWidth="1"/>
    <col min="10756" max="10757" width="11.28515625" bestFit="1" customWidth="1"/>
    <col min="10759" max="10759" width="13" bestFit="1" customWidth="1"/>
    <col min="10760" max="10760" width="9.7109375" bestFit="1" customWidth="1"/>
    <col min="10763" max="10763" width="15.5703125" bestFit="1" customWidth="1"/>
    <col min="10764" max="10764" width="34" customWidth="1"/>
    <col min="11011" max="11011" width="11.7109375" bestFit="1" customWidth="1"/>
    <col min="11012" max="11013" width="11.28515625" bestFit="1" customWidth="1"/>
    <col min="11015" max="11015" width="13" bestFit="1" customWidth="1"/>
    <col min="11016" max="11016" width="9.7109375" bestFit="1" customWidth="1"/>
    <col min="11019" max="11019" width="15.5703125" bestFit="1" customWidth="1"/>
    <col min="11020" max="11020" width="34" customWidth="1"/>
    <col min="11267" max="11267" width="11.7109375" bestFit="1" customWidth="1"/>
    <col min="11268" max="11269" width="11.28515625" bestFit="1" customWidth="1"/>
    <col min="11271" max="11271" width="13" bestFit="1" customWidth="1"/>
    <col min="11272" max="11272" width="9.7109375" bestFit="1" customWidth="1"/>
    <col min="11275" max="11275" width="15.5703125" bestFit="1" customWidth="1"/>
    <col min="11276" max="11276" width="34" customWidth="1"/>
    <col min="11523" max="11523" width="11.7109375" bestFit="1" customWidth="1"/>
    <col min="11524" max="11525" width="11.28515625" bestFit="1" customWidth="1"/>
    <col min="11527" max="11527" width="13" bestFit="1" customWidth="1"/>
    <col min="11528" max="11528" width="9.7109375" bestFit="1" customWidth="1"/>
    <col min="11531" max="11531" width="15.5703125" bestFit="1" customWidth="1"/>
    <col min="11532" max="11532" width="34" customWidth="1"/>
    <col min="11779" max="11779" width="11.7109375" bestFit="1" customWidth="1"/>
    <col min="11780" max="11781" width="11.28515625" bestFit="1" customWidth="1"/>
    <col min="11783" max="11783" width="13" bestFit="1" customWidth="1"/>
    <col min="11784" max="11784" width="9.7109375" bestFit="1" customWidth="1"/>
    <col min="11787" max="11787" width="15.5703125" bestFit="1" customWidth="1"/>
    <col min="11788" max="11788" width="34" customWidth="1"/>
    <col min="12035" max="12035" width="11.7109375" bestFit="1" customWidth="1"/>
    <col min="12036" max="12037" width="11.28515625" bestFit="1" customWidth="1"/>
    <col min="12039" max="12039" width="13" bestFit="1" customWidth="1"/>
    <col min="12040" max="12040" width="9.7109375" bestFit="1" customWidth="1"/>
    <col min="12043" max="12043" width="15.5703125" bestFit="1" customWidth="1"/>
    <col min="12044" max="12044" width="34" customWidth="1"/>
    <col min="12291" max="12291" width="11.7109375" bestFit="1" customWidth="1"/>
    <col min="12292" max="12293" width="11.28515625" bestFit="1" customWidth="1"/>
    <col min="12295" max="12295" width="13" bestFit="1" customWidth="1"/>
    <col min="12296" max="12296" width="9.7109375" bestFit="1" customWidth="1"/>
    <col min="12299" max="12299" width="15.5703125" bestFit="1" customWidth="1"/>
    <col min="12300" max="12300" width="34" customWidth="1"/>
    <col min="12547" max="12547" width="11.7109375" bestFit="1" customWidth="1"/>
    <col min="12548" max="12549" width="11.28515625" bestFit="1" customWidth="1"/>
    <col min="12551" max="12551" width="13" bestFit="1" customWidth="1"/>
    <col min="12552" max="12552" width="9.7109375" bestFit="1" customWidth="1"/>
    <col min="12555" max="12555" width="15.5703125" bestFit="1" customWidth="1"/>
    <col min="12556" max="12556" width="34" customWidth="1"/>
    <col min="12803" max="12803" width="11.7109375" bestFit="1" customWidth="1"/>
    <col min="12804" max="12805" width="11.28515625" bestFit="1" customWidth="1"/>
    <col min="12807" max="12807" width="13" bestFit="1" customWidth="1"/>
    <col min="12808" max="12808" width="9.7109375" bestFit="1" customWidth="1"/>
    <col min="12811" max="12811" width="15.5703125" bestFit="1" customWidth="1"/>
    <col min="12812" max="12812" width="34" customWidth="1"/>
    <col min="13059" max="13059" width="11.7109375" bestFit="1" customWidth="1"/>
    <col min="13060" max="13061" width="11.28515625" bestFit="1" customWidth="1"/>
    <col min="13063" max="13063" width="13" bestFit="1" customWidth="1"/>
    <col min="13064" max="13064" width="9.7109375" bestFit="1" customWidth="1"/>
    <col min="13067" max="13067" width="15.5703125" bestFit="1" customWidth="1"/>
    <col min="13068" max="13068" width="34" customWidth="1"/>
    <col min="13315" max="13315" width="11.7109375" bestFit="1" customWidth="1"/>
    <col min="13316" max="13317" width="11.28515625" bestFit="1" customWidth="1"/>
    <col min="13319" max="13319" width="13" bestFit="1" customWidth="1"/>
    <col min="13320" max="13320" width="9.7109375" bestFit="1" customWidth="1"/>
    <col min="13323" max="13323" width="15.5703125" bestFit="1" customWidth="1"/>
    <col min="13324" max="13324" width="34" customWidth="1"/>
    <col min="13571" max="13571" width="11.7109375" bestFit="1" customWidth="1"/>
    <col min="13572" max="13573" width="11.28515625" bestFit="1" customWidth="1"/>
    <col min="13575" max="13575" width="13" bestFit="1" customWidth="1"/>
    <col min="13576" max="13576" width="9.7109375" bestFit="1" customWidth="1"/>
    <col min="13579" max="13579" width="15.5703125" bestFit="1" customWidth="1"/>
    <col min="13580" max="13580" width="34" customWidth="1"/>
    <col min="13827" max="13827" width="11.7109375" bestFit="1" customWidth="1"/>
    <col min="13828" max="13829" width="11.28515625" bestFit="1" customWidth="1"/>
    <col min="13831" max="13831" width="13" bestFit="1" customWidth="1"/>
    <col min="13832" max="13832" width="9.7109375" bestFit="1" customWidth="1"/>
    <col min="13835" max="13835" width="15.5703125" bestFit="1" customWidth="1"/>
    <col min="13836" max="13836" width="34" customWidth="1"/>
    <col min="14083" max="14083" width="11.7109375" bestFit="1" customWidth="1"/>
    <col min="14084" max="14085" width="11.28515625" bestFit="1" customWidth="1"/>
    <col min="14087" max="14087" width="13" bestFit="1" customWidth="1"/>
    <col min="14088" max="14088" width="9.7109375" bestFit="1" customWidth="1"/>
    <col min="14091" max="14091" width="15.5703125" bestFit="1" customWidth="1"/>
    <col min="14092" max="14092" width="34" customWidth="1"/>
    <col min="14339" max="14339" width="11.7109375" bestFit="1" customWidth="1"/>
    <col min="14340" max="14341" width="11.28515625" bestFit="1" customWidth="1"/>
    <col min="14343" max="14343" width="13" bestFit="1" customWidth="1"/>
    <col min="14344" max="14344" width="9.7109375" bestFit="1" customWidth="1"/>
    <col min="14347" max="14347" width="15.5703125" bestFit="1" customWidth="1"/>
    <col min="14348" max="14348" width="34" customWidth="1"/>
    <col min="14595" max="14595" width="11.7109375" bestFit="1" customWidth="1"/>
    <col min="14596" max="14597" width="11.28515625" bestFit="1" customWidth="1"/>
    <col min="14599" max="14599" width="13" bestFit="1" customWidth="1"/>
    <col min="14600" max="14600" width="9.7109375" bestFit="1" customWidth="1"/>
    <col min="14603" max="14603" width="15.5703125" bestFit="1" customWidth="1"/>
    <col min="14604" max="14604" width="34" customWidth="1"/>
    <col min="14851" max="14851" width="11.7109375" bestFit="1" customWidth="1"/>
    <col min="14852" max="14853" width="11.28515625" bestFit="1" customWidth="1"/>
    <col min="14855" max="14855" width="13" bestFit="1" customWidth="1"/>
    <col min="14856" max="14856" width="9.7109375" bestFit="1" customWidth="1"/>
    <col min="14859" max="14859" width="15.5703125" bestFit="1" customWidth="1"/>
    <col min="14860" max="14860" width="34" customWidth="1"/>
    <col min="15107" max="15107" width="11.7109375" bestFit="1" customWidth="1"/>
    <col min="15108" max="15109" width="11.28515625" bestFit="1" customWidth="1"/>
    <col min="15111" max="15111" width="13" bestFit="1" customWidth="1"/>
    <col min="15112" max="15112" width="9.7109375" bestFit="1" customWidth="1"/>
    <col min="15115" max="15115" width="15.5703125" bestFit="1" customWidth="1"/>
    <col min="15116" max="15116" width="34" customWidth="1"/>
    <col min="15363" max="15363" width="11.7109375" bestFit="1" customWidth="1"/>
    <col min="15364" max="15365" width="11.28515625" bestFit="1" customWidth="1"/>
    <col min="15367" max="15367" width="13" bestFit="1" customWidth="1"/>
    <col min="15368" max="15368" width="9.7109375" bestFit="1" customWidth="1"/>
    <col min="15371" max="15371" width="15.5703125" bestFit="1" customWidth="1"/>
    <col min="15372" max="15372" width="34" customWidth="1"/>
    <col min="15619" max="15619" width="11.7109375" bestFit="1" customWidth="1"/>
    <col min="15620" max="15621" width="11.28515625" bestFit="1" customWidth="1"/>
    <col min="15623" max="15623" width="13" bestFit="1" customWidth="1"/>
    <col min="15624" max="15624" width="9.7109375" bestFit="1" customWidth="1"/>
    <col min="15627" max="15627" width="15.5703125" bestFit="1" customWidth="1"/>
    <col min="15628" max="15628" width="34" customWidth="1"/>
    <col min="15875" max="15875" width="11.7109375" bestFit="1" customWidth="1"/>
    <col min="15876" max="15877" width="11.28515625" bestFit="1" customWidth="1"/>
    <col min="15879" max="15879" width="13" bestFit="1" customWidth="1"/>
    <col min="15880" max="15880" width="9.7109375" bestFit="1" customWidth="1"/>
    <col min="15883" max="15883" width="15.5703125" bestFit="1" customWidth="1"/>
    <col min="15884" max="15884" width="34" customWidth="1"/>
    <col min="16131" max="16131" width="11.7109375" bestFit="1" customWidth="1"/>
    <col min="16132" max="16133" width="11.28515625" bestFit="1" customWidth="1"/>
    <col min="16135" max="16135" width="13" bestFit="1" customWidth="1"/>
    <col min="16136" max="16136" width="9.7109375" bestFit="1" customWidth="1"/>
    <col min="16139" max="16139" width="15.5703125" bestFit="1" customWidth="1"/>
    <col min="16140" max="16140" width="34" customWidth="1"/>
  </cols>
  <sheetData>
    <row r="1" spans="3:11" hidden="1" x14ac:dyDescent="0.25"/>
    <row r="2" spans="3:11" hidden="1" x14ac:dyDescent="0.25"/>
    <row r="3" spans="3:11" hidden="1" x14ac:dyDescent="0.25"/>
    <row r="4" spans="3:11" ht="15.75" hidden="1" x14ac:dyDescent="0.25">
      <c r="C4" s="430"/>
      <c r="D4" s="659" t="s">
        <v>328</v>
      </c>
      <c r="E4" s="659"/>
      <c r="F4" s="659"/>
      <c r="G4" s="659"/>
      <c r="H4" s="659" t="s">
        <v>329</v>
      </c>
      <c r="I4" s="659"/>
      <c r="J4" s="659"/>
      <c r="K4" s="660"/>
    </row>
    <row r="5" spans="3:11" hidden="1" x14ac:dyDescent="0.25">
      <c r="C5" s="431" t="s">
        <v>32</v>
      </c>
      <c r="D5" s="432" t="s">
        <v>330</v>
      </c>
      <c r="E5" s="432" t="s">
        <v>331</v>
      </c>
      <c r="F5" s="432" t="s">
        <v>332</v>
      </c>
      <c r="G5" s="432" t="s">
        <v>333</v>
      </c>
      <c r="H5" s="432" t="s">
        <v>330</v>
      </c>
      <c r="I5" s="432" t="s">
        <v>331</v>
      </c>
      <c r="J5" s="432" t="s">
        <v>332</v>
      </c>
      <c r="K5" s="433" t="s">
        <v>334</v>
      </c>
    </row>
    <row r="6" spans="3:11" hidden="1" x14ac:dyDescent="0.25">
      <c r="C6" s="431" t="s">
        <v>30</v>
      </c>
      <c r="D6" s="432">
        <v>73.56</v>
      </c>
      <c r="E6" s="432">
        <v>59.170999999999999</v>
      </c>
      <c r="F6" s="432">
        <v>9000</v>
      </c>
      <c r="G6" s="434">
        <f>+(D6-E6)*F6</f>
        <v>129501.00000000003</v>
      </c>
      <c r="H6" s="432">
        <v>0.57299999999999995</v>
      </c>
      <c r="I6" s="432">
        <v>0.46600000000000003</v>
      </c>
      <c r="J6" s="432">
        <v>9000</v>
      </c>
      <c r="K6" s="435">
        <f>+(H6-I6)*J6</f>
        <v>962.99999999999932</v>
      </c>
    </row>
    <row r="7" spans="3:11" hidden="1" x14ac:dyDescent="0.25">
      <c r="C7" s="431" t="s">
        <v>31</v>
      </c>
      <c r="D7" s="432">
        <v>3126.77</v>
      </c>
      <c r="E7" s="432">
        <v>2821.31</v>
      </c>
      <c r="F7" s="432">
        <v>400</v>
      </c>
      <c r="G7" s="434">
        <f>+(D7-E7)*F7</f>
        <v>122184.00000000001</v>
      </c>
      <c r="H7" s="432"/>
      <c r="I7" s="432"/>
      <c r="J7" s="432"/>
      <c r="K7" s="433"/>
    </row>
    <row r="8" spans="3:11" hidden="1" x14ac:dyDescent="0.25">
      <c r="C8" s="661" t="s">
        <v>335</v>
      </c>
      <c r="D8" s="418">
        <v>803363</v>
      </c>
      <c r="E8" s="432">
        <v>746413</v>
      </c>
      <c r="F8" s="432">
        <v>1</v>
      </c>
      <c r="G8" s="663">
        <f>(D8-E8)+D9</f>
        <v>154723</v>
      </c>
      <c r="H8" s="187">
        <v>6681</v>
      </c>
      <c r="I8" s="432">
        <v>6506</v>
      </c>
      <c r="J8" s="432">
        <v>1</v>
      </c>
      <c r="K8" s="663">
        <f>+(H8-I8)*J8+(H9-J9)</f>
        <v>445</v>
      </c>
    </row>
    <row r="9" spans="3:11" hidden="1" x14ac:dyDescent="0.25">
      <c r="C9" s="662"/>
      <c r="D9" s="436">
        <v>97773</v>
      </c>
      <c r="E9" s="432">
        <v>0</v>
      </c>
      <c r="F9" s="432"/>
      <c r="G9" s="664"/>
      <c r="H9" s="436">
        <v>271</v>
      </c>
      <c r="I9" s="432">
        <v>0</v>
      </c>
      <c r="J9" s="432">
        <v>1</v>
      </c>
      <c r="K9" s="664"/>
    </row>
    <row r="10" spans="3:11" hidden="1" x14ac:dyDescent="0.25">
      <c r="C10" s="431" t="s">
        <v>1</v>
      </c>
      <c r="D10" s="432">
        <v>8938.6</v>
      </c>
      <c r="E10" s="432">
        <v>8532.9</v>
      </c>
      <c r="F10" s="432">
        <v>300</v>
      </c>
      <c r="G10" s="434">
        <f>+(D10-E10)*F10</f>
        <v>121710.00000000022</v>
      </c>
      <c r="H10" s="432"/>
      <c r="I10" s="432"/>
      <c r="J10" s="432"/>
      <c r="K10" s="433"/>
    </row>
    <row r="11" spans="3:11" ht="15.75" hidden="1" thickBot="1" x14ac:dyDescent="0.3">
      <c r="C11" s="437" t="s">
        <v>41</v>
      </c>
      <c r="D11" s="438">
        <v>410488</v>
      </c>
      <c r="E11" s="438">
        <v>402111</v>
      </c>
      <c r="F11" s="438">
        <v>1</v>
      </c>
      <c r="G11" s="439">
        <f>+(D11-E11)*F11</f>
        <v>8377</v>
      </c>
      <c r="H11" s="438"/>
      <c r="I11" s="438"/>
      <c r="J11" s="438"/>
      <c r="K11" s="440"/>
    </row>
    <row r="12" spans="3:11" hidden="1" x14ac:dyDescent="0.25"/>
    <row r="13" spans="3:11" hidden="1" x14ac:dyDescent="0.25"/>
    <row r="14" spans="3:11" hidden="1" x14ac:dyDescent="0.25">
      <c r="C14" t="s">
        <v>336</v>
      </c>
    </row>
    <row r="15" spans="3:11" hidden="1" x14ac:dyDescent="0.25"/>
    <row r="17" spans="2:14" ht="15.75" thickBot="1" x14ac:dyDescent="0.3"/>
    <row r="18" spans="2:14" ht="15" customHeight="1" x14ac:dyDescent="0.25">
      <c r="B18" s="665">
        <v>44287</v>
      </c>
      <c r="C18" s="666"/>
      <c r="D18" s="666"/>
      <c r="E18" s="666"/>
      <c r="F18" s="666"/>
      <c r="G18" s="666"/>
      <c r="H18" s="666"/>
      <c r="I18" s="666"/>
      <c r="J18" s="666"/>
      <c r="K18" s="666"/>
      <c r="L18" s="667"/>
    </row>
    <row r="19" spans="2:14" ht="15.75" thickBot="1" x14ac:dyDescent="0.3">
      <c r="B19" s="668"/>
      <c r="C19" s="669"/>
      <c r="D19" s="669"/>
      <c r="E19" s="669"/>
      <c r="F19" s="669"/>
      <c r="G19" s="669"/>
      <c r="H19" s="669"/>
      <c r="I19" s="669"/>
      <c r="J19" s="669"/>
      <c r="K19" s="669"/>
      <c r="L19" s="670"/>
    </row>
    <row r="20" spans="2:14" ht="18.75" x14ac:dyDescent="0.3">
      <c r="B20" s="655" t="s">
        <v>279</v>
      </c>
      <c r="C20" s="441"/>
      <c r="D20" s="657" t="s">
        <v>328</v>
      </c>
      <c r="E20" s="657"/>
      <c r="F20" s="657"/>
      <c r="G20" s="657"/>
      <c r="H20" s="657" t="s">
        <v>329</v>
      </c>
      <c r="I20" s="657"/>
      <c r="J20" s="657"/>
      <c r="K20" s="658"/>
      <c r="L20" s="442" t="s">
        <v>327</v>
      </c>
      <c r="M20">
        <v>30</v>
      </c>
    </row>
    <row r="21" spans="2:14" x14ac:dyDescent="0.25">
      <c r="B21" s="656"/>
      <c r="C21" s="443" t="s">
        <v>32</v>
      </c>
      <c r="D21" s="432" t="s">
        <v>330</v>
      </c>
      <c r="E21" s="432" t="s">
        <v>331</v>
      </c>
      <c r="F21" s="432" t="s">
        <v>332</v>
      </c>
      <c r="G21" s="432" t="s">
        <v>333</v>
      </c>
      <c r="H21" s="432" t="s">
        <v>330</v>
      </c>
      <c r="I21" s="432" t="s">
        <v>331</v>
      </c>
      <c r="J21" s="432" t="s">
        <v>332</v>
      </c>
      <c r="K21" s="444" t="s">
        <v>334</v>
      </c>
      <c r="L21" s="445"/>
    </row>
    <row r="22" spans="2:14" x14ac:dyDescent="0.25">
      <c r="B22" s="446">
        <v>999.4</v>
      </c>
      <c r="C22" s="447" t="s">
        <v>30</v>
      </c>
      <c r="D22" s="447">
        <v>146.43299999999999</v>
      </c>
      <c r="E22" s="447">
        <v>130.59899999999999</v>
      </c>
      <c r="F22" s="447">
        <v>9000</v>
      </c>
      <c r="G22" s="448">
        <f>+(D22-E22)*F22</f>
        <v>142506.00000000003</v>
      </c>
      <c r="H22" s="447">
        <v>1.2170000000000001</v>
      </c>
      <c r="I22" s="449">
        <v>1.125</v>
      </c>
      <c r="J22" s="447">
        <v>9000</v>
      </c>
      <c r="K22" s="448">
        <f>+(H22-I22)*J22</f>
        <v>828.00000000000068</v>
      </c>
      <c r="L22" s="450"/>
      <c r="N22" s="451"/>
    </row>
    <row r="23" spans="2:14" ht="15.75" x14ac:dyDescent="0.25">
      <c r="B23" s="452">
        <f>999.4+248</f>
        <v>1247.4000000000001</v>
      </c>
      <c r="C23" s="447" t="s">
        <v>31</v>
      </c>
      <c r="D23" s="447">
        <v>4863.45</v>
      </c>
      <c r="E23" s="447">
        <v>4465.29</v>
      </c>
      <c r="F23" s="447">
        <v>400</v>
      </c>
      <c r="G23" s="448">
        <f>+(D23-E23)*F23</f>
        <v>159263.99999999994</v>
      </c>
      <c r="H23" s="447"/>
      <c r="I23" s="447"/>
      <c r="J23" s="447"/>
      <c r="K23" s="447"/>
      <c r="L23" s="450"/>
      <c r="N23" s="451"/>
    </row>
    <row r="24" spans="2:14" ht="15.75" x14ac:dyDescent="0.25">
      <c r="B24" s="452">
        <v>1998.8</v>
      </c>
      <c r="C24" s="453" t="s">
        <v>335</v>
      </c>
      <c r="D24" s="447">
        <v>970000</v>
      </c>
      <c r="E24" s="447">
        <v>727060</v>
      </c>
      <c r="F24" s="454">
        <v>1</v>
      </c>
      <c r="G24" s="448">
        <f>D24-E24</f>
        <v>242940</v>
      </c>
      <c r="H24" s="447">
        <v>5140</v>
      </c>
      <c r="I24" s="447">
        <v>4130</v>
      </c>
      <c r="J24" s="454">
        <v>1</v>
      </c>
      <c r="K24" s="448">
        <f>H24-I24</f>
        <v>1010</v>
      </c>
      <c r="L24" s="455"/>
      <c r="N24" s="451"/>
    </row>
    <row r="25" spans="2:14" ht="15.75" x14ac:dyDescent="0.25">
      <c r="B25" s="456">
        <v>999.37</v>
      </c>
      <c r="C25" s="447" t="s">
        <v>1</v>
      </c>
      <c r="D25" s="447">
        <v>11273.5</v>
      </c>
      <c r="E25" s="447">
        <v>10768</v>
      </c>
      <c r="F25" s="447">
        <v>300</v>
      </c>
      <c r="G25" s="448">
        <f>+(D25-E25)*F25</f>
        <v>151650</v>
      </c>
      <c r="H25" s="447"/>
      <c r="I25" s="447"/>
      <c r="J25" s="447"/>
      <c r="K25" s="447"/>
      <c r="L25" s="450"/>
      <c r="N25" s="451"/>
    </row>
    <row r="26" spans="2:14" ht="16.5" thickBot="1" x14ac:dyDescent="0.3">
      <c r="B26" s="457">
        <v>62</v>
      </c>
      <c r="C26" s="458" t="s">
        <v>41</v>
      </c>
      <c r="D26" s="458">
        <v>462225</v>
      </c>
      <c r="E26" s="458">
        <v>451797</v>
      </c>
      <c r="F26" s="458"/>
      <c r="G26" s="459">
        <f>D26-E26</f>
        <v>10428</v>
      </c>
      <c r="H26" s="458"/>
      <c r="I26" s="458"/>
      <c r="J26" s="458"/>
      <c r="K26" s="458"/>
      <c r="L26" s="460"/>
      <c r="N26" s="451"/>
    </row>
    <row r="27" spans="2:14" ht="23.25" x14ac:dyDescent="0.35">
      <c r="B27" s="461">
        <f>SUM(B22:B26)</f>
        <v>5306.97</v>
      </c>
      <c r="G27" s="461">
        <f>SUM(G22:G26)</f>
        <v>706788</v>
      </c>
      <c r="H27" s="462">
        <f>G27/M20/24/B27</f>
        <v>0.1849737232356693</v>
      </c>
    </row>
    <row r="29" spans="2:14" x14ac:dyDescent="0.25">
      <c r="C29" t="s">
        <v>337</v>
      </c>
    </row>
  </sheetData>
  <mergeCells count="9">
    <mergeCell ref="B20:B21"/>
    <mergeCell ref="D20:G20"/>
    <mergeCell ref="H20:K20"/>
    <mergeCell ref="D4:G4"/>
    <mergeCell ref="H4:K4"/>
    <mergeCell ref="C8:C9"/>
    <mergeCell ref="G8:G9"/>
    <mergeCell ref="K8:K9"/>
    <mergeCell ref="B18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73"/>
  <sheetViews>
    <sheetView topLeftCell="A218" zoomScale="85" zoomScaleNormal="85" workbookViewId="0">
      <selection activeCell="Q203" sqref="Q203:Q224"/>
    </sheetView>
  </sheetViews>
  <sheetFormatPr defaultRowHeight="15" x14ac:dyDescent="0.25"/>
  <cols>
    <col min="1" max="1" width="11.28515625" customWidth="1"/>
    <col min="2" max="2" width="36" customWidth="1"/>
    <col min="3" max="3" width="12.5703125" bestFit="1" customWidth="1"/>
    <col min="4" max="4" width="8.85546875" style="6" customWidth="1"/>
    <col min="5" max="5" width="9.7109375" style="6" customWidth="1"/>
    <col min="6" max="6" width="8.85546875" style="6" customWidth="1"/>
    <col min="7" max="7" width="9" style="6" customWidth="1"/>
    <col min="8" max="10" width="11.85546875" style="6" bestFit="1" customWidth="1"/>
    <col min="11" max="11" width="9.7109375" style="6" customWidth="1"/>
    <col min="12" max="12" width="9.5703125" style="6" bestFit="1" customWidth="1"/>
    <col min="13" max="13" width="10.5703125" style="6" bestFit="1" customWidth="1"/>
    <col min="14" max="14" width="9.28515625" style="6" bestFit="1" customWidth="1"/>
    <col min="15" max="15" width="9.5703125" style="6" bestFit="1" customWidth="1"/>
    <col min="16" max="16" width="7.85546875" style="6" customWidth="1"/>
    <col min="17" max="21" width="10.5703125" style="6" bestFit="1" customWidth="1"/>
    <col min="22" max="22" width="9.7109375" style="6" customWidth="1"/>
    <col min="23" max="23" width="9.5703125" style="6" bestFit="1" customWidth="1"/>
    <col min="24" max="24" width="8.5703125" style="6" customWidth="1"/>
    <col min="25" max="25" width="8.28515625" style="6" customWidth="1"/>
    <col min="26" max="26" width="8.140625" style="6" bestFit="1" customWidth="1"/>
    <col min="27" max="27" width="9.5703125" style="6" customWidth="1"/>
    <col min="28" max="28" width="10" style="6" customWidth="1"/>
    <col min="29" max="29" width="11.7109375" style="6" bestFit="1" customWidth="1"/>
    <col min="30" max="30" width="8.5703125" style="6" customWidth="1"/>
    <col min="31" max="31" width="8" style="6" customWidth="1"/>
    <col min="32" max="32" width="8.28515625" style="6" customWidth="1"/>
    <col min="33" max="33" width="9.42578125" style="6" customWidth="1"/>
    <col min="34" max="34" width="8.42578125" style="6" customWidth="1"/>
    <col min="35" max="35" width="26.28515625" style="6" customWidth="1"/>
    <col min="38" max="38" width="21.28515625" bestFit="1" customWidth="1"/>
  </cols>
  <sheetData>
    <row r="1" spans="1:35" ht="15.75" thickBot="1" x14ac:dyDescent="0.3"/>
    <row r="2" spans="1:35" x14ac:dyDescent="0.25">
      <c r="A2" s="218" t="s">
        <v>1</v>
      </c>
      <c r="B2" s="643" t="s">
        <v>1</v>
      </c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B2" s="644"/>
      <c r="AC2" s="644"/>
      <c r="AD2" s="644"/>
      <c r="AE2" s="644"/>
      <c r="AF2" s="644"/>
      <c r="AG2" s="644"/>
      <c r="AH2" s="644"/>
      <c r="AI2" s="645"/>
    </row>
    <row r="3" spans="1:35" x14ac:dyDescent="0.25">
      <c r="B3" s="1" t="s">
        <v>2</v>
      </c>
      <c r="C3" s="1" t="s">
        <v>3</v>
      </c>
      <c r="D3" s="47">
        <v>1</v>
      </c>
      <c r="E3" s="47">
        <v>2</v>
      </c>
      <c r="F3" s="47">
        <v>3</v>
      </c>
      <c r="G3" s="47">
        <v>4</v>
      </c>
      <c r="H3" s="47">
        <v>5</v>
      </c>
      <c r="I3" s="47">
        <v>6</v>
      </c>
      <c r="J3" s="47">
        <v>7</v>
      </c>
      <c r="K3" s="47">
        <v>8</v>
      </c>
      <c r="L3" s="47">
        <v>9</v>
      </c>
      <c r="M3" s="47">
        <v>10</v>
      </c>
      <c r="N3" s="47">
        <v>11</v>
      </c>
      <c r="O3" s="47">
        <v>12</v>
      </c>
      <c r="P3" s="47">
        <v>13</v>
      </c>
      <c r="Q3" s="47">
        <v>14</v>
      </c>
      <c r="R3" s="47">
        <v>15</v>
      </c>
      <c r="S3" s="47">
        <v>16</v>
      </c>
      <c r="T3" s="47">
        <v>17</v>
      </c>
      <c r="U3" s="47">
        <v>18</v>
      </c>
      <c r="V3" s="47">
        <v>19</v>
      </c>
      <c r="W3" s="47">
        <v>20</v>
      </c>
      <c r="X3" s="47">
        <v>21</v>
      </c>
      <c r="Y3" s="47">
        <v>22</v>
      </c>
      <c r="Z3" s="47">
        <v>23</v>
      </c>
      <c r="AA3" s="47">
        <v>24</v>
      </c>
      <c r="AB3" s="47">
        <v>25</v>
      </c>
      <c r="AC3" s="47">
        <v>26</v>
      </c>
      <c r="AD3" s="47">
        <v>27</v>
      </c>
      <c r="AE3" s="47">
        <v>28</v>
      </c>
      <c r="AF3" s="47">
        <v>29</v>
      </c>
      <c r="AG3" s="47">
        <v>30</v>
      </c>
      <c r="AH3" s="47">
        <v>31</v>
      </c>
      <c r="AI3" s="47" t="s">
        <v>4</v>
      </c>
    </row>
    <row r="4" spans="1:35" ht="15.75" x14ac:dyDescent="0.25">
      <c r="B4" s="1" t="s">
        <v>5</v>
      </c>
      <c r="C4" s="1" t="s">
        <v>6</v>
      </c>
      <c r="D4" s="18">
        <v>175</v>
      </c>
      <c r="E4" s="191">
        <v>186</v>
      </c>
      <c r="F4" s="18">
        <v>233</v>
      </c>
      <c r="G4" s="18">
        <v>277</v>
      </c>
      <c r="H4" s="18">
        <v>339</v>
      </c>
      <c r="I4" s="191">
        <v>345</v>
      </c>
      <c r="J4" s="186">
        <v>221</v>
      </c>
      <c r="K4" s="18">
        <v>373</v>
      </c>
      <c r="L4" s="18">
        <v>378</v>
      </c>
      <c r="M4" s="18">
        <v>368</v>
      </c>
      <c r="N4" s="191">
        <v>268</v>
      </c>
      <c r="O4" s="500">
        <v>361</v>
      </c>
      <c r="P4" s="18">
        <v>318</v>
      </c>
      <c r="Q4" s="191">
        <v>318</v>
      </c>
      <c r="R4" s="18"/>
      <c r="S4" s="186"/>
      <c r="T4" s="18"/>
      <c r="U4" s="18"/>
      <c r="V4" s="18"/>
      <c r="W4" s="511"/>
      <c r="X4" s="528"/>
      <c r="Y4" s="18"/>
      <c r="Z4" s="47"/>
      <c r="AA4" s="527"/>
      <c r="AB4" s="18"/>
      <c r="AC4" s="191"/>
      <c r="AD4" s="191"/>
      <c r="AE4" s="527"/>
      <c r="AF4" s="18"/>
      <c r="AG4" s="18"/>
      <c r="AH4" s="18"/>
      <c r="AI4" s="3">
        <f>SUM(D4:AH4)</f>
        <v>4160</v>
      </c>
    </row>
    <row r="5" spans="1:35" ht="15.75" x14ac:dyDescent="0.25">
      <c r="B5" s="1" t="s">
        <v>7</v>
      </c>
      <c r="C5" s="1" t="s">
        <v>6</v>
      </c>
      <c r="D5" s="18">
        <v>172</v>
      </c>
      <c r="E5" s="191">
        <v>184</v>
      </c>
      <c r="F5" s="18">
        <v>233</v>
      </c>
      <c r="G5" s="18">
        <v>277</v>
      </c>
      <c r="H5" s="18">
        <v>337</v>
      </c>
      <c r="I5" s="191">
        <v>346</v>
      </c>
      <c r="J5" s="186">
        <v>221</v>
      </c>
      <c r="K5" s="18">
        <v>373</v>
      </c>
      <c r="L5" s="18">
        <v>378</v>
      </c>
      <c r="M5" s="18">
        <v>368</v>
      </c>
      <c r="N5" s="191">
        <v>268</v>
      </c>
      <c r="O5" s="500">
        <v>361</v>
      </c>
      <c r="P5" s="18">
        <v>318</v>
      </c>
      <c r="Q5" s="191">
        <v>317</v>
      </c>
      <c r="R5" s="18"/>
      <c r="S5" s="186"/>
      <c r="T5" s="18"/>
      <c r="U5" s="18"/>
      <c r="V5" s="18"/>
      <c r="W5" s="511"/>
      <c r="X5" s="527"/>
      <c r="Y5" s="18"/>
      <c r="Z5" s="47"/>
      <c r="AA5" s="527"/>
      <c r="AB5" s="18"/>
      <c r="AC5" s="18"/>
      <c r="AD5" s="191"/>
      <c r="AE5" s="527"/>
      <c r="AF5" s="18"/>
      <c r="AG5" s="18"/>
      <c r="AH5" s="18"/>
      <c r="AI5" s="3">
        <f t="shared" ref="AI5:AI24" si="0">SUM(D5:AH5)</f>
        <v>4153</v>
      </c>
    </row>
    <row r="6" spans="1:35" ht="15.75" x14ac:dyDescent="0.25">
      <c r="B6" s="1" t="s">
        <v>8</v>
      </c>
      <c r="C6" s="1" t="s">
        <v>6</v>
      </c>
      <c r="D6" s="18">
        <v>174</v>
      </c>
      <c r="E6" s="191">
        <v>187</v>
      </c>
      <c r="F6" s="18">
        <v>233</v>
      </c>
      <c r="G6" s="18">
        <v>277</v>
      </c>
      <c r="H6" s="18">
        <v>337</v>
      </c>
      <c r="I6" s="191">
        <v>345</v>
      </c>
      <c r="J6" s="186">
        <v>220</v>
      </c>
      <c r="K6" s="18">
        <v>372</v>
      </c>
      <c r="L6" s="18">
        <v>377</v>
      </c>
      <c r="M6" s="18">
        <v>366</v>
      </c>
      <c r="N6" s="191">
        <v>267</v>
      </c>
      <c r="O6" s="500">
        <v>359</v>
      </c>
      <c r="P6" s="18">
        <v>316</v>
      </c>
      <c r="Q6" s="191">
        <v>316</v>
      </c>
      <c r="R6" s="18"/>
      <c r="S6" s="186"/>
      <c r="T6" s="18"/>
      <c r="U6" s="18"/>
      <c r="V6" s="18"/>
      <c r="W6" s="511"/>
      <c r="X6" s="527"/>
      <c r="Y6" s="18"/>
      <c r="Z6" s="47"/>
      <c r="AA6" s="527"/>
      <c r="AB6" s="18"/>
      <c r="AC6" s="18"/>
      <c r="AD6" s="191"/>
      <c r="AE6" s="527"/>
      <c r="AF6" s="18"/>
      <c r="AG6" s="18"/>
      <c r="AH6" s="18"/>
      <c r="AI6" s="3">
        <f t="shared" si="0"/>
        <v>4146</v>
      </c>
    </row>
    <row r="7" spans="1:35" ht="15.75" x14ac:dyDescent="0.25">
      <c r="B7" s="1" t="s">
        <v>9</v>
      </c>
      <c r="C7" s="1" t="s">
        <v>6</v>
      </c>
      <c r="D7" s="18">
        <v>172</v>
      </c>
      <c r="E7" s="191">
        <v>184</v>
      </c>
      <c r="F7" s="18">
        <v>231</v>
      </c>
      <c r="G7" s="18">
        <v>274</v>
      </c>
      <c r="H7" s="18">
        <v>334</v>
      </c>
      <c r="I7" s="191">
        <v>343</v>
      </c>
      <c r="J7" s="186">
        <v>218</v>
      </c>
      <c r="K7" s="18">
        <v>368</v>
      </c>
      <c r="L7" s="18">
        <v>373</v>
      </c>
      <c r="M7" s="18">
        <v>362</v>
      </c>
      <c r="N7" s="191">
        <v>265</v>
      </c>
      <c r="O7" s="500">
        <v>355</v>
      </c>
      <c r="P7" s="18">
        <v>311</v>
      </c>
      <c r="Q7" s="191">
        <v>313</v>
      </c>
      <c r="R7" s="18"/>
      <c r="S7" s="186"/>
      <c r="T7" s="18"/>
      <c r="U7" s="18"/>
      <c r="V7" s="18"/>
      <c r="W7" s="511"/>
      <c r="X7" s="527"/>
      <c r="Y7" s="18"/>
      <c r="Z7" s="47"/>
      <c r="AA7" s="527"/>
      <c r="AB7" s="18"/>
      <c r="AC7" s="18"/>
      <c r="AD7" s="191"/>
      <c r="AE7" s="527"/>
      <c r="AF7" s="18"/>
      <c r="AG7" s="18"/>
      <c r="AH7" s="18"/>
      <c r="AI7" s="3">
        <f t="shared" si="0"/>
        <v>4103</v>
      </c>
    </row>
    <row r="8" spans="1:35" ht="15.75" x14ac:dyDescent="0.25">
      <c r="B8" s="1" t="s">
        <v>10</v>
      </c>
      <c r="C8" s="1" t="s">
        <v>6</v>
      </c>
      <c r="D8" s="18">
        <v>0</v>
      </c>
      <c r="E8" s="191">
        <v>0</v>
      </c>
      <c r="F8" s="18">
        <v>0</v>
      </c>
      <c r="G8" s="18">
        <v>0</v>
      </c>
      <c r="H8" s="18">
        <v>0</v>
      </c>
      <c r="I8" s="191">
        <v>0</v>
      </c>
      <c r="J8" s="186">
        <v>0</v>
      </c>
      <c r="K8" s="18">
        <v>0</v>
      </c>
      <c r="L8" s="18">
        <v>0</v>
      </c>
      <c r="M8" s="18">
        <v>0</v>
      </c>
      <c r="N8" s="191">
        <v>0</v>
      </c>
      <c r="O8" s="500">
        <v>0</v>
      </c>
      <c r="P8" s="18">
        <v>0</v>
      </c>
      <c r="Q8" s="191">
        <v>0</v>
      </c>
      <c r="R8" s="18"/>
      <c r="S8" s="186"/>
      <c r="T8" s="18"/>
      <c r="U8" s="18"/>
      <c r="V8" s="18"/>
      <c r="W8" s="511"/>
      <c r="X8" s="527"/>
      <c r="Y8" s="18"/>
      <c r="Z8" s="47"/>
      <c r="AA8" s="527"/>
      <c r="AB8" s="18"/>
      <c r="AC8" s="18"/>
      <c r="AD8" s="191"/>
      <c r="AE8" s="527"/>
      <c r="AF8" s="18"/>
      <c r="AG8" s="18"/>
      <c r="AH8" s="18"/>
      <c r="AI8" s="3">
        <f t="shared" si="0"/>
        <v>0</v>
      </c>
    </row>
    <row r="9" spans="1:35" ht="15.75" x14ac:dyDescent="0.25">
      <c r="B9" s="1" t="s">
        <v>11</v>
      </c>
      <c r="C9" s="1" t="s">
        <v>6</v>
      </c>
      <c r="D9" s="18">
        <v>171</v>
      </c>
      <c r="E9" s="191">
        <v>188</v>
      </c>
      <c r="F9" s="18">
        <v>232</v>
      </c>
      <c r="G9" s="18">
        <v>274</v>
      </c>
      <c r="H9" s="18">
        <v>334</v>
      </c>
      <c r="I9" s="191">
        <v>344</v>
      </c>
      <c r="J9" s="186">
        <v>219</v>
      </c>
      <c r="K9" s="18">
        <v>369</v>
      </c>
      <c r="L9" s="18">
        <v>375</v>
      </c>
      <c r="M9" s="18">
        <v>363</v>
      </c>
      <c r="N9" s="191">
        <v>269</v>
      </c>
      <c r="O9" s="500">
        <v>361</v>
      </c>
      <c r="P9" s="18">
        <v>310</v>
      </c>
      <c r="Q9" s="191">
        <v>315</v>
      </c>
      <c r="R9" s="18"/>
      <c r="S9" s="186"/>
      <c r="T9" s="18"/>
      <c r="U9" s="18"/>
      <c r="V9" s="18"/>
      <c r="W9" s="511"/>
      <c r="X9" s="527"/>
      <c r="Y9" s="18"/>
      <c r="Z9" s="47"/>
      <c r="AA9" s="527"/>
      <c r="AB9" s="18"/>
      <c r="AC9" s="18"/>
      <c r="AD9" s="191"/>
      <c r="AE9" s="527"/>
      <c r="AF9" s="18"/>
      <c r="AG9" s="18"/>
      <c r="AH9" s="18"/>
      <c r="AI9" s="3">
        <f t="shared" si="0"/>
        <v>4124</v>
      </c>
    </row>
    <row r="10" spans="1:35" ht="15.75" x14ac:dyDescent="0.25">
      <c r="B10" s="1" t="s">
        <v>12</v>
      </c>
      <c r="C10" s="1" t="s">
        <v>6</v>
      </c>
      <c r="D10" s="18">
        <v>170</v>
      </c>
      <c r="E10" s="191">
        <v>187</v>
      </c>
      <c r="F10" s="18">
        <v>230</v>
      </c>
      <c r="G10" s="18">
        <v>273</v>
      </c>
      <c r="H10" s="18">
        <v>333</v>
      </c>
      <c r="I10" s="191">
        <v>342</v>
      </c>
      <c r="J10" s="186">
        <v>219</v>
      </c>
      <c r="K10" s="18">
        <v>364</v>
      </c>
      <c r="L10" s="18">
        <v>373</v>
      </c>
      <c r="M10" s="18">
        <v>360</v>
      </c>
      <c r="N10" s="191">
        <v>268</v>
      </c>
      <c r="O10" s="500">
        <v>360</v>
      </c>
      <c r="P10" s="18">
        <v>308</v>
      </c>
      <c r="Q10" s="191">
        <v>313</v>
      </c>
      <c r="R10" s="18"/>
      <c r="S10" s="186"/>
      <c r="T10" s="18"/>
      <c r="U10" s="18"/>
      <c r="V10" s="18"/>
      <c r="W10" s="511"/>
      <c r="X10" s="527"/>
      <c r="Y10" s="18"/>
      <c r="Z10" s="47"/>
      <c r="AA10" s="527"/>
      <c r="AB10" s="18"/>
      <c r="AC10" s="18"/>
      <c r="AD10" s="191"/>
      <c r="AE10" s="527"/>
      <c r="AF10" s="18"/>
      <c r="AG10" s="18"/>
      <c r="AH10" s="18"/>
      <c r="AI10" s="3">
        <f t="shared" si="0"/>
        <v>4100</v>
      </c>
    </row>
    <row r="11" spans="1:35" ht="15.75" x14ac:dyDescent="0.25">
      <c r="B11" s="1" t="s">
        <v>13</v>
      </c>
      <c r="C11" s="1" t="s">
        <v>6</v>
      </c>
      <c r="D11" s="18">
        <v>184</v>
      </c>
      <c r="E11" s="191">
        <v>185</v>
      </c>
      <c r="F11" s="18">
        <v>234</v>
      </c>
      <c r="G11" s="18">
        <v>274</v>
      </c>
      <c r="H11" s="18">
        <v>335</v>
      </c>
      <c r="I11" s="191">
        <v>343</v>
      </c>
      <c r="J11" s="186">
        <v>236</v>
      </c>
      <c r="K11" s="18">
        <v>366</v>
      </c>
      <c r="L11" s="18">
        <v>375</v>
      </c>
      <c r="M11" s="18">
        <v>363</v>
      </c>
      <c r="N11" s="191">
        <v>276</v>
      </c>
      <c r="O11" s="500">
        <v>360</v>
      </c>
      <c r="P11" s="18">
        <v>308</v>
      </c>
      <c r="Q11" s="191">
        <v>314</v>
      </c>
      <c r="R11" s="18"/>
      <c r="S11" s="186"/>
      <c r="T11" s="18"/>
      <c r="U11" s="18"/>
      <c r="V11" s="18"/>
      <c r="W11" s="511"/>
      <c r="X11" s="527"/>
      <c r="Y11" s="18"/>
      <c r="Z11" s="47"/>
      <c r="AA11" s="527"/>
      <c r="AB11" s="18"/>
      <c r="AC11" s="18"/>
      <c r="AD11" s="191"/>
      <c r="AE11" s="527"/>
      <c r="AF11" s="18"/>
      <c r="AG11" s="18"/>
      <c r="AH11" s="18"/>
      <c r="AI11" s="3">
        <f t="shared" si="0"/>
        <v>4153</v>
      </c>
    </row>
    <row r="12" spans="1:35" ht="15.75" x14ac:dyDescent="0.25">
      <c r="B12" s="1" t="s">
        <v>14</v>
      </c>
      <c r="C12" s="1" t="s">
        <v>6</v>
      </c>
      <c r="D12" s="18">
        <v>168</v>
      </c>
      <c r="E12" s="191">
        <v>180</v>
      </c>
      <c r="F12" s="18">
        <v>230</v>
      </c>
      <c r="G12" s="18">
        <v>272</v>
      </c>
      <c r="H12" s="18">
        <v>333</v>
      </c>
      <c r="I12" s="191">
        <v>341</v>
      </c>
      <c r="J12" s="186">
        <v>220</v>
      </c>
      <c r="K12" s="18">
        <v>363</v>
      </c>
      <c r="L12" s="18">
        <v>373</v>
      </c>
      <c r="M12" s="18">
        <v>360</v>
      </c>
      <c r="N12" s="191">
        <v>267</v>
      </c>
      <c r="O12" s="500">
        <v>354</v>
      </c>
      <c r="P12" s="18">
        <v>302</v>
      </c>
      <c r="Q12" s="191">
        <v>310</v>
      </c>
      <c r="R12" s="18"/>
      <c r="S12" s="186"/>
      <c r="T12" s="18"/>
      <c r="U12" s="18"/>
      <c r="V12" s="18"/>
      <c r="W12" s="511"/>
      <c r="X12" s="527"/>
      <c r="Y12" s="18"/>
      <c r="Z12" s="47"/>
      <c r="AA12" s="527"/>
      <c r="AB12" s="18"/>
      <c r="AC12" s="18"/>
      <c r="AD12" s="191"/>
      <c r="AE12" s="527"/>
      <c r="AF12" s="18"/>
      <c r="AG12" s="18"/>
      <c r="AH12" s="18"/>
      <c r="AI12" s="3">
        <f t="shared" si="0"/>
        <v>4073</v>
      </c>
    </row>
    <row r="13" spans="1:35" ht="15.75" x14ac:dyDescent="0.25">
      <c r="B13" s="1" t="s">
        <v>15</v>
      </c>
      <c r="C13" s="1" t="s">
        <v>6</v>
      </c>
      <c r="D13" s="18">
        <v>168</v>
      </c>
      <c r="E13" s="191">
        <v>179</v>
      </c>
      <c r="F13" s="18">
        <v>228</v>
      </c>
      <c r="G13" s="18">
        <v>270</v>
      </c>
      <c r="H13" s="18">
        <v>331</v>
      </c>
      <c r="I13" s="191">
        <v>339</v>
      </c>
      <c r="J13" s="186">
        <v>215</v>
      </c>
      <c r="K13" s="18">
        <v>359</v>
      </c>
      <c r="L13" s="18">
        <v>370</v>
      </c>
      <c r="M13" s="18">
        <v>357</v>
      </c>
      <c r="N13" s="191">
        <v>265</v>
      </c>
      <c r="O13" s="500">
        <v>355</v>
      </c>
      <c r="P13" s="18">
        <v>304</v>
      </c>
      <c r="Q13" s="191">
        <v>308</v>
      </c>
      <c r="R13" s="18"/>
      <c r="S13" s="186"/>
      <c r="T13" s="18"/>
      <c r="U13" s="18"/>
      <c r="V13" s="18"/>
      <c r="W13" s="511"/>
      <c r="X13" s="527"/>
      <c r="Y13" s="18"/>
      <c r="Z13" s="47"/>
      <c r="AA13" s="527"/>
      <c r="AB13" s="18"/>
      <c r="AC13" s="18"/>
      <c r="AD13" s="191"/>
      <c r="AE13" s="527"/>
      <c r="AF13" s="18"/>
      <c r="AG13" s="18"/>
      <c r="AH13" s="18"/>
      <c r="AI13" s="3">
        <f t="shared" si="0"/>
        <v>4048</v>
      </c>
    </row>
    <row r="14" spans="1:35" ht="15.75" x14ac:dyDescent="0.25">
      <c r="B14" s="1" t="s">
        <v>16</v>
      </c>
      <c r="C14" s="1" t="s">
        <v>6</v>
      </c>
      <c r="D14" s="18">
        <v>167</v>
      </c>
      <c r="E14" s="191">
        <v>176</v>
      </c>
      <c r="F14" s="18">
        <v>226</v>
      </c>
      <c r="G14" s="18">
        <v>268</v>
      </c>
      <c r="H14" s="18">
        <v>329</v>
      </c>
      <c r="I14" s="191">
        <v>335</v>
      </c>
      <c r="J14" s="186">
        <v>213</v>
      </c>
      <c r="K14" s="18">
        <v>355</v>
      </c>
      <c r="L14" s="18">
        <v>368</v>
      </c>
      <c r="M14" s="18">
        <v>354</v>
      </c>
      <c r="N14" s="191">
        <v>259</v>
      </c>
      <c r="O14" s="500">
        <v>354</v>
      </c>
      <c r="P14" s="18">
        <v>304</v>
      </c>
      <c r="Q14" s="191">
        <v>302</v>
      </c>
      <c r="R14" s="18"/>
      <c r="S14" s="186"/>
      <c r="T14" s="18"/>
      <c r="U14" s="18"/>
      <c r="V14" s="18"/>
      <c r="W14" s="511"/>
      <c r="X14" s="527"/>
      <c r="Y14" s="18"/>
      <c r="Z14" s="47"/>
      <c r="AA14" s="527"/>
      <c r="AB14" s="18"/>
      <c r="AC14" s="18"/>
      <c r="AD14" s="191"/>
      <c r="AE14" s="527"/>
      <c r="AF14" s="18"/>
      <c r="AG14" s="18"/>
      <c r="AH14" s="18"/>
      <c r="AI14" s="3">
        <f t="shared" si="0"/>
        <v>4010</v>
      </c>
    </row>
    <row r="15" spans="1:35" ht="15.75" x14ac:dyDescent="0.25">
      <c r="B15" s="1" t="s">
        <v>17</v>
      </c>
      <c r="C15" s="1" t="s">
        <v>6</v>
      </c>
      <c r="D15" s="18">
        <v>167</v>
      </c>
      <c r="E15" s="191">
        <v>178</v>
      </c>
      <c r="F15" s="18">
        <v>229</v>
      </c>
      <c r="G15" s="18">
        <v>271</v>
      </c>
      <c r="H15" s="18">
        <v>331</v>
      </c>
      <c r="I15" s="191">
        <v>339</v>
      </c>
      <c r="J15" s="186">
        <v>215</v>
      </c>
      <c r="K15" s="18">
        <v>359</v>
      </c>
      <c r="L15" s="18">
        <v>371</v>
      </c>
      <c r="M15" s="18">
        <v>357</v>
      </c>
      <c r="N15" s="191">
        <v>260</v>
      </c>
      <c r="O15" s="500">
        <v>358</v>
      </c>
      <c r="P15" s="18">
        <v>308</v>
      </c>
      <c r="Q15" s="191">
        <v>307</v>
      </c>
      <c r="R15" s="18"/>
      <c r="S15" s="186"/>
      <c r="T15" s="18"/>
      <c r="U15" s="18"/>
      <c r="V15" s="18"/>
      <c r="W15" s="511"/>
      <c r="X15" s="527"/>
      <c r="Y15" s="18"/>
      <c r="Z15" s="47"/>
      <c r="AA15" s="527"/>
      <c r="AB15" s="18"/>
      <c r="AC15" s="18"/>
      <c r="AD15" s="191"/>
      <c r="AE15" s="527"/>
      <c r="AF15" s="18"/>
      <c r="AG15" s="18"/>
      <c r="AH15" s="18"/>
      <c r="AI15" s="3">
        <f t="shared" si="0"/>
        <v>4050</v>
      </c>
    </row>
    <row r="16" spans="1:35" ht="15.75" x14ac:dyDescent="0.25">
      <c r="B16" s="1" t="s">
        <v>18</v>
      </c>
      <c r="C16" s="1" t="s">
        <v>6</v>
      </c>
      <c r="D16" s="18">
        <v>168</v>
      </c>
      <c r="E16" s="191">
        <v>178</v>
      </c>
      <c r="F16" s="18">
        <v>231</v>
      </c>
      <c r="G16" s="18">
        <v>273</v>
      </c>
      <c r="H16" s="18">
        <v>334</v>
      </c>
      <c r="I16" s="191">
        <v>341</v>
      </c>
      <c r="J16" s="186">
        <v>216</v>
      </c>
      <c r="K16" s="18">
        <v>362</v>
      </c>
      <c r="L16" s="18">
        <v>375</v>
      </c>
      <c r="M16" s="18">
        <v>359</v>
      </c>
      <c r="N16" s="191">
        <v>262</v>
      </c>
      <c r="O16" s="500">
        <v>360</v>
      </c>
      <c r="P16" s="18">
        <v>311</v>
      </c>
      <c r="Q16" s="191">
        <v>308</v>
      </c>
      <c r="R16" s="18"/>
      <c r="S16" s="186"/>
      <c r="T16" s="18"/>
      <c r="U16" s="18"/>
      <c r="V16" s="18"/>
      <c r="W16" s="511"/>
      <c r="X16" s="527"/>
      <c r="Y16" s="18"/>
      <c r="Z16" s="47"/>
      <c r="AA16" s="527"/>
      <c r="AB16" s="18"/>
      <c r="AC16" s="18"/>
      <c r="AD16" s="191"/>
      <c r="AE16" s="527"/>
      <c r="AF16" s="18"/>
      <c r="AG16" s="18"/>
      <c r="AH16" s="18"/>
      <c r="AI16" s="3">
        <f t="shared" si="0"/>
        <v>4078</v>
      </c>
    </row>
    <row r="17" spans="2:37" ht="15.75" x14ac:dyDescent="0.25">
      <c r="B17" s="1" t="s">
        <v>19</v>
      </c>
      <c r="C17" s="1" t="s">
        <v>6</v>
      </c>
      <c r="D17" s="18">
        <v>0</v>
      </c>
      <c r="E17" s="191">
        <v>0</v>
      </c>
      <c r="F17" s="18">
        <v>0</v>
      </c>
      <c r="G17" s="18">
        <v>0</v>
      </c>
      <c r="H17" s="18">
        <v>0</v>
      </c>
      <c r="I17" s="191">
        <v>0</v>
      </c>
      <c r="J17" s="186">
        <v>0</v>
      </c>
      <c r="K17" s="18">
        <v>0</v>
      </c>
      <c r="L17" s="18">
        <v>0</v>
      </c>
      <c r="M17" s="18">
        <v>0</v>
      </c>
      <c r="N17" s="191">
        <v>0</v>
      </c>
      <c r="O17" s="500">
        <v>0</v>
      </c>
      <c r="P17" s="18">
        <v>0</v>
      </c>
      <c r="Q17" s="191">
        <v>0</v>
      </c>
      <c r="R17" s="18"/>
      <c r="S17" s="186"/>
      <c r="T17" s="18"/>
      <c r="U17" s="18"/>
      <c r="V17" s="18"/>
      <c r="W17" s="511"/>
      <c r="X17" s="527"/>
      <c r="Y17" s="18"/>
      <c r="Z17" s="47"/>
      <c r="AA17" s="527"/>
      <c r="AB17" s="18"/>
      <c r="AC17" s="18"/>
      <c r="AD17" s="191"/>
      <c r="AE17" s="527"/>
      <c r="AF17" s="18"/>
      <c r="AG17" s="18"/>
      <c r="AH17" s="18"/>
      <c r="AI17" s="3">
        <f t="shared" si="0"/>
        <v>0</v>
      </c>
    </row>
    <row r="18" spans="2:37" ht="15.75" x14ac:dyDescent="0.25">
      <c r="B18" s="1" t="s">
        <v>20</v>
      </c>
      <c r="C18" s="1" t="s">
        <v>6</v>
      </c>
      <c r="D18" s="18">
        <v>168</v>
      </c>
      <c r="E18" s="191">
        <v>179</v>
      </c>
      <c r="F18" s="18">
        <v>231</v>
      </c>
      <c r="G18" s="18">
        <v>275</v>
      </c>
      <c r="H18" s="18">
        <v>335</v>
      </c>
      <c r="I18" s="191">
        <v>343</v>
      </c>
      <c r="J18" s="186">
        <v>217</v>
      </c>
      <c r="K18" s="18">
        <v>364</v>
      </c>
      <c r="L18" s="18">
        <v>376</v>
      </c>
      <c r="M18" s="18">
        <v>361</v>
      </c>
      <c r="N18" s="191">
        <v>263</v>
      </c>
      <c r="O18" s="500">
        <v>360</v>
      </c>
      <c r="P18" s="18">
        <v>311</v>
      </c>
      <c r="Q18" s="191">
        <v>309</v>
      </c>
      <c r="R18" s="18"/>
      <c r="S18" s="186"/>
      <c r="T18" s="18"/>
      <c r="U18" s="18"/>
      <c r="V18" s="18"/>
      <c r="W18" s="511"/>
      <c r="X18" s="527"/>
      <c r="Y18" s="18"/>
      <c r="Z18" s="47"/>
      <c r="AA18" s="527"/>
      <c r="AB18" s="18"/>
      <c r="AC18" s="18"/>
      <c r="AD18" s="191"/>
      <c r="AE18" s="527"/>
      <c r="AF18" s="18"/>
      <c r="AG18" s="18"/>
      <c r="AH18" s="18"/>
      <c r="AI18" s="3">
        <f t="shared" si="0"/>
        <v>4092</v>
      </c>
    </row>
    <row r="19" spans="2:37" ht="15.75" x14ac:dyDescent="0.25">
      <c r="B19" s="1" t="s">
        <v>21</v>
      </c>
      <c r="C19" s="1" t="s">
        <v>6</v>
      </c>
      <c r="D19" s="18">
        <v>168</v>
      </c>
      <c r="E19" s="191">
        <v>179</v>
      </c>
      <c r="F19" s="18">
        <v>232</v>
      </c>
      <c r="G19" s="18">
        <v>275</v>
      </c>
      <c r="H19" s="18">
        <v>337</v>
      </c>
      <c r="I19" s="191">
        <v>343</v>
      </c>
      <c r="J19" s="186">
        <v>218</v>
      </c>
      <c r="K19" s="18">
        <v>364</v>
      </c>
      <c r="L19" s="18">
        <v>375</v>
      </c>
      <c r="M19" s="18">
        <v>362</v>
      </c>
      <c r="N19" s="191">
        <v>263</v>
      </c>
      <c r="O19" s="500">
        <v>359</v>
      </c>
      <c r="P19" s="18">
        <v>312</v>
      </c>
      <c r="Q19" s="191">
        <v>311</v>
      </c>
      <c r="R19" s="18"/>
      <c r="S19" s="186"/>
      <c r="T19" s="18"/>
      <c r="U19" s="18"/>
      <c r="V19" s="18"/>
      <c r="W19" s="511"/>
      <c r="X19" s="527"/>
      <c r="Y19" s="18"/>
      <c r="Z19" s="47"/>
      <c r="AA19" s="527"/>
      <c r="AB19" s="18"/>
      <c r="AC19" s="18"/>
      <c r="AD19" s="191"/>
      <c r="AE19" s="527"/>
      <c r="AF19" s="18"/>
      <c r="AG19" s="18"/>
      <c r="AH19" s="18"/>
      <c r="AI19" s="3">
        <f t="shared" si="0"/>
        <v>4098</v>
      </c>
    </row>
    <row r="20" spans="2:37" ht="15.75" x14ac:dyDescent="0.25">
      <c r="B20" s="1" t="s">
        <v>22</v>
      </c>
      <c r="C20" s="1" t="s">
        <v>6</v>
      </c>
      <c r="D20" s="18">
        <v>168</v>
      </c>
      <c r="E20" s="191">
        <v>180</v>
      </c>
      <c r="F20" s="18">
        <v>232</v>
      </c>
      <c r="G20" s="18">
        <v>277</v>
      </c>
      <c r="H20" s="18">
        <v>338</v>
      </c>
      <c r="I20" s="191">
        <v>345</v>
      </c>
      <c r="J20" s="186">
        <v>219</v>
      </c>
      <c r="K20" s="18">
        <v>367</v>
      </c>
      <c r="L20" s="18">
        <v>378</v>
      </c>
      <c r="M20" s="18">
        <v>365</v>
      </c>
      <c r="N20" s="191">
        <v>266</v>
      </c>
      <c r="O20" s="500">
        <v>358</v>
      </c>
      <c r="P20" s="18">
        <v>316</v>
      </c>
      <c r="Q20" s="191">
        <v>315</v>
      </c>
      <c r="R20" s="18"/>
      <c r="S20" s="186"/>
      <c r="T20" s="18"/>
      <c r="U20" s="18"/>
      <c r="V20" s="18"/>
      <c r="W20" s="511"/>
      <c r="X20" s="527"/>
      <c r="Y20" s="18"/>
      <c r="Z20" s="47"/>
      <c r="AA20" s="527"/>
      <c r="AB20" s="18"/>
      <c r="AC20" s="18"/>
      <c r="AD20" s="191"/>
      <c r="AE20" s="527"/>
      <c r="AF20" s="18"/>
      <c r="AG20" s="18"/>
      <c r="AH20" s="18"/>
      <c r="AI20" s="3">
        <f t="shared" si="0"/>
        <v>4124</v>
      </c>
    </row>
    <row r="21" spans="2:37" ht="15.75" x14ac:dyDescent="0.25">
      <c r="B21" s="1" t="s">
        <v>23</v>
      </c>
      <c r="C21" s="1" t="s">
        <v>6</v>
      </c>
      <c r="D21" s="18">
        <v>169</v>
      </c>
      <c r="E21" s="191">
        <v>179</v>
      </c>
      <c r="F21" s="18">
        <v>233</v>
      </c>
      <c r="G21" s="18">
        <v>276</v>
      </c>
      <c r="H21" s="18">
        <v>339</v>
      </c>
      <c r="I21" s="191">
        <v>345</v>
      </c>
      <c r="J21" s="186">
        <v>218</v>
      </c>
      <c r="K21" s="18">
        <v>365</v>
      </c>
      <c r="L21" s="18">
        <v>375</v>
      </c>
      <c r="M21" s="18">
        <v>363</v>
      </c>
      <c r="N21" s="191">
        <v>264</v>
      </c>
      <c r="O21" s="500">
        <v>365</v>
      </c>
      <c r="P21" s="18">
        <v>315</v>
      </c>
      <c r="Q21" s="191">
        <v>315</v>
      </c>
      <c r="R21" s="18"/>
      <c r="S21" s="186"/>
      <c r="T21" s="18"/>
      <c r="U21" s="18"/>
      <c r="V21" s="18"/>
      <c r="W21" s="511"/>
      <c r="X21" s="527"/>
      <c r="Y21" s="18"/>
      <c r="Z21" s="47"/>
      <c r="AA21" s="527"/>
      <c r="AB21" s="18"/>
      <c r="AC21" s="18"/>
      <c r="AD21" s="191"/>
      <c r="AE21" s="527"/>
      <c r="AF21" s="18"/>
      <c r="AG21" s="18"/>
      <c r="AH21" s="18"/>
      <c r="AI21" s="3">
        <f t="shared" si="0"/>
        <v>4121</v>
      </c>
      <c r="AJ21" s="4">
        <f>+SUM(AI4:AI21)</f>
        <v>65633</v>
      </c>
      <c r="AK21">
        <v>140685</v>
      </c>
    </row>
    <row r="22" spans="2:37" ht="15.75" x14ac:dyDescent="0.25">
      <c r="B22" s="1" t="s">
        <v>24</v>
      </c>
      <c r="C22" s="1" t="s">
        <v>6</v>
      </c>
      <c r="D22" s="193">
        <v>2730.0000000001091</v>
      </c>
      <c r="E22" s="18">
        <v>2880.0000000001091</v>
      </c>
      <c r="F22" s="18">
        <v>3689.9999999997817</v>
      </c>
      <c r="G22" s="18">
        <v>4350</v>
      </c>
      <c r="H22" s="8">
        <v>5280.0000000001091</v>
      </c>
      <c r="I22" s="191">
        <v>5430.0000000001091</v>
      </c>
      <c r="J22" s="18">
        <v>3480.0000000001091</v>
      </c>
      <c r="K22" s="18">
        <v>5789.9999999997817</v>
      </c>
      <c r="L22" s="20">
        <v>5910.0000000002183</v>
      </c>
      <c r="M22" s="18">
        <v>5729.9999999995634</v>
      </c>
      <c r="N22" s="187">
        <v>4200</v>
      </c>
      <c r="O22" s="501">
        <v>5670.0000000004366</v>
      </c>
      <c r="P22" s="18">
        <v>4950</v>
      </c>
      <c r="Q22" s="191">
        <v>4950</v>
      </c>
      <c r="R22" s="18"/>
      <c r="S22" s="193"/>
      <c r="T22" s="97"/>
      <c r="U22" s="97"/>
      <c r="V22" s="18"/>
      <c r="W22" s="512"/>
      <c r="X22" s="529"/>
      <c r="Y22" s="18"/>
      <c r="Z22" s="47"/>
      <c r="AA22" s="18"/>
      <c r="AB22" s="191"/>
      <c r="AC22" s="18"/>
      <c r="AD22" s="191"/>
      <c r="AE22" s="553"/>
      <c r="AF22" s="18"/>
      <c r="AG22" s="18"/>
      <c r="AH22" s="18"/>
      <c r="AI22" s="3">
        <f>SUM(D22:AH22)</f>
        <v>65040.000000000327</v>
      </c>
      <c r="AJ22" s="4"/>
    </row>
    <row r="23" spans="2:37" ht="18.75" x14ac:dyDescent="0.25">
      <c r="B23" s="1" t="s">
        <v>25</v>
      </c>
      <c r="C23" s="1" t="s">
        <v>26</v>
      </c>
      <c r="D23" s="8">
        <v>5.9875355657463443</v>
      </c>
      <c r="E23" s="91">
        <v>4.276066277963074</v>
      </c>
      <c r="F23" s="8">
        <v>5.604690612479172</v>
      </c>
      <c r="G23" s="91">
        <v>6</v>
      </c>
      <c r="H23" s="91">
        <v>7.3032658849753878</v>
      </c>
      <c r="I23" s="91">
        <v>7.5</v>
      </c>
      <c r="J23" s="192">
        <v>7.4489321794751797</v>
      </c>
      <c r="K23" s="8">
        <v>8</v>
      </c>
      <c r="L23" s="8">
        <v>8.1511828946833482</v>
      </c>
      <c r="M23" s="8">
        <v>8.06</v>
      </c>
      <c r="N23" s="8">
        <v>7.8599249568550054</v>
      </c>
      <c r="O23" s="8">
        <v>7.8435364518263064</v>
      </c>
      <c r="P23" s="8">
        <v>7.1</v>
      </c>
      <c r="Q23" s="8">
        <v>7.17</v>
      </c>
      <c r="R23" s="8"/>
      <c r="S23" s="8"/>
      <c r="T23" s="8"/>
      <c r="U23" s="8"/>
      <c r="V23" s="8"/>
      <c r="W23" s="513"/>
      <c r="X23" s="530"/>
      <c r="Y23" s="8"/>
      <c r="Z23" s="8"/>
      <c r="AA23" s="8"/>
      <c r="AB23" s="8"/>
      <c r="AC23" s="187"/>
      <c r="AD23" s="194"/>
      <c r="AE23" s="361"/>
      <c r="AF23" s="8"/>
      <c r="AG23" s="8"/>
      <c r="AH23" s="47"/>
      <c r="AI23" s="13">
        <f>AVERAGEIF(D23:AE23,"&gt;0")</f>
        <v>7.0217953445717018</v>
      </c>
    </row>
    <row r="24" spans="2:37" ht="15.75" x14ac:dyDescent="0.25">
      <c r="B24" s="1" t="s">
        <v>27</v>
      </c>
      <c r="C24" s="1" t="s">
        <v>6</v>
      </c>
      <c r="D24" s="9">
        <v>1095.5999999984851</v>
      </c>
      <c r="E24" s="9">
        <v>8640.0000000033833</v>
      </c>
      <c r="F24" s="192">
        <v>1261.7999999989697</v>
      </c>
      <c r="G24" s="9">
        <v>9677.9999999975116</v>
      </c>
      <c r="H24" s="9">
        <v>1555.8000000034881</v>
      </c>
      <c r="I24" s="6">
        <v>10120.799999999297</v>
      </c>
      <c r="J24" s="9">
        <v>4423.199999997516</v>
      </c>
      <c r="K24" s="9">
        <v>12894.600000003134</v>
      </c>
      <c r="L24" s="9">
        <v>10265.999999998516</v>
      </c>
      <c r="M24" s="9">
        <v>16747.800000000454</v>
      </c>
      <c r="N24" s="191">
        <v>8691</v>
      </c>
      <c r="O24" s="47">
        <v>15282.000000000437</v>
      </c>
      <c r="P24" s="47">
        <v>11111.39999999835</v>
      </c>
      <c r="Q24" s="187">
        <v>16939.799999999974</v>
      </c>
      <c r="R24" s="47"/>
      <c r="S24" s="47"/>
      <c r="T24" s="47"/>
      <c r="U24" s="9"/>
      <c r="V24" s="9"/>
      <c r="W24" s="517"/>
      <c r="X24" s="534"/>
      <c r="Y24" s="9"/>
      <c r="Z24" s="47"/>
      <c r="AA24" s="7"/>
      <c r="AC24" s="47"/>
      <c r="AD24" s="187"/>
      <c r="AE24" s="187"/>
      <c r="AF24" s="47"/>
      <c r="AG24" s="47"/>
      <c r="AH24" s="47"/>
      <c r="AI24" s="3">
        <f t="shared" si="0"/>
        <v>128707.79999999952</v>
      </c>
    </row>
    <row r="25" spans="2:37" ht="15.75" x14ac:dyDescent="0.25">
      <c r="B25" s="5" t="s">
        <v>28</v>
      </c>
      <c r="C25" s="1" t="s">
        <v>0</v>
      </c>
      <c r="D25" s="10">
        <v>0.18312068874855911</v>
      </c>
      <c r="E25" s="466">
        <v>0.13235188671645601</v>
      </c>
      <c r="F25" s="466">
        <v>0.17386149812327739</v>
      </c>
      <c r="G25" s="10">
        <v>0.18350424005918531</v>
      </c>
      <c r="H25" s="10">
        <v>0.22297692695215182</v>
      </c>
      <c r="I25" s="10">
        <v>0.22788900028668441</v>
      </c>
      <c r="J25" s="10">
        <v>0.22715531653432763</v>
      </c>
      <c r="K25" s="10">
        <v>0.24298711782282839</v>
      </c>
      <c r="L25" s="10">
        <v>0.24795908251896617</v>
      </c>
      <c r="M25" s="10">
        <v>0.24508073515774509</v>
      </c>
      <c r="N25" s="10">
        <v>0.23858472932058508</v>
      </c>
      <c r="O25" s="229">
        <v>0.23840455844970246</v>
      </c>
      <c r="P25" s="230">
        <v>0.2163345814378228</v>
      </c>
      <c r="Q25" s="10">
        <v>0.21637475698219158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49">
        <f>AVERAGEIF(D25:AH25,"&gt;0")</f>
        <v>0.21404179422217742</v>
      </c>
    </row>
    <row r="26" spans="2:37" ht="15.75" x14ac:dyDescent="0.25">
      <c r="B26" s="5" t="s">
        <v>35</v>
      </c>
      <c r="C26" s="1" t="s">
        <v>0</v>
      </c>
      <c r="D26" s="10">
        <v>0.11382170767584032</v>
      </c>
      <c r="E26" s="10">
        <v>0.1200756476580291</v>
      </c>
      <c r="F26" s="10">
        <v>0.15384692356183485</v>
      </c>
      <c r="G26" s="10">
        <v>0.18136425948347459</v>
      </c>
      <c r="H26" s="10">
        <v>0.22013868737304956</v>
      </c>
      <c r="I26" s="10">
        <v>0.22639262735523835</v>
      </c>
      <c r="J26" s="10">
        <v>0.14509140758678421</v>
      </c>
      <c r="K26" s="10">
        <v>0.24140208331247776</v>
      </c>
      <c r="L26" s="485">
        <v>0.24640523529824698</v>
      </c>
      <c r="M26" s="10">
        <v>0.23890050731959314</v>
      </c>
      <c r="N26" s="10">
        <v>0.1751103195012858</v>
      </c>
      <c r="O26" s="229">
        <v>0.23639893132675405</v>
      </c>
      <c r="P26" s="10">
        <v>0.20638001941222969</v>
      </c>
      <c r="Q26" s="10">
        <v>0.20638001941222969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547"/>
      <c r="AF26" s="10"/>
      <c r="AG26" s="10"/>
      <c r="AH26" s="10"/>
      <c r="AI26" s="49">
        <f>AVERAGEIF(D26:AH26,"&gt;0")</f>
        <v>0.193693455448362</v>
      </c>
    </row>
    <row r="27" spans="2:37" ht="15.75" x14ac:dyDescent="0.25">
      <c r="B27" s="5" t="s">
        <v>110</v>
      </c>
      <c r="C27" s="1"/>
      <c r="D27" s="72">
        <f>D25-D26</f>
        <v>6.9298981072718785E-2</v>
      </c>
      <c r="E27" s="541">
        <f>E25-E26</f>
        <v>1.227623905842691E-2</v>
      </c>
      <c r="F27" s="541">
        <f>F25-F26</f>
        <v>2.0014574561442539E-2</v>
      </c>
      <c r="G27" s="541">
        <f>G25-G26</f>
        <v>2.1399805757107149E-3</v>
      </c>
      <c r="H27" s="541">
        <f t="shared" ref="H27:J27" si="1">H25-H26</f>
        <v>2.8382395791022585E-3</v>
      </c>
      <c r="I27" s="541">
        <f t="shared" si="1"/>
        <v>1.496372931446055E-3</v>
      </c>
      <c r="J27" s="541">
        <f t="shared" si="1"/>
        <v>8.2063908947543424E-2</v>
      </c>
      <c r="K27" s="541">
        <f t="shared" ref="K27:M27" si="2">K25-K26</f>
        <v>1.5850345103506358E-3</v>
      </c>
      <c r="L27" s="541">
        <f t="shared" si="2"/>
        <v>1.55384722071919E-3</v>
      </c>
      <c r="M27" s="541">
        <f t="shared" si="2"/>
        <v>6.1802278381519471E-3</v>
      </c>
      <c r="N27" s="541">
        <f t="shared" ref="N27:P27" si="3">N25-N26</f>
        <v>6.3474409819299277E-2</v>
      </c>
      <c r="O27" s="541">
        <f t="shared" si="3"/>
        <v>2.0056271229484113E-3</v>
      </c>
      <c r="P27" s="541">
        <f t="shared" si="3"/>
        <v>9.9545620255931111E-3</v>
      </c>
      <c r="Q27" s="541">
        <f t="shared" ref="Q27" si="4">Q25-Q26</f>
        <v>9.9947375699618868E-3</v>
      </c>
      <c r="R27" s="508"/>
      <c r="S27" s="508"/>
      <c r="T27" s="508"/>
      <c r="U27" s="508"/>
      <c r="V27" s="508"/>
      <c r="W27" s="516"/>
      <c r="X27" s="533"/>
      <c r="Y27" s="541"/>
      <c r="Z27" s="541"/>
      <c r="AA27" s="541"/>
      <c r="AB27" s="541"/>
      <c r="AC27" s="541"/>
      <c r="AD27" s="541"/>
      <c r="AE27" s="541"/>
      <c r="AF27" s="541"/>
      <c r="AG27" s="541"/>
      <c r="AH27" s="541"/>
      <c r="AI27" s="49">
        <f>AVERAGEIF(D27:AH27,"&gt;0")</f>
        <v>2.0348338773815363E-2</v>
      </c>
    </row>
    <row r="28" spans="2:37" ht="15.75" x14ac:dyDescent="0.25">
      <c r="B28" s="5" t="s">
        <v>112</v>
      </c>
      <c r="C28" s="1"/>
      <c r="D28" s="190"/>
      <c r="E28" s="190"/>
      <c r="F28" s="190"/>
      <c r="G28" s="190"/>
      <c r="H28" s="190"/>
      <c r="I28" s="190"/>
      <c r="J28" s="190"/>
      <c r="K28" s="555"/>
      <c r="L28" s="555"/>
      <c r="M28" s="190"/>
      <c r="N28" s="555"/>
      <c r="O28" s="190"/>
      <c r="P28" s="190"/>
      <c r="Q28" s="555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422"/>
      <c r="AH28" s="190"/>
      <c r="AI28" s="49"/>
    </row>
    <row r="29" spans="2:37" x14ac:dyDescent="0.25">
      <c r="B29" s="5" t="s">
        <v>109</v>
      </c>
      <c r="C29" s="1" t="s">
        <v>59</v>
      </c>
      <c r="D29" s="192">
        <f>D25*999.37*24</f>
        <v>4392.1277451515407</v>
      </c>
      <c r="E29" s="554">
        <f>E25*999.37*24</f>
        <v>3174.4441206677911</v>
      </c>
      <c r="F29" s="554">
        <f>F25*999.37*24</f>
        <v>4170.0471691070334</v>
      </c>
      <c r="G29" s="554">
        <f>G25*999.37*24</f>
        <v>4401.3271773107526</v>
      </c>
      <c r="H29" s="554">
        <f t="shared" ref="H29:J29" si="5">H25*999.37*24</f>
        <v>5348.0748357161274</v>
      </c>
      <c r="I29" s="554">
        <f t="shared" si="5"/>
        <v>5465.890325196091</v>
      </c>
      <c r="J29" s="554">
        <f t="shared" si="5"/>
        <v>5448.293008437864</v>
      </c>
      <c r="K29" s="554">
        <f t="shared" ref="K29:L29" si="6">K25*999.37*24</f>
        <v>5828.0168625264005</v>
      </c>
      <c r="L29" s="554">
        <f t="shared" si="6"/>
        <v>5947.2688391275015</v>
      </c>
      <c r="M29" s="554">
        <f t="shared" ref="M29:P29" si="7">M25*999.37*24</f>
        <v>5878.2320230702971</v>
      </c>
      <c r="N29" s="554">
        <f t="shared" si="7"/>
        <v>5722.4261025867145</v>
      </c>
      <c r="O29" s="554">
        <f t="shared" si="7"/>
        <v>5718.1047258690996</v>
      </c>
      <c r="P29" s="554">
        <f t="shared" si="7"/>
        <v>5188.7589756364068</v>
      </c>
      <c r="Q29" s="554">
        <f t="shared" ref="Q29" si="8">Q25*999.37*24</f>
        <v>5189.7225812470269</v>
      </c>
      <c r="R29" s="503"/>
      <c r="S29" s="503"/>
      <c r="T29" s="503"/>
      <c r="U29" s="503"/>
      <c r="V29" s="503"/>
      <c r="W29" s="515"/>
      <c r="X29" s="532"/>
      <c r="Y29" s="536"/>
      <c r="Z29" s="536"/>
      <c r="AA29" s="536"/>
      <c r="AB29" s="536"/>
      <c r="AC29" s="536"/>
      <c r="AD29" s="546"/>
      <c r="AE29" s="554"/>
      <c r="AF29" s="554"/>
      <c r="AG29" s="554"/>
      <c r="AH29" s="554"/>
      <c r="AI29" s="3">
        <f>SUM(D29:AH29)</f>
        <v>71872.734491650641</v>
      </c>
    </row>
    <row r="30" spans="2:37" x14ac:dyDescent="0.25">
      <c r="B30" s="5" t="s">
        <v>213</v>
      </c>
      <c r="C30" s="1"/>
      <c r="D30" s="225">
        <v>33.92</v>
      </c>
      <c r="E30" s="225">
        <v>31.2</v>
      </c>
      <c r="F30" s="225">
        <v>31.16</v>
      </c>
      <c r="G30" s="225">
        <v>32.159999999999997</v>
      </c>
      <c r="H30" s="225">
        <v>33.159999999999997</v>
      </c>
      <c r="I30" s="225">
        <v>34.159999999999997</v>
      </c>
      <c r="J30" s="225">
        <v>34.69</v>
      </c>
      <c r="K30" s="225">
        <v>35.69</v>
      </c>
      <c r="L30" s="225">
        <v>35.229999999999997</v>
      </c>
      <c r="M30" s="225">
        <v>36.229999999999997</v>
      </c>
      <c r="N30" s="225">
        <v>35.6</v>
      </c>
      <c r="O30" s="225">
        <v>35.35</v>
      </c>
      <c r="P30" s="225">
        <v>34.799999999999997</v>
      </c>
      <c r="Q30" s="225">
        <v>36.6</v>
      </c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5"/>
      <c r="AE30" s="225"/>
      <c r="AF30" s="225"/>
      <c r="AG30" s="225"/>
      <c r="AH30" s="225"/>
      <c r="AI30" s="13">
        <f>AVERAGEIF(D30:AE30,"&gt;0")</f>
        <v>34.282142857142865</v>
      </c>
    </row>
    <row r="31" spans="2:37" ht="15" customHeight="1" x14ac:dyDescent="0.25">
      <c r="B31" s="219" t="s">
        <v>100</v>
      </c>
      <c r="C31" s="1" t="s">
        <v>59</v>
      </c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13">
        <f t="shared" ref="AI31:AI36" si="9">SUM(D31:AH31)</f>
        <v>0</v>
      </c>
      <c r="AJ31" s="417">
        <f>AI31/24/999.37/28</f>
        <v>0</v>
      </c>
    </row>
    <row r="32" spans="2:37" ht="15" customHeight="1" x14ac:dyDescent="0.25">
      <c r="B32" s="219" t="s">
        <v>101</v>
      </c>
      <c r="C32" s="1" t="s">
        <v>59</v>
      </c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13">
        <f t="shared" si="9"/>
        <v>0</v>
      </c>
    </row>
    <row r="33" spans="1:35" ht="15" customHeight="1" x14ac:dyDescent="0.25">
      <c r="B33" s="219" t="s">
        <v>102</v>
      </c>
      <c r="C33" s="1" t="s">
        <v>59</v>
      </c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13">
        <f t="shared" si="9"/>
        <v>0</v>
      </c>
    </row>
    <row r="34" spans="1:35" ht="15" customHeight="1" x14ac:dyDescent="0.25">
      <c r="B34" s="219" t="s">
        <v>103</v>
      </c>
      <c r="C34" s="1" t="s">
        <v>59</v>
      </c>
      <c r="D34" s="222">
        <v>1620</v>
      </c>
      <c r="E34" s="222">
        <v>260</v>
      </c>
      <c r="F34" s="222">
        <v>450</v>
      </c>
      <c r="G34" s="222">
        <v>30</v>
      </c>
      <c r="H34" s="222">
        <v>18</v>
      </c>
      <c r="I34" s="222">
        <v>0</v>
      </c>
      <c r="J34" s="222">
        <v>1930</v>
      </c>
      <c r="K34" s="222"/>
      <c r="L34" s="222"/>
      <c r="M34" s="222"/>
      <c r="N34" s="222">
        <v>1480</v>
      </c>
      <c r="O34" s="222"/>
      <c r="P34" s="222">
        <v>200</v>
      </c>
      <c r="Q34" s="222">
        <v>200</v>
      </c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13">
        <f t="shared" si="9"/>
        <v>6188</v>
      </c>
    </row>
    <row r="35" spans="1:35" x14ac:dyDescent="0.25">
      <c r="B35" s="5" t="s">
        <v>218</v>
      </c>
      <c r="C35" s="1" t="s">
        <v>59</v>
      </c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13">
        <f t="shared" si="9"/>
        <v>0</v>
      </c>
    </row>
    <row r="36" spans="1:35" x14ac:dyDescent="0.25">
      <c r="B36" s="220" t="s">
        <v>86</v>
      </c>
      <c r="C36" s="1" t="s">
        <v>59</v>
      </c>
      <c r="D36" s="222">
        <f>SUM(D31:D35)</f>
        <v>1620</v>
      </c>
      <c r="E36" s="222">
        <f>SUM(E31:E35)</f>
        <v>260</v>
      </c>
      <c r="F36" s="222">
        <f>SUM(F31:F35)</f>
        <v>450</v>
      </c>
      <c r="G36" s="222">
        <f>SUM(G31:G35)</f>
        <v>30</v>
      </c>
      <c r="H36" s="222">
        <f t="shared" ref="H36:I36" si="10">SUM(H31:H35)</f>
        <v>18</v>
      </c>
      <c r="I36" s="222">
        <f t="shared" si="10"/>
        <v>0</v>
      </c>
      <c r="J36" s="222">
        <f t="shared" ref="J36:K36" si="11">SUM(J31:J35)</f>
        <v>1930</v>
      </c>
      <c r="K36" s="222">
        <f t="shared" si="11"/>
        <v>0</v>
      </c>
      <c r="L36" s="222">
        <f t="shared" ref="L36:N36" si="12">SUM(L31:L35)</f>
        <v>0</v>
      </c>
      <c r="M36" s="222">
        <f t="shared" si="12"/>
        <v>0</v>
      </c>
      <c r="N36" s="222">
        <f t="shared" si="12"/>
        <v>1480</v>
      </c>
      <c r="O36" s="222">
        <f t="shared" ref="O36:P36" si="13">SUM(O31:O35)</f>
        <v>0</v>
      </c>
      <c r="P36" s="222">
        <f t="shared" si="13"/>
        <v>200</v>
      </c>
      <c r="Q36" s="222">
        <f t="shared" ref="Q36" si="14">SUM(Q31:Q35)</f>
        <v>200</v>
      </c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222"/>
      <c r="AG36" s="222"/>
      <c r="AH36" s="222"/>
      <c r="AI36" s="13">
        <f t="shared" si="9"/>
        <v>6188</v>
      </c>
    </row>
    <row r="37" spans="1:35" x14ac:dyDescent="0.25">
      <c r="B37" s="220" t="s">
        <v>86</v>
      </c>
      <c r="C37" s="1" t="s">
        <v>59</v>
      </c>
      <c r="D37" s="221">
        <f>D36/999.37/24</f>
        <v>6.7542551807638809E-2</v>
      </c>
      <c r="E37" s="221">
        <f>E36/999.37/24</f>
        <v>1.0840162635793883E-2</v>
      </c>
      <c r="F37" s="221">
        <f>F36/999.37/24</f>
        <v>1.8761819946566335E-2</v>
      </c>
      <c r="G37" s="221">
        <f>G36/999.37/24</f>
        <v>1.2507879964377558E-3</v>
      </c>
      <c r="H37" s="221">
        <f t="shared" ref="H37:I37" si="15">H36/999.37/24</f>
        <v>7.5047279786265341E-4</v>
      </c>
      <c r="I37" s="221">
        <f t="shared" si="15"/>
        <v>0</v>
      </c>
      <c r="J37" s="221">
        <f t="shared" ref="J37:K37" si="16">J36/999.37/24</f>
        <v>8.0467361104162291E-2</v>
      </c>
      <c r="K37" s="221">
        <f t="shared" si="16"/>
        <v>0</v>
      </c>
      <c r="L37" s="221">
        <f t="shared" ref="L37:N37" si="17">L36/999.37/24</f>
        <v>0</v>
      </c>
      <c r="M37" s="221">
        <f t="shared" si="17"/>
        <v>0</v>
      </c>
      <c r="N37" s="221">
        <f t="shared" si="17"/>
        <v>6.1705541157595946E-2</v>
      </c>
      <c r="O37" s="221">
        <f t="shared" ref="O37:P37" si="18">O36/999.37/24</f>
        <v>0</v>
      </c>
      <c r="P37" s="221">
        <f t="shared" si="18"/>
        <v>8.3385866429183716E-3</v>
      </c>
      <c r="Q37" s="221">
        <f t="shared" ref="Q37" si="19">Q36/999.37/24</f>
        <v>8.3385866429183716E-3</v>
      </c>
      <c r="R37" s="221"/>
      <c r="S37" s="221"/>
      <c r="T37" s="221"/>
      <c r="U37" s="221"/>
      <c r="V37" s="221"/>
      <c r="W37" s="221"/>
      <c r="X37" s="221"/>
      <c r="Y37" s="221"/>
      <c r="Z37" s="221"/>
      <c r="AA37" s="221"/>
      <c r="AB37" s="221"/>
      <c r="AC37" s="221"/>
      <c r="AD37" s="221"/>
      <c r="AE37" s="221"/>
      <c r="AF37" s="221"/>
      <c r="AG37" s="221"/>
      <c r="AH37" s="221"/>
      <c r="AI37" s="13">
        <f>AVERAGE(D37:AH37)</f>
        <v>1.8428276480849604E-2</v>
      </c>
    </row>
    <row r="38" spans="1:35" x14ac:dyDescent="0.25">
      <c r="B38" s="5" t="s">
        <v>116</v>
      </c>
      <c r="C38" s="1" t="s">
        <v>60</v>
      </c>
      <c r="D38" s="223">
        <f>D25-D26-D37</f>
        <v>1.7564292650799757E-3</v>
      </c>
      <c r="E38" s="539">
        <f>E25-E26-E37</f>
        <v>1.4360764226330272E-3</v>
      </c>
      <c r="F38" s="539">
        <f>F25-F26-F37</f>
        <v>1.2527546148762038E-3</v>
      </c>
      <c r="G38" s="539">
        <f>G25-G26-G37</f>
        <v>8.8919257927295905E-4</v>
      </c>
      <c r="H38" s="539">
        <f t="shared" ref="H38:I38" si="20">H25-H26-H37</f>
        <v>2.0877667812396051E-3</v>
      </c>
      <c r="I38" s="539">
        <f t="shared" si="20"/>
        <v>1.496372931446055E-3</v>
      </c>
      <c r="J38" s="539">
        <f t="shared" ref="J38:K38" si="21">J25-J26-J37</f>
        <v>1.5965478433811325E-3</v>
      </c>
      <c r="K38" s="539">
        <f t="shared" si="21"/>
        <v>1.5850345103506358E-3</v>
      </c>
      <c r="L38" s="539">
        <f t="shared" ref="L38:N38" si="22">L25-L26-L37</f>
        <v>1.55384722071919E-3</v>
      </c>
      <c r="M38" s="539">
        <f t="shared" si="22"/>
        <v>6.1802278381519471E-3</v>
      </c>
      <c r="N38" s="539">
        <f t="shared" si="22"/>
        <v>1.7688686617033308E-3</v>
      </c>
      <c r="O38" s="539">
        <f t="shared" ref="O38:P38" si="23">O25-O26-O37</f>
        <v>2.0056271229484113E-3</v>
      </c>
      <c r="P38" s="539">
        <f t="shared" si="23"/>
        <v>1.6159753826747395E-3</v>
      </c>
      <c r="Q38" s="539">
        <f t="shared" ref="Q38" si="24">Q25-Q26-Q37</f>
        <v>1.6561509270435152E-3</v>
      </c>
      <c r="R38" s="223"/>
      <c r="S38" s="223"/>
      <c r="T38" s="223"/>
      <c r="U38" s="223"/>
      <c r="V38" s="223"/>
      <c r="W38" s="223"/>
      <c r="X38" s="223"/>
      <c r="Y38" s="223"/>
      <c r="Z38" s="223"/>
      <c r="AA38" s="223"/>
      <c r="AB38" s="223"/>
      <c r="AC38" s="223"/>
      <c r="AD38" s="223"/>
      <c r="AE38" s="223"/>
      <c r="AF38" s="223"/>
      <c r="AG38" s="423"/>
      <c r="AH38" s="223"/>
      <c r="AI38" s="224">
        <f>AVERAGE(D38:AH38)</f>
        <v>1.920062292965766E-3</v>
      </c>
    </row>
    <row r="39" spans="1:35" x14ac:dyDescent="0.25">
      <c r="A39" s="218" t="s">
        <v>30</v>
      </c>
      <c r="B39" s="671" t="s">
        <v>30</v>
      </c>
      <c r="C39" s="671"/>
      <c r="D39" s="671"/>
      <c r="E39" s="671"/>
      <c r="F39" s="671"/>
      <c r="G39" s="671"/>
      <c r="H39" s="671"/>
      <c r="I39" s="671"/>
      <c r="J39" s="671"/>
      <c r="K39" s="671"/>
      <c r="L39" s="671"/>
      <c r="M39" s="671"/>
      <c r="N39" s="671"/>
      <c r="O39" s="671"/>
      <c r="P39" s="671"/>
      <c r="Q39" s="671"/>
      <c r="R39" s="671"/>
      <c r="S39" s="671"/>
      <c r="T39" s="671"/>
      <c r="U39" s="671"/>
      <c r="V39" s="671"/>
      <c r="W39" s="671"/>
      <c r="X39" s="671"/>
      <c r="Y39" s="671"/>
      <c r="Z39" s="671"/>
      <c r="AA39" s="671"/>
      <c r="AB39" s="671"/>
      <c r="AC39" s="671"/>
      <c r="AD39" s="671"/>
      <c r="AE39" s="671"/>
      <c r="AF39" s="671"/>
      <c r="AG39" s="671"/>
      <c r="AH39" s="671"/>
      <c r="AI39" s="671"/>
    </row>
    <row r="40" spans="1:35" x14ac:dyDescent="0.25">
      <c r="B40" s="1" t="s">
        <v>2</v>
      </c>
      <c r="C40" s="1" t="s">
        <v>3</v>
      </c>
      <c r="D40" s="47">
        <v>1</v>
      </c>
      <c r="E40" s="47">
        <v>2</v>
      </c>
      <c r="F40" s="47">
        <v>3</v>
      </c>
      <c r="G40" s="47">
        <v>4</v>
      </c>
      <c r="H40" s="47">
        <v>5</v>
      </c>
      <c r="I40" s="47">
        <v>6</v>
      </c>
      <c r="J40" s="47">
        <v>7</v>
      </c>
      <c r="K40" s="47">
        <v>8</v>
      </c>
      <c r="L40" s="47">
        <v>9</v>
      </c>
      <c r="M40" s="47">
        <v>10</v>
      </c>
      <c r="N40" s="47">
        <v>11</v>
      </c>
      <c r="O40" s="47">
        <v>12</v>
      </c>
      <c r="P40" s="47">
        <v>13</v>
      </c>
      <c r="Q40" s="47">
        <v>14</v>
      </c>
      <c r="R40" s="47">
        <v>15</v>
      </c>
      <c r="S40" s="47">
        <v>16</v>
      </c>
      <c r="T40" s="47">
        <v>17</v>
      </c>
      <c r="U40" s="47">
        <v>18</v>
      </c>
      <c r="V40" s="47">
        <v>19</v>
      </c>
      <c r="W40" s="47">
        <v>20</v>
      </c>
      <c r="X40" s="47">
        <v>21</v>
      </c>
      <c r="Y40" s="47">
        <v>22</v>
      </c>
      <c r="Z40" s="47">
        <v>23</v>
      </c>
      <c r="AA40" s="47">
        <v>24</v>
      </c>
      <c r="AB40" s="47">
        <v>25</v>
      </c>
      <c r="AC40" s="47">
        <v>26</v>
      </c>
      <c r="AD40" s="47">
        <v>27</v>
      </c>
      <c r="AE40" s="47">
        <v>28</v>
      </c>
      <c r="AF40" s="47">
        <v>29</v>
      </c>
      <c r="AG40" s="47">
        <v>30</v>
      </c>
      <c r="AH40" s="47">
        <v>31</v>
      </c>
      <c r="AI40" s="47" t="s">
        <v>4</v>
      </c>
    </row>
    <row r="41" spans="1:35" x14ac:dyDescent="0.25">
      <c r="B41" s="1" t="s">
        <v>5</v>
      </c>
      <c r="C41" s="1" t="s">
        <v>6</v>
      </c>
      <c r="D41" s="191">
        <v>232.2</v>
      </c>
      <c r="E41" s="191">
        <v>293.10000000000002</v>
      </c>
      <c r="F41" s="18">
        <v>284.8</v>
      </c>
      <c r="G41" s="191">
        <v>277.5</v>
      </c>
      <c r="H41" s="18">
        <v>179.7</v>
      </c>
      <c r="I41" s="18">
        <v>287.8</v>
      </c>
      <c r="J41" s="18">
        <v>94.6</v>
      </c>
      <c r="K41" s="191">
        <v>249.1</v>
      </c>
      <c r="L41" s="18">
        <v>230.1</v>
      </c>
      <c r="M41" s="18">
        <v>188.5</v>
      </c>
      <c r="N41" s="18">
        <v>141.69999999999999</v>
      </c>
      <c r="O41" s="191">
        <v>206.9</v>
      </c>
      <c r="P41" s="18">
        <v>231.8</v>
      </c>
      <c r="Q41" s="18">
        <v>277.89999999999998</v>
      </c>
      <c r="R41" s="18"/>
      <c r="S41" s="187"/>
      <c r="T41" s="18"/>
      <c r="U41" s="191"/>
      <c r="V41" s="18"/>
      <c r="W41" s="191"/>
      <c r="X41" s="18"/>
      <c r="Y41" s="18"/>
      <c r="Z41" s="191"/>
      <c r="AA41" s="18"/>
      <c r="AB41" s="191"/>
      <c r="AC41" s="18"/>
      <c r="AD41" s="191"/>
      <c r="AE41" s="191"/>
      <c r="AF41" s="18"/>
      <c r="AG41" s="18"/>
      <c r="AH41" s="18"/>
      <c r="AI41" s="3">
        <f>SUM(D41:AH41)</f>
        <v>3175.7</v>
      </c>
    </row>
    <row r="42" spans="1:35" ht="15.75" x14ac:dyDescent="0.25">
      <c r="B42" s="1" t="s">
        <v>7</v>
      </c>
      <c r="C42" s="1" t="s">
        <v>6</v>
      </c>
      <c r="D42" s="191">
        <v>247</v>
      </c>
      <c r="E42" s="191">
        <v>306.3</v>
      </c>
      <c r="F42" s="18">
        <v>296.39999999999998</v>
      </c>
      <c r="G42" s="191">
        <v>285.2</v>
      </c>
      <c r="H42" s="18">
        <v>184.1</v>
      </c>
      <c r="I42" s="18">
        <v>298.39999999999998</v>
      </c>
      <c r="J42" s="18">
        <v>108.3</v>
      </c>
      <c r="K42" s="191">
        <v>256.7</v>
      </c>
      <c r="L42" s="18">
        <v>237</v>
      </c>
      <c r="M42" s="18">
        <v>192.1</v>
      </c>
      <c r="N42" s="18">
        <v>143.4</v>
      </c>
      <c r="O42" s="191">
        <v>205.7</v>
      </c>
      <c r="P42" s="18">
        <v>242.5</v>
      </c>
      <c r="Q42" s="18">
        <v>287.39999999999998</v>
      </c>
      <c r="R42" s="18"/>
      <c r="S42" s="189"/>
      <c r="T42" s="18"/>
      <c r="U42" s="191"/>
      <c r="V42" s="18"/>
      <c r="W42" s="191"/>
      <c r="X42" s="18"/>
      <c r="Y42" s="18"/>
      <c r="Z42" s="191"/>
      <c r="AA42" s="18"/>
      <c r="AB42" s="191"/>
      <c r="AC42" s="18"/>
      <c r="AD42" s="191"/>
      <c r="AE42" s="191"/>
      <c r="AF42" s="18"/>
      <c r="AG42" s="18"/>
      <c r="AH42" s="18"/>
      <c r="AI42" s="3">
        <f t="shared" ref="AI42:AI61" si="25">SUM(D42:AH42)</f>
        <v>3290.4999999999995</v>
      </c>
    </row>
    <row r="43" spans="1:35" ht="15.75" x14ac:dyDescent="0.25">
      <c r="B43" s="1" t="s">
        <v>8</v>
      </c>
      <c r="C43" s="1" t="s">
        <v>6</v>
      </c>
      <c r="D43" s="191">
        <v>249</v>
      </c>
      <c r="E43" s="191">
        <v>308.5</v>
      </c>
      <c r="F43" s="18">
        <v>299</v>
      </c>
      <c r="G43" s="191">
        <v>287.89999999999998</v>
      </c>
      <c r="H43" s="18">
        <v>185.8</v>
      </c>
      <c r="I43" s="18">
        <v>291.8</v>
      </c>
      <c r="J43" s="18">
        <v>111.2</v>
      </c>
      <c r="K43" s="191">
        <v>260.3</v>
      </c>
      <c r="L43" s="18">
        <v>240.3</v>
      </c>
      <c r="M43" s="18">
        <v>194.3</v>
      </c>
      <c r="N43" s="18">
        <v>144.80000000000001</v>
      </c>
      <c r="O43" s="191">
        <v>208.3</v>
      </c>
      <c r="P43" s="18">
        <v>245.8</v>
      </c>
      <c r="Q43" s="18">
        <v>290.89999999999998</v>
      </c>
      <c r="R43" s="18"/>
      <c r="S43" s="188"/>
      <c r="T43" s="18"/>
      <c r="U43" s="191"/>
      <c r="V43" s="18"/>
      <c r="W43" s="191"/>
      <c r="X43" s="18"/>
      <c r="Y43" s="18"/>
      <c r="Z43" s="191"/>
      <c r="AA43" s="18"/>
      <c r="AB43" s="191"/>
      <c r="AC43" s="18"/>
      <c r="AD43" s="191"/>
      <c r="AE43" s="191"/>
      <c r="AF43" s="18"/>
      <c r="AG43" s="18"/>
      <c r="AH43" s="18"/>
      <c r="AI43" s="3">
        <f t="shared" si="25"/>
        <v>3317.900000000001</v>
      </c>
    </row>
    <row r="44" spans="1:35" ht="15.75" x14ac:dyDescent="0.25">
      <c r="B44" s="1" t="s">
        <v>9</v>
      </c>
      <c r="C44" s="1" t="s">
        <v>6</v>
      </c>
      <c r="D44" s="191">
        <v>244.1</v>
      </c>
      <c r="E44" s="191">
        <v>304.39999999999998</v>
      </c>
      <c r="F44" s="18">
        <v>293.8</v>
      </c>
      <c r="G44" s="191">
        <v>284.5</v>
      </c>
      <c r="H44" s="18">
        <v>180</v>
      </c>
      <c r="I44" s="18">
        <v>290.5</v>
      </c>
      <c r="J44" s="18">
        <v>108.7</v>
      </c>
      <c r="K44" s="191">
        <v>257.2</v>
      </c>
      <c r="L44" s="18">
        <v>240.6</v>
      </c>
      <c r="M44" s="18">
        <v>188.4</v>
      </c>
      <c r="N44" s="18">
        <v>142.6</v>
      </c>
      <c r="O44" s="191">
        <v>200.9</v>
      </c>
      <c r="P44" s="18">
        <v>240.3</v>
      </c>
      <c r="Q44" s="18">
        <v>287.3</v>
      </c>
      <c r="R44" s="18"/>
      <c r="S44" s="188"/>
      <c r="T44" s="18"/>
      <c r="U44" s="191"/>
      <c r="V44" s="18"/>
      <c r="W44" s="191"/>
      <c r="X44" s="18"/>
      <c r="Y44" s="18"/>
      <c r="Z44" s="191"/>
      <c r="AA44" s="18"/>
      <c r="AB44" s="191"/>
      <c r="AC44" s="18"/>
      <c r="AD44" s="191"/>
      <c r="AE44" s="191"/>
      <c r="AF44" s="18"/>
      <c r="AG44" s="18"/>
      <c r="AH44" s="18"/>
      <c r="AI44" s="3">
        <f t="shared" si="25"/>
        <v>3263.3000000000006</v>
      </c>
    </row>
    <row r="45" spans="1:35" ht="15.75" x14ac:dyDescent="0.25">
      <c r="B45" s="1" t="s">
        <v>10</v>
      </c>
      <c r="C45" s="1" t="s">
        <v>6</v>
      </c>
      <c r="D45" s="191">
        <v>253.3</v>
      </c>
      <c r="E45" s="18">
        <v>313.39999999999998</v>
      </c>
      <c r="F45" s="18">
        <v>303.89999999999998</v>
      </c>
      <c r="G45" s="191">
        <v>293.39999999999998</v>
      </c>
      <c r="H45" s="18">
        <v>188.8</v>
      </c>
      <c r="I45" s="18">
        <v>295.10000000000002</v>
      </c>
      <c r="J45" s="18">
        <v>112.8</v>
      </c>
      <c r="K45" s="191">
        <v>263.10000000000002</v>
      </c>
      <c r="L45" s="18">
        <v>243.3</v>
      </c>
      <c r="M45" s="18">
        <v>197.8</v>
      </c>
      <c r="N45" s="18">
        <v>146.80000000000001</v>
      </c>
      <c r="O45" s="191">
        <v>211.3</v>
      </c>
      <c r="P45" s="18">
        <v>249.6</v>
      </c>
      <c r="Q45" s="18">
        <v>295.2</v>
      </c>
      <c r="R45" s="18"/>
      <c r="S45" s="188"/>
      <c r="T45" s="18"/>
      <c r="U45" s="191"/>
      <c r="V45" s="18"/>
      <c r="W45" s="191"/>
      <c r="X45" s="18"/>
      <c r="Y45" s="18"/>
      <c r="Z45" s="191"/>
      <c r="AA45" s="18"/>
      <c r="AB45" s="191"/>
      <c r="AC45" s="18"/>
      <c r="AD45" s="191"/>
      <c r="AE45" s="191"/>
      <c r="AF45" s="18"/>
      <c r="AG45" s="18"/>
      <c r="AH45" s="18"/>
      <c r="AI45" s="3">
        <f t="shared" si="25"/>
        <v>3367.8000000000006</v>
      </c>
    </row>
    <row r="46" spans="1:35" ht="15.75" x14ac:dyDescent="0.25">
      <c r="B46" s="1" t="s">
        <v>11</v>
      </c>
      <c r="C46" s="1" t="s">
        <v>6</v>
      </c>
      <c r="D46" s="191">
        <v>251.3</v>
      </c>
      <c r="E46" s="18">
        <v>311.39999999999998</v>
      </c>
      <c r="F46" s="18">
        <v>301.60000000000002</v>
      </c>
      <c r="G46" s="191">
        <v>291.10000000000002</v>
      </c>
      <c r="H46" s="18">
        <v>187.2</v>
      </c>
      <c r="I46" s="18">
        <v>292.39999999999998</v>
      </c>
      <c r="J46" s="18">
        <v>113.4</v>
      </c>
      <c r="K46" s="191">
        <v>264.89999999999998</v>
      </c>
      <c r="L46" s="18">
        <v>243.6</v>
      </c>
      <c r="M46" s="18">
        <v>198.1</v>
      </c>
      <c r="N46" s="18">
        <v>147.4</v>
      </c>
      <c r="O46" s="191">
        <v>212.5</v>
      </c>
      <c r="P46" s="18">
        <v>249</v>
      </c>
      <c r="Q46" s="18">
        <v>294.39999999999998</v>
      </c>
      <c r="R46" s="18"/>
      <c r="S46" s="188"/>
      <c r="T46" s="18"/>
      <c r="U46" s="191"/>
      <c r="V46" s="18"/>
      <c r="W46" s="191"/>
      <c r="X46" s="18"/>
      <c r="Y46" s="18"/>
      <c r="Z46" s="191"/>
      <c r="AA46" s="18"/>
      <c r="AB46" s="191"/>
      <c r="AC46" s="18"/>
      <c r="AD46" s="191"/>
      <c r="AE46" s="191"/>
      <c r="AF46" s="18"/>
      <c r="AG46" s="18"/>
      <c r="AH46" s="18"/>
      <c r="AI46" s="3">
        <f t="shared" si="25"/>
        <v>3358.3</v>
      </c>
    </row>
    <row r="47" spans="1:35" ht="15.75" x14ac:dyDescent="0.25">
      <c r="B47" s="1" t="s">
        <v>12</v>
      </c>
      <c r="C47" s="1" t="s">
        <v>6</v>
      </c>
      <c r="D47" s="191">
        <v>252.2</v>
      </c>
      <c r="E47" s="18">
        <v>312.39999999999998</v>
      </c>
      <c r="F47" s="18">
        <v>302.5</v>
      </c>
      <c r="G47" s="191">
        <v>292.3</v>
      </c>
      <c r="H47" s="18">
        <v>187.7</v>
      </c>
      <c r="I47" s="18">
        <v>293.60000000000002</v>
      </c>
      <c r="J47" s="18">
        <v>113.5</v>
      </c>
      <c r="K47" s="191">
        <v>266.39999999999998</v>
      </c>
      <c r="L47" s="18">
        <v>244.7</v>
      </c>
      <c r="M47" s="18">
        <v>198</v>
      </c>
      <c r="N47" s="18">
        <v>147.1</v>
      </c>
      <c r="O47" s="191">
        <v>212.9</v>
      </c>
      <c r="P47" s="18">
        <v>249.5</v>
      </c>
      <c r="Q47" s="18">
        <v>295.2</v>
      </c>
      <c r="R47" s="18"/>
      <c r="S47" s="188"/>
      <c r="T47" s="18"/>
      <c r="U47" s="191"/>
      <c r="V47" s="18"/>
      <c r="W47" s="191"/>
      <c r="X47" s="18"/>
      <c r="Y47" s="18"/>
      <c r="Z47" s="191"/>
      <c r="AA47" s="18"/>
      <c r="AB47" s="191"/>
      <c r="AC47" s="18"/>
      <c r="AD47" s="191"/>
      <c r="AE47" s="191"/>
      <c r="AF47" s="18"/>
      <c r="AG47" s="18"/>
      <c r="AH47" s="18"/>
      <c r="AI47" s="3">
        <f t="shared" si="25"/>
        <v>3367.9999999999995</v>
      </c>
    </row>
    <row r="48" spans="1:35" ht="15.75" x14ac:dyDescent="0.25">
      <c r="B48" s="1" t="s">
        <v>13</v>
      </c>
      <c r="C48" s="1" t="s">
        <v>6</v>
      </c>
      <c r="D48" s="191">
        <v>252.4</v>
      </c>
      <c r="E48" s="18">
        <v>312.39999999999998</v>
      </c>
      <c r="F48" s="18">
        <v>302.89999999999998</v>
      </c>
      <c r="G48" s="191">
        <v>292.5</v>
      </c>
      <c r="H48" s="18">
        <v>187.7</v>
      </c>
      <c r="I48" s="18">
        <v>293.60000000000002</v>
      </c>
      <c r="J48" s="18">
        <v>112.1</v>
      </c>
      <c r="K48" s="191">
        <v>265.3</v>
      </c>
      <c r="L48" s="18">
        <v>243.7</v>
      </c>
      <c r="M48" s="18">
        <v>196.7</v>
      </c>
      <c r="N48" s="18">
        <v>146.1</v>
      </c>
      <c r="O48" s="191">
        <v>212.8</v>
      </c>
      <c r="P48" s="18">
        <v>249.1</v>
      </c>
      <c r="Q48" s="18">
        <v>295.10000000000002</v>
      </c>
      <c r="R48" s="18"/>
      <c r="S48" s="188"/>
      <c r="T48" s="18"/>
      <c r="U48" s="191"/>
      <c r="V48" s="18"/>
      <c r="W48" s="191"/>
      <c r="X48" s="18"/>
      <c r="Y48" s="18"/>
      <c r="Z48" s="191"/>
      <c r="AA48" s="18"/>
      <c r="AB48" s="191"/>
      <c r="AC48" s="18"/>
      <c r="AD48" s="191"/>
      <c r="AE48" s="191"/>
      <c r="AF48" s="18"/>
      <c r="AG48" s="18"/>
      <c r="AH48" s="18"/>
      <c r="AI48" s="3">
        <f t="shared" si="25"/>
        <v>3362.3999999999996</v>
      </c>
    </row>
    <row r="49" spans="2:38" ht="15.75" x14ac:dyDescent="0.25">
      <c r="B49" s="1" t="s">
        <v>14</v>
      </c>
      <c r="C49" s="1" t="s">
        <v>6</v>
      </c>
      <c r="D49" s="191">
        <v>252.9</v>
      </c>
      <c r="E49" s="18">
        <v>312.39999999999998</v>
      </c>
      <c r="F49" s="18">
        <v>302</v>
      </c>
      <c r="G49" s="191">
        <v>291.39999999999998</v>
      </c>
      <c r="H49" s="18">
        <v>186.4</v>
      </c>
      <c r="I49" s="18">
        <v>293</v>
      </c>
      <c r="J49" s="18">
        <v>111.7</v>
      </c>
      <c r="K49" s="191">
        <v>265.8</v>
      </c>
      <c r="L49" s="18">
        <v>243.1</v>
      </c>
      <c r="M49" s="18">
        <v>196.3</v>
      </c>
      <c r="N49" s="18">
        <v>145.80000000000001</v>
      </c>
      <c r="O49" s="191">
        <v>212.1</v>
      </c>
      <c r="P49" s="18">
        <v>248.2</v>
      </c>
      <c r="Q49" s="18">
        <v>294.5</v>
      </c>
      <c r="R49" s="18"/>
      <c r="S49" s="188"/>
      <c r="T49" s="18"/>
      <c r="U49" s="191"/>
      <c r="V49" s="18"/>
      <c r="W49" s="191"/>
      <c r="X49" s="18"/>
      <c r="Y49" s="18"/>
      <c r="Z49" s="191"/>
      <c r="AA49" s="18"/>
      <c r="AB49" s="191"/>
      <c r="AC49" s="18"/>
      <c r="AD49" s="191"/>
      <c r="AE49" s="191"/>
      <c r="AF49" s="18"/>
      <c r="AG49" s="18"/>
      <c r="AH49" s="18"/>
      <c r="AI49" s="3">
        <f t="shared" si="25"/>
        <v>3355.6</v>
      </c>
    </row>
    <row r="50" spans="2:38" ht="15.75" x14ac:dyDescent="0.25">
      <c r="B50" s="1" t="s">
        <v>15</v>
      </c>
      <c r="C50" s="1" t="s">
        <v>6</v>
      </c>
      <c r="D50" s="191">
        <v>251.2</v>
      </c>
      <c r="E50" s="18">
        <v>311</v>
      </c>
      <c r="F50" s="18">
        <v>301.2</v>
      </c>
      <c r="G50" s="191">
        <v>290.8</v>
      </c>
      <c r="H50" s="18">
        <v>187</v>
      </c>
      <c r="I50" s="18">
        <v>292.39999999999998</v>
      </c>
      <c r="J50" s="18">
        <v>110.4</v>
      </c>
      <c r="K50" s="191">
        <v>264</v>
      </c>
      <c r="L50" s="18">
        <v>242.3</v>
      </c>
      <c r="M50" s="18">
        <v>196.4</v>
      </c>
      <c r="N50" s="18">
        <v>145.69999999999999</v>
      </c>
      <c r="O50" s="191">
        <v>212.5</v>
      </c>
      <c r="P50" s="18">
        <v>248.3</v>
      </c>
      <c r="Q50" s="18">
        <v>294.5</v>
      </c>
      <c r="R50" s="18"/>
      <c r="S50" s="188"/>
      <c r="T50" s="18"/>
      <c r="U50" s="191"/>
      <c r="V50" s="18"/>
      <c r="W50" s="191"/>
      <c r="X50" s="18"/>
      <c r="Y50" s="18"/>
      <c r="Z50" s="191"/>
      <c r="AA50" s="18"/>
      <c r="AB50" s="191"/>
      <c r="AC50" s="18"/>
      <c r="AD50" s="191"/>
      <c r="AE50" s="191"/>
      <c r="AF50" s="18"/>
      <c r="AG50" s="18"/>
      <c r="AH50" s="18"/>
      <c r="AI50" s="3">
        <f t="shared" si="25"/>
        <v>3347.7000000000003</v>
      </c>
    </row>
    <row r="51" spans="2:38" ht="15.75" x14ac:dyDescent="0.25">
      <c r="B51" s="1" t="s">
        <v>16</v>
      </c>
      <c r="C51" s="1" t="s">
        <v>6</v>
      </c>
      <c r="D51" s="191">
        <v>251.9</v>
      </c>
      <c r="E51" s="18">
        <v>311.8</v>
      </c>
      <c r="F51" s="18">
        <v>302.2</v>
      </c>
      <c r="G51" s="191">
        <v>291.5</v>
      </c>
      <c r="H51" s="18">
        <v>187.3</v>
      </c>
      <c r="I51" s="18">
        <v>292.8</v>
      </c>
      <c r="J51" s="18">
        <v>109.7</v>
      </c>
      <c r="K51" s="191">
        <v>264.89999999999998</v>
      </c>
      <c r="L51" s="18">
        <v>242.7</v>
      </c>
      <c r="M51" s="18">
        <v>196.7</v>
      </c>
      <c r="N51" s="18">
        <v>145.69999999999999</v>
      </c>
      <c r="O51" s="191">
        <v>212.4</v>
      </c>
      <c r="P51" s="18">
        <v>248.1</v>
      </c>
      <c r="Q51" s="18">
        <v>294.7</v>
      </c>
      <c r="R51" s="18"/>
      <c r="S51" s="188"/>
      <c r="T51" s="18"/>
      <c r="U51" s="191"/>
      <c r="V51" s="18"/>
      <c r="W51" s="191"/>
      <c r="X51" s="18"/>
      <c r="Y51" s="18"/>
      <c r="Z51" s="191"/>
      <c r="AA51" s="18"/>
      <c r="AB51" s="191"/>
      <c r="AC51" s="18"/>
      <c r="AD51" s="191"/>
      <c r="AE51" s="191"/>
      <c r="AF51" s="18"/>
      <c r="AG51" s="18"/>
      <c r="AH51" s="18"/>
      <c r="AI51" s="3">
        <f t="shared" si="25"/>
        <v>3352.3999999999992</v>
      </c>
    </row>
    <row r="52" spans="2:38" ht="15.75" x14ac:dyDescent="0.25">
      <c r="B52" s="1" t="s">
        <v>17</v>
      </c>
      <c r="C52" s="1" t="s">
        <v>6</v>
      </c>
      <c r="D52" s="191">
        <v>251.5</v>
      </c>
      <c r="E52" s="18">
        <v>311.2</v>
      </c>
      <c r="F52" s="18">
        <v>301.5</v>
      </c>
      <c r="G52" s="191">
        <v>290.8</v>
      </c>
      <c r="H52" s="18">
        <v>186.9</v>
      </c>
      <c r="I52" s="18">
        <v>292.2</v>
      </c>
      <c r="J52" s="18">
        <v>108.5</v>
      </c>
      <c r="K52" s="191">
        <v>264.5</v>
      </c>
      <c r="L52" s="18">
        <v>242.2</v>
      </c>
      <c r="M52" s="18">
        <v>196.5</v>
      </c>
      <c r="N52" s="18">
        <v>145.69999999999999</v>
      </c>
      <c r="O52" s="191">
        <v>212.7</v>
      </c>
      <c r="P52" s="18">
        <v>248</v>
      </c>
      <c r="Q52" s="18">
        <v>295</v>
      </c>
      <c r="R52" s="18"/>
      <c r="S52" s="188"/>
      <c r="T52" s="18"/>
      <c r="U52" s="191"/>
      <c r="V52" s="18"/>
      <c r="W52" s="191"/>
      <c r="X52" s="18"/>
      <c r="Y52" s="18"/>
      <c r="Z52" s="191"/>
      <c r="AA52" s="18"/>
      <c r="AB52" s="191"/>
      <c r="AC52" s="18"/>
      <c r="AD52" s="191"/>
      <c r="AE52" s="191"/>
      <c r="AF52" s="18"/>
      <c r="AG52" s="18"/>
      <c r="AH52" s="18"/>
      <c r="AI52" s="3">
        <f t="shared" si="25"/>
        <v>3347.2</v>
      </c>
    </row>
    <row r="53" spans="2:38" ht="15.75" x14ac:dyDescent="0.25">
      <c r="B53" s="1" t="s">
        <v>18</v>
      </c>
      <c r="C53" s="1" t="s">
        <v>6</v>
      </c>
      <c r="D53" s="191">
        <v>252.3</v>
      </c>
      <c r="E53" s="18">
        <v>312.10000000000002</v>
      </c>
      <c r="F53" s="18">
        <v>302.39999999999998</v>
      </c>
      <c r="G53" s="191">
        <v>291.89999999999998</v>
      </c>
      <c r="H53" s="18">
        <v>187.3</v>
      </c>
      <c r="I53" s="18">
        <v>293.2</v>
      </c>
      <c r="J53" s="18">
        <v>108.3</v>
      </c>
      <c r="K53" s="191">
        <v>265.2</v>
      </c>
      <c r="L53" s="18">
        <v>242.9</v>
      </c>
      <c r="M53" s="18">
        <v>196.4</v>
      </c>
      <c r="N53" s="18">
        <v>145.5</v>
      </c>
      <c r="O53" s="191">
        <v>212.6</v>
      </c>
      <c r="P53" s="18">
        <v>248.4</v>
      </c>
      <c r="Q53" s="18">
        <v>295.3</v>
      </c>
      <c r="R53" s="18"/>
      <c r="S53" s="188"/>
      <c r="T53" s="18"/>
      <c r="U53" s="191"/>
      <c r="V53" s="18"/>
      <c r="W53" s="191"/>
      <c r="X53" s="18"/>
      <c r="Y53" s="18"/>
      <c r="Z53" s="191"/>
      <c r="AA53" s="18"/>
      <c r="AB53" s="191"/>
      <c r="AC53" s="18"/>
      <c r="AD53" s="191"/>
      <c r="AE53" s="191"/>
      <c r="AF53" s="18"/>
      <c r="AG53" s="18"/>
      <c r="AH53" s="18"/>
      <c r="AI53" s="3">
        <f t="shared" si="25"/>
        <v>3353.8</v>
      </c>
    </row>
    <row r="54" spans="2:38" ht="15.75" x14ac:dyDescent="0.25">
      <c r="B54" s="1" t="s">
        <v>19</v>
      </c>
      <c r="C54" s="1" t="s">
        <v>6</v>
      </c>
      <c r="D54" s="191">
        <v>250.6</v>
      </c>
      <c r="E54" s="18">
        <v>309.7</v>
      </c>
      <c r="F54" s="18">
        <v>300.10000000000002</v>
      </c>
      <c r="G54" s="191">
        <v>289.10000000000002</v>
      </c>
      <c r="H54" s="18">
        <v>185.7</v>
      </c>
      <c r="I54" s="18">
        <v>290.7</v>
      </c>
      <c r="J54" s="18">
        <v>107.5</v>
      </c>
      <c r="K54" s="191">
        <v>264.89999999999998</v>
      </c>
      <c r="L54" s="18">
        <v>242.4</v>
      </c>
      <c r="M54" s="18">
        <v>195.4</v>
      </c>
      <c r="N54" s="18">
        <v>144.6</v>
      </c>
      <c r="O54" s="191">
        <v>211.2</v>
      </c>
      <c r="P54" s="18">
        <v>246.5</v>
      </c>
      <c r="Q54" s="18">
        <v>293.10000000000002</v>
      </c>
      <c r="R54" s="18"/>
      <c r="S54" s="188"/>
      <c r="T54" s="18"/>
      <c r="U54" s="191"/>
      <c r="V54" s="18"/>
      <c r="W54" s="191"/>
      <c r="X54" s="18"/>
      <c r="Y54" s="18"/>
      <c r="Z54" s="191"/>
      <c r="AA54" s="18"/>
      <c r="AB54" s="191"/>
      <c r="AC54" s="18"/>
      <c r="AD54" s="191"/>
      <c r="AE54" s="191"/>
      <c r="AF54" s="18"/>
      <c r="AG54" s="18"/>
      <c r="AH54" s="18"/>
      <c r="AI54" s="3">
        <f t="shared" si="25"/>
        <v>3331.5</v>
      </c>
    </row>
    <row r="55" spans="2:38" ht="15.75" x14ac:dyDescent="0.25">
      <c r="B55" s="1" t="s">
        <v>20</v>
      </c>
      <c r="C55" s="1" t="s">
        <v>6</v>
      </c>
      <c r="D55" s="191">
        <v>266.5</v>
      </c>
      <c r="E55" s="18">
        <v>329.6</v>
      </c>
      <c r="F55" s="18">
        <v>319.5</v>
      </c>
      <c r="G55" s="191">
        <v>307.89999999999998</v>
      </c>
      <c r="H55" s="18">
        <v>198.3</v>
      </c>
      <c r="I55" s="18">
        <v>309.8</v>
      </c>
      <c r="J55" s="18">
        <v>114.3</v>
      </c>
      <c r="K55" s="191">
        <v>280.60000000000002</v>
      </c>
      <c r="L55" s="18">
        <v>259.3</v>
      </c>
      <c r="M55" s="18">
        <v>209.2</v>
      </c>
      <c r="N55" s="18">
        <v>154.80000000000001</v>
      </c>
      <c r="O55" s="191">
        <v>225.5</v>
      </c>
      <c r="P55" s="18">
        <v>262.5</v>
      </c>
      <c r="Q55" s="18">
        <v>313.10000000000002</v>
      </c>
      <c r="R55" s="18"/>
      <c r="S55" s="188"/>
      <c r="T55" s="18"/>
      <c r="U55" s="191"/>
      <c r="V55" s="18"/>
      <c r="W55" s="191"/>
      <c r="X55" s="18"/>
      <c r="Y55" s="18"/>
      <c r="Z55" s="191"/>
      <c r="AA55" s="18"/>
      <c r="AB55" s="191"/>
      <c r="AC55" s="18"/>
      <c r="AD55" s="191"/>
      <c r="AE55" s="191"/>
      <c r="AF55" s="18"/>
      <c r="AG55" s="18"/>
      <c r="AH55" s="18"/>
      <c r="AI55" s="3">
        <f t="shared" si="25"/>
        <v>3550.9</v>
      </c>
    </row>
    <row r="56" spans="2:38" ht="15.75" x14ac:dyDescent="0.25">
      <c r="B56" s="1" t="s">
        <v>21</v>
      </c>
      <c r="C56" s="1" t="s">
        <v>6</v>
      </c>
      <c r="D56" s="191">
        <v>263.10000000000002</v>
      </c>
      <c r="E56" s="18">
        <v>325.8</v>
      </c>
      <c r="F56" s="18">
        <v>314.89999999999998</v>
      </c>
      <c r="G56" s="191">
        <v>303.89999999999998</v>
      </c>
      <c r="H56" s="18">
        <v>195.1</v>
      </c>
      <c r="I56" s="18">
        <v>305.39999999999998</v>
      </c>
      <c r="J56" s="18">
        <v>112.5</v>
      </c>
      <c r="K56" s="191">
        <v>275.8</v>
      </c>
      <c r="L56" s="18">
        <v>255.7</v>
      </c>
      <c r="M56" s="18">
        <v>205</v>
      </c>
      <c r="N56" s="18">
        <v>151.6</v>
      </c>
      <c r="O56" s="191">
        <v>221.8</v>
      </c>
      <c r="P56" s="18">
        <v>257.5</v>
      </c>
      <c r="Q56" s="18">
        <v>307.2</v>
      </c>
      <c r="R56" s="18"/>
      <c r="S56" s="188"/>
      <c r="T56" s="18"/>
      <c r="U56" s="191"/>
      <c r="V56" s="18"/>
      <c r="W56" s="191"/>
      <c r="X56" s="18"/>
      <c r="Y56" s="18"/>
      <c r="Z56" s="191"/>
      <c r="AA56" s="18"/>
      <c r="AB56" s="191"/>
      <c r="AC56" s="18"/>
      <c r="AD56" s="191"/>
      <c r="AE56" s="191"/>
      <c r="AF56" s="18"/>
      <c r="AG56" s="18"/>
      <c r="AH56" s="18"/>
      <c r="AI56" s="3">
        <f t="shared" si="25"/>
        <v>3495.2999999999997</v>
      </c>
    </row>
    <row r="57" spans="2:38" ht="15.75" x14ac:dyDescent="0.25">
      <c r="B57" s="1" t="s">
        <v>22</v>
      </c>
      <c r="C57" s="1" t="s">
        <v>6</v>
      </c>
      <c r="D57" s="191">
        <v>266.10000000000002</v>
      </c>
      <c r="E57" s="18">
        <v>328.1</v>
      </c>
      <c r="F57" s="18">
        <v>317.8</v>
      </c>
      <c r="G57" s="191">
        <v>306.2</v>
      </c>
      <c r="H57" s="18">
        <v>197.6</v>
      </c>
      <c r="I57" s="18">
        <v>308.39999999999998</v>
      </c>
      <c r="J57" s="18">
        <v>113.8</v>
      </c>
      <c r="K57" s="191">
        <v>270.3</v>
      </c>
      <c r="L57" s="18">
        <v>258.3</v>
      </c>
      <c r="M57" s="18">
        <v>207.8</v>
      </c>
      <c r="N57" s="18">
        <v>153.9</v>
      </c>
      <c r="O57" s="191">
        <v>224.1</v>
      </c>
      <c r="P57" s="18">
        <v>260.7</v>
      </c>
      <c r="Q57" s="18">
        <v>311.2</v>
      </c>
      <c r="R57" s="18"/>
      <c r="S57" s="188"/>
      <c r="T57" s="18"/>
      <c r="U57" s="191"/>
      <c r="V57" s="18"/>
      <c r="W57" s="191"/>
      <c r="X57" s="18"/>
      <c r="Y57" s="18"/>
      <c r="Z57" s="191"/>
      <c r="AA57" s="18"/>
      <c r="AB57" s="191"/>
      <c r="AC57" s="18"/>
      <c r="AD57" s="191"/>
      <c r="AE57" s="191"/>
      <c r="AF57" s="18"/>
      <c r="AG57" s="18"/>
      <c r="AH57" s="18"/>
      <c r="AI57" s="3">
        <f t="shared" si="25"/>
        <v>3524.2999999999997</v>
      </c>
    </row>
    <row r="58" spans="2:38" ht="15.75" x14ac:dyDescent="0.25">
      <c r="B58" s="1" t="s">
        <v>23</v>
      </c>
      <c r="C58" s="1" t="s">
        <v>6</v>
      </c>
      <c r="D58" s="191">
        <v>271.39999999999998</v>
      </c>
      <c r="E58" s="18">
        <v>334.7</v>
      </c>
      <c r="F58" s="18">
        <v>323.3</v>
      </c>
      <c r="G58" s="191">
        <v>311.3</v>
      </c>
      <c r="H58" s="18">
        <v>200.2</v>
      </c>
      <c r="I58" s="18">
        <v>314.39999999999998</v>
      </c>
      <c r="J58" s="18">
        <v>114.9</v>
      </c>
      <c r="K58" s="191">
        <v>277.3</v>
      </c>
      <c r="L58" s="18">
        <v>264.3</v>
      </c>
      <c r="M58" s="18">
        <v>211.5</v>
      </c>
      <c r="N58" s="18">
        <v>156.80000000000001</v>
      </c>
      <c r="O58" s="191">
        <v>228</v>
      </c>
      <c r="P58" s="18">
        <v>265.39999999999998</v>
      </c>
      <c r="Q58" s="18">
        <v>316.89999999999998</v>
      </c>
      <c r="R58" s="18"/>
      <c r="S58" s="188"/>
      <c r="T58" s="18"/>
      <c r="U58" s="191"/>
      <c r="V58" s="18"/>
      <c r="W58" s="191"/>
      <c r="X58" s="18"/>
      <c r="Y58" s="18"/>
      <c r="Z58" s="191"/>
      <c r="AA58" s="18"/>
      <c r="AB58" s="191"/>
      <c r="AC58" s="18"/>
      <c r="AD58" s="191"/>
      <c r="AE58" s="191"/>
      <c r="AF58" s="18"/>
      <c r="AG58" s="18"/>
      <c r="AH58" s="18"/>
      <c r="AI58" s="3">
        <f t="shared" si="25"/>
        <v>3590.4000000000005</v>
      </c>
    </row>
    <row r="59" spans="2:38" x14ac:dyDescent="0.25">
      <c r="B59" s="1" t="s">
        <v>24</v>
      </c>
      <c r="C59" s="1" t="s">
        <v>6</v>
      </c>
      <c r="D59" s="191">
        <v>4554.0000000000018</v>
      </c>
      <c r="E59" s="18">
        <v>5634.0000000000427</v>
      </c>
      <c r="F59" s="18">
        <v>5462.9999999999936</v>
      </c>
      <c r="G59" s="18">
        <v>5283.0000000001573</v>
      </c>
      <c r="H59" s="8">
        <v>3392.9999999998299</v>
      </c>
      <c r="I59" s="18">
        <v>5319.0000000000737</v>
      </c>
      <c r="J59" s="18">
        <v>1998.0000000000757</v>
      </c>
      <c r="K59" s="18">
        <v>4760.9999999999673</v>
      </c>
      <c r="L59" s="18">
        <v>4418.999999999869</v>
      </c>
      <c r="M59" s="18">
        <v>3581.9999999999654</v>
      </c>
      <c r="N59" s="18">
        <v>2664.0000000001864</v>
      </c>
      <c r="O59" s="47">
        <v>3833.9999999998895</v>
      </c>
      <c r="P59" s="47">
        <v>4481.9999999999145</v>
      </c>
      <c r="Q59" s="191">
        <v>5319.0000000000737</v>
      </c>
      <c r="R59" s="191"/>
      <c r="S59" s="18"/>
      <c r="T59" s="18"/>
      <c r="U59" s="18"/>
      <c r="V59" s="18"/>
      <c r="W59" s="191"/>
      <c r="X59" s="18"/>
      <c r="Y59" s="18"/>
      <c r="Z59" s="191"/>
      <c r="AA59" s="18"/>
      <c r="AB59" s="191"/>
      <c r="AC59" s="18"/>
      <c r="AD59" s="47"/>
      <c r="AE59" s="191"/>
      <c r="AF59" s="18"/>
      <c r="AG59" s="18"/>
      <c r="AH59" s="18"/>
      <c r="AI59" s="3">
        <f t="shared" si="25"/>
        <v>60705.000000000036</v>
      </c>
      <c r="AJ59" s="4">
        <f>+SUM(AI41:AI58)</f>
        <v>60753.000000000007</v>
      </c>
      <c r="AK59" s="4">
        <v>130428.7</v>
      </c>
      <c r="AL59" s="4">
        <f>AK59-AJ59</f>
        <v>69675.699999999983</v>
      </c>
    </row>
    <row r="60" spans="2:38" x14ac:dyDescent="0.25">
      <c r="B60" s="1" t="s">
        <v>25</v>
      </c>
      <c r="C60" s="1" t="s">
        <v>26</v>
      </c>
      <c r="D60" s="8">
        <v>6.9075567371686297</v>
      </c>
      <c r="E60" s="8">
        <v>7.7062523844401039</v>
      </c>
      <c r="F60" s="8">
        <v>7.543464559046428</v>
      </c>
      <c r="G60" s="8">
        <v>7.3076321359952292</v>
      </c>
      <c r="H60" s="8">
        <v>7.1845304152250282</v>
      </c>
      <c r="I60" s="8">
        <v>7.4345539999999799</v>
      </c>
      <c r="J60" s="8">
        <v>6.9323077554623289</v>
      </c>
      <c r="K60" s="8">
        <v>6.6766379737774528</v>
      </c>
      <c r="L60" s="8">
        <v>6.2008064471483229</v>
      </c>
      <c r="M60" s="8">
        <v>4.8791598677317305</v>
      </c>
      <c r="N60" s="8">
        <v>5.9189396759986872</v>
      </c>
      <c r="O60" s="8">
        <v>5.1451732187589005</v>
      </c>
      <c r="P60" s="8">
        <v>6.1380665966828669</v>
      </c>
      <c r="Q60" s="8">
        <v>7.3707054980993272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13">
        <f>AVERAGEIF(D60:AE60,"&gt;0")</f>
        <v>6.6675562332525002</v>
      </c>
    </row>
    <row r="61" spans="2:38" x14ac:dyDescent="0.25">
      <c r="B61" s="1" t="s">
        <v>27</v>
      </c>
      <c r="C61" s="1" t="s">
        <v>6</v>
      </c>
      <c r="D61" s="192">
        <v>116675.96</v>
      </c>
      <c r="E61" s="9">
        <v>94990.776000000042</v>
      </c>
      <c r="F61" s="47">
        <v>112132.704</v>
      </c>
      <c r="G61" s="47">
        <v>101530.43200000016</v>
      </c>
      <c r="H61" s="27">
        <v>81043.735999999815</v>
      </c>
      <c r="I61" s="27">
        <v>66550.64</v>
      </c>
      <c r="J61" s="9">
        <v>45605.78400000008</v>
      </c>
      <c r="K61" s="9">
        <v>7241.4160000000074</v>
      </c>
      <c r="L61" s="9">
        <v>119653.43999999987</v>
      </c>
      <c r="M61" s="9">
        <v>119536.14400000001</v>
      </c>
      <c r="N61" s="192">
        <v>55374.80800000015</v>
      </c>
      <c r="O61" s="192">
        <v>64885.047999999857</v>
      </c>
      <c r="P61" s="47">
        <v>61702.34399999991</v>
      </c>
      <c r="Q61" s="187">
        <v>62317.544000000082</v>
      </c>
      <c r="R61" s="187"/>
      <c r="S61" s="47"/>
      <c r="T61" s="47"/>
      <c r="U61" s="192"/>
      <c r="V61" s="192"/>
      <c r="W61" s="192"/>
      <c r="X61" s="9"/>
      <c r="Y61" s="9"/>
      <c r="Z61" s="192"/>
      <c r="AA61" s="192"/>
      <c r="AB61" s="187"/>
      <c r="AC61" s="192"/>
      <c r="AD61" s="192"/>
      <c r="AE61" s="192"/>
      <c r="AF61" s="192"/>
      <c r="AG61" s="192"/>
      <c r="AH61" s="192"/>
      <c r="AI61" s="3">
        <f t="shared" si="25"/>
        <v>1109240.7759999998</v>
      </c>
    </row>
    <row r="62" spans="2:38" x14ac:dyDescent="0.25">
      <c r="B62" s="5" t="s">
        <v>28</v>
      </c>
      <c r="C62" s="1" t="s">
        <v>0</v>
      </c>
      <c r="D62" s="72">
        <v>0.21652249073154523</v>
      </c>
      <c r="E62" s="72">
        <v>0.23903997066540836</v>
      </c>
      <c r="F62" s="72">
        <v>0.2330962913795305</v>
      </c>
      <c r="G62" s="72">
        <v>0.22440501427472909</v>
      </c>
      <c r="H62" s="72">
        <v>0.22108481544078026</v>
      </c>
      <c r="I62" s="72">
        <v>0.22611999072283717</v>
      </c>
      <c r="J62" s="72">
        <v>0.21166329399656955</v>
      </c>
      <c r="K62" s="72">
        <v>0.20268739436897759</v>
      </c>
      <c r="L62" s="72">
        <v>0.18815622066600435</v>
      </c>
      <c r="M62" s="72">
        <v>0.15200831339048265</v>
      </c>
      <c r="N62" s="72">
        <v>0.18334392383260281</v>
      </c>
      <c r="O62" s="72">
        <v>0.16306369732818504</v>
      </c>
      <c r="P62" s="72">
        <v>0.18971038388168365</v>
      </c>
      <c r="Q62" s="72">
        <v>0.22666098268274007</v>
      </c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14">
        <f>AVERAGE(D62:AH62)</f>
        <v>0.20554019881157687</v>
      </c>
      <c r="AK62" s="362"/>
    </row>
    <row r="63" spans="2:38" x14ac:dyDescent="0.25">
      <c r="B63" s="5" t="s">
        <v>35</v>
      </c>
      <c r="C63" s="1" t="s">
        <v>0</v>
      </c>
      <c r="D63" s="72">
        <v>0.18986391835101069</v>
      </c>
      <c r="E63" s="72">
        <v>0.23489093456073823</v>
      </c>
      <c r="F63" s="72">
        <v>0.22776165699419626</v>
      </c>
      <c r="G63" s="72">
        <v>0.22025715429258211</v>
      </c>
      <c r="H63" s="72">
        <v>0.14145987592554826</v>
      </c>
      <c r="I63" s="72">
        <v>0.22175805483290281</v>
      </c>
      <c r="J63" s="72">
        <v>8.3299979987995959E-2</v>
      </c>
      <c r="K63" s="72">
        <v>0.19849409645787336</v>
      </c>
      <c r="L63" s="72">
        <v>0.18423554132478942</v>
      </c>
      <c r="M63" s="72">
        <v>0.14933960376225591</v>
      </c>
      <c r="N63" s="72">
        <v>0.11106663998399817</v>
      </c>
      <c r="O63" s="72">
        <v>0.15984590754452213</v>
      </c>
      <c r="P63" s="72">
        <v>0.18686211727035867</v>
      </c>
      <c r="Q63" s="72">
        <v>0.22175805483290281</v>
      </c>
      <c r="R63" s="72"/>
      <c r="S63" s="72"/>
      <c r="T63" s="72"/>
      <c r="U63" s="72"/>
      <c r="V63" s="72"/>
      <c r="W63" s="72"/>
      <c r="X63" s="10"/>
      <c r="Y63" s="10"/>
      <c r="Z63" s="10"/>
      <c r="AA63" s="10"/>
      <c r="AB63" s="10"/>
      <c r="AC63" s="72"/>
      <c r="AD63" s="10"/>
      <c r="AE63" s="10"/>
      <c r="AF63" s="10"/>
      <c r="AG63" s="10"/>
      <c r="AH63" s="10"/>
      <c r="AI63" s="14">
        <f>AVERAGE(D63:AE63)</f>
        <v>0.18077810972297678</v>
      </c>
    </row>
    <row r="64" spans="2:38" ht="15.75" x14ac:dyDescent="0.25">
      <c r="B64" s="5" t="s">
        <v>113</v>
      </c>
      <c r="C64" s="1"/>
      <c r="D64" s="72">
        <v>2.665857238053454E-2</v>
      </c>
      <c r="E64" s="72">
        <v>4.1490361046701285E-3</v>
      </c>
      <c r="F64" s="72">
        <v>5.3346343853342415E-3</v>
      </c>
      <c r="G64" s="72">
        <v>4.1478599821469786E-3</v>
      </c>
      <c r="H64" s="72">
        <v>7.9624939515232002E-2</v>
      </c>
      <c r="I64" s="72">
        <v>4.3619358899343597E-3</v>
      </c>
      <c r="J64" s="72">
        <v>0.12836331400857359</v>
      </c>
      <c r="K64" s="72">
        <v>4.1932979111042323E-3</v>
      </c>
      <c r="L64" s="72">
        <v>3.9206793412149277E-3</v>
      </c>
      <c r="M64" s="72">
        <v>2.6687096282267397E-3</v>
      </c>
      <c r="N64" s="72">
        <v>7.2277283848604643E-2</v>
      </c>
      <c r="O64" s="72">
        <v>3.217789783662911E-3</v>
      </c>
      <c r="P64" s="72">
        <v>2.8482666113249788E-3</v>
      </c>
      <c r="Q64" s="72">
        <v>4.9029278498372575E-3</v>
      </c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10"/>
      <c r="AH64" s="10"/>
      <c r="AI64" s="49">
        <f>AVERAGEIF(D64:AE64,"&gt;0")</f>
        <v>2.4762089088600107E-2</v>
      </c>
    </row>
    <row r="65" spans="1:37" ht="15.75" x14ac:dyDescent="0.25">
      <c r="B65" s="5" t="s">
        <v>29</v>
      </c>
      <c r="C65" s="1"/>
      <c r="D65" s="190">
        <v>0.65967377667780647</v>
      </c>
      <c r="E65" s="190">
        <v>0.73153358444894745</v>
      </c>
      <c r="F65" s="190">
        <v>0.72463782723090098</v>
      </c>
      <c r="G65" s="190">
        <v>0.72337682092450395</v>
      </c>
      <c r="H65" s="190">
        <v>0.47254821484485582</v>
      </c>
      <c r="I65" s="190">
        <v>0.71587257500445656</v>
      </c>
      <c r="J65" s="190">
        <v>0.28838874300360201</v>
      </c>
      <c r="K65" s="190">
        <v>0.71351155082828377</v>
      </c>
      <c r="L65" s="190">
        <v>0.71307708593749308</v>
      </c>
      <c r="M65" s="190">
        <v>0.73458353229987028</v>
      </c>
      <c r="N65" s="190">
        <v>0.45035082388573194</v>
      </c>
      <c r="O65" s="190">
        <v>0.74561178369693626</v>
      </c>
      <c r="P65" s="190">
        <v>0.73063573746694499</v>
      </c>
      <c r="Q65" s="190">
        <v>0.72207379841211861</v>
      </c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0"/>
      <c r="AH65" s="10"/>
      <c r="AI65" s="49">
        <f>AVERAGEIF(D65:AE65,"&gt;0")</f>
        <v>0.65184827533303236</v>
      </c>
    </row>
    <row r="66" spans="1:37" x14ac:dyDescent="0.25">
      <c r="B66" s="5" t="s">
        <v>109</v>
      </c>
      <c r="C66" s="1" t="s">
        <v>59</v>
      </c>
      <c r="D66" s="192">
        <v>5193.421853690551</v>
      </c>
      <c r="E66" s="484">
        <v>5733.5171203922191</v>
      </c>
      <c r="F66" s="484">
        <v>5590.9544065128666</v>
      </c>
      <c r="G66" s="484">
        <v>5382.4889103879414</v>
      </c>
      <c r="H66" s="484">
        <v>5302.8519492363785</v>
      </c>
      <c r="I66" s="484">
        <v>5423.6236494816831</v>
      </c>
      <c r="J66" s="484">
        <v>5076.8711044841184</v>
      </c>
      <c r="K66" s="484">
        <v>4861.5787663765486</v>
      </c>
      <c r="L66" s="484">
        <v>4513.0398464065138</v>
      </c>
      <c r="M66" s="192">
        <v>3646.0106016587606</v>
      </c>
      <c r="N66" s="192">
        <v>4397.6140194792779</v>
      </c>
      <c r="O66" s="192">
        <v>3911.1806186349154</v>
      </c>
      <c r="P66" s="192">
        <v>4550.3173836325113</v>
      </c>
      <c r="Q66" s="192">
        <v>5436.5996662351299</v>
      </c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192"/>
      <c r="AH66" s="192"/>
      <c r="AI66" s="3">
        <f>SUM(D66:AH66)</f>
        <v>69020.069896609406</v>
      </c>
      <c r="AK66" s="4"/>
    </row>
    <row r="67" spans="1:37" x14ac:dyDescent="0.25">
      <c r="B67" s="5" t="s">
        <v>213</v>
      </c>
      <c r="C67" s="1"/>
      <c r="D67" s="225">
        <v>30.29</v>
      </c>
      <c r="E67" s="225">
        <v>32.409999999999997</v>
      </c>
      <c r="F67" s="225">
        <v>33.17901193538826</v>
      </c>
      <c r="G67" s="225">
        <v>34.425420172817738</v>
      </c>
      <c r="H67" s="225">
        <v>34.01</v>
      </c>
      <c r="I67" s="225">
        <v>36.33</v>
      </c>
      <c r="J67" s="225">
        <v>35.563548396850003</v>
      </c>
      <c r="K67" s="225">
        <v>36.700000000000003</v>
      </c>
      <c r="L67" s="225">
        <v>36.79</v>
      </c>
      <c r="M67" s="225">
        <v>31.53</v>
      </c>
      <c r="N67" s="225">
        <v>32.69</v>
      </c>
      <c r="O67" s="225">
        <v>28.04</v>
      </c>
      <c r="P67" s="225">
        <v>33.135156610985078</v>
      </c>
      <c r="Q67" s="225">
        <v>34.144559299917198</v>
      </c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225"/>
      <c r="AF67" s="225"/>
      <c r="AG67" s="225"/>
      <c r="AH67" s="225"/>
      <c r="AI67" s="13">
        <f>AVERAGEIF(D67:AE67,"&gt;0")</f>
        <v>33.516978315425597</v>
      </c>
    </row>
    <row r="68" spans="1:37" ht="15" customHeight="1" x14ac:dyDescent="0.25">
      <c r="B68" s="219" t="s">
        <v>100</v>
      </c>
      <c r="C68" s="1" t="s">
        <v>59</v>
      </c>
      <c r="D68" s="222">
        <v>22</v>
      </c>
      <c r="E68" s="222">
        <v>52</v>
      </c>
      <c r="F68" s="222">
        <v>79</v>
      </c>
      <c r="G68" s="222">
        <v>51</v>
      </c>
      <c r="H68" s="222">
        <v>32</v>
      </c>
      <c r="I68" s="222">
        <v>56</v>
      </c>
      <c r="J68" s="222">
        <v>95</v>
      </c>
      <c r="K68" s="222">
        <v>52</v>
      </c>
      <c r="L68" s="222">
        <v>46</v>
      </c>
      <c r="M68" s="222">
        <v>16</v>
      </c>
      <c r="N68" s="222"/>
      <c r="O68" s="222">
        <v>29</v>
      </c>
      <c r="P68" s="222">
        <v>20</v>
      </c>
      <c r="Q68" s="222">
        <v>69</v>
      </c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13">
        <f t="shared" ref="AI68:AI73" si="26">SUM(D68:AH68)</f>
        <v>619</v>
      </c>
    </row>
    <row r="69" spans="1:37" ht="15" customHeight="1" x14ac:dyDescent="0.25">
      <c r="B69" s="219" t="s">
        <v>101</v>
      </c>
      <c r="C69" s="1" t="s">
        <v>59</v>
      </c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13">
        <f t="shared" si="26"/>
        <v>0</v>
      </c>
    </row>
    <row r="70" spans="1:37" ht="15" customHeight="1" x14ac:dyDescent="0.25">
      <c r="B70" s="219" t="s">
        <v>102</v>
      </c>
      <c r="C70" s="1" t="s">
        <v>59</v>
      </c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13">
        <f t="shared" si="26"/>
        <v>0</v>
      </c>
    </row>
    <row r="71" spans="1:37" ht="15" customHeight="1" x14ac:dyDescent="0.25">
      <c r="B71" s="219" t="s">
        <v>103</v>
      </c>
      <c r="C71" s="1" t="s">
        <v>59</v>
      </c>
      <c r="D71" s="222">
        <v>569</v>
      </c>
      <c r="E71" s="222"/>
      <c r="F71" s="222"/>
      <c r="G71" s="222"/>
      <c r="H71" s="222">
        <v>1829</v>
      </c>
      <c r="I71" s="222"/>
      <c r="J71" s="222">
        <v>2936</v>
      </c>
      <c r="K71" s="222"/>
      <c r="L71" s="222"/>
      <c r="M71" s="222"/>
      <c r="N71" s="222">
        <v>1690</v>
      </c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13">
        <f t="shared" si="26"/>
        <v>7024</v>
      </c>
    </row>
    <row r="72" spans="1:37" x14ac:dyDescent="0.25">
      <c r="B72" s="5" t="s">
        <v>218</v>
      </c>
      <c r="C72" s="1" t="s">
        <v>59</v>
      </c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13">
        <f t="shared" si="26"/>
        <v>0</v>
      </c>
    </row>
    <row r="73" spans="1:37" x14ac:dyDescent="0.25">
      <c r="B73" s="220" t="s">
        <v>86</v>
      </c>
      <c r="C73" s="1" t="s">
        <v>59</v>
      </c>
      <c r="D73" s="222">
        <f t="shared" ref="D73:I73" si="27">SUM(D68:D72)</f>
        <v>591</v>
      </c>
      <c r="E73" s="222">
        <f t="shared" si="27"/>
        <v>52</v>
      </c>
      <c r="F73" s="222">
        <f t="shared" si="27"/>
        <v>79</v>
      </c>
      <c r="G73" s="222">
        <f t="shared" si="27"/>
        <v>51</v>
      </c>
      <c r="H73" s="222">
        <f t="shared" si="27"/>
        <v>1861</v>
      </c>
      <c r="I73" s="222">
        <f t="shared" si="27"/>
        <v>56</v>
      </c>
      <c r="J73" s="222">
        <f t="shared" ref="J73:K73" si="28">SUM(J68:J72)</f>
        <v>3031</v>
      </c>
      <c r="K73" s="222">
        <f t="shared" si="28"/>
        <v>52</v>
      </c>
      <c r="L73" s="222">
        <f t="shared" ref="L73:M73" si="29">SUM(L68:L72)</f>
        <v>46</v>
      </c>
      <c r="M73" s="222">
        <f t="shared" si="29"/>
        <v>16</v>
      </c>
      <c r="N73" s="222">
        <f t="shared" ref="N73:O73" si="30">SUM(N68:N72)</f>
        <v>1690</v>
      </c>
      <c r="O73" s="222">
        <f t="shared" si="30"/>
        <v>29</v>
      </c>
      <c r="P73" s="222">
        <f t="shared" ref="P73:Q73" si="31">SUM(P68:P72)</f>
        <v>20</v>
      </c>
      <c r="Q73" s="222">
        <f t="shared" si="31"/>
        <v>69</v>
      </c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13">
        <f t="shared" si="26"/>
        <v>7643</v>
      </c>
    </row>
    <row r="74" spans="1:37" x14ac:dyDescent="0.25">
      <c r="B74" s="220" t="s">
        <v>86</v>
      </c>
      <c r="C74" s="1" t="s">
        <v>59</v>
      </c>
      <c r="D74" s="190">
        <f t="shared" ref="D74:I74" si="32">D73/999.4/24</f>
        <v>2.4639783870322191E-2</v>
      </c>
      <c r="E74" s="555">
        <f t="shared" si="32"/>
        <v>2.1679674471349478E-3</v>
      </c>
      <c r="F74" s="555">
        <f t="shared" si="32"/>
        <v>3.2936428523780933E-3</v>
      </c>
      <c r="G74" s="555">
        <f t="shared" si="32"/>
        <v>2.1262757654592758E-3</v>
      </c>
      <c r="H74" s="555">
        <f t="shared" si="32"/>
        <v>7.7588219598425726E-2</v>
      </c>
      <c r="I74" s="555">
        <f t="shared" si="32"/>
        <v>2.3347341738376359E-3</v>
      </c>
      <c r="J74" s="555">
        <f t="shared" ref="J74:K74" si="33">J73/999.4/24</f>
        <v>0.12636748715896204</v>
      </c>
      <c r="K74" s="555">
        <f t="shared" si="33"/>
        <v>2.1679674471349478E-3</v>
      </c>
      <c r="L74" s="555">
        <f t="shared" ref="L74:M74" si="34">L73/999.4/24</f>
        <v>1.9178173570809154E-3</v>
      </c>
      <c r="M74" s="555">
        <f t="shared" si="34"/>
        <v>6.6706690681075313E-4</v>
      </c>
      <c r="N74" s="555">
        <f t="shared" ref="N74:O74" si="35">N73/999.4/24</f>
        <v>7.0458942031885796E-2</v>
      </c>
      <c r="O74" s="555">
        <f t="shared" si="35"/>
        <v>1.2090587685944902E-3</v>
      </c>
      <c r="P74" s="555">
        <f t="shared" ref="P74:Q74" si="36">P73/999.4/24</f>
        <v>8.3383363351344144E-4</v>
      </c>
      <c r="Q74" s="555">
        <f t="shared" si="36"/>
        <v>2.8767260356213731E-3</v>
      </c>
      <c r="R74" s="190"/>
      <c r="S74" s="505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555"/>
      <c r="AI74" s="13">
        <f>AVERAGE(D74:AE74)</f>
        <v>2.2760680217654403E-2</v>
      </c>
    </row>
    <row r="75" spans="1:37" x14ac:dyDescent="0.25">
      <c r="B75" s="5" t="s">
        <v>116</v>
      </c>
      <c r="C75" s="1" t="s">
        <v>60</v>
      </c>
      <c r="D75" s="223">
        <f t="shared" ref="D75:I75" si="37">D62-D63-D74</f>
        <v>2.0187885102123486E-3</v>
      </c>
      <c r="E75" s="539">
        <f t="shared" si="37"/>
        <v>1.9810686575351807E-3</v>
      </c>
      <c r="F75" s="539">
        <f t="shared" si="37"/>
        <v>2.0409915329561482E-3</v>
      </c>
      <c r="G75" s="539">
        <f t="shared" si="37"/>
        <v>2.0215842166877028E-3</v>
      </c>
      <c r="H75" s="539">
        <f t="shared" si="37"/>
        <v>2.0367199168062761E-3</v>
      </c>
      <c r="I75" s="539">
        <f t="shared" si="37"/>
        <v>2.0272017160967238E-3</v>
      </c>
      <c r="J75" s="539">
        <f t="shared" ref="J75:K75" si="38">J62-J63-J74</f>
        <v>1.9958268496115539E-3</v>
      </c>
      <c r="K75" s="539">
        <f t="shared" si="38"/>
        <v>2.0253304639692845E-3</v>
      </c>
      <c r="L75" s="539">
        <f t="shared" ref="L75:M75" si="39">L62-L63-L74</f>
        <v>2.002861984134012E-3</v>
      </c>
      <c r="M75" s="539">
        <f t="shared" si="39"/>
        <v>2.0016427214159865E-3</v>
      </c>
      <c r="N75" s="539">
        <f t="shared" ref="N75:O75" si="40">N62-N63-N74</f>
        <v>1.8183418167188464E-3</v>
      </c>
      <c r="O75" s="539">
        <f t="shared" si="40"/>
        <v>2.008731015068421E-3</v>
      </c>
      <c r="P75" s="539">
        <f t="shared" ref="P75:Q75" si="41">P62-P63-P74</f>
        <v>2.0144329778115375E-3</v>
      </c>
      <c r="Q75" s="539">
        <f t="shared" si="41"/>
        <v>2.0262018142158844E-3</v>
      </c>
      <c r="R75" s="223"/>
      <c r="S75" s="223"/>
      <c r="T75" s="223"/>
      <c r="U75" s="223"/>
      <c r="V75" s="223"/>
      <c r="W75" s="223"/>
      <c r="X75" s="223"/>
      <c r="Y75" s="223"/>
      <c r="Z75" s="223"/>
      <c r="AA75" s="223"/>
      <c r="AB75" s="223"/>
      <c r="AC75" s="223"/>
      <c r="AD75" s="223"/>
      <c r="AE75" s="223"/>
      <c r="AF75" s="223"/>
      <c r="AG75" s="223"/>
      <c r="AH75" s="539"/>
      <c r="AI75" s="224">
        <f>AVERAGE(D75:AE75)</f>
        <v>2.0014088709457076E-3</v>
      </c>
    </row>
    <row r="76" spans="1:37" x14ac:dyDescent="0.25">
      <c r="A76" s="218" t="s">
        <v>31</v>
      </c>
      <c r="B76" s="649" t="s">
        <v>31</v>
      </c>
      <c r="C76" s="650"/>
      <c r="D76" s="650"/>
      <c r="E76" s="650"/>
      <c r="F76" s="650"/>
      <c r="G76" s="650"/>
      <c r="H76" s="650"/>
      <c r="I76" s="650"/>
      <c r="J76" s="650"/>
      <c r="K76" s="650"/>
      <c r="L76" s="650"/>
      <c r="M76" s="650"/>
      <c r="N76" s="650"/>
      <c r="O76" s="650"/>
      <c r="P76" s="650"/>
      <c r="Q76" s="650"/>
      <c r="R76" s="650"/>
      <c r="S76" s="650"/>
      <c r="T76" s="650"/>
      <c r="U76" s="650"/>
      <c r="V76" s="650"/>
      <c r="W76" s="650"/>
      <c r="X76" s="650"/>
      <c r="Y76" s="650"/>
      <c r="Z76" s="650"/>
      <c r="AA76" s="650"/>
      <c r="AB76" s="650"/>
      <c r="AC76" s="650"/>
      <c r="AD76" s="650"/>
      <c r="AE76" s="650"/>
      <c r="AF76" s="650"/>
      <c r="AG76" s="650"/>
      <c r="AH76" s="650"/>
      <c r="AI76" s="651"/>
    </row>
    <row r="77" spans="1:37" x14ac:dyDescent="0.25">
      <c r="B77" s="1" t="s">
        <v>2</v>
      </c>
      <c r="C77" s="1" t="s">
        <v>3</v>
      </c>
      <c r="D77" s="47">
        <v>1</v>
      </c>
      <c r="E77" s="47">
        <v>2</v>
      </c>
      <c r="F77" s="47">
        <v>3</v>
      </c>
      <c r="G77" s="47">
        <v>4</v>
      </c>
      <c r="H77" s="47">
        <v>5</v>
      </c>
      <c r="I77" s="47">
        <v>6</v>
      </c>
      <c r="J77" s="47">
        <v>7</v>
      </c>
      <c r="K77" s="47">
        <v>8</v>
      </c>
      <c r="L77" s="47">
        <v>9</v>
      </c>
      <c r="M77" s="47">
        <v>10</v>
      </c>
      <c r="N77" s="47">
        <v>11</v>
      </c>
      <c r="O77" s="47">
        <v>12</v>
      </c>
      <c r="P77" s="187">
        <v>13</v>
      </c>
      <c r="Q77" s="47">
        <v>14</v>
      </c>
      <c r="R77" s="47">
        <v>15</v>
      </c>
      <c r="S77" s="47">
        <v>16</v>
      </c>
      <c r="T77" s="47">
        <v>17</v>
      </c>
      <c r="U77" s="47">
        <v>18</v>
      </c>
      <c r="V77" s="187">
        <v>19</v>
      </c>
      <c r="W77" s="47">
        <v>20</v>
      </c>
      <c r="X77" s="47">
        <v>21</v>
      </c>
      <c r="Y77" s="47">
        <v>22</v>
      </c>
      <c r="Z77" s="47">
        <v>23</v>
      </c>
      <c r="AA77" s="47">
        <v>24</v>
      </c>
      <c r="AB77" s="47">
        <v>25</v>
      </c>
      <c r="AC77" s="47">
        <v>26</v>
      </c>
      <c r="AD77" s="47">
        <v>27</v>
      </c>
      <c r="AE77" s="47">
        <v>28</v>
      </c>
      <c r="AF77" s="47">
        <v>29</v>
      </c>
      <c r="AG77" s="47">
        <v>30</v>
      </c>
      <c r="AH77" s="47">
        <v>31</v>
      </c>
      <c r="AI77" s="47" t="s">
        <v>4</v>
      </c>
    </row>
    <row r="78" spans="1:37" x14ac:dyDescent="0.25">
      <c r="B78" s="1" t="s">
        <v>5</v>
      </c>
      <c r="C78" s="1" t="s">
        <v>6</v>
      </c>
      <c r="D78" s="191">
        <v>164.60001</v>
      </c>
      <c r="E78" s="191">
        <v>256</v>
      </c>
      <c r="F78" s="18">
        <v>226.89999</v>
      </c>
      <c r="G78" s="18">
        <v>202.2</v>
      </c>
      <c r="H78" s="18">
        <v>272.70001000000002</v>
      </c>
      <c r="I78" s="191">
        <v>282.89999999999998</v>
      </c>
      <c r="J78" s="191">
        <v>257.60001</v>
      </c>
      <c r="K78" s="191">
        <v>273.39999</v>
      </c>
      <c r="L78" s="18">
        <v>256.5</v>
      </c>
      <c r="M78" s="18">
        <v>231</v>
      </c>
      <c r="N78" s="191">
        <v>248</v>
      </c>
      <c r="O78" s="18">
        <v>222.7</v>
      </c>
      <c r="P78" s="483">
        <v>153.89999</v>
      </c>
      <c r="Q78" s="191">
        <v>264.5</v>
      </c>
      <c r="R78" s="191"/>
      <c r="S78" s="191"/>
      <c r="T78" s="191"/>
      <c r="U78" s="191"/>
      <c r="V78" s="187"/>
      <c r="W78" s="191"/>
      <c r="X78" s="18"/>
      <c r="Y78" s="18"/>
      <c r="Z78" s="18"/>
      <c r="AA78" s="18"/>
      <c r="AB78" s="191"/>
      <c r="AC78" s="191"/>
      <c r="AD78" s="191"/>
      <c r="AE78" s="191"/>
      <c r="AF78" s="18"/>
      <c r="AG78" s="18"/>
      <c r="AH78" s="18"/>
      <c r="AI78" s="3">
        <f>SUM(D78:AH78)</f>
        <v>3312.8999999999996</v>
      </c>
    </row>
    <row r="79" spans="1:37" x14ac:dyDescent="0.25">
      <c r="B79" s="1" t="s">
        <v>7</v>
      </c>
      <c r="C79" s="1" t="s">
        <v>6</v>
      </c>
      <c r="D79" s="191">
        <v>164.39999</v>
      </c>
      <c r="E79" s="191">
        <v>256.79998999999998</v>
      </c>
      <c r="F79" s="18">
        <v>229.89999</v>
      </c>
      <c r="G79" s="18">
        <v>206</v>
      </c>
      <c r="H79" s="18">
        <v>275</v>
      </c>
      <c r="I79" s="191">
        <v>272.10000000000002</v>
      </c>
      <c r="J79" s="191">
        <v>267.20001000000002</v>
      </c>
      <c r="K79" s="191">
        <v>272.29998999999998</v>
      </c>
      <c r="L79" s="18">
        <v>224.7</v>
      </c>
      <c r="M79" s="18">
        <v>183.2</v>
      </c>
      <c r="N79" s="191">
        <v>245.7</v>
      </c>
      <c r="O79" s="18">
        <v>223</v>
      </c>
      <c r="P79" s="483">
        <v>138.5</v>
      </c>
      <c r="Q79" s="191">
        <v>174</v>
      </c>
      <c r="R79" s="191"/>
      <c r="S79" s="191"/>
      <c r="T79" s="191"/>
      <c r="U79" s="191"/>
      <c r="V79" s="187"/>
      <c r="W79" s="191"/>
      <c r="X79" s="18"/>
      <c r="Y79" s="18"/>
      <c r="Z79" s="18"/>
      <c r="AA79" s="18"/>
      <c r="AB79" s="191"/>
      <c r="AC79" s="191"/>
      <c r="AD79" s="191"/>
      <c r="AE79" s="191"/>
      <c r="AF79" s="18"/>
      <c r="AG79" s="18"/>
      <c r="AH79" s="18"/>
      <c r="AI79" s="3">
        <f t="shared" ref="AI79:AI98" si="42">SUM(D79:AH79)</f>
        <v>3132.7999699999996</v>
      </c>
    </row>
    <row r="80" spans="1:37" x14ac:dyDescent="0.25">
      <c r="B80" s="1" t="s">
        <v>8</v>
      </c>
      <c r="C80" s="1" t="s">
        <v>6</v>
      </c>
      <c r="D80" s="191">
        <v>161.60001</v>
      </c>
      <c r="E80" s="191">
        <v>252.8</v>
      </c>
      <c r="F80" s="18">
        <v>229.8</v>
      </c>
      <c r="G80" s="18">
        <v>205.8</v>
      </c>
      <c r="H80" s="18">
        <v>270.79998999999998</v>
      </c>
      <c r="I80" s="191">
        <v>268.2</v>
      </c>
      <c r="J80" s="191">
        <v>264.10001</v>
      </c>
      <c r="K80" s="191">
        <v>269.10001</v>
      </c>
      <c r="L80" s="18">
        <v>224.2</v>
      </c>
      <c r="M80" s="18">
        <v>183.8</v>
      </c>
      <c r="N80" s="191">
        <v>243</v>
      </c>
      <c r="O80" s="18">
        <v>218.2</v>
      </c>
      <c r="P80" s="483">
        <v>138.5</v>
      </c>
      <c r="Q80" s="191">
        <v>186.60001</v>
      </c>
      <c r="R80" s="191"/>
      <c r="S80" s="191"/>
      <c r="T80" s="191"/>
      <c r="U80" s="191"/>
      <c r="V80" s="187"/>
      <c r="W80" s="191"/>
      <c r="X80" s="18"/>
      <c r="Y80" s="18"/>
      <c r="Z80" s="18"/>
      <c r="AA80" s="18"/>
      <c r="AB80" s="191"/>
      <c r="AC80" s="191"/>
      <c r="AD80" s="191"/>
      <c r="AE80" s="191"/>
      <c r="AF80" s="18"/>
      <c r="AG80" s="18"/>
      <c r="AH80" s="18"/>
      <c r="AI80" s="3">
        <f t="shared" si="42"/>
        <v>3116.5000300000002</v>
      </c>
    </row>
    <row r="81" spans="1:36" x14ac:dyDescent="0.25">
      <c r="B81" s="1" t="s">
        <v>9</v>
      </c>
      <c r="C81" s="1" t="s">
        <v>6</v>
      </c>
      <c r="D81" s="191">
        <v>165.39999</v>
      </c>
      <c r="E81" s="191">
        <v>258.70001000000002</v>
      </c>
      <c r="F81" s="18">
        <v>232.2</v>
      </c>
      <c r="G81" s="18">
        <v>209.10001</v>
      </c>
      <c r="H81" s="18">
        <v>276</v>
      </c>
      <c r="I81" s="191">
        <v>273.2</v>
      </c>
      <c r="J81" s="191">
        <v>265.79998999999998</v>
      </c>
      <c r="K81" s="191">
        <v>270.29998999999998</v>
      </c>
      <c r="L81" s="18">
        <v>223.8</v>
      </c>
      <c r="M81" s="18">
        <v>184.2</v>
      </c>
      <c r="N81" s="191">
        <v>245</v>
      </c>
      <c r="O81" s="18">
        <v>220.60001</v>
      </c>
      <c r="P81" s="483">
        <v>141.69999999999999</v>
      </c>
      <c r="Q81" s="191">
        <v>173.39999</v>
      </c>
      <c r="R81" s="191"/>
      <c r="S81" s="191"/>
      <c r="T81" s="191"/>
      <c r="U81" s="191"/>
      <c r="V81" s="187"/>
      <c r="W81" s="191"/>
      <c r="X81" s="18"/>
      <c r="Y81" s="18"/>
      <c r="Z81" s="18"/>
      <c r="AA81" s="18"/>
      <c r="AB81" s="191"/>
      <c r="AC81" s="191"/>
      <c r="AD81" s="191"/>
      <c r="AE81" s="191"/>
      <c r="AF81" s="18"/>
      <c r="AG81" s="18"/>
      <c r="AH81" s="18"/>
      <c r="AI81" s="3">
        <f t="shared" si="42"/>
        <v>3139.3999899999994</v>
      </c>
    </row>
    <row r="82" spans="1:36" x14ac:dyDescent="0.25">
      <c r="B82" s="1" t="s">
        <v>10</v>
      </c>
      <c r="C82" s="1" t="s">
        <v>6</v>
      </c>
      <c r="D82" s="191">
        <v>148.89999</v>
      </c>
      <c r="E82" s="18">
        <v>235.89999</v>
      </c>
      <c r="F82" s="18">
        <v>212.2</v>
      </c>
      <c r="G82" s="18">
        <v>191.3</v>
      </c>
      <c r="H82" s="18">
        <v>239.5</v>
      </c>
      <c r="I82" s="191">
        <v>237</v>
      </c>
      <c r="J82" s="191">
        <v>246</v>
      </c>
      <c r="K82" s="191">
        <v>251.2</v>
      </c>
      <c r="L82" s="18">
        <v>211.10001</v>
      </c>
      <c r="M82" s="18">
        <v>175</v>
      </c>
      <c r="N82" s="191">
        <v>225.60001</v>
      </c>
      <c r="O82" s="18">
        <v>204.10001</v>
      </c>
      <c r="P82" s="483">
        <v>126.6</v>
      </c>
      <c r="Q82" s="191">
        <v>163.60001</v>
      </c>
      <c r="R82" s="191"/>
      <c r="S82" s="191"/>
      <c r="T82" s="191"/>
      <c r="U82" s="191"/>
      <c r="V82" s="187"/>
      <c r="W82" s="191"/>
      <c r="X82" s="18"/>
      <c r="Y82" s="18"/>
      <c r="Z82" s="18"/>
      <c r="AA82" s="18"/>
      <c r="AB82" s="191"/>
      <c r="AC82" s="191"/>
      <c r="AD82" s="191"/>
      <c r="AE82" s="191"/>
      <c r="AF82" s="18"/>
      <c r="AG82" s="18"/>
      <c r="AH82" s="18"/>
      <c r="AI82" s="3">
        <f t="shared" si="42"/>
        <v>2868.0000200000004</v>
      </c>
    </row>
    <row r="83" spans="1:36" x14ac:dyDescent="0.25">
      <c r="B83" s="5" t="s">
        <v>11</v>
      </c>
      <c r="C83" s="634" t="s">
        <v>6</v>
      </c>
      <c r="D83" s="191">
        <v>148.30000000000001</v>
      </c>
      <c r="E83" s="18">
        <v>234.39999</v>
      </c>
      <c r="F83" s="18">
        <v>209.7</v>
      </c>
      <c r="G83" s="18">
        <v>188.10001</v>
      </c>
      <c r="H83" s="18">
        <v>248.3</v>
      </c>
      <c r="I83" s="191">
        <v>247</v>
      </c>
      <c r="J83" s="191">
        <v>247.8</v>
      </c>
      <c r="K83" s="191">
        <v>253.10001</v>
      </c>
      <c r="L83" s="18">
        <v>215.10001</v>
      </c>
      <c r="M83" s="18">
        <v>178.60001</v>
      </c>
      <c r="N83" s="191">
        <v>230.2</v>
      </c>
      <c r="O83" s="18">
        <v>206.39999</v>
      </c>
      <c r="P83" s="483">
        <v>133.30000000000001</v>
      </c>
      <c r="Q83" s="191">
        <v>165.89999</v>
      </c>
      <c r="R83" s="191"/>
      <c r="S83" s="191"/>
      <c r="T83" s="191"/>
      <c r="U83" s="191"/>
      <c r="V83" s="187"/>
      <c r="W83" s="191"/>
      <c r="X83" s="18"/>
      <c r="Y83" s="18"/>
      <c r="Z83" s="18"/>
      <c r="AA83" s="18"/>
      <c r="AB83" s="191"/>
      <c r="AC83" s="191"/>
      <c r="AD83" s="191"/>
      <c r="AE83" s="191"/>
      <c r="AF83" s="18"/>
      <c r="AG83" s="18"/>
      <c r="AH83" s="18"/>
      <c r="AI83" s="3">
        <f t="shared" si="42"/>
        <v>2906.20001</v>
      </c>
    </row>
    <row r="84" spans="1:36" ht="15.75" x14ac:dyDescent="0.25">
      <c r="B84" s="219" t="s">
        <v>12</v>
      </c>
      <c r="C84" s="1" t="s">
        <v>6</v>
      </c>
      <c r="D84" s="191">
        <v>145.39999</v>
      </c>
      <c r="E84" s="18">
        <v>230.10001</v>
      </c>
      <c r="F84" s="18">
        <v>204.8</v>
      </c>
      <c r="G84" s="18">
        <v>186.39999</v>
      </c>
      <c r="H84" s="18">
        <v>248.60001</v>
      </c>
      <c r="I84" s="191">
        <v>248.3</v>
      </c>
      <c r="J84" s="191">
        <v>244.3</v>
      </c>
      <c r="K84" s="191">
        <v>248.39999</v>
      </c>
      <c r="L84" s="18">
        <v>210.3</v>
      </c>
      <c r="M84" s="18">
        <v>177.7</v>
      </c>
      <c r="N84" s="191">
        <v>225.3</v>
      </c>
      <c r="O84" s="18">
        <v>202.7</v>
      </c>
      <c r="P84" s="483">
        <v>127.3</v>
      </c>
      <c r="Q84" s="191">
        <v>162.10001</v>
      </c>
      <c r="R84" s="191"/>
      <c r="S84" s="191"/>
      <c r="T84" s="191"/>
      <c r="U84" s="191"/>
      <c r="V84" s="187"/>
      <c r="W84" s="191"/>
      <c r="X84" s="18"/>
      <c r="Y84" s="18"/>
      <c r="Z84" s="18"/>
      <c r="AA84" s="18"/>
      <c r="AB84" s="191"/>
      <c r="AC84" s="191"/>
      <c r="AD84" s="191"/>
      <c r="AE84" s="191"/>
      <c r="AF84" s="18"/>
      <c r="AG84" s="18"/>
      <c r="AH84" s="18"/>
      <c r="AI84" s="3">
        <f t="shared" si="42"/>
        <v>2861.7000000000003</v>
      </c>
    </row>
    <row r="85" spans="1:36" ht="15.75" x14ac:dyDescent="0.25">
      <c r="B85" s="219" t="s">
        <v>13</v>
      </c>
      <c r="C85" s="1" t="s">
        <v>6</v>
      </c>
      <c r="D85" s="191">
        <v>147.80000000000001</v>
      </c>
      <c r="E85" s="18">
        <v>233.60001</v>
      </c>
      <c r="F85" s="18">
        <v>207.2</v>
      </c>
      <c r="G85" s="18">
        <v>186</v>
      </c>
      <c r="H85" s="18">
        <v>248.60001</v>
      </c>
      <c r="I85" s="191">
        <v>246.6</v>
      </c>
      <c r="J85" s="191">
        <v>240.60001</v>
      </c>
      <c r="K85" s="191">
        <v>241.39999</v>
      </c>
      <c r="L85" s="18">
        <v>208.39999</v>
      </c>
      <c r="M85" s="18">
        <v>175.89999</v>
      </c>
      <c r="N85" s="191">
        <v>222.8</v>
      </c>
      <c r="O85" s="18">
        <v>198.89999</v>
      </c>
      <c r="P85" s="483">
        <v>127.2</v>
      </c>
      <c r="Q85" s="191">
        <v>173.5</v>
      </c>
      <c r="R85" s="191"/>
      <c r="S85" s="191"/>
      <c r="T85" s="191"/>
      <c r="U85" s="191"/>
      <c r="V85" s="187"/>
      <c r="W85" s="191"/>
      <c r="X85" s="18"/>
      <c r="Y85" s="18"/>
      <c r="Z85" s="18"/>
      <c r="AA85" s="18"/>
      <c r="AB85" s="191"/>
      <c r="AC85" s="191"/>
      <c r="AD85" s="191"/>
      <c r="AE85" s="191"/>
      <c r="AF85" s="18"/>
      <c r="AG85" s="18"/>
      <c r="AH85" s="18"/>
      <c r="AI85" s="3">
        <f t="shared" si="42"/>
        <v>2858.4999899999993</v>
      </c>
    </row>
    <row r="86" spans="1:36" ht="15.75" x14ac:dyDescent="0.25">
      <c r="B86" s="219" t="s">
        <v>14</v>
      </c>
      <c r="C86" s="1" t="s">
        <v>6</v>
      </c>
      <c r="D86" s="191">
        <v>145.69999999999999</v>
      </c>
      <c r="E86" s="18">
        <v>229.5</v>
      </c>
      <c r="F86" s="18">
        <v>206.7</v>
      </c>
      <c r="G86" s="18">
        <v>185.7</v>
      </c>
      <c r="H86" s="18">
        <v>228.89999</v>
      </c>
      <c r="I86" s="191">
        <v>253</v>
      </c>
      <c r="J86" s="191">
        <v>239.7</v>
      </c>
      <c r="K86" s="191">
        <v>238</v>
      </c>
      <c r="L86" s="18">
        <v>205.89999</v>
      </c>
      <c r="M86" s="18">
        <v>175.39999</v>
      </c>
      <c r="N86" s="191">
        <v>220.3</v>
      </c>
      <c r="O86" s="18">
        <v>198.2</v>
      </c>
      <c r="P86" s="483">
        <v>122.8</v>
      </c>
      <c r="Q86" s="191">
        <v>155.30000000000001</v>
      </c>
      <c r="R86" s="191"/>
      <c r="S86" s="191"/>
      <c r="T86" s="191"/>
      <c r="U86" s="191"/>
      <c r="V86" s="187"/>
      <c r="W86" s="191"/>
      <c r="X86" s="18"/>
      <c r="Y86" s="18"/>
      <c r="Z86" s="18"/>
      <c r="AA86" s="18"/>
      <c r="AB86" s="191"/>
      <c r="AC86" s="191"/>
      <c r="AD86" s="191"/>
      <c r="AE86" s="191"/>
      <c r="AF86" s="18"/>
      <c r="AG86" s="18"/>
      <c r="AH86" s="18"/>
      <c r="AI86" s="3">
        <f t="shared" si="42"/>
        <v>2805.0999700000002</v>
      </c>
    </row>
    <row r="87" spans="1:36" ht="15.75" x14ac:dyDescent="0.25">
      <c r="B87" s="219" t="s">
        <v>15</v>
      </c>
      <c r="C87" s="1" t="s">
        <v>6</v>
      </c>
      <c r="D87" s="191">
        <v>150.89999</v>
      </c>
      <c r="E87" s="18">
        <v>238.8</v>
      </c>
      <c r="F87" s="18">
        <v>214.60001</v>
      </c>
      <c r="G87" s="18">
        <v>194.2</v>
      </c>
      <c r="H87" s="18">
        <v>248.3</v>
      </c>
      <c r="I87" s="191">
        <v>252</v>
      </c>
      <c r="J87" s="191">
        <v>229</v>
      </c>
      <c r="K87" s="191">
        <v>248.3</v>
      </c>
      <c r="L87" s="18">
        <v>212.5</v>
      </c>
      <c r="M87" s="18">
        <v>175.60001</v>
      </c>
      <c r="N87" s="191">
        <v>226.39999</v>
      </c>
      <c r="O87" s="18">
        <v>203.3</v>
      </c>
      <c r="P87" s="483">
        <v>123.5</v>
      </c>
      <c r="Q87" s="191">
        <v>170.60001</v>
      </c>
      <c r="R87" s="191"/>
      <c r="S87" s="191"/>
      <c r="T87" s="191"/>
      <c r="U87" s="191"/>
      <c r="V87" s="187"/>
      <c r="W87" s="191"/>
      <c r="X87" s="18"/>
      <c r="Y87" s="18"/>
      <c r="Z87" s="18"/>
      <c r="AA87" s="18"/>
      <c r="AB87" s="191"/>
      <c r="AC87" s="191"/>
      <c r="AD87" s="191"/>
      <c r="AE87" s="191"/>
      <c r="AF87" s="18"/>
      <c r="AG87" s="18"/>
      <c r="AH87" s="18"/>
      <c r="AI87" s="3">
        <f t="shared" si="42"/>
        <v>2888.0000100000002</v>
      </c>
    </row>
    <row r="88" spans="1:36" x14ac:dyDescent="0.25">
      <c r="B88" s="5" t="s">
        <v>16</v>
      </c>
      <c r="C88" s="1" t="s">
        <v>6</v>
      </c>
      <c r="D88" s="191">
        <v>148.80000000000001</v>
      </c>
      <c r="E88" s="18">
        <v>242</v>
      </c>
      <c r="F88" s="18">
        <v>215.39999</v>
      </c>
      <c r="G88" s="18">
        <v>194.10001</v>
      </c>
      <c r="H88" s="18">
        <v>257.89999</v>
      </c>
      <c r="I88" s="191">
        <v>255.1</v>
      </c>
      <c r="J88" s="191">
        <v>230.60001</v>
      </c>
      <c r="K88" s="191">
        <v>252.7</v>
      </c>
      <c r="L88" s="18">
        <v>216.10001</v>
      </c>
      <c r="M88" s="18">
        <v>178.7</v>
      </c>
      <c r="N88" s="191">
        <v>232</v>
      </c>
      <c r="O88" s="18">
        <v>209.10001</v>
      </c>
      <c r="P88" s="483">
        <v>125.6</v>
      </c>
      <c r="Q88" s="191">
        <v>174</v>
      </c>
      <c r="R88" s="191"/>
      <c r="S88" s="191"/>
      <c r="T88" s="191"/>
      <c r="U88" s="191"/>
      <c r="V88" s="187"/>
      <c r="W88" s="191"/>
      <c r="X88" s="18"/>
      <c r="Y88" s="18"/>
      <c r="Z88" s="18"/>
      <c r="AA88" s="18"/>
      <c r="AB88" s="191"/>
      <c r="AC88" s="191"/>
      <c r="AD88" s="191"/>
      <c r="AE88" s="191"/>
      <c r="AF88" s="18"/>
      <c r="AG88" s="18"/>
      <c r="AH88" s="18"/>
      <c r="AI88" s="3">
        <f t="shared" si="42"/>
        <v>2932.1000199999999</v>
      </c>
    </row>
    <row r="89" spans="1:36" x14ac:dyDescent="0.25">
      <c r="B89" s="220" t="s">
        <v>17</v>
      </c>
      <c r="C89" s="1" t="s">
        <v>6</v>
      </c>
      <c r="D89" s="191">
        <v>150.5</v>
      </c>
      <c r="E89" s="18">
        <v>238.2</v>
      </c>
      <c r="F89" s="18">
        <v>214</v>
      </c>
      <c r="G89" s="18">
        <v>192.3</v>
      </c>
      <c r="H89" s="18">
        <v>252.60001</v>
      </c>
      <c r="I89" s="191">
        <v>249.3</v>
      </c>
      <c r="J89" s="191">
        <v>224.10001</v>
      </c>
      <c r="K89" s="191">
        <v>241.5</v>
      </c>
      <c r="L89" s="18">
        <v>210</v>
      </c>
      <c r="M89" s="18">
        <v>173.60001</v>
      </c>
      <c r="N89" s="191">
        <v>221.8</v>
      </c>
      <c r="O89" s="18">
        <v>200.39999</v>
      </c>
      <c r="P89" s="191">
        <v>119.6</v>
      </c>
      <c r="Q89" s="191">
        <v>166.8</v>
      </c>
      <c r="R89" s="191"/>
      <c r="S89" s="191"/>
      <c r="T89" s="191"/>
      <c r="U89" s="191"/>
      <c r="V89" s="187"/>
      <c r="W89" s="191"/>
      <c r="X89" s="18"/>
      <c r="Y89" s="18"/>
      <c r="Z89" s="18"/>
      <c r="AA89" s="18"/>
      <c r="AB89" s="191"/>
      <c r="AC89" s="191"/>
      <c r="AD89" s="191"/>
      <c r="AE89" s="191"/>
      <c r="AF89" s="18"/>
      <c r="AG89" s="18"/>
      <c r="AH89" s="18"/>
      <c r="AI89" s="3">
        <f t="shared" si="42"/>
        <v>2854.7000200000002</v>
      </c>
    </row>
    <row r="90" spans="1:36" x14ac:dyDescent="0.25">
      <c r="B90" s="220" t="s">
        <v>18</v>
      </c>
      <c r="C90" s="1" t="s">
        <v>6</v>
      </c>
      <c r="D90" s="191">
        <v>153.60001</v>
      </c>
      <c r="E90" s="18">
        <v>247.10001</v>
      </c>
      <c r="F90" s="18">
        <v>218.3</v>
      </c>
      <c r="G90" s="18">
        <v>196.8</v>
      </c>
      <c r="H90" s="18">
        <v>258.5</v>
      </c>
      <c r="I90" s="191">
        <v>254.9</v>
      </c>
      <c r="J90" s="191">
        <v>230.5</v>
      </c>
      <c r="K90" s="191">
        <v>245.7</v>
      </c>
      <c r="L90" s="18">
        <v>218.60001</v>
      </c>
      <c r="M90" s="18">
        <v>180.39999</v>
      </c>
      <c r="N90" s="191">
        <v>234.39999</v>
      </c>
      <c r="O90" s="18">
        <v>211.39999</v>
      </c>
      <c r="P90" s="191">
        <v>127.3</v>
      </c>
      <c r="Q90" s="191">
        <v>186.2</v>
      </c>
      <c r="R90" s="191"/>
      <c r="S90" s="191"/>
      <c r="T90" s="191"/>
      <c r="U90" s="191"/>
      <c r="V90" s="187"/>
      <c r="W90" s="191"/>
      <c r="X90" s="18"/>
      <c r="Y90" s="18"/>
      <c r="Z90" s="18"/>
      <c r="AA90" s="18"/>
      <c r="AB90" s="191"/>
      <c r="AC90" s="191"/>
      <c r="AD90" s="191"/>
      <c r="AE90" s="191"/>
      <c r="AF90" s="18"/>
      <c r="AG90" s="18"/>
      <c r="AH90" s="18"/>
      <c r="AI90" s="3">
        <f t="shared" si="42"/>
        <v>2963.7</v>
      </c>
    </row>
    <row r="91" spans="1:36" x14ac:dyDescent="0.25">
      <c r="B91" s="5" t="s">
        <v>19</v>
      </c>
      <c r="C91" s="1" t="s">
        <v>6</v>
      </c>
      <c r="D91" s="191">
        <v>153.60001</v>
      </c>
      <c r="E91" s="18">
        <v>249.39999</v>
      </c>
      <c r="F91" s="18">
        <v>222.39999</v>
      </c>
      <c r="G91" s="18">
        <v>201.60001</v>
      </c>
      <c r="H91" s="18">
        <v>262.39999</v>
      </c>
      <c r="I91" s="191">
        <v>259.2</v>
      </c>
      <c r="J91" s="191">
        <v>234.10001</v>
      </c>
      <c r="K91" s="191">
        <v>249.5</v>
      </c>
      <c r="L91" s="18">
        <v>220.60001</v>
      </c>
      <c r="M91" s="18">
        <v>180.2</v>
      </c>
      <c r="N91" s="191">
        <v>236.7</v>
      </c>
      <c r="O91" s="18">
        <v>214</v>
      </c>
      <c r="P91" s="191">
        <v>126.6</v>
      </c>
      <c r="Q91" s="191">
        <v>174.5</v>
      </c>
      <c r="R91" s="191"/>
      <c r="S91" s="191"/>
      <c r="T91" s="191"/>
      <c r="U91" s="191"/>
      <c r="V91" s="187"/>
      <c r="W91" s="191"/>
      <c r="X91" s="18"/>
      <c r="Y91" s="18"/>
      <c r="Z91" s="18"/>
      <c r="AA91" s="18"/>
      <c r="AB91" s="191"/>
      <c r="AC91" s="191"/>
      <c r="AD91" s="191"/>
      <c r="AE91" s="191"/>
      <c r="AF91" s="18"/>
      <c r="AG91" s="18"/>
      <c r="AH91" s="18"/>
      <c r="AI91" s="3">
        <f t="shared" si="42"/>
        <v>2984.8000099999995</v>
      </c>
    </row>
    <row r="92" spans="1:36" x14ac:dyDescent="0.25">
      <c r="A92" s="218" t="s">
        <v>31</v>
      </c>
      <c r="B92" s="5" t="s">
        <v>20</v>
      </c>
      <c r="C92" s="1" t="s">
        <v>6</v>
      </c>
      <c r="D92" s="191">
        <v>154.10001</v>
      </c>
      <c r="E92" s="18">
        <v>249.60001</v>
      </c>
      <c r="F92" s="18">
        <v>219.89999</v>
      </c>
      <c r="G92" s="18">
        <v>201.3</v>
      </c>
      <c r="H92" s="18">
        <v>262.5</v>
      </c>
      <c r="I92" s="191">
        <v>257</v>
      </c>
      <c r="J92" s="191">
        <v>230.60001</v>
      </c>
      <c r="K92" s="191">
        <v>249.5</v>
      </c>
      <c r="L92" s="18">
        <v>218.39999</v>
      </c>
      <c r="M92" s="18">
        <v>178</v>
      </c>
      <c r="N92" s="191">
        <v>232.10001</v>
      </c>
      <c r="O92" s="18">
        <v>210.2</v>
      </c>
      <c r="P92" s="191">
        <v>124.5</v>
      </c>
      <c r="Q92" s="191">
        <v>173.2</v>
      </c>
      <c r="R92" s="191"/>
      <c r="S92" s="191"/>
      <c r="T92" s="191"/>
      <c r="U92" s="191"/>
      <c r="V92" s="187"/>
      <c r="W92" s="191"/>
      <c r="X92" s="18"/>
      <c r="Y92" s="18"/>
      <c r="Z92" s="18"/>
      <c r="AA92" s="18"/>
      <c r="AB92" s="191"/>
      <c r="AC92" s="191"/>
      <c r="AD92" s="191"/>
      <c r="AE92" s="191"/>
      <c r="AF92" s="18"/>
      <c r="AG92" s="18"/>
      <c r="AH92" s="18"/>
      <c r="AI92" s="3">
        <f t="shared" si="42"/>
        <v>2960.9000199999996</v>
      </c>
    </row>
    <row r="93" spans="1:36" x14ac:dyDescent="0.25">
      <c r="B93" s="1" t="s">
        <v>21</v>
      </c>
      <c r="C93" s="1" t="s">
        <v>6</v>
      </c>
      <c r="D93" s="191">
        <v>135.69999999999999</v>
      </c>
      <c r="E93" s="18">
        <v>232.89999</v>
      </c>
      <c r="F93" s="18">
        <v>208.60001</v>
      </c>
      <c r="G93" s="18">
        <v>191.7</v>
      </c>
      <c r="H93" s="18">
        <v>247</v>
      </c>
      <c r="I93" s="191">
        <v>240.7</v>
      </c>
      <c r="J93" s="191">
        <v>214.10001</v>
      </c>
      <c r="K93" s="191">
        <v>229.3</v>
      </c>
      <c r="L93" s="18">
        <v>202.3</v>
      </c>
      <c r="M93" s="18">
        <v>172</v>
      </c>
      <c r="N93" s="191">
        <v>167.8</v>
      </c>
      <c r="O93" s="18">
        <v>193.5</v>
      </c>
      <c r="P93" s="191">
        <v>106.5</v>
      </c>
      <c r="Q93" s="191">
        <v>159.89999</v>
      </c>
      <c r="R93" s="191"/>
      <c r="S93" s="191"/>
      <c r="T93" s="191"/>
      <c r="U93" s="191"/>
      <c r="V93" s="187"/>
      <c r="W93" s="191"/>
      <c r="X93" s="18"/>
      <c r="Y93" s="18"/>
      <c r="Z93" s="18"/>
      <c r="AA93" s="18"/>
      <c r="AB93" s="191"/>
      <c r="AC93" s="191"/>
      <c r="AD93" s="191"/>
      <c r="AE93" s="191"/>
      <c r="AF93" s="18"/>
      <c r="AG93" s="18"/>
      <c r="AH93" s="18"/>
      <c r="AI93" s="3">
        <f t="shared" si="42"/>
        <v>2702</v>
      </c>
    </row>
    <row r="94" spans="1:36" x14ac:dyDescent="0.25">
      <c r="B94" s="1" t="s">
        <v>22</v>
      </c>
      <c r="C94" s="1" t="s">
        <v>6</v>
      </c>
      <c r="D94" s="191">
        <v>127.6</v>
      </c>
      <c r="E94" s="18">
        <v>225.5</v>
      </c>
      <c r="F94" s="18">
        <v>204.2</v>
      </c>
      <c r="G94" s="18">
        <v>186.2</v>
      </c>
      <c r="H94" s="18">
        <v>235.39999</v>
      </c>
      <c r="I94" s="191">
        <v>233.5</v>
      </c>
      <c r="J94" s="191">
        <v>206.8</v>
      </c>
      <c r="K94" s="191">
        <v>192.89999</v>
      </c>
      <c r="L94" s="18">
        <v>185.60001</v>
      </c>
      <c r="M94" s="18">
        <v>164.60001</v>
      </c>
      <c r="N94" s="191">
        <v>209.10001</v>
      </c>
      <c r="O94" s="18">
        <v>189.39999</v>
      </c>
      <c r="P94" s="191">
        <v>102.6</v>
      </c>
      <c r="Q94" s="191">
        <v>150.60001</v>
      </c>
      <c r="R94" s="191"/>
      <c r="S94" s="191"/>
      <c r="T94" s="191"/>
      <c r="U94" s="191"/>
      <c r="V94" s="187"/>
      <c r="W94" s="191"/>
      <c r="X94" s="18"/>
      <c r="Y94" s="18"/>
      <c r="Z94" s="18"/>
      <c r="AA94" s="18"/>
      <c r="AB94" s="191"/>
      <c r="AC94" s="191"/>
      <c r="AD94" s="191"/>
      <c r="AE94" s="191"/>
      <c r="AF94" s="18"/>
      <c r="AG94" s="18"/>
      <c r="AH94" s="18"/>
      <c r="AI94" s="3">
        <f t="shared" si="42"/>
        <v>2614.0000100000002</v>
      </c>
    </row>
    <row r="95" spans="1:36" x14ac:dyDescent="0.25">
      <c r="B95" s="1" t="s">
        <v>23</v>
      </c>
      <c r="C95" s="1" t="s">
        <v>6</v>
      </c>
      <c r="D95" s="191">
        <v>142.30000000000001</v>
      </c>
      <c r="E95" s="18">
        <v>244.60001</v>
      </c>
      <c r="F95" s="18">
        <v>222.10001</v>
      </c>
      <c r="G95" s="18">
        <v>201.89999</v>
      </c>
      <c r="H95" s="18">
        <v>256.20001000000002</v>
      </c>
      <c r="I95" s="191">
        <v>254.3</v>
      </c>
      <c r="J95" s="191">
        <v>231.60001</v>
      </c>
      <c r="K95" s="191">
        <v>196.7</v>
      </c>
      <c r="L95" s="18">
        <v>198.5</v>
      </c>
      <c r="M95" s="18">
        <v>170.89999</v>
      </c>
      <c r="N95" s="191">
        <v>226.89999</v>
      </c>
      <c r="O95" s="18">
        <v>203.8</v>
      </c>
      <c r="P95" s="191">
        <v>113.4</v>
      </c>
      <c r="Q95" s="191">
        <v>165.7</v>
      </c>
      <c r="R95" s="191"/>
      <c r="S95" s="191"/>
      <c r="T95" s="191"/>
      <c r="U95" s="191"/>
      <c r="V95" s="187"/>
      <c r="W95" s="191"/>
      <c r="X95" s="18"/>
      <c r="Y95" s="18"/>
      <c r="Z95" s="18"/>
      <c r="AA95" s="18"/>
      <c r="AB95" s="191"/>
      <c r="AC95" s="191"/>
      <c r="AD95" s="191"/>
      <c r="AE95" s="191"/>
      <c r="AF95" s="18"/>
      <c r="AG95" s="18"/>
      <c r="AH95" s="18"/>
      <c r="AI95" s="3">
        <f t="shared" si="42"/>
        <v>2828.9000099999998</v>
      </c>
      <c r="AJ95" s="4">
        <f>+SUM(AI78:AI95)</f>
        <v>52730.200080000002</v>
      </c>
    </row>
    <row r="96" spans="1:36" ht="15.75" x14ac:dyDescent="0.25">
      <c r="B96" s="1" t="s">
        <v>24</v>
      </c>
      <c r="C96" s="1" t="s">
        <v>6</v>
      </c>
      <c r="D96" s="191">
        <v>2745.4999900000876</v>
      </c>
      <c r="E96" s="18">
        <v>4338.9000100000148</v>
      </c>
      <c r="F96" s="18">
        <v>3905.3999699999708</v>
      </c>
      <c r="G96" s="8">
        <v>3532.0999900001161</v>
      </c>
      <c r="H96" s="8">
        <v>4569.0999899998978</v>
      </c>
      <c r="I96" s="18">
        <v>4563.3999999999414</v>
      </c>
      <c r="J96" s="18">
        <v>4286.4999700002327</v>
      </c>
      <c r="K96" s="18">
        <v>4409.8000100000727</v>
      </c>
      <c r="L96" s="18">
        <v>3862.200019999942</v>
      </c>
      <c r="M96" s="18">
        <v>3255.4999900000003</v>
      </c>
      <c r="N96" s="211">
        <v>4087.3999800000729</v>
      </c>
      <c r="O96" s="18">
        <v>3734.1000099997527</v>
      </c>
      <c r="P96" s="191">
        <v>2314.3999999998982</v>
      </c>
      <c r="Q96" s="191">
        <v>3142.1999900002766</v>
      </c>
      <c r="R96" s="191"/>
      <c r="S96" s="191"/>
      <c r="T96" s="191"/>
      <c r="U96" s="191"/>
      <c r="V96" s="187"/>
      <c r="W96" s="191"/>
      <c r="X96" s="213"/>
      <c r="Y96" s="18"/>
      <c r="Z96" s="18"/>
      <c r="AA96" s="18"/>
      <c r="AB96" s="191"/>
      <c r="AC96" s="191"/>
      <c r="AD96" s="191"/>
      <c r="AE96" s="191"/>
      <c r="AF96" s="18"/>
      <c r="AG96" s="18"/>
      <c r="AH96" s="18"/>
      <c r="AI96" s="3">
        <f t="shared" si="42"/>
        <v>52746.499920000286</v>
      </c>
      <c r="AJ96" s="180"/>
    </row>
    <row r="97" spans="2:37" x14ac:dyDescent="0.25">
      <c r="B97" s="1" t="s">
        <v>25</v>
      </c>
      <c r="C97" s="1" t="s">
        <v>26</v>
      </c>
      <c r="D97" s="8">
        <v>3.8021127226666667</v>
      </c>
      <c r="E97" s="8">
        <v>6.1734034288333479</v>
      </c>
      <c r="F97" s="8">
        <v>5.6312319011666689</v>
      </c>
      <c r="G97" s="8">
        <v>5.1097855565000101</v>
      </c>
      <c r="H97" s="8">
        <v>6.5756401111666696</v>
      </c>
      <c r="I97" s="8">
        <v>6.6654338230000034</v>
      </c>
      <c r="J97" s="8">
        <v>6.3107921193333318</v>
      </c>
      <c r="K97" s="8">
        <v>6.5488712061666758</v>
      </c>
      <c r="L97" s="8">
        <v>6.2748642586666703</v>
      </c>
      <c r="M97" s="8">
        <v>5.7799787166666716</v>
      </c>
      <c r="N97" s="8">
        <v>6.0817430948333371</v>
      </c>
      <c r="O97" s="8">
        <v>5.2979098706666745</v>
      </c>
      <c r="P97" s="8">
        <v>4.1240273200000033</v>
      </c>
      <c r="Q97" s="8">
        <v>6.7644430633333252</v>
      </c>
      <c r="R97" s="8"/>
      <c r="S97" s="8"/>
      <c r="T97" s="8"/>
      <c r="U97" s="8"/>
      <c r="V97" s="187"/>
      <c r="W97" s="8"/>
      <c r="X97" s="8"/>
      <c r="Y97" s="8"/>
      <c r="Z97" s="90"/>
      <c r="AA97" s="8"/>
      <c r="AB97" s="91"/>
      <c r="AC97" s="7"/>
      <c r="AD97" s="7"/>
      <c r="AE97" s="8"/>
      <c r="AF97" s="8"/>
      <c r="AG97" s="8"/>
      <c r="AH97" s="91"/>
      <c r="AI97" s="13">
        <f>AVERAGE(D97:AE97)</f>
        <v>5.7957312280714328</v>
      </c>
    </row>
    <row r="98" spans="2:37" x14ac:dyDescent="0.25">
      <c r="B98" s="1" t="s">
        <v>27</v>
      </c>
      <c r="C98" s="1" t="s">
        <v>6</v>
      </c>
      <c r="D98" s="192">
        <v>103347.9999999945</v>
      </c>
      <c r="E98" s="9">
        <v>141380.00000001374</v>
      </c>
      <c r="F98" s="47">
        <v>151916.00000000253</v>
      </c>
      <c r="G98" s="47">
        <v>144736.00000000151</v>
      </c>
      <c r="H98" s="47">
        <v>145707.99999999616</v>
      </c>
      <c r="I98" s="9">
        <v>152579.99999999738</v>
      </c>
      <c r="J98" s="9">
        <v>150564.00000000722</v>
      </c>
      <c r="K98" s="192">
        <v>107814.80000000799</v>
      </c>
      <c r="L98" s="9">
        <v>57770.30000001275</v>
      </c>
      <c r="M98" s="9">
        <v>13167.899999985559</v>
      </c>
      <c r="N98" s="191">
        <v>91806.399999994712</v>
      </c>
      <c r="O98" s="47">
        <v>117901.09999998882</v>
      </c>
      <c r="P98" s="187">
        <v>104300.00000000618</v>
      </c>
      <c r="Q98" s="187">
        <v>67512.100000010527</v>
      </c>
      <c r="R98" s="187"/>
      <c r="S98" s="187"/>
      <c r="T98" s="187"/>
      <c r="U98" s="192"/>
      <c r="V98" s="187"/>
      <c r="W98" s="192"/>
      <c r="X98" s="9"/>
      <c r="Y98" s="9"/>
      <c r="Z98" s="192"/>
      <c r="AA98" s="7"/>
      <c r="AB98" s="187"/>
      <c r="AC98" s="187"/>
      <c r="AD98" s="47"/>
      <c r="AE98" s="187"/>
      <c r="AF98" s="47"/>
      <c r="AG98" s="47"/>
      <c r="AH98" s="47"/>
      <c r="AI98" s="3">
        <f t="shared" si="42"/>
        <v>1550504.6000000199</v>
      </c>
    </row>
    <row r="99" spans="2:37" x14ac:dyDescent="0.25">
      <c r="B99" s="5" t="s">
        <v>28</v>
      </c>
      <c r="C99" s="1" t="s">
        <v>0</v>
      </c>
      <c r="D99" s="10">
        <v>0.1212375842925406</v>
      </c>
      <c r="E99" s="10">
        <v>0.19131359712007337</v>
      </c>
      <c r="F99" s="10">
        <v>0.17345129310154853</v>
      </c>
      <c r="G99" s="10">
        <v>0.15725102254214274</v>
      </c>
      <c r="H99" s="10">
        <v>0.20484204087814661</v>
      </c>
      <c r="I99" s="10">
        <v>0.20482415629170619</v>
      </c>
      <c r="J99" s="10">
        <v>0.19181895467363222</v>
      </c>
      <c r="K99" s="10">
        <v>0.1972044907992633</v>
      </c>
      <c r="L99" s="10">
        <v>0.1878991317741544</v>
      </c>
      <c r="M99" s="10">
        <v>0.17757018893147095</v>
      </c>
      <c r="N99" s="10">
        <v>0.18835015330438684</v>
      </c>
      <c r="O99" s="10">
        <v>0.16565110096745234</v>
      </c>
      <c r="P99" s="10">
        <v>0.13001072105981318</v>
      </c>
      <c r="Q99" s="10">
        <v>0.20881314619730351</v>
      </c>
      <c r="R99" s="10"/>
      <c r="S99" s="10"/>
      <c r="T99" s="10"/>
      <c r="U99" s="10"/>
      <c r="V99" s="10"/>
      <c r="W99" s="10"/>
      <c r="X99" s="10"/>
      <c r="Y99" s="10"/>
      <c r="Z99" s="223"/>
      <c r="AA99" s="10"/>
      <c r="AB99" s="10"/>
      <c r="AC99" s="10"/>
      <c r="AD99" s="10"/>
      <c r="AE99" s="10"/>
      <c r="AF99" s="10"/>
      <c r="AG99" s="10"/>
      <c r="AH99" s="10"/>
      <c r="AI99" s="14">
        <f>AVERAGE(D99:AE99)</f>
        <v>0.17858839870954535</v>
      </c>
    </row>
    <row r="100" spans="2:37" x14ac:dyDescent="0.25">
      <c r="B100" s="5" t="s">
        <v>35</v>
      </c>
      <c r="C100" s="1" t="s">
        <v>0</v>
      </c>
      <c r="D100" s="10">
        <v>0.1144645116236445</v>
      </c>
      <c r="E100" s="10">
        <v>0.180896038039491</v>
      </c>
      <c r="F100" s="10">
        <v>0.16282269236541805</v>
      </c>
      <c r="G100" s="10">
        <v>0.14725918842972935</v>
      </c>
      <c r="H100" s="10">
        <v>0.1904934623273922</v>
      </c>
      <c r="I100" s="10">
        <v>0.1902558201587595</v>
      </c>
      <c r="J100" s="10">
        <v>0.17871139225202759</v>
      </c>
      <c r="K100" s="10">
        <v>0.18385197827029856</v>
      </c>
      <c r="L100" s="10">
        <v>0.1610216138016119</v>
      </c>
      <c r="M100" s="10">
        <v>0.13572726927823361</v>
      </c>
      <c r="N100" s="10">
        <v>0.17041057884731142</v>
      </c>
      <c r="O100" s="10">
        <v>0.1556809089620336</v>
      </c>
      <c r="P100" s="10">
        <v>9.6491228070171201E-2</v>
      </c>
      <c r="Q100" s="10">
        <v>0.13100360174439149</v>
      </c>
      <c r="R100" s="10"/>
      <c r="S100" s="10"/>
      <c r="T100" s="10"/>
      <c r="U100" s="10"/>
      <c r="V100" s="10"/>
      <c r="W100" s="10"/>
      <c r="X100" s="10"/>
      <c r="Y100" s="10"/>
      <c r="Z100" s="93"/>
      <c r="AA100" s="10"/>
      <c r="AB100" s="10"/>
      <c r="AC100" s="10"/>
      <c r="AD100" s="10"/>
      <c r="AE100" s="10"/>
      <c r="AF100" s="10"/>
      <c r="AG100" s="10"/>
      <c r="AH100" s="10"/>
      <c r="AI100" s="14">
        <f>AVERAGE(D100:AE100)</f>
        <v>0.157077877440751</v>
      </c>
    </row>
    <row r="101" spans="2:37" ht="15.75" x14ac:dyDescent="0.25">
      <c r="B101" s="5" t="s">
        <v>113</v>
      </c>
      <c r="C101" s="1"/>
      <c r="D101" s="72">
        <v>6.7730726688960963E-3</v>
      </c>
      <c r="E101" s="72">
        <v>1.0417559080582367E-2</v>
      </c>
      <c r="F101" s="72">
        <v>1.0628600736130478E-2</v>
      </c>
      <c r="G101" s="72">
        <v>9.9918341124133891E-3</v>
      </c>
      <c r="H101" s="72">
        <v>1.4348578550754415E-2</v>
      </c>
      <c r="I101" s="72">
        <v>1.4568336132946696E-2</v>
      </c>
      <c r="J101" s="72">
        <v>1.3107562421604629E-2</v>
      </c>
      <c r="K101" s="72">
        <v>1.3352512528964744E-2</v>
      </c>
      <c r="L101" s="72">
        <v>2.6877517972542508E-2</v>
      </c>
      <c r="M101" s="72">
        <v>4.1842919653237332E-2</v>
      </c>
      <c r="N101" s="72">
        <v>1.7939574457075419E-2</v>
      </c>
      <c r="O101" s="72">
        <v>9.9701920054187376E-3</v>
      </c>
      <c r="P101" s="72">
        <v>3.3519492989641977E-2</v>
      </c>
      <c r="Q101" s="72">
        <v>7.7809544452912022E-2</v>
      </c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49">
        <f>AVERAGEIF(D101:AE101,"&gt;0")</f>
        <v>2.1510521268794342E-2</v>
      </c>
    </row>
    <row r="102" spans="2:37" ht="15.75" x14ac:dyDescent="0.25">
      <c r="B102" s="1" t="s">
        <v>111</v>
      </c>
      <c r="C102" s="1"/>
      <c r="D102" s="190"/>
      <c r="E102" s="190"/>
      <c r="F102" s="190"/>
      <c r="G102" s="190"/>
      <c r="H102" s="190"/>
      <c r="I102" s="190"/>
      <c r="J102" s="190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72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0"/>
      <c r="AH102" s="190"/>
      <c r="AI102" s="49" t="e">
        <f>AVERAGEIF(D102:AE102,"&gt;0")</f>
        <v>#DIV/0!</v>
      </c>
      <c r="AK102" s="19"/>
    </row>
    <row r="103" spans="2:37" x14ac:dyDescent="0.25">
      <c r="B103" s="5" t="s">
        <v>109</v>
      </c>
      <c r="C103" s="1" t="s">
        <v>59</v>
      </c>
      <c r="D103" s="192">
        <v>2907.956201807162</v>
      </c>
      <c r="E103" s="192">
        <v>4588.7714150832317</v>
      </c>
      <c r="F103" s="192">
        <v>4160.3333358165019</v>
      </c>
      <c r="G103" s="192">
        <v>3771.7601262868184</v>
      </c>
      <c r="H103" s="192">
        <v>4913.2592556868731</v>
      </c>
      <c r="I103" s="192">
        <v>4912.8302831503479</v>
      </c>
      <c r="J103" s="192">
        <v>4600.8927192198726</v>
      </c>
      <c r="K103" s="192">
        <v>4730.0680345148103</v>
      </c>
      <c r="L103" s="192">
        <v>4506.8734150821583</v>
      </c>
      <c r="M103" s="192">
        <v>4259.1275236346901</v>
      </c>
      <c r="N103" s="192">
        <v>4517.6914370977011</v>
      </c>
      <c r="O103" s="192">
        <v>3973.2410473649243</v>
      </c>
      <c r="P103" s="192">
        <v>3118.385151052255</v>
      </c>
      <c r="Q103" s="192">
        <v>5008.5085994300425</v>
      </c>
      <c r="R103" s="192"/>
      <c r="S103" s="192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3">
        <f>SUM(D103:AH103)</f>
        <v>59969.698545227395</v>
      </c>
    </row>
    <row r="104" spans="2:37" x14ac:dyDescent="0.25">
      <c r="B104" s="5" t="s">
        <v>213</v>
      </c>
      <c r="C104" s="1"/>
      <c r="D104" s="225">
        <v>27.59</v>
      </c>
      <c r="E104" s="225">
        <v>33.408906250000001</v>
      </c>
      <c r="F104" s="225">
        <v>34.630593750000102</v>
      </c>
      <c r="G104" s="225">
        <v>34.806892857142856</v>
      </c>
      <c r="H104" s="225">
        <v>32.36</v>
      </c>
      <c r="I104" s="225">
        <v>35.1</v>
      </c>
      <c r="J104" s="225">
        <v>37.266348214285735</v>
      </c>
      <c r="K104" s="225">
        <v>39.1</v>
      </c>
      <c r="L104" s="225">
        <v>40.19</v>
      </c>
      <c r="M104" s="225">
        <v>35.15</v>
      </c>
      <c r="N104" s="225">
        <v>33.54</v>
      </c>
      <c r="O104" s="225">
        <v>31.61</v>
      </c>
      <c r="P104" s="225">
        <v>29.936660714285708</v>
      </c>
      <c r="Q104" s="225">
        <v>34.192232142857172</v>
      </c>
      <c r="R104" s="225"/>
      <c r="S104" s="225"/>
      <c r="T104" s="225"/>
      <c r="U104" s="225"/>
      <c r="V104" s="225"/>
      <c r="W104" s="225"/>
      <c r="X104" s="225"/>
      <c r="Y104" s="225"/>
      <c r="Z104" s="225"/>
      <c r="AA104" s="225"/>
      <c r="AB104" s="225"/>
      <c r="AC104" s="225"/>
      <c r="AD104" s="225"/>
      <c r="AE104" s="225"/>
      <c r="AF104" s="225"/>
      <c r="AG104" s="225"/>
      <c r="AH104" s="225"/>
      <c r="AI104" s="13">
        <f>AVERAGE(D104:AE104)</f>
        <v>34.205830994897973</v>
      </c>
    </row>
    <row r="105" spans="2:37" ht="15" customHeight="1" x14ac:dyDescent="0.25">
      <c r="B105" s="219" t="s">
        <v>100</v>
      </c>
      <c r="C105" s="1" t="s">
        <v>59</v>
      </c>
      <c r="D105" s="222">
        <v>89</v>
      </c>
      <c r="E105" s="222">
        <v>202</v>
      </c>
      <c r="F105" s="222">
        <v>207</v>
      </c>
      <c r="G105" s="222">
        <v>192</v>
      </c>
      <c r="H105" s="222">
        <v>296</v>
      </c>
      <c r="I105" s="222">
        <v>301</v>
      </c>
      <c r="J105" s="222">
        <v>266</v>
      </c>
      <c r="K105" s="222">
        <v>272</v>
      </c>
      <c r="L105" s="222">
        <v>190</v>
      </c>
      <c r="M105" s="222">
        <v>198</v>
      </c>
      <c r="N105" s="222">
        <v>234</v>
      </c>
      <c r="O105" s="222">
        <v>155</v>
      </c>
      <c r="P105" s="222">
        <v>168</v>
      </c>
      <c r="Q105" s="222">
        <v>328</v>
      </c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13">
        <f t="shared" ref="AI105:AI110" si="43">SUM(D105:AH105)</f>
        <v>3098</v>
      </c>
    </row>
    <row r="106" spans="2:37" ht="15" customHeight="1" x14ac:dyDescent="0.25">
      <c r="B106" s="219" t="s">
        <v>101</v>
      </c>
      <c r="C106" s="1" t="s">
        <v>59</v>
      </c>
      <c r="D106" s="222"/>
      <c r="E106" s="222"/>
      <c r="F106" s="222"/>
      <c r="G106" s="222"/>
      <c r="H106" s="222"/>
      <c r="I106" s="222"/>
      <c r="J106" s="222"/>
      <c r="K106" s="222"/>
      <c r="L106" s="222">
        <v>407</v>
      </c>
      <c r="M106" s="222">
        <v>758</v>
      </c>
      <c r="N106" s="222"/>
      <c r="O106" s="222"/>
      <c r="P106" s="222">
        <v>588</v>
      </c>
      <c r="Q106" s="222">
        <v>1058</v>
      </c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13">
        <f t="shared" si="43"/>
        <v>2811</v>
      </c>
      <c r="AJ106" s="301">
        <f>AI106+AI169</f>
        <v>3283</v>
      </c>
    </row>
    <row r="107" spans="2:37" ht="15" customHeight="1" x14ac:dyDescent="0.25">
      <c r="B107" s="219" t="s">
        <v>102</v>
      </c>
      <c r="C107" s="1" t="s">
        <v>59</v>
      </c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13">
        <f t="shared" si="43"/>
        <v>0</v>
      </c>
    </row>
    <row r="108" spans="2:37" ht="15" customHeight="1" x14ac:dyDescent="0.25">
      <c r="B108" s="219" t="s">
        <v>103</v>
      </c>
      <c r="C108" s="1" t="s">
        <v>59</v>
      </c>
      <c r="D108" s="222">
        <v>25</v>
      </c>
      <c r="E108" s="222"/>
      <c r="F108" s="222"/>
      <c r="G108" s="222"/>
      <c r="H108" s="222"/>
      <c r="I108" s="222"/>
      <c r="J108" s="222"/>
      <c r="K108" s="222"/>
      <c r="L108" s="222"/>
      <c r="M108" s="222"/>
      <c r="N108" s="222">
        <v>84</v>
      </c>
      <c r="O108" s="222">
        <v>36</v>
      </c>
      <c r="P108" s="222"/>
      <c r="Q108" s="222">
        <v>432</v>
      </c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13">
        <f t="shared" si="43"/>
        <v>577</v>
      </c>
      <c r="AJ108" s="301"/>
    </row>
    <row r="109" spans="2:37" x14ac:dyDescent="0.25">
      <c r="B109" s="5" t="s">
        <v>218</v>
      </c>
      <c r="C109" s="1" t="s">
        <v>59</v>
      </c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>
        <v>64</v>
      </c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13">
        <f t="shared" si="43"/>
        <v>64</v>
      </c>
    </row>
    <row r="110" spans="2:37" x14ac:dyDescent="0.25">
      <c r="B110" s="220" t="s">
        <v>86</v>
      </c>
      <c r="C110" s="1" t="s">
        <v>59</v>
      </c>
      <c r="D110" s="222">
        <f t="shared" ref="D110:I110" si="44">SUM(D105:D109)</f>
        <v>114</v>
      </c>
      <c r="E110" s="222">
        <f t="shared" si="44"/>
        <v>202</v>
      </c>
      <c r="F110" s="222">
        <f t="shared" si="44"/>
        <v>207</v>
      </c>
      <c r="G110" s="222">
        <f t="shared" si="44"/>
        <v>192</v>
      </c>
      <c r="H110" s="222">
        <f t="shared" si="44"/>
        <v>296</v>
      </c>
      <c r="I110" s="222">
        <f t="shared" si="44"/>
        <v>301</v>
      </c>
      <c r="J110" s="222">
        <f t="shared" ref="J110:K110" si="45">SUM(J105:J109)</f>
        <v>266</v>
      </c>
      <c r="K110" s="222">
        <f t="shared" si="45"/>
        <v>272</v>
      </c>
      <c r="L110" s="222">
        <f t="shared" ref="L110:M110" si="46">SUM(L105:L109)</f>
        <v>597</v>
      </c>
      <c r="M110" s="222">
        <f t="shared" si="46"/>
        <v>956</v>
      </c>
      <c r="N110" s="222">
        <f t="shared" ref="N110:O110" si="47">SUM(N105:N109)</f>
        <v>382</v>
      </c>
      <c r="O110" s="222">
        <f t="shared" si="47"/>
        <v>191</v>
      </c>
      <c r="P110" s="222">
        <f t="shared" ref="P110:Q110" si="48">SUM(P105:P109)</f>
        <v>756</v>
      </c>
      <c r="Q110" s="222">
        <f t="shared" si="48"/>
        <v>1818</v>
      </c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13">
        <f t="shared" si="43"/>
        <v>6550</v>
      </c>
    </row>
    <row r="111" spans="2:37" x14ac:dyDescent="0.25">
      <c r="B111" s="220" t="s">
        <v>86</v>
      </c>
      <c r="C111" s="1" t="s">
        <v>59</v>
      </c>
      <c r="D111" s="223">
        <f t="shared" ref="D111:I111" si="49">D110/999.4/24</f>
        <v>4.7528517110266158E-3</v>
      </c>
      <c r="E111" s="539">
        <f t="shared" si="49"/>
        <v>8.4217196984857582E-3</v>
      </c>
      <c r="F111" s="539">
        <f t="shared" si="49"/>
        <v>8.6301781068641188E-3</v>
      </c>
      <c r="G111" s="539">
        <f t="shared" si="49"/>
        <v>8.0048028817290371E-3</v>
      </c>
      <c r="H111" s="539">
        <f t="shared" si="49"/>
        <v>1.2340737775998934E-2</v>
      </c>
      <c r="I111" s="539">
        <f t="shared" si="49"/>
        <v>1.2549196184377295E-2</v>
      </c>
      <c r="J111" s="539">
        <f t="shared" ref="J111:K111" si="50">J110/999.4/24</f>
        <v>1.1089987325728771E-2</v>
      </c>
      <c r="K111" s="539">
        <f t="shared" si="50"/>
        <v>1.1340137415782804E-2</v>
      </c>
      <c r="L111" s="539">
        <f t="shared" ref="L111:M111" si="51">L110/999.4/24</f>
        <v>2.4889933960376226E-2</v>
      </c>
      <c r="M111" s="539">
        <f t="shared" si="51"/>
        <v>3.9857247681942501E-2</v>
      </c>
      <c r="N111" s="539">
        <f t="shared" ref="N111:O111" si="52">N110/999.4/24</f>
        <v>1.5926222400106733E-2</v>
      </c>
      <c r="O111" s="539">
        <f t="shared" si="52"/>
        <v>7.9631112000533664E-3</v>
      </c>
      <c r="P111" s="539">
        <f t="shared" ref="P111:Q111" si="53">P110/999.4/24</f>
        <v>3.1518911346808086E-2</v>
      </c>
      <c r="Q111" s="539">
        <f t="shared" si="53"/>
        <v>7.5795477286371829E-2</v>
      </c>
      <c r="R111" s="223"/>
      <c r="S111" s="223"/>
      <c r="T111" s="223"/>
      <c r="U111" s="223"/>
      <c r="V111" s="223"/>
      <c r="W111" s="223"/>
      <c r="X111" s="223"/>
      <c r="Y111" s="223"/>
      <c r="Z111" s="223"/>
      <c r="AA111" s="223"/>
      <c r="AB111" s="223"/>
      <c r="AC111" s="223"/>
      <c r="AD111" s="223"/>
      <c r="AE111" s="223"/>
      <c r="AF111" s="223"/>
      <c r="AG111" s="223"/>
      <c r="AH111" s="223"/>
      <c r="AI111" s="13">
        <f>AVERAGE(D111:AH111)</f>
        <v>1.9505751069689437E-2</v>
      </c>
    </row>
    <row r="112" spans="2:37" x14ac:dyDescent="0.25">
      <c r="B112" s="5" t="s">
        <v>116</v>
      </c>
      <c r="C112" s="1" t="s">
        <v>60</v>
      </c>
      <c r="D112" s="539">
        <f t="shared" ref="D112:I112" si="54">D99-D100-D111</f>
        <v>2.0202209578694804E-3</v>
      </c>
      <c r="E112" s="539">
        <f t="shared" si="54"/>
        <v>1.9958393820966088E-3</v>
      </c>
      <c r="F112" s="539">
        <f t="shared" si="54"/>
        <v>1.9984226292663592E-3</v>
      </c>
      <c r="G112" s="539">
        <f t="shared" si="54"/>
        <v>1.987031230684352E-3</v>
      </c>
      <c r="H112" s="539">
        <f t="shared" si="54"/>
        <v>2.0078407747554806E-3</v>
      </c>
      <c r="I112" s="539">
        <f t="shared" si="54"/>
        <v>2.0191399485694015E-3</v>
      </c>
      <c r="J112" s="539">
        <f t="shared" ref="J112:K112" si="55">J99-J100-J111</f>
        <v>2.0175750958758582E-3</v>
      </c>
      <c r="K112" s="539">
        <f t="shared" si="55"/>
        <v>2.0123751131819398E-3</v>
      </c>
      <c r="L112" s="539">
        <f t="shared" ref="L112:M112" si="56">L99-L100-L111</f>
        <v>1.9875840121662824E-3</v>
      </c>
      <c r="M112" s="539">
        <f t="shared" si="56"/>
        <v>1.9856719712948306E-3</v>
      </c>
      <c r="N112" s="539">
        <f t="shared" ref="N112:O112" si="57">N99-N100-N111</f>
        <v>2.0133520569686862E-3</v>
      </c>
      <c r="O112" s="539">
        <f t="shared" si="57"/>
        <v>2.0070808053653712E-3</v>
      </c>
      <c r="P112" s="539">
        <f t="shared" ref="P112:Q112" si="58">P99-P100-P111</f>
        <v>2.0005816428338916E-3</v>
      </c>
      <c r="Q112" s="539">
        <f t="shared" si="58"/>
        <v>2.0140671665401927E-3</v>
      </c>
      <c r="R112" s="223"/>
      <c r="S112" s="223"/>
      <c r="T112" s="223"/>
      <c r="U112" s="223"/>
      <c r="V112" s="223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23"/>
      <c r="AH112" s="223"/>
      <c r="AI112" s="224">
        <f>AVERAGE(D112:AE112)</f>
        <v>2.0047701991049095E-3</v>
      </c>
    </row>
    <row r="113" spans="1:35" x14ac:dyDescent="0.25">
      <c r="A113" s="218" t="s">
        <v>228</v>
      </c>
      <c r="B113" s="672" t="s">
        <v>36</v>
      </c>
      <c r="C113" s="673"/>
      <c r="D113" s="673"/>
      <c r="E113" s="673"/>
      <c r="F113" s="673"/>
      <c r="G113" s="673"/>
      <c r="H113" s="673"/>
      <c r="I113" s="673"/>
      <c r="J113" s="673"/>
      <c r="K113" s="673"/>
      <c r="L113" s="673"/>
      <c r="M113" s="673"/>
      <c r="N113" s="673"/>
      <c r="O113" s="673"/>
      <c r="P113" s="673"/>
      <c r="Q113" s="673"/>
      <c r="R113" s="673"/>
      <c r="S113" s="673"/>
      <c r="T113" s="673"/>
      <c r="U113" s="673"/>
      <c r="V113" s="673"/>
      <c r="W113" s="673"/>
      <c r="X113" s="673"/>
      <c r="Y113" s="673"/>
      <c r="Z113" s="673"/>
      <c r="AA113" s="673"/>
      <c r="AB113" s="673"/>
      <c r="AC113" s="673"/>
      <c r="AD113" s="673"/>
      <c r="AE113" s="673"/>
      <c r="AF113" s="673"/>
      <c r="AG113" s="673"/>
      <c r="AH113" s="673"/>
      <c r="AI113" s="674"/>
    </row>
    <row r="114" spans="1:35" x14ac:dyDescent="0.25">
      <c r="B114" s="1" t="s">
        <v>2</v>
      </c>
      <c r="C114" s="1" t="s">
        <v>3</v>
      </c>
      <c r="D114" s="187">
        <v>1</v>
      </c>
      <c r="E114" s="187">
        <v>2</v>
      </c>
      <c r="F114" s="187">
        <v>3</v>
      </c>
      <c r="G114" s="187">
        <v>4</v>
      </c>
      <c r="H114" s="187">
        <v>5</v>
      </c>
      <c r="I114" s="187">
        <v>6</v>
      </c>
      <c r="J114" s="187">
        <v>7</v>
      </c>
      <c r="K114" s="187">
        <v>8</v>
      </c>
      <c r="L114" s="187">
        <v>9</v>
      </c>
      <c r="M114" s="187">
        <v>10</v>
      </c>
      <c r="N114" s="187">
        <v>11</v>
      </c>
      <c r="O114" s="187">
        <v>12</v>
      </c>
      <c r="P114" s="187">
        <v>13</v>
      </c>
      <c r="Q114" s="187">
        <v>14</v>
      </c>
      <c r="R114" s="187">
        <v>15</v>
      </c>
      <c r="S114" s="187">
        <v>16</v>
      </c>
      <c r="T114" s="187">
        <v>17</v>
      </c>
      <c r="U114" s="187">
        <v>18</v>
      </c>
      <c r="V114" s="187">
        <v>19</v>
      </c>
      <c r="W114" s="187">
        <v>20</v>
      </c>
      <c r="X114" s="187">
        <v>21</v>
      </c>
      <c r="Y114" s="187">
        <v>22</v>
      </c>
      <c r="Z114" s="187">
        <v>23</v>
      </c>
      <c r="AA114" s="187">
        <v>24</v>
      </c>
      <c r="AB114" s="187">
        <v>25</v>
      </c>
      <c r="AC114" s="187">
        <v>26</v>
      </c>
      <c r="AD114" s="187">
        <v>27</v>
      </c>
      <c r="AE114" s="187">
        <v>28</v>
      </c>
      <c r="AF114" s="187">
        <v>29</v>
      </c>
      <c r="AG114" s="187">
        <v>30</v>
      </c>
      <c r="AH114" s="187">
        <v>31</v>
      </c>
      <c r="AI114" s="187" t="s">
        <v>4</v>
      </c>
    </row>
    <row r="115" spans="1:35" x14ac:dyDescent="0.25">
      <c r="B115" s="1" t="s">
        <v>5</v>
      </c>
      <c r="C115" s="1" t="s">
        <v>6</v>
      </c>
      <c r="D115" s="191">
        <v>502.89999389648437</v>
      </c>
      <c r="E115" s="191">
        <v>417.89999389648437</v>
      </c>
      <c r="F115" s="191">
        <v>463.29998779296875</v>
      </c>
      <c r="G115" s="191">
        <v>443.89999389648437</v>
      </c>
      <c r="H115" s="191">
        <v>488.79998779296875</v>
      </c>
      <c r="I115" s="191">
        <v>415</v>
      </c>
      <c r="J115" s="191">
        <v>345</v>
      </c>
      <c r="K115" s="191">
        <v>387.20001220703125</v>
      </c>
      <c r="L115" s="191">
        <v>251.39999389648438</v>
      </c>
      <c r="M115" s="191">
        <v>389.79998779296875</v>
      </c>
      <c r="N115" s="191">
        <v>408.89999389648437</v>
      </c>
      <c r="O115" s="191">
        <v>343.70001220703125</v>
      </c>
      <c r="P115" s="191">
        <v>264.20001220703125</v>
      </c>
      <c r="Q115" s="191">
        <v>221.89999389648437</v>
      </c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3">
        <f>SUM(D115:AH115)</f>
        <v>5343.8999633789062</v>
      </c>
    </row>
    <row r="116" spans="1:35" x14ac:dyDescent="0.25">
      <c r="B116" s="1" t="s">
        <v>7</v>
      </c>
      <c r="C116" s="1" t="s">
        <v>6</v>
      </c>
      <c r="D116" s="191">
        <v>496.39999389648437</v>
      </c>
      <c r="E116" s="191">
        <v>409.70001220703125</v>
      </c>
      <c r="F116" s="191">
        <v>467.10000610351562</v>
      </c>
      <c r="G116" s="191">
        <v>454.20001220703125</v>
      </c>
      <c r="H116" s="191">
        <v>491.60000610351562</v>
      </c>
      <c r="I116" s="191">
        <v>410</v>
      </c>
      <c r="J116" s="191">
        <v>337</v>
      </c>
      <c r="K116" s="191">
        <v>390.89999389648437</v>
      </c>
      <c r="L116" s="191">
        <v>227.60000610351562</v>
      </c>
      <c r="M116" s="191">
        <v>379.29998779296875</v>
      </c>
      <c r="N116" s="191">
        <v>425.10000610351562</v>
      </c>
      <c r="O116" s="191">
        <v>350.5</v>
      </c>
      <c r="P116" s="191">
        <v>267.10000610351562</v>
      </c>
      <c r="Q116" s="191">
        <v>224.80000305175781</v>
      </c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3">
        <f t="shared" ref="AI116:AI133" si="59">SUM(D116:AH116)</f>
        <v>5331.3000335693359</v>
      </c>
    </row>
    <row r="117" spans="1:35" x14ac:dyDescent="0.25">
      <c r="B117" s="1" t="s">
        <v>8</v>
      </c>
      <c r="C117" s="1" t="s">
        <v>6</v>
      </c>
      <c r="D117" s="191">
        <v>503.89999389648437</v>
      </c>
      <c r="E117" s="191">
        <v>411.60000610351562</v>
      </c>
      <c r="F117" s="191">
        <v>464.5</v>
      </c>
      <c r="G117" s="191">
        <v>447</v>
      </c>
      <c r="H117" s="191">
        <v>484.29998779296875</v>
      </c>
      <c r="I117" s="191">
        <v>414</v>
      </c>
      <c r="J117" s="191">
        <v>345</v>
      </c>
      <c r="K117" s="191">
        <v>383.5</v>
      </c>
      <c r="L117" s="191">
        <v>228.30000305175781</v>
      </c>
      <c r="M117" s="191">
        <v>388.5</v>
      </c>
      <c r="N117" s="191">
        <v>405.20001220703125</v>
      </c>
      <c r="O117" s="191">
        <v>343.10000610351562</v>
      </c>
      <c r="P117" s="191">
        <v>262.39999389648438</v>
      </c>
      <c r="Q117" s="191">
        <v>221.30000305175781</v>
      </c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  <c r="AF117" s="191"/>
      <c r="AG117" s="191"/>
      <c r="AH117" s="191"/>
      <c r="AI117" s="3">
        <f t="shared" si="59"/>
        <v>5302.6000061035156</v>
      </c>
    </row>
    <row r="118" spans="1:35" x14ac:dyDescent="0.25">
      <c r="B118" s="1" t="s">
        <v>9</v>
      </c>
      <c r="C118" s="1" t="s">
        <v>6</v>
      </c>
      <c r="D118" s="191">
        <v>502.70001220703125</v>
      </c>
      <c r="E118" s="191">
        <v>417.70001220703125</v>
      </c>
      <c r="F118" s="191">
        <v>471.10000610351562</v>
      </c>
      <c r="G118" s="191">
        <v>443.89999389648437</v>
      </c>
      <c r="H118" s="191">
        <v>479.70001220703125</v>
      </c>
      <c r="I118" s="191">
        <v>403</v>
      </c>
      <c r="J118" s="191">
        <v>335</v>
      </c>
      <c r="K118" s="191">
        <v>394</v>
      </c>
      <c r="L118" s="191">
        <v>243.60000610351562</v>
      </c>
      <c r="M118" s="191">
        <v>395.89999389648438</v>
      </c>
      <c r="N118" s="191">
        <v>403.10000610351562</v>
      </c>
      <c r="O118" s="191">
        <v>352.89999389648437</v>
      </c>
      <c r="P118" s="191">
        <v>270</v>
      </c>
      <c r="Q118" s="191">
        <v>226.5</v>
      </c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3">
        <f t="shared" si="59"/>
        <v>5339.1000366210937</v>
      </c>
    </row>
    <row r="119" spans="1:35" x14ac:dyDescent="0.25">
      <c r="B119" s="1" t="s">
        <v>10</v>
      </c>
      <c r="C119" s="1" t="s">
        <v>6</v>
      </c>
      <c r="D119" s="191">
        <v>508.20001220703125</v>
      </c>
      <c r="E119" s="18">
        <v>425.70001220703125</v>
      </c>
      <c r="F119" s="18">
        <v>488.5</v>
      </c>
      <c r="G119" s="18">
        <v>471.29998779296875</v>
      </c>
      <c r="H119" s="18">
        <v>497.89999389648437</v>
      </c>
      <c r="I119" s="191">
        <v>397</v>
      </c>
      <c r="J119" s="191">
        <v>335</v>
      </c>
      <c r="K119" s="191">
        <v>379.20001220703125</v>
      </c>
      <c r="L119" s="191">
        <v>230.69999694824219</v>
      </c>
      <c r="M119" s="18">
        <v>405.79998779296875</v>
      </c>
      <c r="N119" s="191">
        <v>430</v>
      </c>
      <c r="O119" s="18">
        <v>364.10000610351562</v>
      </c>
      <c r="P119" s="18">
        <v>272.39999389648437</v>
      </c>
      <c r="Q119" s="191">
        <v>229.19999694824219</v>
      </c>
      <c r="R119" s="18"/>
      <c r="S119" s="191"/>
      <c r="T119" s="191"/>
      <c r="U119" s="191"/>
      <c r="V119" s="18"/>
      <c r="W119" s="191"/>
      <c r="X119" s="18"/>
      <c r="Y119" s="18"/>
      <c r="Z119" s="191"/>
      <c r="AA119" s="191"/>
      <c r="AB119" s="191"/>
      <c r="AC119" s="18"/>
      <c r="AD119" s="191"/>
      <c r="AE119" s="191"/>
      <c r="AF119" s="18"/>
      <c r="AG119" s="191"/>
      <c r="AH119" s="18"/>
      <c r="AI119" s="3">
        <f t="shared" si="59"/>
        <v>5435</v>
      </c>
    </row>
    <row r="120" spans="1:35" x14ac:dyDescent="0.25">
      <c r="B120" s="1" t="s">
        <v>11</v>
      </c>
      <c r="C120" s="1" t="s">
        <v>6</v>
      </c>
      <c r="D120" s="191">
        <v>507.20001220703125</v>
      </c>
      <c r="E120" s="18">
        <v>423.60000610351562</v>
      </c>
      <c r="F120" s="18">
        <v>484</v>
      </c>
      <c r="G120" s="18">
        <v>466.20001220703125</v>
      </c>
      <c r="H120" s="18">
        <v>498.6399606394001</v>
      </c>
      <c r="I120" s="191">
        <v>406</v>
      </c>
      <c r="J120" s="191">
        <v>342</v>
      </c>
      <c r="K120" s="191">
        <v>390.20001220703125</v>
      </c>
      <c r="L120" s="191">
        <v>252.69999694824219</v>
      </c>
      <c r="M120" s="18">
        <v>386.60000610351562</v>
      </c>
      <c r="N120" s="191">
        <v>404.89999389648437</v>
      </c>
      <c r="O120" s="18">
        <v>338.5</v>
      </c>
      <c r="P120" s="18">
        <v>257.20001220703125</v>
      </c>
      <c r="Q120" s="191">
        <v>218.30000305175781</v>
      </c>
      <c r="R120" s="18"/>
      <c r="S120" s="191"/>
      <c r="T120" s="191"/>
      <c r="U120" s="191"/>
      <c r="V120" s="18"/>
      <c r="W120" s="191"/>
      <c r="X120" s="18"/>
      <c r="Y120" s="18"/>
      <c r="Z120" s="191"/>
      <c r="AA120" s="191"/>
      <c r="AB120" s="191"/>
      <c r="AC120" s="18"/>
      <c r="AD120" s="191"/>
      <c r="AE120" s="191"/>
      <c r="AF120" s="18"/>
      <c r="AG120" s="191"/>
      <c r="AH120" s="18"/>
      <c r="AI120" s="3">
        <f t="shared" si="59"/>
        <v>5376.0400155710413</v>
      </c>
    </row>
    <row r="121" spans="1:35" x14ac:dyDescent="0.25">
      <c r="B121" s="1" t="s">
        <v>12</v>
      </c>
      <c r="C121" s="1" t="s">
        <v>6</v>
      </c>
      <c r="D121" s="191">
        <v>500.70001220703125</v>
      </c>
      <c r="E121" s="18">
        <v>405.5</v>
      </c>
      <c r="F121" s="18">
        <v>469.20001220703125</v>
      </c>
      <c r="G121" s="18">
        <v>448.29998779296875</v>
      </c>
      <c r="H121" s="18">
        <v>485.79998779296875</v>
      </c>
      <c r="I121" s="191">
        <v>394</v>
      </c>
      <c r="J121" s="191">
        <v>333</v>
      </c>
      <c r="K121" s="191">
        <v>406.5</v>
      </c>
      <c r="L121" s="191">
        <v>234.39999389648437</v>
      </c>
      <c r="M121" s="18">
        <v>385</v>
      </c>
      <c r="N121" s="191">
        <v>403.29998779296875</v>
      </c>
      <c r="O121" s="18">
        <v>348.10000610351562</v>
      </c>
      <c r="P121" s="18">
        <v>265.29998779296875</v>
      </c>
      <c r="Q121" s="191">
        <v>223.60000610351562</v>
      </c>
      <c r="R121" s="18"/>
      <c r="S121" s="191"/>
      <c r="T121" s="191"/>
      <c r="U121" s="191"/>
      <c r="V121" s="18"/>
      <c r="W121" s="191"/>
      <c r="X121" s="18"/>
      <c r="Y121" s="18"/>
      <c r="Z121" s="191"/>
      <c r="AA121" s="191"/>
      <c r="AB121" s="191"/>
      <c r="AC121" s="18"/>
      <c r="AD121" s="191"/>
      <c r="AE121" s="191"/>
      <c r="AF121" s="18"/>
      <c r="AG121" s="191"/>
      <c r="AH121" s="18"/>
      <c r="AI121" s="3">
        <f t="shared" si="59"/>
        <v>5302.6999816894531</v>
      </c>
    </row>
    <row r="122" spans="1:35" x14ac:dyDescent="0.25">
      <c r="B122" s="1" t="s">
        <v>13</v>
      </c>
      <c r="C122" s="1" t="s">
        <v>6</v>
      </c>
      <c r="D122" s="191">
        <v>498.5</v>
      </c>
      <c r="E122" s="18">
        <v>410.10000610351562</v>
      </c>
      <c r="F122" s="18">
        <v>481.79998779296875</v>
      </c>
      <c r="G122" s="18">
        <v>472.5</v>
      </c>
      <c r="H122" s="18">
        <v>502.89999389648437</v>
      </c>
      <c r="I122" s="191">
        <v>408</v>
      </c>
      <c r="J122" s="191">
        <v>341</v>
      </c>
      <c r="K122" s="191">
        <v>394.39999389648437</v>
      </c>
      <c r="L122" s="191">
        <v>224.69999694824219</v>
      </c>
      <c r="M122" s="18">
        <v>398.70001220703125</v>
      </c>
      <c r="N122" s="191">
        <v>408.39999389648437</v>
      </c>
      <c r="O122" s="18">
        <v>345.20001220703125</v>
      </c>
      <c r="P122" s="18">
        <v>260.89999389648437</v>
      </c>
      <c r="Q122" s="191">
        <v>220.39999389648437</v>
      </c>
      <c r="R122" s="18"/>
      <c r="S122" s="191"/>
      <c r="T122" s="191"/>
      <c r="U122" s="191"/>
      <c r="V122" s="18"/>
      <c r="W122" s="191"/>
      <c r="X122" s="18"/>
      <c r="Y122" s="18"/>
      <c r="Z122" s="191"/>
      <c r="AA122" s="191"/>
      <c r="AB122" s="191"/>
      <c r="AC122" s="18"/>
      <c r="AD122" s="191"/>
      <c r="AE122" s="191"/>
      <c r="AF122" s="18"/>
      <c r="AG122" s="191"/>
      <c r="AH122" s="18"/>
      <c r="AI122" s="3">
        <f t="shared" si="59"/>
        <v>5367.4999847412109</v>
      </c>
    </row>
    <row r="123" spans="1:35" x14ac:dyDescent="0.25">
      <c r="B123" s="1" t="s">
        <v>14</v>
      </c>
      <c r="C123" s="1" t="s">
        <v>6</v>
      </c>
      <c r="D123" s="191">
        <v>508.29998779296875</v>
      </c>
      <c r="E123" s="18">
        <v>424.20001220703125</v>
      </c>
      <c r="F123" s="18">
        <v>489</v>
      </c>
      <c r="G123" s="18">
        <v>473.79998779296875</v>
      </c>
      <c r="H123" s="18">
        <v>504.29998779296875</v>
      </c>
      <c r="I123" s="191">
        <v>414</v>
      </c>
      <c r="J123" s="191">
        <v>342</v>
      </c>
      <c r="K123" s="191">
        <v>386.20001220703125</v>
      </c>
      <c r="L123" s="191">
        <v>240.30000305175781</v>
      </c>
      <c r="M123" s="18">
        <v>396.10000610351562</v>
      </c>
      <c r="N123" s="191">
        <v>412.70001220703125</v>
      </c>
      <c r="O123" s="18">
        <v>343.79998779296875</v>
      </c>
      <c r="P123" s="18">
        <v>258.60000610351562</v>
      </c>
      <c r="Q123" s="191">
        <v>224.60000610351562</v>
      </c>
      <c r="R123" s="18"/>
      <c r="S123" s="191"/>
      <c r="T123" s="191"/>
      <c r="U123" s="191"/>
      <c r="V123" s="18"/>
      <c r="W123" s="191"/>
      <c r="X123" s="18"/>
      <c r="Y123" s="18"/>
      <c r="Z123" s="191"/>
      <c r="AA123" s="191"/>
      <c r="AB123" s="191"/>
      <c r="AC123" s="18"/>
      <c r="AD123" s="191"/>
      <c r="AE123" s="191"/>
      <c r="AF123" s="18"/>
      <c r="AG123" s="191"/>
      <c r="AH123" s="18"/>
      <c r="AI123" s="3">
        <f t="shared" si="59"/>
        <v>5417.9000091552734</v>
      </c>
    </row>
    <row r="124" spans="1:35" x14ac:dyDescent="0.25">
      <c r="B124" s="1" t="s">
        <v>15</v>
      </c>
      <c r="C124" s="1" t="s">
        <v>6</v>
      </c>
      <c r="D124" s="191">
        <v>502.60000610351562</v>
      </c>
      <c r="E124" s="18">
        <v>426.70001220703125</v>
      </c>
      <c r="F124" s="18">
        <v>491.60000610351562</v>
      </c>
      <c r="G124" s="18">
        <v>474.70001220703125</v>
      </c>
      <c r="H124" s="18">
        <v>508.60000610351562</v>
      </c>
      <c r="I124" s="191">
        <v>423</v>
      </c>
      <c r="J124" s="191">
        <v>352</v>
      </c>
      <c r="K124" s="191">
        <v>395.79998779296875</v>
      </c>
      <c r="L124" s="191">
        <v>248.39999389648437</v>
      </c>
      <c r="M124" s="18">
        <v>395.5</v>
      </c>
      <c r="N124" s="191">
        <v>406.79998779296875</v>
      </c>
      <c r="O124" s="18">
        <v>349.29998779296875</v>
      </c>
      <c r="P124" s="18">
        <v>262.79998779296875</v>
      </c>
      <c r="Q124" s="191">
        <v>223.80000305175781</v>
      </c>
      <c r="R124" s="18"/>
      <c r="S124" s="191"/>
      <c r="T124" s="191"/>
      <c r="U124" s="191"/>
      <c r="V124" s="18"/>
      <c r="W124" s="191"/>
      <c r="X124" s="18"/>
      <c r="Y124" s="18"/>
      <c r="Z124" s="191"/>
      <c r="AA124" s="191"/>
      <c r="AB124" s="191"/>
      <c r="AC124" s="18"/>
      <c r="AD124" s="191"/>
      <c r="AE124" s="191"/>
      <c r="AF124" s="18"/>
      <c r="AG124" s="191"/>
      <c r="AH124" s="18"/>
      <c r="AI124" s="3">
        <f t="shared" si="59"/>
        <v>5461.5999908447266</v>
      </c>
    </row>
    <row r="125" spans="1:35" x14ac:dyDescent="0.25">
      <c r="B125" s="1" t="s">
        <v>16</v>
      </c>
      <c r="C125" s="1" t="s">
        <v>6</v>
      </c>
      <c r="D125" s="191">
        <v>472.89999389648438</v>
      </c>
      <c r="E125" s="18">
        <v>391.79998779296875</v>
      </c>
      <c r="F125" s="18">
        <v>452.10000610351562</v>
      </c>
      <c r="G125" s="18">
        <v>435.20001220703125</v>
      </c>
      <c r="H125" s="18">
        <v>470.29998779296875</v>
      </c>
      <c r="I125" s="191">
        <v>380</v>
      </c>
      <c r="J125" s="191">
        <v>319</v>
      </c>
      <c r="K125" s="191">
        <v>360.10000610351562</v>
      </c>
      <c r="L125" s="191">
        <v>226.19999694824219</v>
      </c>
      <c r="M125" s="18">
        <v>366.70001220703125</v>
      </c>
      <c r="N125" s="191">
        <v>376.20001220703125</v>
      </c>
      <c r="O125" s="18">
        <v>322.5</v>
      </c>
      <c r="P125" s="18">
        <v>242.39999389648437</v>
      </c>
      <c r="Q125" s="191">
        <v>205.39999389648437</v>
      </c>
      <c r="R125" s="18"/>
      <c r="S125" s="191"/>
      <c r="T125" s="191"/>
      <c r="U125" s="191"/>
      <c r="V125" s="18"/>
      <c r="W125" s="191"/>
      <c r="X125" s="18"/>
      <c r="Y125" s="18"/>
      <c r="Z125" s="191"/>
      <c r="AA125" s="191"/>
      <c r="AB125" s="191"/>
      <c r="AC125" s="18"/>
      <c r="AD125" s="191"/>
      <c r="AE125" s="191"/>
      <c r="AF125" s="18"/>
      <c r="AG125" s="191"/>
      <c r="AH125" s="18"/>
      <c r="AI125" s="3">
        <f t="shared" si="59"/>
        <v>5020.8000030517578</v>
      </c>
    </row>
    <row r="126" spans="1:35" x14ac:dyDescent="0.25">
      <c r="B126" s="1" t="s">
        <v>17</v>
      </c>
      <c r="C126" s="1" t="s">
        <v>6</v>
      </c>
      <c r="D126" s="191">
        <v>469</v>
      </c>
      <c r="E126" s="18">
        <v>387.5</v>
      </c>
      <c r="F126" s="18">
        <v>445.5</v>
      </c>
      <c r="G126" s="18">
        <v>429.39999389648437</v>
      </c>
      <c r="H126" s="18">
        <v>474</v>
      </c>
      <c r="I126" s="191">
        <v>386</v>
      </c>
      <c r="J126" s="191">
        <v>322</v>
      </c>
      <c r="K126" s="191">
        <v>367.70001220703125</v>
      </c>
      <c r="L126" s="191">
        <v>239.89999389648437</v>
      </c>
      <c r="M126" s="18">
        <v>374</v>
      </c>
      <c r="N126" s="191">
        <v>383.60000610351562</v>
      </c>
      <c r="O126" s="18">
        <v>327.5</v>
      </c>
      <c r="P126" s="18">
        <v>245.39999389648437</v>
      </c>
      <c r="Q126" s="191">
        <v>206.5</v>
      </c>
      <c r="R126" s="18"/>
      <c r="S126" s="191"/>
      <c r="T126" s="191"/>
      <c r="U126" s="191"/>
      <c r="V126" s="18"/>
      <c r="W126" s="191"/>
      <c r="X126" s="18"/>
      <c r="Y126" s="18"/>
      <c r="Z126" s="191"/>
      <c r="AA126" s="191"/>
      <c r="AB126" s="191"/>
      <c r="AC126" s="18"/>
      <c r="AD126" s="191"/>
      <c r="AE126" s="191"/>
      <c r="AF126" s="18"/>
      <c r="AG126" s="191"/>
      <c r="AH126" s="18"/>
      <c r="AI126" s="3">
        <f t="shared" si="59"/>
        <v>5058</v>
      </c>
    </row>
    <row r="127" spans="1:35" x14ac:dyDescent="0.25">
      <c r="B127" s="1" t="s">
        <v>18</v>
      </c>
      <c r="C127" s="1" t="s">
        <v>6</v>
      </c>
      <c r="D127" s="191">
        <v>506.5</v>
      </c>
      <c r="E127" s="18">
        <v>423.60000610351562</v>
      </c>
      <c r="F127" s="18">
        <v>491.20001220703125</v>
      </c>
      <c r="G127" s="18">
        <v>476</v>
      </c>
      <c r="H127" s="18">
        <v>508.39999389648437</v>
      </c>
      <c r="I127" s="191">
        <v>418</v>
      </c>
      <c r="J127" s="191">
        <v>349</v>
      </c>
      <c r="K127" s="191">
        <v>394.5</v>
      </c>
      <c r="L127" s="191">
        <v>250.10000610351562</v>
      </c>
      <c r="M127" s="18">
        <v>402.20001220703125</v>
      </c>
      <c r="N127" s="191">
        <v>411.39999389648437</v>
      </c>
      <c r="O127" s="18">
        <v>354</v>
      </c>
      <c r="P127" s="18">
        <v>266.39999389648437</v>
      </c>
      <c r="Q127" s="191">
        <v>227.10000610351562</v>
      </c>
      <c r="R127" s="18"/>
      <c r="S127" s="191"/>
      <c r="T127" s="191"/>
      <c r="U127" s="191"/>
      <c r="V127" s="18"/>
      <c r="W127" s="191"/>
      <c r="X127" s="18"/>
      <c r="Y127" s="18"/>
      <c r="Z127" s="191"/>
      <c r="AA127" s="191"/>
      <c r="AB127" s="191"/>
      <c r="AC127" s="18"/>
      <c r="AD127" s="191"/>
      <c r="AE127" s="191"/>
      <c r="AF127" s="18"/>
      <c r="AG127" s="191"/>
      <c r="AH127" s="18"/>
      <c r="AI127" s="3">
        <f t="shared" si="59"/>
        <v>5478.4000244140625</v>
      </c>
    </row>
    <row r="128" spans="1:35" x14ac:dyDescent="0.25">
      <c r="B128" s="1" t="s">
        <v>19</v>
      </c>
      <c r="C128" s="1" t="s">
        <v>6</v>
      </c>
      <c r="D128" s="191">
        <v>459.5</v>
      </c>
      <c r="E128" s="18">
        <v>395.29998779296875</v>
      </c>
      <c r="F128" s="18">
        <v>458.29998779296875</v>
      </c>
      <c r="G128" s="18">
        <v>444.20001220703125</v>
      </c>
      <c r="H128" s="18">
        <v>476.5</v>
      </c>
      <c r="I128" s="191">
        <v>391</v>
      </c>
      <c r="J128" s="191">
        <v>325</v>
      </c>
      <c r="K128" s="191">
        <v>374.20001220703125</v>
      </c>
      <c r="L128" s="191">
        <v>252.39999389648437</v>
      </c>
      <c r="M128" s="18">
        <v>379.60000610351562</v>
      </c>
      <c r="N128" s="191">
        <v>388.39999389648437</v>
      </c>
      <c r="O128" s="18">
        <v>331.89999389648437</v>
      </c>
      <c r="P128" s="18">
        <v>248.5</v>
      </c>
      <c r="Q128" s="191">
        <v>210.39999389648437</v>
      </c>
      <c r="R128" s="18"/>
      <c r="S128" s="191"/>
      <c r="T128" s="191"/>
      <c r="U128" s="191"/>
      <c r="V128" s="18"/>
      <c r="W128" s="191"/>
      <c r="X128" s="18"/>
      <c r="Y128" s="18"/>
      <c r="Z128" s="191"/>
      <c r="AA128" s="191"/>
      <c r="AB128" s="191"/>
      <c r="AC128" s="18"/>
      <c r="AD128" s="191"/>
      <c r="AE128" s="191"/>
      <c r="AF128" s="18"/>
      <c r="AG128" s="191"/>
      <c r="AH128" s="18"/>
      <c r="AI128" s="3">
        <f t="shared" si="59"/>
        <v>5135.1999816894531</v>
      </c>
    </row>
    <row r="129" spans="2:38" x14ac:dyDescent="0.25">
      <c r="B129" s="1" t="s">
        <v>20</v>
      </c>
      <c r="C129" s="1" t="s">
        <v>6</v>
      </c>
      <c r="D129" s="191">
        <v>470.39999389648437</v>
      </c>
      <c r="E129" s="18">
        <v>392.60000610351562</v>
      </c>
      <c r="F129" s="18">
        <v>457.39999389648437</v>
      </c>
      <c r="G129" s="18">
        <v>443.39999389648437</v>
      </c>
      <c r="H129" s="18">
        <v>475.60000610351562</v>
      </c>
      <c r="I129" s="191">
        <v>390</v>
      </c>
      <c r="J129" s="191">
        <v>325</v>
      </c>
      <c r="K129" s="191">
        <v>371.89999389648437</v>
      </c>
      <c r="L129" s="191">
        <v>241.10000610351562</v>
      </c>
      <c r="M129" s="18">
        <v>380.39999389648437</v>
      </c>
      <c r="N129" s="191">
        <v>390.5</v>
      </c>
      <c r="O129" s="18">
        <v>333.89999389648437</v>
      </c>
      <c r="P129" s="18">
        <v>250.69999694824219</v>
      </c>
      <c r="Q129" s="191">
        <v>211.60000610351562</v>
      </c>
      <c r="R129" s="18"/>
      <c r="S129" s="191"/>
      <c r="T129" s="191"/>
      <c r="U129" s="191"/>
      <c r="V129" s="18"/>
      <c r="W129" s="191"/>
      <c r="X129" s="18"/>
      <c r="Y129" s="18"/>
      <c r="Z129" s="191"/>
      <c r="AA129" s="191"/>
      <c r="AB129" s="191"/>
      <c r="AC129" s="18"/>
      <c r="AD129" s="191"/>
      <c r="AE129" s="191"/>
      <c r="AF129" s="18"/>
      <c r="AG129" s="191"/>
      <c r="AH129" s="18"/>
      <c r="AI129" s="3">
        <f t="shared" si="59"/>
        <v>5134.4999847412109</v>
      </c>
    </row>
    <row r="130" spans="2:38" x14ac:dyDescent="0.25">
      <c r="B130" s="1" t="s">
        <v>21</v>
      </c>
      <c r="C130" s="1" t="s">
        <v>6</v>
      </c>
      <c r="D130" s="191">
        <v>461.20001220703125</v>
      </c>
      <c r="E130" s="18">
        <v>379</v>
      </c>
      <c r="F130" s="18">
        <v>443.10000610351562</v>
      </c>
      <c r="G130" s="18">
        <v>440</v>
      </c>
      <c r="H130" s="18">
        <v>472.39999389648437</v>
      </c>
      <c r="I130" s="191">
        <v>386</v>
      </c>
      <c r="J130" s="191">
        <v>321</v>
      </c>
      <c r="K130" s="191">
        <v>372.60000610351562</v>
      </c>
      <c r="L130" s="191">
        <v>233.80000305175781</v>
      </c>
      <c r="M130" s="18">
        <v>370.70001220703125</v>
      </c>
      <c r="N130" s="191">
        <v>381.10000610351562</v>
      </c>
      <c r="O130" s="18">
        <v>325.89999389648437</v>
      </c>
      <c r="P130" s="18">
        <v>244.5</v>
      </c>
      <c r="Q130" s="191">
        <v>206.30000305175781</v>
      </c>
      <c r="R130" s="18"/>
      <c r="S130" s="191"/>
      <c r="T130" s="191"/>
      <c r="U130" s="191"/>
      <c r="V130" s="18"/>
      <c r="W130" s="191"/>
      <c r="X130" s="18"/>
      <c r="Y130" s="18"/>
      <c r="Z130" s="191"/>
      <c r="AA130" s="191"/>
      <c r="AB130" s="191"/>
      <c r="AC130" s="18"/>
      <c r="AD130" s="191"/>
      <c r="AE130" s="191"/>
      <c r="AF130" s="18"/>
      <c r="AG130" s="191"/>
      <c r="AH130" s="18"/>
      <c r="AI130" s="3">
        <f t="shared" si="59"/>
        <v>5037.6000366210937</v>
      </c>
    </row>
    <row r="131" spans="2:38" x14ac:dyDescent="0.25">
      <c r="B131" s="1" t="s">
        <v>22</v>
      </c>
      <c r="C131" s="1" t="s">
        <v>6</v>
      </c>
      <c r="D131" s="191">
        <v>469.60000610351562</v>
      </c>
      <c r="E131" s="18">
        <v>390.60000610351562</v>
      </c>
      <c r="F131" s="18">
        <v>454.89999389648437</v>
      </c>
      <c r="G131" s="18">
        <v>442.5</v>
      </c>
      <c r="H131" s="18">
        <v>474.29998779296875</v>
      </c>
      <c r="I131" s="191">
        <v>391</v>
      </c>
      <c r="J131" s="191">
        <v>326</v>
      </c>
      <c r="K131" s="191">
        <v>395.79998779296875</v>
      </c>
      <c r="L131" s="191">
        <v>247</v>
      </c>
      <c r="M131" s="18">
        <v>383.60000610351562</v>
      </c>
      <c r="N131" s="191">
        <v>391.60000610351562</v>
      </c>
      <c r="O131" s="18">
        <v>335.20001220703125</v>
      </c>
      <c r="P131" s="18">
        <v>250.60000610351562</v>
      </c>
      <c r="Q131" s="191">
        <v>213</v>
      </c>
      <c r="R131" s="18"/>
      <c r="S131" s="191"/>
      <c r="T131" s="191"/>
      <c r="U131" s="191"/>
      <c r="V131" s="18"/>
      <c r="W131" s="191"/>
      <c r="X131" s="18"/>
      <c r="Y131" s="18"/>
      <c r="Z131" s="191"/>
      <c r="AA131" s="191"/>
      <c r="AB131" s="191"/>
      <c r="AC131" s="18"/>
      <c r="AD131" s="191"/>
      <c r="AE131" s="191"/>
      <c r="AF131" s="18"/>
      <c r="AG131" s="191"/>
      <c r="AH131" s="18"/>
      <c r="AI131" s="3">
        <f t="shared" si="59"/>
        <v>5165.7000122070312</v>
      </c>
    </row>
    <row r="132" spans="2:38" x14ac:dyDescent="0.25">
      <c r="B132" s="1" t="s">
        <v>23</v>
      </c>
      <c r="C132" s="1" t="s">
        <v>6</v>
      </c>
      <c r="D132" s="191">
        <v>470.10000610351562</v>
      </c>
      <c r="E132" s="18">
        <v>393.79998779296875</v>
      </c>
      <c r="F132" s="18">
        <v>459</v>
      </c>
      <c r="G132" s="18">
        <v>446.10000610351562</v>
      </c>
      <c r="H132" s="18">
        <v>479.10000610351562</v>
      </c>
      <c r="I132" s="191">
        <v>396</v>
      </c>
      <c r="J132" s="191">
        <v>329</v>
      </c>
      <c r="K132" s="191">
        <v>388.60000610351562</v>
      </c>
      <c r="L132" s="191">
        <v>238.60000610351562</v>
      </c>
      <c r="M132" s="18">
        <v>386.20001220703125</v>
      </c>
      <c r="N132" s="191">
        <v>391.60000610351562</v>
      </c>
      <c r="O132" s="18">
        <v>336.5</v>
      </c>
      <c r="P132" s="18">
        <v>251</v>
      </c>
      <c r="Q132" s="191">
        <v>213.60000610351562</v>
      </c>
      <c r="R132" s="18"/>
      <c r="S132" s="191"/>
      <c r="T132" s="191"/>
      <c r="U132" s="191"/>
      <c r="V132" s="18"/>
      <c r="W132" s="191"/>
      <c r="X132" s="18"/>
      <c r="Y132" s="18"/>
      <c r="Z132" s="191"/>
      <c r="AA132" s="191"/>
      <c r="AB132" s="191"/>
      <c r="AC132" s="18"/>
      <c r="AD132" s="191"/>
      <c r="AE132" s="191"/>
      <c r="AF132" s="18"/>
      <c r="AG132" s="191"/>
      <c r="AH132" s="18"/>
      <c r="AI132" s="3">
        <f t="shared" si="59"/>
        <v>5179.2000427246094</v>
      </c>
    </row>
    <row r="133" spans="2:38" x14ac:dyDescent="0.25">
      <c r="B133" s="1" t="s">
        <v>37</v>
      </c>
      <c r="C133" s="1" t="s">
        <v>6</v>
      </c>
      <c r="D133" s="191">
        <v>468.5</v>
      </c>
      <c r="E133" s="18">
        <v>386.89999389648437</v>
      </c>
      <c r="F133" s="18">
        <v>451.89999389648437</v>
      </c>
      <c r="G133" s="18">
        <v>438.29998779296875</v>
      </c>
      <c r="H133" s="18">
        <v>472.04327132791417</v>
      </c>
      <c r="I133" s="191">
        <v>389</v>
      </c>
      <c r="J133" s="191">
        <v>324</v>
      </c>
      <c r="K133" s="191">
        <v>372.39999389648437</v>
      </c>
      <c r="L133" s="191">
        <v>231.5</v>
      </c>
      <c r="M133" s="18">
        <v>379.60000610351562</v>
      </c>
      <c r="N133" s="191">
        <v>384.89999389648438</v>
      </c>
      <c r="O133" s="18">
        <v>330.20001220703125</v>
      </c>
      <c r="P133" s="18">
        <v>247</v>
      </c>
      <c r="Q133" s="191">
        <v>209.89999389648437</v>
      </c>
      <c r="R133" s="18"/>
      <c r="S133" s="191"/>
      <c r="T133" s="191"/>
      <c r="U133" s="191"/>
      <c r="V133" s="18"/>
      <c r="W133" s="191"/>
      <c r="X133" s="18"/>
      <c r="Y133" s="18"/>
      <c r="Z133" s="191"/>
      <c r="AA133" s="191"/>
      <c r="AB133" s="191"/>
      <c r="AC133" s="18"/>
      <c r="AD133" s="191"/>
      <c r="AE133" s="191"/>
      <c r="AF133" s="18"/>
      <c r="AG133" s="191"/>
      <c r="AH133" s="18"/>
      <c r="AI133" s="3">
        <f t="shared" si="59"/>
        <v>5086.1432469138517</v>
      </c>
    </row>
    <row r="134" spans="2:38" x14ac:dyDescent="0.25">
      <c r="B134" s="1" t="s">
        <v>38</v>
      </c>
      <c r="C134" s="1" t="s">
        <v>6</v>
      </c>
      <c r="D134" s="8">
        <v>466</v>
      </c>
      <c r="E134" s="8">
        <v>385.89999389648437</v>
      </c>
      <c r="F134" s="8">
        <v>452.29998779296875</v>
      </c>
      <c r="G134" s="8">
        <v>435.89999389648438</v>
      </c>
      <c r="H134" s="8">
        <v>471.70001220703125</v>
      </c>
      <c r="I134" s="8">
        <v>389</v>
      </c>
      <c r="J134" s="8">
        <v>325</v>
      </c>
      <c r="K134" s="8">
        <v>379.79998779296875</v>
      </c>
      <c r="L134" s="8">
        <v>234.89999389648437</v>
      </c>
      <c r="M134" s="8">
        <v>377.5</v>
      </c>
      <c r="N134" s="191">
        <v>391</v>
      </c>
      <c r="O134" s="8">
        <v>332.29998779296875</v>
      </c>
      <c r="P134" s="8">
        <v>248.5</v>
      </c>
      <c r="Q134" s="8">
        <v>210.30000305175781</v>
      </c>
      <c r="R134" s="191"/>
      <c r="S134" s="191"/>
      <c r="T134" s="191"/>
      <c r="U134" s="191"/>
      <c r="V134" s="191"/>
      <c r="W134" s="192"/>
      <c r="X134" s="8"/>
      <c r="Y134" s="8"/>
      <c r="Z134" s="8"/>
      <c r="AA134" s="8"/>
      <c r="AB134" s="191"/>
      <c r="AC134" s="191"/>
      <c r="AD134" s="7"/>
      <c r="AE134" s="191"/>
      <c r="AF134" s="191"/>
      <c r="AG134" s="191"/>
      <c r="AH134" s="191"/>
      <c r="AI134" s="3">
        <f>SUM(D134:AH134)</f>
        <v>5100.0999603271484</v>
      </c>
    </row>
    <row r="135" spans="2:38" x14ac:dyDescent="0.25">
      <c r="B135" s="1" t="s">
        <v>39</v>
      </c>
      <c r="C135" s="1" t="s">
        <v>6</v>
      </c>
      <c r="D135" s="192">
        <v>467.20001220703125</v>
      </c>
      <c r="E135" s="9">
        <v>385.89999389648437</v>
      </c>
      <c r="F135" s="9">
        <v>452.39999389648437</v>
      </c>
      <c r="G135" s="9">
        <v>438.39999389648437</v>
      </c>
      <c r="H135" s="9">
        <v>473.5</v>
      </c>
      <c r="I135" s="192">
        <v>391</v>
      </c>
      <c r="J135" s="192">
        <v>326</v>
      </c>
      <c r="K135" s="192">
        <v>375</v>
      </c>
      <c r="L135" s="192">
        <v>232.89999389648437</v>
      </c>
      <c r="M135" s="9">
        <v>380</v>
      </c>
      <c r="N135" s="191">
        <v>388.39999389648437</v>
      </c>
      <c r="O135" s="47">
        <v>330.70001220703125</v>
      </c>
      <c r="P135" s="47">
        <v>247.30000305175781</v>
      </c>
      <c r="Q135" s="192">
        <v>208.80000305175781</v>
      </c>
      <c r="R135" s="191"/>
      <c r="S135" s="187"/>
      <c r="T135" s="191"/>
      <c r="U135" s="192"/>
      <c r="V135" s="9"/>
      <c r="W135" s="192"/>
      <c r="X135" s="9"/>
      <c r="Y135" s="9"/>
      <c r="Z135" s="192"/>
      <c r="AA135" s="7"/>
      <c r="AB135" s="191"/>
      <c r="AC135" s="191"/>
      <c r="AD135" s="47"/>
      <c r="AE135" s="191"/>
      <c r="AF135" s="191"/>
      <c r="AG135" s="191"/>
      <c r="AH135" s="191"/>
      <c r="AI135" s="3">
        <f>SUM(D135:AH135)</f>
        <v>5097.5</v>
      </c>
      <c r="AJ135" s="4">
        <f>+SUM(AI115:AI135)</f>
        <v>110170.78331436477</v>
      </c>
      <c r="AK135">
        <v>244023.85619260624</v>
      </c>
      <c r="AL135" s="4">
        <f>AJ135-AK135</f>
        <v>-133853.07287824148</v>
      </c>
    </row>
    <row r="136" spans="2:38" x14ac:dyDescent="0.25">
      <c r="B136" s="1" t="s">
        <v>24</v>
      </c>
      <c r="C136" s="1" t="s">
        <v>6</v>
      </c>
      <c r="D136" s="211">
        <v>10060</v>
      </c>
      <c r="E136" s="211">
        <v>8360</v>
      </c>
      <c r="F136" s="211">
        <v>9650</v>
      </c>
      <c r="G136" s="211">
        <v>9320</v>
      </c>
      <c r="H136" s="211">
        <v>10040</v>
      </c>
      <c r="I136" s="211">
        <v>8290</v>
      </c>
      <c r="J136" s="211">
        <v>6920</v>
      </c>
      <c r="K136" s="211">
        <v>7960</v>
      </c>
      <c r="L136" s="211">
        <v>4960</v>
      </c>
      <c r="M136" s="211">
        <v>7990</v>
      </c>
      <c r="N136" s="211">
        <v>8260</v>
      </c>
      <c r="O136" s="211">
        <v>7060</v>
      </c>
      <c r="P136" s="211">
        <v>5330</v>
      </c>
      <c r="Q136" s="211">
        <v>4520</v>
      </c>
      <c r="R136" s="211"/>
      <c r="S136" s="211"/>
      <c r="T136" s="211"/>
      <c r="U136" s="211"/>
      <c r="V136" s="211"/>
      <c r="W136" s="211"/>
      <c r="X136" s="211"/>
      <c r="Y136" s="211"/>
      <c r="Z136" s="211"/>
      <c r="AA136" s="211"/>
      <c r="AB136" s="211"/>
      <c r="AC136" s="211"/>
      <c r="AD136" s="211"/>
      <c r="AE136" s="211"/>
      <c r="AF136" s="211"/>
      <c r="AG136" s="211"/>
      <c r="AH136" s="211"/>
      <c r="AI136" s="3">
        <f>SUM(D136:AH136)</f>
        <v>108720</v>
      </c>
    </row>
    <row r="137" spans="2:38" x14ac:dyDescent="0.25">
      <c r="B137" s="1" t="s">
        <v>25</v>
      </c>
      <c r="C137" s="1" t="s">
        <v>26</v>
      </c>
      <c r="D137" s="236">
        <v>6.8079499999999999</v>
      </c>
      <c r="E137" s="236">
        <v>5.6304833333333333</v>
      </c>
      <c r="F137" s="236">
        <v>6.7135831836894937</v>
      </c>
      <c r="G137" s="237">
        <v>6.7765666666666675</v>
      </c>
      <c r="H137" s="237">
        <v>6.911550000000001</v>
      </c>
      <c r="I137" s="237">
        <v>5.7897407624520207</v>
      </c>
      <c r="J137" s="237">
        <v>4.8250868382557437</v>
      </c>
      <c r="K137" s="237">
        <v>5.7816497017771473</v>
      </c>
      <c r="L137" s="237">
        <v>3.7466481502220197</v>
      </c>
      <c r="M137" s="96">
        <v>5.75</v>
      </c>
      <c r="N137" s="96">
        <v>5.9797407624520211</v>
      </c>
      <c r="O137" s="96">
        <v>4.8500000000000005</v>
      </c>
      <c r="P137" s="96">
        <v>3.6</v>
      </c>
      <c r="Q137" s="96">
        <v>3</v>
      </c>
      <c r="R137" s="96"/>
      <c r="S137" s="96"/>
      <c r="T137" s="212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234">
        <f>AVERAGE(D137:AE137)</f>
        <v>5.4402142427748883</v>
      </c>
    </row>
    <row r="138" spans="2:38" x14ac:dyDescent="0.25">
      <c r="B138" s="1" t="s">
        <v>27</v>
      </c>
      <c r="C138" s="1" t="s">
        <v>6</v>
      </c>
      <c r="D138" s="18">
        <v>126240</v>
      </c>
      <c r="E138" s="18">
        <v>67340</v>
      </c>
      <c r="F138" s="18">
        <v>260620</v>
      </c>
      <c r="G138" s="18">
        <v>107890</v>
      </c>
      <c r="H138" s="18">
        <v>176110</v>
      </c>
      <c r="I138" s="191">
        <v>240760</v>
      </c>
      <c r="J138" s="18">
        <v>83990</v>
      </c>
      <c r="K138" s="47">
        <v>239340</v>
      </c>
      <c r="L138" s="18">
        <v>204750</v>
      </c>
      <c r="M138" s="18">
        <v>135150</v>
      </c>
      <c r="N138" s="18">
        <v>205940</v>
      </c>
      <c r="O138" s="18">
        <v>95730</v>
      </c>
      <c r="P138" s="18">
        <v>270300</v>
      </c>
      <c r="Q138" s="191">
        <v>57890</v>
      </c>
      <c r="R138" s="18"/>
      <c r="S138" s="191"/>
      <c r="T138" s="18"/>
      <c r="U138" s="187"/>
      <c r="V138" s="18"/>
      <c r="W138" s="191"/>
      <c r="X138" s="18"/>
      <c r="Y138" s="18"/>
      <c r="Z138" s="191"/>
      <c r="AA138" s="18"/>
      <c r="AB138" s="191"/>
      <c r="AC138" s="191"/>
      <c r="AD138" s="18"/>
      <c r="AE138" s="18"/>
      <c r="AF138" s="18"/>
      <c r="AG138" s="18"/>
      <c r="AH138" s="18"/>
      <c r="AI138" s="3">
        <f>SUM(D138:AH138)</f>
        <v>2272050</v>
      </c>
    </row>
    <row r="139" spans="2:38" x14ac:dyDescent="0.25">
      <c r="B139" s="1" t="s">
        <v>28</v>
      </c>
      <c r="C139" s="1" t="s">
        <v>0</v>
      </c>
      <c r="D139" s="223">
        <v>0.21265270364129288</v>
      </c>
      <c r="E139" s="223">
        <v>0.17847704895701852</v>
      </c>
      <c r="F139" s="223">
        <v>0.21073988857675066</v>
      </c>
      <c r="G139" s="223">
        <v>0.21062788666354659</v>
      </c>
      <c r="H139" s="223">
        <v>0.21588874681100445</v>
      </c>
      <c r="I139" s="223">
        <v>0.18174040445818682</v>
      </c>
      <c r="J139" s="223">
        <v>0.1529473064514715</v>
      </c>
      <c r="K139" s="223">
        <v>0.18059525122684286</v>
      </c>
      <c r="L139" s="223">
        <v>0.11760757141317865</v>
      </c>
      <c r="M139" s="223">
        <v>0.17783405153684206</v>
      </c>
      <c r="N139" s="223">
        <v>0.1895479342762928</v>
      </c>
      <c r="O139" s="223">
        <v>0.15448458387710523</v>
      </c>
      <c r="P139" s="223">
        <v>0.1163336641673684</v>
      </c>
      <c r="Q139" s="223">
        <v>9.8331965715789449E-2</v>
      </c>
      <c r="R139" s="223"/>
      <c r="S139" s="223"/>
      <c r="T139" s="223"/>
      <c r="U139" s="223"/>
      <c r="V139" s="223"/>
      <c r="W139" s="223"/>
      <c r="X139" s="92"/>
      <c r="Y139" s="92"/>
      <c r="Z139" s="190"/>
      <c r="AA139" s="92"/>
      <c r="AB139" s="92"/>
      <c r="AC139" s="92"/>
      <c r="AD139" s="92"/>
      <c r="AE139" s="190"/>
      <c r="AF139" s="190"/>
      <c r="AG139" s="92"/>
      <c r="AH139" s="92"/>
      <c r="AI139" s="14">
        <f>AVERAGE(D139:AE139)</f>
        <v>0.17127207198376365</v>
      </c>
    </row>
    <row r="140" spans="2:38" x14ac:dyDescent="0.25">
      <c r="B140" s="5" t="s">
        <v>35</v>
      </c>
      <c r="C140" s="1" t="s">
        <v>0</v>
      </c>
      <c r="D140" s="72">
        <v>0.20970915882863053</v>
      </c>
      <c r="E140" s="223">
        <v>0.17427122940430925</v>
      </c>
      <c r="F140" s="72">
        <v>0.20116236408511776</v>
      </c>
      <c r="G140" s="72">
        <v>0.19428323660863187</v>
      </c>
      <c r="H140" s="72">
        <v>0.2092922420118738</v>
      </c>
      <c r="I140" s="72">
        <v>0.17281202054566075</v>
      </c>
      <c r="J140" s="72">
        <v>0.14425321859782536</v>
      </c>
      <c r="K140" s="72">
        <v>0.16593289306917486</v>
      </c>
      <c r="L140" s="72">
        <v>0.10339537055566674</v>
      </c>
      <c r="M140" s="72">
        <v>0.16655826829430992</v>
      </c>
      <c r="N140" s="72">
        <v>0.17218664532052566</v>
      </c>
      <c r="O140" s="72">
        <v>0.14717163631512242</v>
      </c>
      <c r="P140" s="72">
        <v>0.11110833166566607</v>
      </c>
      <c r="Q140" s="72">
        <v>9.4223200587018885E-2</v>
      </c>
      <c r="R140" s="72"/>
      <c r="S140" s="72"/>
      <c r="T140" s="72"/>
      <c r="U140" s="72"/>
      <c r="V140" s="72"/>
      <c r="W140" s="72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4">
        <f>AVERAGE(D140:AE140)</f>
        <v>0.16188284399210959</v>
      </c>
    </row>
    <row r="141" spans="2:38" ht="15.75" x14ac:dyDescent="0.25">
      <c r="B141" s="5" t="s">
        <v>113</v>
      </c>
      <c r="C141" s="1"/>
      <c r="D141" s="72">
        <v>2.9435448126623465E-3</v>
      </c>
      <c r="E141" s="72">
        <v>4.2058195527092668E-3</v>
      </c>
      <c r="F141" s="72">
        <v>9.577524491632905E-3</v>
      </c>
      <c r="G141" s="72">
        <v>1.6344650054914728E-2</v>
      </c>
      <c r="H141" s="72">
        <v>6.5965047991306536E-3</v>
      </c>
      <c r="I141" s="72">
        <v>8.9283839125260667E-3</v>
      </c>
      <c r="J141" s="72">
        <v>8.694087853646143E-3</v>
      </c>
      <c r="K141" s="72">
        <v>1.4662358157668004E-2</v>
      </c>
      <c r="L141" s="72">
        <v>1.4212200857511917E-2</v>
      </c>
      <c r="M141" s="72">
        <v>1.1275783242532145E-2</v>
      </c>
      <c r="N141" s="72">
        <v>1.7361288955767135E-2</v>
      </c>
      <c r="O141" s="72">
        <v>7.3129475619828077E-3</v>
      </c>
      <c r="P141" s="72">
        <v>5.2253325017023317E-3</v>
      </c>
      <c r="Q141" s="72">
        <v>4.108765128770564E-3</v>
      </c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10"/>
      <c r="AG141" s="10"/>
      <c r="AH141" s="10"/>
      <c r="AI141" s="49">
        <f>AVERAGEIF(D141:AE141,"&gt;0")</f>
        <v>9.3892279916540731E-3</v>
      </c>
    </row>
    <row r="142" spans="2:38" ht="15.75" x14ac:dyDescent="0.25">
      <c r="B142" s="5" t="s">
        <v>112</v>
      </c>
      <c r="C142" s="1"/>
      <c r="D142" s="190">
        <v>0.73928566042452315</v>
      </c>
      <c r="E142" s="190">
        <v>0.74283312072736607</v>
      </c>
      <c r="F142" s="190">
        <v>0.71912369385279939</v>
      </c>
      <c r="G142" s="190">
        <v>0.68807670727170056</v>
      </c>
      <c r="H142" s="190">
        <v>0.72675648852789465</v>
      </c>
      <c r="I142" s="190">
        <v>0.71635132957824332</v>
      </c>
      <c r="J142" s="190">
        <v>0.71751604943121416</v>
      </c>
      <c r="K142" s="190">
        <v>0.68879811802435909</v>
      </c>
      <c r="L142" s="190">
        <v>0.66232237291589635</v>
      </c>
      <c r="M142" s="190">
        <v>0.69519972853277179</v>
      </c>
      <c r="N142" s="190">
        <v>0.69108004039928861</v>
      </c>
      <c r="O142" s="190">
        <v>0.72827201475524483</v>
      </c>
      <c r="P142" s="190">
        <v>0.74072221110444036</v>
      </c>
      <c r="Q142" s="190">
        <v>0.75378560469615108</v>
      </c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  <c r="AC142" s="190"/>
      <c r="AD142" s="190"/>
      <c r="AE142" s="190"/>
      <c r="AF142" s="10"/>
      <c r="AG142" s="10"/>
      <c r="AH142" s="10"/>
      <c r="AI142" s="49">
        <f>AVERAGEIF(D142:AE142,"&gt;0")</f>
        <v>0.71500879573156395</v>
      </c>
    </row>
    <row r="143" spans="2:38" x14ac:dyDescent="0.25">
      <c r="B143" s="5" t="s">
        <v>109</v>
      </c>
      <c r="C143" s="1" t="s">
        <v>59</v>
      </c>
      <c r="D143" s="192">
        <v>10201.205376917189</v>
      </c>
      <c r="E143" s="192">
        <v>8561.758210926926</v>
      </c>
      <c r="F143" s="192">
        <v>10109.445342893021</v>
      </c>
      <c r="G143" s="192">
        <v>10104.072476714326</v>
      </c>
      <c r="H143" s="192">
        <v>10356.442251020057</v>
      </c>
      <c r="I143" s="192">
        <v>8718.3052903445714</v>
      </c>
      <c r="J143" s="192">
        <v>7337.0658272448291</v>
      </c>
      <c r="K143" s="192">
        <v>8663.370915653124</v>
      </c>
      <c r="L143" s="192">
        <v>5641.7763297758756</v>
      </c>
      <c r="M143" s="192">
        <v>8530.9128530841572</v>
      </c>
      <c r="N143" s="192">
        <v>9092.841864754897</v>
      </c>
      <c r="O143" s="192">
        <v>7410.81087008539</v>
      </c>
      <c r="P143" s="192">
        <v>5580.6654705056626</v>
      </c>
      <c r="Q143" s="192">
        <v>4717.1023937452792</v>
      </c>
      <c r="R143" s="192"/>
      <c r="S143" s="192"/>
      <c r="T143" s="192"/>
      <c r="U143" s="192"/>
      <c r="V143" s="192"/>
      <c r="W143" s="192"/>
      <c r="X143" s="192"/>
      <c r="Y143" s="192"/>
      <c r="Z143" s="192"/>
      <c r="AA143" s="192"/>
      <c r="AB143" s="192"/>
      <c r="AC143" s="192"/>
      <c r="AD143" s="192"/>
      <c r="AE143" s="192"/>
      <c r="AF143" s="192"/>
      <c r="AG143" s="192"/>
      <c r="AH143" s="192"/>
      <c r="AI143" s="3">
        <f>SUM(D143:AH143)</f>
        <v>115025.7754736653</v>
      </c>
    </row>
    <row r="144" spans="2:38" x14ac:dyDescent="0.25">
      <c r="B144" s="5" t="s">
        <v>213</v>
      </c>
      <c r="C144" s="1"/>
      <c r="D144" s="235">
        <v>31</v>
      </c>
      <c r="E144" s="235">
        <v>28</v>
      </c>
      <c r="F144" s="235">
        <v>30</v>
      </c>
      <c r="G144" s="235">
        <v>32</v>
      </c>
      <c r="H144" s="235">
        <v>31</v>
      </c>
      <c r="I144" s="235">
        <v>30</v>
      </c>
      <c r="J144" s="235">
        <v>28</v>
      </c>
      <c r="K144" s="235">
        <v>31</v>
      </c>
      <c r="L144" s="235">
        <v>30</v>
      </c>
      <c r="M144" s="226">
        <v>33</v>
      </c>
      <c r="N144" s="225">
        <v>28</v>
      </c>
      <c r="O144" s="225">
        <v>27</v>
      </c>
      <c r="P144" s="225">
        <v>24</v>
      </c>
      <c r="Q144" s="225">
        <v>21</v>
      </c>
      <c r="R144" s="226"/>
      <c r="S144" s="226"/>
      <c r="T144" s="227"/>
      <c r="U144" s="228"/>
      <c r="V144" s="228"/>
      <c r="W144" s="228"/>
      <c r="X144" s="228"/>
      <c r="Y144" s="228"/>
      <c r="Z144" s="228"/>
      <c r="AA144" s="228"/>
      <c r="AB144" s="225"/>
      <c r="AC144" s="225"/>
      <c r="AD144" s="226"/>
      <c r="AE144" s="226"/>
      <c r="AF144" s="226"/>
      <c r="AG144" s="226"/>
      <c r="AH144" s="226"/>
      <c r="AI144" s="13">
        <f>AVERAGE(D144:AE144)</f>
        <v>28.857142857142858</v>
      </c>
    </row>
    <row r="145" spans="1:36" ht="15" customHeight="1" x14ac:dyDescent="0.25">
      <c r="B145" s="219" t="s">
        <v>100</v>
      </c>
      <c r="C145" s="1" t="s">
        <v>59</v>
      </c>
      <c r="D145" s="222">
        <v>45</v>
      </c>
      <c r="E145" s="222">
        <v>106</v>
      </c>
      <c r="F145" s="222">
        <v>228</v>
      </c>
      <c r="G145" s="222">
        <v>249</v>
      </c>
      <c r="H145" s="222">
        <v>220</v>
      </c>
      <c r="I145" s="222">
        <v>284</v>
      </c>
      <c r="J145" s="222">
        <v>240</v>
      </c>
      <c r="K145" s="222">
        <v>607</v>
      </c>
      <c r="L145" s="222">
        <v>541</v>
      </c>
      <c r="M145" s="222">
        <v>371</v>
      </c>
      <c r="N145" s="222">
        <v>312</v>
      </c>
      <c r="O145" s="222">
        <v>255</v>
      </c>
      <c r="P145" s="222">
        <v>155</v>
      </c>
      <c r="Q145" s="222">
        <v>101</v>
      </c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  <c r="AF145" s="222"/>
      <c r="AG145" s="222"/>
      <c r="AH145" s="222"/>
      <c r="AI145" s="13">
        <f t="shared" ref="AI145:AI150" si="60">SUM(D145:AH145)</f>
        <v>3714</v>
      </c>
    </row>
    <row r="146" spans="1:36" ht="15" customHeight="1" x14ac:dyDescent="0.25">
      <c r="B146" s="219" t="s">
        <v>101</v>
      </c>
      <c r="C146" s="1" t="s">
        <v>59</v>
      </c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  <c r="AF146" s="222"/>
      <c r="AG146" s="222"/>
      <c r="AH146" s="222"/>
      <c r="AI146" s="13">
        <f t="shared" si="60"/>
        <v>0</v>
      </c>
    </row>
    <row r="147" spans="1:36" ht="15" customHeight="1" x14ac:dyDescent="0.25">
      <c r="B147" s="219" t="s">
        <v>102</v>
      </c>
      <c r="C147" s="1" t="s">
        <v>59</v>
      </c>
      <c r="D147" s="222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  <c r="AF147" s="222"/>
      <c r="AG147" s="222"/>
      <c r="AH147" s="222"/>
      <c r="AI147" s="13">
        <f t="shared" si="60"/>
        <v>0</v>
      </c>
    </row>
    <row r="148" spans="1:36" ht="15" customHeight="1" x14ac:dyDescent="0.25">
      <c r="B148" s="219" t="s">
        <v>103</v>
      </c>
      <c r="C148" s="1" t="s">
        <v>59</v>
      </c>
      <c r="D148" s="222"/>
      <c r="E148" s="222"/>
      <c r="F148" s="222">
        <v>132</v>
      </c>
      <c r="G148" s="222"/>
      <c r="H148" s="222"/>
      <c r="I148" s="222"/>
      <c r="J148" s="222"/>
      <c r="K148" s="222"/>
      <c r="L148" s="222">
        <v>44</v>
      </c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  <c r="AF148" s="222"/>
      <c r="AG148" s="222"/>
      <c r="AH148" s="222"/>
      <c r="AI148" s="13">
        <f t="shared" si="60"/>
        <v>176</v>
      </c>
      <c r="AJ148" s="301">
        <f>AI148+AI149</f>
        <v>1242</v>
      </c>
    </row>
    <row r="149" spans="1:36" x14ac:dyDescent="0.25">
      <c r="B149" s="5" t="s">
        <v>218</v>
      </c>
      <c r="C149" s="1" t="s">
        <v>59</v>
      </c>
      <c r="D149" s="222"/>
      <c r="E149" s="222"/>
      <c r="F149" s="222"/>
      <c r="G149" s="222">
        <v>439</v>
      </c>
      <c r="H149" s="222"/>
      <c r="I149" s="222">
        <v>48</v>
      </c>
      <c r="J149" s="222">
        <v>81</v>
      </c>
      <c r="K149" s="222"/>
      <c r="L149" s="222"/>
      <c r="M149" s="222">
        <v>73</v>
      </c>
      <c r="N149" s="222">
        <v>425</v>
      </c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  <c r="AF149" s="222"/>
      <c r="AG149" s="222"/>
      <c r="AH149" s="222"/>
      <c r="AI149" s="13">
        <f t="shared" si="60"/>
        <v>1066</v>
      </c>
    </row>
    <row r="150" spans="1:36" x14ac:dyDescent="0.25">
      <c r="B150" s="220" t="s">
        <v>86</v>
      </c>
      <c r="C150" s="1" t="s">
        <v>59</v>
      </c>
      <c r="D150" s="222">
        <f>SUM(D145:D149)</f>
        <v>45</v>
      </c>
      <c r="E150" s="222">
        <f>SUM(E145:E149)</f>
        <v>106</v>
      </c>
      <c r="F150" s="222">
        <v>360</v>
      </c>
      <c r="G150" s="222">
        <f>SUM(G145:G149)</f>
        <v>688</v>
      </c>
      <c r="H150" s="222">
        <f>SUM(H145:H149)</f>
        <v>220</v>
      </c>
      <c r="I150" s="222">
        <f>SUM(I145:I149)</f>
        <v>332</v>
      </c>
      <c r="J150" s="222">
        <f>SUM(J145:J149)</f>
        <v>321</v>
      </c>
      <c r="K150" s="222">
        <f t="shared" ref="K150:P150" si="61">SUM(K145:K149)</f>
        <v>607</v>
      </c>
      <c r="L150" s="222">
        <f t="shared" si="61"/>
        <v>585</v>
      </c>
      <c r="M150" s="222">
        <f t="shared" si="61"/>
        <v>444</v>
      </c>
      <c r="N150" s="222">
        <f t="shared" si="61"/>
        <v>737</v>
      </c>
      <c r="O150" s="222">
        <f t="shared" si="61"/>
        <v>255</v>
      </c>
      <c r="P150" s="222">
        <f t="shared" si="61"/>
        <v>155</v>
      </c>
      <c r="Q150" s="222">
        <f t="shared" ref="Q150" si="62">SUM(Q145:Q149)</f>
        <v>101</v>
      </c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13">
        <f t="shared" si="60"/>
        <v>4956</v>
      </c>
    </row>
    <row r="151" spans="1:36" x14ac:dyDescent="0.25">
      <c r="B151" s="220" t="s">
        <v>86</v>
      </c>
      <c r="C151" s="1" t="s">
        <v>59</v>
      </c>
      <c r="D151" s="223">
        <f>D150/1998.8/24</f>
        <v>9.380628377026216E-4</v>
      </c>
      <c r="E151" s="539">
        <f>E150/1998.8/24</f>
        <v>2.2096591288106198E-3</v>
      </c>
      <c r="F151" s="539">
        <v>7.5045027016209728E-3</v>
      </c>
      <c r="G151" s="539">
        <f>G150/1998.8/24</f>
        <v>1.4341938496431193E-2</v>
      </c>
      <c r="H151" s="539">
        <f>H150/1998.8/24</f>
        <v>4.5860849843239277E-3</v>
      </c>
      <c r="I151" s="539">
        <f>I150/1998.8/24</f>
        <v>6.9208191581615645E-3</v>
      </c>
      <c r="J151" s="539">
        <f>J150/1998.8/24</f>
        <v>6.6915149089453669E-3</v>
      </c>
      <c r="K151" s="539">
        <f t="shared" ref="K151:L151" si="63">K150/1998.8/24</f>
        <v>1.2653425388566474E-2</v>
      </c>
      <c r="L151" s="539">
        <f t="shared" si="63"/>
        <v>1.2194816890134082E-2</v>
      </c>
      <c r="M151" s="539">
        <f t="shared" ref="M151:N151" si="64">M150/1998.8/24</f>
        <v>9.2555533319992004E-3</v>
      </c>
      <c r="N151" s="539">
        <f t="shared" si="64"/>
        <v>1.5363384697485159E-2</v>
      </c>
      <c r="O151" s="539">
        <f t="shared" ref="O151:P151" si="65">O150/1998.8/24</f>
        <v>5.3156894136481897E-3</v>
      </c>
      <c r="P151" s="539">
        <f t="shared" si="65"/>
        <v>3.2311053298645855E-3</v>
      </c>
      <c r="Q151" s="539">
        <f t="shared" ref="Q151" si="66">Q150/1998.8/24</f>
        <v>2.1054299246214396E-3</v>
      </c>
      <c r="R151" s="223"/>
      <c r="S151" s="223"/>
      <c r="T151" s="223"/>
      <c r="U151" s="223"/>
      <c r="V151" s="223"/>
      <c r="W151" s="223"/>
      <c r="X151" s="223"/>
      <c r="Y151" s="223"/>
      <c r="Z151" s="223"/>
      <c r="AA151" s="223"/>
      <c r="AB151" s="223"/>
      <c r="AC151" s="223"/>
      <c r="AD151" s="223"/>
      <c r="AE151" s="223"/>
      <c r="AF151" s="223"/>
      <c r="AG151" s="223"/>
      <c r="AH151" s="223"/>
      <c r="AI151" s="13">
        <f>AVERAGE(D151:AE151)</f>
        <v>7.3794276565939581E-3</v>
      </c>
    </row>
    <row r="152" spans="1:36" x14ac:dyDescent="0.25">
      <c r="B152" s="5" t="s">
        <v>116</v>
      </c>
      <c r="C152" s="1" t="s">
        <v>60</v>
      </c>
      <c r="D152" s="223">
        <f>D139-D140-D151</f>
        <v>2.0054819749597249E-3</v>
      </c>
      <c r="E152" s="539">
        <f>E139-E140-E151</f>
        <v>1.9961604238986469E-3</v>
      </c>
      <c r="F152" s="539">
        <v>2.0730217900119322E-3</v>
      </c>
      <c r="G152" s="539">
        <f>G139-G140-G151</f>
        <v>2.0027115584835345E-3</v>
      </c>
      <c r="H152" s="539">
        <f>H139-H140-H151</f>
        <v>2.0104198148067258E-3</v>
      </c>
      <c r="I152" s="539">
        <f>I139-I140-I151</f>
        <v>2.0075647543645022E-3</v>
      </c>
      <c r="J152" s="539">
        <f>J139-J140-J151</f>
        <v>2.0025729447007761E-3</v>
      </c>
      <c r="K152" s="539">
        <f t="shared" ref="K152:L152" si="67">K139-K140-K151</f>
        <v>2.0089327691015305E-3</v>
      </c>
      <c r="L152" s="539">
        <f t="shared" si="67"/>
        <v>2.0173839673778352E-3</v>
      </c>
      <c r="M152" s="539">
        <f t="shared" ref="M152:N152" si="68">M139-M140-M151</f>
        <v>2.0202299105329443E-3</v>
      </c>
      <c r="N152" s="539">
        <f t="shared" si="68"/>
        <v>1.9979042582819757E-3</v>
      </c>
      <c r="O152" s="539">
        <f t="shared" ref="O152:P152" si="69">O139-O140-O151</f>
        <v>1.997258148334618E-3</v>
      </c>
      <c r="P152" s="539">
        <f t="shared" si="69"/>
        <v>1.9942271718377462E-3</v>
      </c>
      <c r="Q152" s="539">
        <f t="shared" ref="Q152" si="70">Q139-Q140-Q151</f>
        <v>2.0033352041491244E-3</v>
      </c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223"/>
      <c r="AF152" s="223"/>
      <c r="AG152" s="223"/>
      <c r="AH152" s="223"/>
      <c r="AI152" s="224">
        <f>AVERAGE(D152:AE152)</f>
        <v>2.009800335060115E-3</v>
      </c>
    </row>
    <row r="153" spans="1:36" x14ac:dyDescent="0.25">
      <c r="A153" t="s">
        <v>229</v>
      </c>
      <c r="B153" s="652" t="s">
        <v>227</v>
      </c>
      <c r="C153" s="653"/>
      <c r="D153" s="653"/>
      <c r="E153" s="653"/>
      <c r="F153" s="653"/>
      <c r="G153" s="653"/>
      <c r="H153" s="653"/>
      <c r="I153" s="653"/>
      <c r="J153" s="653"/>
      <c r="K153" s="653"/>
      <c r="L153" s="653"/>
      <c r="M153" s="653"/>
      <c r="N153" s="653"/>
      <c r="O153" s="653"/>
      <c r="P153" s="653"/>
      <c r="Q153" s="653"/>
      <c r="R153" s="653"/>
      <c r="S153" s="653"/>
      <c r="T153" s="653"/>
      <c r="U153" s="653"/>
      <c r="V153" s="653"/>
      <c r="W153" s="653"/>
      <c r="X153" s="653"/>
      <c r="Y153" s="653"/>
      <c r="Z153" s="653"/>
      <c r="AA153" s="653"/>
      <c r="AB153" s="653"/>
      <c r="AC153" s="653"/>
      <c r="AD153" s="653"/>
      <c r="AE153" s="653"/>
      <c r="AF153" s="653"/>
      <c r="AG153" s="653"/>
      <c r="AH153" s="653"/>
      <c r="AI153" s="654"/>
    </row>
    <row r="154" spans="1:36" x14ac:dyDescent="0.25">
      <c r="B154" s="1" t="s">
        <v>2</v>
      </c>
      <c r="C154" s="1" t="s">
        <v>3</v>
      </c>
      <c r="D154" s="187">
        <v>1</v>
      </c>
      <c r="E154" s="187">
        <v>2</v>
      </c>
      <c r="F154" s="187">
        <v>3</v>
      </c>
      <c r="G154" s="187">
        <v>4</v>
      </c>
      <c r="H154" s="187">
        <v>5</v>
      </c>
      <c r="I154" s="187">
        <v>6</v>
      </c>
      <c r="J154" s="187">
        <v>7</v>
      </c>
      <c r="K154" s="187">
        <v>8</v>
      </c>
      <c r="L154" s="187">
        <v>9</v>
      </c>
      <c r="M154" s="187">
        <v>10</v>
      </c>
      <c r="N154" s="187">
        <v>11</v>
      </c>
      <c r="O154" s="187">
        <v>12</v>
      </c>
      <c r="P154" s="187">
        <v>13</v>
      </c>
      <c r="Q154" s="187">
        <v>14</v>
      </c>
      <c r="R154" s="187">
        <v>15</v>
      </c>
      <c r="S154" s="187">
        <v>16</v>
      </c>
      <c r="T154" s="187">
        <v>17</v>
      </c>
      <c r="U154" s="187">
        <v>18</v>
      </c>
      <c r="V154" s="187">
        <v>19</v>
      </c>
      <c r="W154" s="187">
        <v>20</v>
      </c>
      <c r="X154" s="187">
        <v>21</v>
      </c>
      <c r="Y154" s="187">
        <v>22</v>
      </c>
      <c r="Z154" s="187">
        <v>23</v>
      </c>
      <c r="AA154" s="187">
        <v>24</v>
      </c>
      <c r="AB154" s="187">
        <v>25</v>
      </c>
      <c r="AC154" s="187">
        <v>26</v>
      </c>
      <c r="AD154" s="187">
        <v>27</v>
      </c>
      <c r="AE154" s="187">
        <v>28</v>
      </c>
      <c r="AF154" s="187">
        <v>29</v>
      </c>
      <c r="AG154" s="187">
        <v>30</v>
      </c>
      <c r="AH154" s="187">
        <v>31</v>
      </c>
      <c r="AI154" s="187" t="s">
        <v>4</v>
      </c>
    </row>
    <row r="155" spans="1:36" x14ac:dyDescent="0.25">
      <c r="B155" s="1" t="s">
        <v>5</v>
      </c>
      <c r="C155" s="1" t="s">
        <v>6</v>
      </c>
      <c r="D155" s="191">
        <v>170.5</v>
      </c>
      <c r="E155" s="191">
        <v>271.70001000000002</v>
      </c>
      <c r="F155" s="191">
        <v>244.3</v>
      </c>
      <c r="G155" s="191">
        <v>220.5</v>
      </c>
      <c r="H155" s="191">
        <v>283.60001</v>
      </c>
      <c r="I155" s="191">
        <v>287.60000000000002</v>
      </c>
      <c r="J155" s="191">
        <v>256.10001</v>
      </c>
      <c r="K155" s="191">
        <v>274.89999</v>
      </c>
      <c r="L155" s="191">
        <v>291</v>
      </c>
      <c r="M155" s="191">
        <v>263.10001</v>
      </c>
      <c r="N155" s="191">
        <v>273.20001000000002</v>
      </c>
      <c r="O155" s="191">
        <v>242.89999</v>
      </c>
      <c r="P155" s="191">
        <v>157.80000000000001</v>
      </c>
      <c r="Q155" s="191">
        <v>294.70001000000002</v>
      </c>
      <c r="R155" s="191"/>
      <c r="S155" s="191"/>
      <c r="T155" s="191"/>
      <c r="U155" s="191"/>
      <c r="V155" s="191"/>
      <c r="W155" s="90"/>
      <c r="X155" s="191"/>
      <c r="Y155" s="191"/>
      <c r="Z155" s="191"/>
      <c r="AA155" s="191"/>
      <c r="AB155" s="191"/>
      <c r="AC155" s="191"/>
      <c r="AD155" s="191"/>
      <c r="AE155" s="191"/>
      <c r="AF155" s="191"/>
      <c r="AG155" s="191"/>
      <c r="AH155" s="191"/>
      <c r="AI155" s="3">
        <f>SUM(D155:AH155)</f>
        <v>3531.90004</v>
      </c>
    </row>
    <row r="156" spans="1:36" x14ac:dyDescent="0.25">
      <c r="B156" s="1" t="s">
        <v>7</v>
      </c>
      <c r="C156" s="1" t="s">
        <v>6</v>
      </c>
      <c r="D156" s="191">
        <v>91.2</v>
      </c>
      <c r="E156" s="191">
        <v>249.89999</v>
      </c>
      <c r="F156" s="191">
        <v>224.10001</v>
      </c>
      <c r="G156" s="191">
        <v>207.3</v>
      </c>
      <c r="H156" s="191">
        <v>114.2</v>
      </c>
      <c r="I156" s="191">
        <v>267.8</v>
      </c>
      <c r="J156" s="191">
        <v>221.60001</v>
      </c>
      <c r="K156" s="191">
        <v>222.60001</v>
      </c>
      <c r="L156" s="191">
        <v>240.39999</v>
      </c>
      <c r="M156" s="191">
        <v>195</v>
      </c>
      <c r="N156" s="191">
        <v>264</v>
      </c>
      <c r="O156" s="191">
        <v>235.39999</v>
      </c>
      <c r="P156" s="191">
        <v>154.19999999999999</v>
      </c>
      <c r="Q156" s="191">
        <v>261</v>
      </c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91"/>
      <c r="AI156" s="3">
        <f>SUM(D156:AH156)</f>
        <v>2948.7</v>
      </c>
    </row>
    <row r="157" spans="1:36" x14ac:dyDescent="0.25">
      <c r="B157" s="1" t="s">
        <v>8</v>
      </c>
      <c r="C157" s="1" t="s">
        <v>6</v>
      </c>
      <c r="D157" s="191">
        <v>168.7</v>
      </c>
      <c r="E157" s="191">
        <v>276.29998999999998</v>
      </c>
      <c r="F157" s="191">
        <v>243.60001</v>
      </c>
      <c r="G157" s="191">
        <v>221.60001</v>
      </c>
      <c r="H157" s="191">
        <v>289.20001000000002</v>
      </c>
      <c r="I157" s="191">
        <v>289.8</v>
      </c>
      <c r="J157" s="191">
        <v>255.2</v>
      </c>
      <c r="K157" s="191">
        <v>271.89999</v>
      </c>
      <c r="L157" s="191">
        <v>247.39999</v>
      </c>
      <c r="M157" s="191">
        <v>197.7</v>
      </c>
      <c r="N157" s="191">
        <v>274.70001000000002</v>
      </c>
      <c r="O157" s="191">
        <v>244.10001</v>
      </c>
      <c r="P157" s="191">
        <v>159.69999999999999</v>
      </c>
      <c r="Q157" s="191">
        <v>270.70001000000002</v>
      </c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  <c r="AG157" s="191"/>
      <c r="AH157" s="191"/>
      <c r="AI157" s="3">
        <f>SUM(D157:AH157)</f>
        <v>3410.6000299999996</v>
      </c>
    </row>
    <row r="158" spans="1:36" x14ac:dyDescent="0.25">
      <c r="B158" s="1" t="s">
        <v>9</v>
      </c>
      <c r="C158" s="1" t="s">
        <v>6</v>
      </c>
      <c r="D158" s="191">
        <v>128.10001</v>
      </c>
      <c r="E158" s="191">
        <v>247.2</v>
      </c>
      <c r="F158" s="191">
        <v>214.60001</v>
      </c>
      <c r="G158" s="191">
        <v>190.5</v>
      </c>
      <c r="H158" s="191">
        <v>255.89999</v>
      </c>
      <c r="I158" s="191">
        <v>255.4</v>
      </c>
      <c r="J158" s="191">
        <v>224.60001</v>
      </c>
      <c r="K158" s="191">
        <v>240.8</v>
      </c>
      <c r="L158" s="191">
        <v>223</v>
      </c>
      <c r="M158" s="191">
        <v>188.7</v>
      </c>
      <c r="N158" s="191">
        <v>220.7</v>
      </c>
      <c r="O158" s="191">
        <v>215.5</v>
      </c>
      <c r="P158" s="191">
        <v>125.9</v>
      </c>
      <c r="Q158" s="191">
        <v>227.39999</v>
      </c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91"/>
      <c r="AI158" s="3">
        <f>SUM(D158:AH158)</f>
        <v>2958.3000099999999</v>
      </c>
    </row>
    <row r="159" spans="1:36" x14ac:dyDescent="0.25">
      <c r="A159" s="345"/>
      <c r="B159" s="1" t="s">
        <v>24</v>
      </c>
      <c r="C159" s="1" t="s">
        <v>6</v>
      </c>
      <c r="D159" s="216">
        <v>558.50000999999997</v>
      </c>
      <c r="E159" s="216">
        <v>1045.0999899999999</v>
      </c>
      <c r="F159" s="216">
        <v>926.60002999999995</v>
      </c>
      <c r="G159" s="216">
        <v>839.90001000000007</v>
      </c>
      <c r="H159" s="216">
        <v>942.90000999999995</v>
      </c>
      <c r="I159" s="216">
        <v>1100.6000000000001</v>
      </c>
      <c r="J159" s="216">
        <v>957.50003000000004</v>
      </c>
      <c r="K159" s="216">
        <v>1010.1999900000001</v>
      </c>
      <c r="L159" s="216">
        <v>1001.79998</v>
      </c>
      <c r="M159" s="216">
        <v>844.50000999999997</v>
      </c>
      <c r="N159" s="216">
        <v>1032.6000200000001</v>
      </c>
      <c r="O159" s="216">
        <v>937.89999</v>
      </c>
      <c r="P159" s="216">
        <v>597.6</v>
      </c>
      <c r="Q159" s="216">
        <v>1053.8000099999999</v>
      </c>
      <c r="R159" s="216"/>
      <c r="S159" s="216"/>
      <c r="T159" s="216"/>
      <c r="U159" s="216"/>
      <c r="V159" s="216"/>
      <c r="W159" s="216"/>
      <c r="X159" s="216"/>
      <c r="Y159" s="216"/>
      <c r="Z159" s="216"/>
      <c r="AA159" s="216"/>
      <c r="AB159" s="216"/>
      <c r="AC159" s="216"/>
      <c r="AD159" s="216"/>
      <c r="AE159" s="216"/>
      <c r="AF159" s="216"/>
      <c r="AG159" s="216"/>
      <c r="AH159" s="216"/>
      <c r="AI159" s="3">
        <f>SUM(D159:AH159)</f>
        <v>12849.500080000002</v>
      </c>
    </row>
    <row r="160" spans="1:36" x14ac:dyDescent="0.25">
      <c r="B160" s="1" t="s">
        <v>25</v>
      </c>
      <c r="C160" s="1" t="s">
        <v>26</v>
      </c>
      <c r="D160" s="90">
        <v>3.7484500000000001</v>
      </c>
      <c r="E160" s="90">
        <v>6.0716673890814263</v>
      </c>
      <c r="F160" s="90">
        <v>5.4782427087693755</v>
      </c>
      <c r="G160" s="90">
        <v>5.0100119005253374</v>
      </c>
      <c r="H160" s="90">
        <v>6.3320500000000006</v>
      </c>
      <c r="I160" s="90">
        <v>6.461333333333334</v>
      </c>
      <c r="J160" s="90">
        <v>5.8683599258412542</v>
      </c>
      <c r="K160" s="90">
        <v>6.3128986409965853</v>
      </c>
      <c r="L160" s="90">
        <v>6.3731500000000008</v>
      </c>
      <c r="M160" s="90">
        <v>5.9816623144314329</v>
      </c>
      <c r="N160" s="90">
        <v>6.1945907327065033</v>
      </c>
      <c r="O160" s="90">
        <v>5.4119333333333328</v>
      </c>
      <c r="P160" s="90">
        <v>4.0240273200000036</v>
      </c>
      <c r="Q160" s="90">
        <v>6.6786094831844771</v>
      </c>
      <c r="R160" s="90"/>
      <c r="S160" s="90"/>
      <c r="T160" s="90"/>
      <c r="U160" s="90"/>
      <c r="V160" s="90"/>
      <c r="W160" s="90"/>
      <c r="X160" s="90"/>
      <c r="Y160" s="206"/>
      <c r="Z160" s="206"/>
      <c r="AA160" s="232"/>
      <c r="AB160" s="206"/>
      <c r="AC160" s="206"/>
      <c r="AD160" s="206"/>
      <c r="AE160" s="206"/>
      <c r="AF160" s="206"/>
      <c r="AG160" s="206"/>
      <c r="AH160" s="206"/>
      <c r="AI160" s="3">
        <f>AVERAGE(D160:AH160)</f>
        <v>5.7104990773002191</v>
      </c>
    </row>
    <row r="161" spans="2:35" x14ac:dyDescent="0.25">
      <c r="B161" s="1" t="s">
        <v>27</v>
      </c>
      <c r="C161" s="1" t="s">
        <v>6</v>
      </c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87"/>
      <c r="Z161" s="187"/>
      <c r="AA161" s="187"/>
      <c r="AB161" s="187"/>
      <c r="AC161" s="187"/>
      <c r="AD161" s="187"/>
      <c r="AE161" s="187"/>
      <c r="AF161" s="187"/>
      <c r="AG161" s="187"/>
      <c r="AH161" s="187"/>
      <c r="AI161" s="187"/>
    </row>
    <row r="162" spans="2:35" x14ac:dyDescent="0.25">
      <c r="B162" s="5" t="s">
        <v>28</v>
      </c>
      <c r="C162" s="1" t="s">
        <v>0</v>
      </c>
      <c r="D162" s="10">
        <v>0.11805420005798625</v>
      </c>
      <c r="E162" s="10">
        <v>0.1858431618864109</v>
      </c>
      <c r="F162" s="10">
        <v>0.16666055871596444</v>
      </c>
      <c r="G162" s="10">
        <v>0.1522814473517099</v>
      </c>
      <c r="H162" s="10">
        <v>0.19482416713890438</v>
      </c>
      <c r="I162" s="10">
        <v>0.19610665623485329</v>
      </c>
      <c r="J162" s="10">
        <v>0.17617400313322309</v>
      </c>
      <c r="K162" s="10">
        <v>0.18775720093336667</v>
      </c>
      <c r="L162" s="10">
        <v>0.18849160519214692</v>
      </c>
      <c r="M162" s="10">
        <v>0.18013673589403514</v>
      </c>
      <c r="N162" s="10">
        <v>0.18948200014074298</v>
      </c>
      <c r="O162" s="10">
        <v>0.16713200904391609</v>
      </c>
      <c r="P162" s="10">
        <v>0.1252956485744543</v>
      </c>
      <c r="Q162" s="10">
        <v>0.20362414593350392</v>
      </c>
      <c r="R162" s="10"/>
      <c r="S162" s="10"/>
      <c r="T162" s="10"/>
      <c r="U162" s="10"/>
      <c r="V162" s="10"/>
      <c r="W162" s="10"/>
      <c r="X162" s="10"/>
      <c r="Y162" s="10"/>
      <c r="Z162" s="223"/>
      <c r="AA162" s="10"/>
      <c r="AB162" s="10"/>
      <c r="AC162" s="10"/>
      <c r="AD162" s="10"/>
      <c r="AE162" s="10"/>
      <c r="AF162" s="10"/>
      <c r="AG162" s="10"/>
      <c r="AH162" s="10"/>
      <c r="AI162" s="14">
        <f>AVERAGE(D162:AF162)</f>
        <v>0.17370453858794413</v>
      </c>
    </row>
    <row r="163" spans="2:35" x14ac:dyDescent="0.25">
      <c r="B163" s="5" t="s">
        <v>35</v>
      </c>
      <c r="C163" s="1" t="s">
        <v>0</v>
      </c>
      <c r="D163" s="10">
        <v>9.3834007056451604E-2</v>
      </c>
      <c r="E163" s="10">
        <v>0.17558803595430106</v>
      </c>
      <c r="F163" s="10">
        <v>0.15567876848118278</v>
      </c>
      <c r="G163" s="10">
        <v>0.14111223286290323</v>
      </c>
      <c r="H163" s="10">
        <v>0.15841734038978494</v>
      </c>
      <c r="I163" s="10">
        <v>0.18491263440860217</v>
      </c>
      <c r="J163" s="10">
        <v>0.16087030073924732</v>
      </c>
      <c r="K163" s="10">
        <v>0.16972446068548389</v>
      </c>
      <c r="L163" s="10">
        <v>0.16831316868279569</v>
      </c>
      <c r="M163" s="10">
        <v>0.14188508232526881</v>
      </c>
      <c r="N163" s="10">
        <v>0.17348790658602151</v>
      </c>
      <c r="O163" s="10">
        <v>0.15757728326612902</v>
      </c>
      <c r="P163" s="10">
        <v>0.10040322580645161</v>
      </c>
      <c r="Q163" s="10">
        <v>0.17704973286290321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4">
        <f>AVERAGE(D163:AE163)</f>
        <v>0.15420387000768049</v>
      </c>
    </row>
    <row r="164" spans="2:35" ht="15.75" x14ac:dyDescent="0.25">
      <c r="B164" s="5" t="s">
        <v>113</v>
      </c>
      <c r="C164" s="1"/>
      <c r="D164" s="72">
        <v>2.4220193001534648E-2</v>
      </c>
      <c r="E164" s="72">
        <v>1.0255125932109838E-2</v>
      </c>
      <c r="F164" s="72">
        <v>1.0981790234781658E-2</v>
      </c>
      <c r="G164" s="72">
        <v>1.1169214488806672E-2</v>
      </c>
      <c r="H164" s="72">
        <v>3.6406826749119436E-2</v>
      </c>
      <c r="I164" s="72">
        <v>1.1194021826251122E-2</v>
      </c>
      <c r="J164" s="72">
        <v>1.5303702393975771E-2</v>
      </c>
      <c r="K164" s="72">
        <v>1.8032740247882789E-2</v>
      </c>
      <c r="L164" s="72">
        <v>2.0178436509351222E-2</v>
      </c>
      <c r="M164" s="72">
        <v>3.8251653568766336E-2</v>
      </c>
      <c r="N164" s="72">
        <v>1.5994093554721478E-2</v>
      </c>
      <c r="O164" s="72">
        <v>9.5547257777870709E-3</v>
      </c>
      <c r="P164" s="72">
        <v>2.4892422768002687E-2</v>
      </c>
      <c r="Q164" s="72">
        <v>2.6574413070600711E-2</v>
      </c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49">
        <f>AVERAGEIF(D164:AE164,"&gt;0")</f>
        <v>1.9500668580263676E-2</v>
      </c>
    </row>
    <row r="165" spans="2:35" ht="15.75" x14ac:dyDescent="0.25">
      <c r="B165" s="1" t="s">
        <v>111</v>
      </c>
      <c r="C165" s="1"/>
      <c r="D165" s="190">
        <v>0.14908437118988169</v>
      </c>
      <c r="E165" s="190">
        <v>0.17223068383758749</v>
      </c>
      <c r="F165" s="190">
        <v>0.16924338206303233</v>
      </c>
      <c r="G165" s="190">
        <v>0.16774496133699968</v>
      </c>
      <c r="H165" s="190">
        <v>0.14899852175105885</v>
      </c>
      <c r="I165" s="190">
        <v>0.17043862305827576</v>
      </c>
      <c r="J165" s="190">
        <v>0.16326109629133065</v>
      </c>
      <c r="K165" s="190">
        <v>0.16011764664175882</v>
      </c>
      <c r="L165" s="190">
        <v>0.15728508207911493</v>
      </c>
      <c r="M165" s="190">
        <v>0.1412662517189997</v>
      </c>
      <c r="N165" s="190">
        <v>0.16679390076828443</v>
      </c>
      <c r="O165" s="190">
        <v>0.1734062506018868</v>
      </c>
      <c r="P165" s="190">
        <v>0.14859709632020057</v>
      </c>
      <c r="Q165" s="190">
        <v>0.15788206695669665</v>
      </c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  <c r="AC165" s="190"/>
      <c r="AD165" s="190"/>
      <c r="AE165" s="190"/>
      <c r="AF165" s="190"/>
      <c r="AG165" s="190"/>
      <c r="AH165" s="190"/>
      <c r="AI165" s="49">
        <f>AVERAGEIF(D165:AE165,"&gt;0")</f>
        <v>0.160453566758222</v>
      </c>
    </row>
    <row r="166" spans="2:35" x14ac:dyDescent="0.25">
      <c r="B166" s="5" t="s">
        <v>109</v>
      </c>
      <c r="C166" s="1" t="s">
        <v>59</v>
      </c>
      <c r="D166" s="192">
        <v>2831.600820910835</v>
      </c>
      <c r="E166" s="192">
        <v>4457.5597437426968</v>
      </c>
      <c r="F166" s="192">
        <v>3997.453497137637</v>
      </c>
      <c r="G166" s="192">
        <v>3652.5618835991727</v>
      </c>
      <c r="H166" s="192">
        <v>4672.9745433269045</v>
      </c>
      <c r="I166" s="192">
        <v>4703.7358137866977</v>
      </c>
      <c r="J166" s="503">
        <v>4225.6391695522361</v>
      </c>
      <c r="K166" s="503">
        <v>4503.4691187073604</v>
      </c>
      <c r="L166" s="503">
        <v>4521.0842454967587</v>
      </c>
      <c r="M166" s="503">
        <v>4320.6876924599692</v>
      </c>
      <c r="N166" s="503">
        <v>4544.8394625758046</v>
      </c>
      <c r="O166" s="503">
        <v>4008.7615161237536</v>
      </c>
      <c r="P166" s="503">
        <v>3005.2913084474308</v>
      </c>
      <c r="Q166" s="503">
        <v>4884.0473147026514</v>
      </c>
      <c r="R166" s="503"/>
      <c r="S166" s="503"/>
      <c r="T166" s="503"/>
      <c r="U166" s="192"/>
      <c r="V166" s="192"/>
      <c r="W166" s="192"/>
      <c r="X166" s="192"/>
      <c r="Y166" s="192"/>
      <c r="Z166" s="192"/>
      <c r="AA166" s="192"/>
      <c r="AB166" s="192"/>
      <c r="AC166" s="192"/>
      <c r="AD166" s="192"/>
      <c r="AE166" s="192"/>
      <c r="AF166" s="192"/>
      <c r="AG166" s="192"/>
      <c r="AH166" s="192"/>
      <c r="AI166" s="3">
        <f>AVERAGEIF(D166:AE166,"&gt;0")</f>
        <v>4166.4075807549934</v>
      </c>
    </row>
    <row r="167" spans="2:35" x14ac:dyDescent="0.25">
      <c r="B167" s="5" t="s">
        <v>213</v>
      </c>
      <c r="C167" s="1"/>
      <c r="D167" s="192">
        <v>27.59</v>
      </c>
      <c r="E167" s="192">
        <v>33.408906250000001</v>
      </c>
      <c r="F167" s="192">
        <v>34.630593750000102</v>
      </c>
      <c r="G167" s="192">
        <v>34.806892857142856</v>
      </c>
      <c r="H167" s="192">
        <v>32.36</v>
      </c>
      <c r="I167" s="192">
        <v>35.1</v>
      </c>
      <c r="J167" s="192">
        <v>37.266348214285735</v>
      </c>
      <c r="K167" s="192">
        <v>39.1</v>
      </c>
      <c r="L167" s="192">
        <v>40.19</v>
      </c>
      <c r="M167" s="192">
        <v>36.65</v>
      </c>
      <c r="N167" s="192">
        <v>33.54</v>
      </c>
      <c r="O167" s="192">
        <v>31.61</v>
      </c>
      <c r="P167" s="192">
        <v>29.936660714285708</v>
      </c>
      <c r="Q167" s="192">
        <v>34.192232142857172</v>
      </c>
      <c r="R167" s="192"/>
      <c r="S167" s="192"/>
      <c r="T167" s="192"/>
      <c r="U167" s="192"/>
      <c r="V167" s="192"/>
      <c r="W167" s="192"/>
      <c r="X167" s="192"/>
      <c r="Y167" s="192"/>
      <c r="Z167" s="192"/>
      <c r="AA167" s="192"/>
      <c r="AB167" s="192"/>
      <c r="AC167" s="192"/>
      <c r="AD167" s="192"/>
      <c r="AE167" s="192"/>
      <c r="AF167" s="192"/>
      <c r="AG167" s="192"/>
      <c r="AH167" s="192"/>
      <c r="AI167" s="13">
        <f>AVERAGE(D167:AF167)</f>
        <v>34.312973852040827</v>
      </c>
    </row>
    <row r="168" spans="2:35" ht="15.75" x14ac:dyDescent="0.25">
      <c r="B168" s="388" t="s">
        <v>100</v>
      </c>
      <c r="C168" s="1" t="s">
        <v>59</v>
      </c>
      <c r="D168" s="222">
        <f>28+25</f>
        <v>53</v>
      </c>
      <c r="E168" s="222">
        <v>28</v>
      </c>
      <c r="F168" s="222">
        <v>33</v>
      </c>
      <c r="G168" s="222">
        <v>41</v>
      </c>
      <c r="H168" s="222">
        <v>35</v>
      </c>
      <c r="I168" s="222">
        <v>34</v>
      </c>
      <c r="J168" s="222">
        <v>37</v>
      </c>
      <c r="K168" s="222">
        <v>43</v>
      </c>
      <c r="L168" s="222">
        <v>24</v>
      </c>
      <c r="M168" s="222">
        <v>9</v>
      </c>
      <c r="N168" s="222">
        <v>5</v>
      </c>
      <c r="O168" s="222">
        <v>45</v>
      </c>
      <c r="P168" s="222">
        <v>40</v>
      </c>
      <c r="Q168" s="222">
        <v>42</v>
      </c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  <c r="AF168" s="222"/>
      <c r="AG168" s="222"/>
      <c r="AH168" s="222"/>
      <c r="AI168" s="13">
        <f>SUM(D168:AH168)</f>
        <v>469</v>
      </c>
    </row>
    <row r="169" spans="2:35" ht="15.75" x14ac:dyDescent="0.25">
      <c r="B169" s="388" t="s">
        <v>101</v>
      </c>
      <c r="C169" s="1" t="s">
        <v>59</v>
      </c>
      <c r="D169" s="222"/>
      <c r="E169" s="222"/>
      <c r="F169" s="222"/>
      <c r="G169" s="222"/>
      <c r="H169" s="222"/>
      <c r="I169" s="222"/>
      <c r="J169" s="222"/>
      <c r="K169" s="222"/>
      <c r="L169" s="222">
        <v>84</v>
      </c>
      <c r="M169" s="222">
        <v>206</v>
      </c>
      <c r="N169" s="222"/>
      <c r="O169" s="222"/>
      <c r="P169" s="222">
        <v>96</v>
      </c>
      <c r="Q169" s="222">
        <v>86</v>
      </c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  <c r="AF169" s="222"/>
      <c r="AG169" s="222"/>
      <c r="AH169" s="222"/>
      <c r="AI169" s="13">
        <f t="shared" ref="AI169:AI173" si="71">SUM(D169:AH169)</f>
        <v>472</v>
      </c>
    </row>
    <row r="170" spans="2:35" ht="15.75" x14ac:dyDescent="0.25">
      <c r="B170" s="388" t="s">
        <v>102</v>
      </c>
      <c r="C170" s="1" t="s">
        <v>59</v>
      </c>
      <c r="D170" s="222">
        <v>79</v>
      </c>
      <c r="E170" s="222">
        <v>21</v>
      </c>
      <c r="F170" s="222">
        <v>20</v>
      </c>
      <c r="G170" s="222">
        <v>13</v>
      </c>
      <c r="H170" s="222">
        <v>169</v>
      </c>
      <c r="I170" s="222">
        <v>20</v>
      </c>
      <c r="J170" s="222">
        <v>41</v>
      </c>
      <c r="K170" s="222">
        <v>52</v>
      </c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  <c r="AF170" s="222"/>
      <c r="AG170" s="222"/>
      <c r="AH170" s="222"/>
      <c r="AI170" s="13">
        <f t="shared" si="71"/>
        <v>415</v>
      </c>
    </row>
    <row r="171" spans="2:35" ht="15.75" x14ac:dyDescent="0.25">
      <c r="B171" s="388" t="s">
        <v>103</v>
      </c>
      <c r="C171" s="1" t="s">
        <v>59</v>
      </c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>
        <v>19</v>
      </c>
      <c r="O171" s="222"/>
      <c r="P171" s="222"/>
      <c r="Q171" s="222">
        <v>18</v>
      </c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  <c r="AF171" s="222"/>
      <c r="AG171" s="222"/>
      <c r="AH171" s="222"/>
      <c r="AI171" s="13">
        <f t="shared" si="71"/>
        <v>37</v>
      </c>
    </row>
    <row r="172" spans="2:35" x14ac:dyDescent="0.25">
      <c r="B172" s="5" t="s">
        <v>218</v>
      </c>
      <c r="C172" s="1" t="s">
        <v>59</v>
      </c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>
        <v>60</v>
      </c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  <c r="AF172" s="222"/>
      <c r="AG172" s="222"/>
      <c r="AH172" s="222"/>
      <c r="AI172" s="13">
        <f t="shared" si="71"/>
        <v>60</v>
      </c>
    </row>
    <row r="173" spans="2:35" x14ac:dyDescent="0.25">
      <c r="B173" s="5" t="s">
        <v>86</v>
      </c>
      <c r="C173" s="1" t="s">
        <v>59</v>
      </c>
      <c r="D173" s="222">
        <f t="shared" ref="D173:I173" si="72">SUM(D168:D172)</f>
        <v>132</v>
      </c>
      <c r="E173" s="222">
        <f t="shared" si="72"/>
        <v>49</v>
      </c>
      <c r="F173" s="222">
        <f t="shared" si="72"/>
        <v>53</v>
      </c>
      <c r="G173" s="222">
        <f t="shared" si="72"/>
        <v>54</v>
      </c>
      <c r="H173" s="222">
        <f t="shared" si="72"/>
        <v>204</v>
      </c>
      <c r="I173" s="222">
        <f t="shared" si="72"/>
        <v>54</v>
      </c>
      <c r="J173" s="222">
        <f t="shared" ref="J173:K173" si="73">SUM(J168:J172)</f>
        <v>78</v>
      </c>
      <c r="K173" s="222">
        <f t="shared" si="73"/>
        <v>95</v>
      </c>
      <c r="L173" s="222">
        <f t="shared" ref="L173:M173" si="74">SUM(L168:L172)</f>
        <v>108</v>
      </c>
      <c r="M173" s="222">
        <f t="shared" si="74"/>
        <v>215</v>
      </c>
      <c r="N173" s="222">
        <f t="shared" ref="N173:O173" si="75">SUM(N168:N172)</f>
        <v>84</v>
      </c>
      <c r="O173" s="222">
        <f t="shared" si="75"/>
        <v>45</v>
      </c>
      <c r="P173" s="222">
        <f t="shared" ref="P173:Q173" si="76">SUM(P168:P172)</f>
        <v>136</v>
      </c>
      <c r="Q173" s="222">
        <f t="shared" si="76"/>
        <v>146</v>
      </c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  <c r="AF173" s="222"/>
      <c r="AG173" s="222"/>
      <c r="AH173" s="222"/>
      <c r="AI173" s="13">
        <f t="shared" si="71"/>
        <v>1453</v>
      </c>
    </row>
    <row r="174" spans="2:35" x14ac:dyDescent="0.25">
      <c r="B174" s="5" t="s">
        <v>86</v>
      </c>
      <c r="C174" s="1" t="s">
        <v>59</v>
      </c>
      <c r="D174" s="221">
        <f t="shared" ref="D174:I174" si="77">D173/248/24</f>
        <v>2.2177419354838707E-2</v>
      </c>
      <c r="E174" s="221">
        <f t="shared" si="77"/>
        <v>8.2325268817204297E-3</v>
      </c>
      <c r="F174" s="221">
        <f t="shared" si="77"/>
        <v>8.904569892473119E-3</v>
      </c>
      <c r="G174" s="221">
        <f t="shared" si="77"/>
        <v>9.0725806451612909E-3</v>
      </c>
      <c r="H174" s="221">
        <f t="shared" si="77"/>
        <v>3.4274193548387101E-2</v>
      </c>
      <c r="I174" s="221">
        <f t="shared" si="77"/>
        <v>9.0725806451612909E-3</v>
      </c>
      <c r="J174" s="221">
        <f t="shared" ref="J174:K174" si="78">J173/248/24</f>
        <v>1.310483870967742E-2</v>
      </c>
      <c r="K174" s="221">
        <f t="shared" si="78"/>
        <v>1.5961021505376344E-2</v>
      </c>
      <c r="L174" s="221">
        <f t="shared" ref="L174:M174" si="79">L173/248/24</f>
        <v>1.8145161290322582E-2</v>
      </c>
      <c r="M174" s="221">
        <f t="shared" si="79"/>
        <v>3.6122311827956992E-2</v>
      </c>
      <c r="N174" s="221">
        <f t="shared" ref="N174:O174" si="80">N173/248/24</f>
        <v>1.4112903225806451E-2</v>
      </c>
      <c r="O174" s="221">
        <f t="shared" si="80"/>
        <v>7.5604838709677422E-3</v>
      </c>
      <c r="P174" s="221">
        <f t="shared" ref="P174:Q174" si="81">P173/248/24</f>
        <v>2.2849462365591395E-2</v>
      </c>
      <c r="Q174" s="221">
        <f t="shared" si="81"/>
        <v>2.4529569892473121E-2</v>
      </c>
      <c r="R174" s="221"/>
      <c r="S174" s="221"/>
      <c r="T174" s="221"/>
      <c r="U174" s="221"/>
      <c r="V174" s="221"/>
      <c r="W174" s="221"/>
      <c r="X174" s="221"/>
      <c r="Y174" s="538"/>
      <c r="Z174" s="221"/>
      <c r="AA174" s="221"/>
      <c r="AB174" s="221"/>
      <c r="AC174" s="221"/>
      <c r="AD174" s="221"/>
      <c r="AE174" s="221"/>
      <c r="AF174" s="221"/>
      <c r="AG174" s="221"/>
      <c r="AH174" s="221"/>
      <c r="AI174" s="13">
        <f>AVERAGE(D174:AE174)</f>
        <v>1.743711597542243E-2</v>
      </c>
    </row>
    <row r="175" spans="2:35" x14ac:dyDescent="0.25">
      <c r="B175" s="5" t="s">
        <v>116</v>
      </c>
      <c r="C175" s="1" t="s">
        <v>60</v>
      </c>
      <c r="D175" s="223">
        <f t="shared" ref="D175:I175" si="82">D162-D163-D174</f>
        <v>2.0427736466959411E-3</v>
      </c>
      <c r="E175" s="539">
        <f t="shared" si="82"/>
        <v>2.0225990503894078E-3</v>
      </c>
      <c r="F175" s="539">
        <f t="shared" si="82"/>
        <v>2.0772203423085386E-3</v>
      </c>
      <c r="G175" s="539">
        <f t="shared" si="82"/>
        <v>2.0966338436453815E-3</v>
      </c>
      <c r="H175" s="539">
        <f t="shared" si="82"/>
        <v>2.1326332007323354E-3</v>
      </c>
      <c r="I175" s="539">
        <f t="shared" si="82"/>
        <v>2.1214411810898306E-3</v>
      </c>
      <c r="J175" s="539">
        <f t="shared" ref="J175:K175" si="83">J162-J163-J174</f>
        <v>2.1988636842983512E-3</v>
      </c>
      <c r="K175" s="539">
        <f t="shared" si="83"/>
        <v>2.0717187425064454E-3</v>
      </c>
      <c r="L175" s="539">
        <f t="shared" ref="L175:M175" si="84">L162-L163-L174</f>
        <v>2.03327521902864E-3</v>
      </c>
      <c r="M175" s="539">
        <f t="shared" si="84"/>
        <v>2.1293417408093443E-3</v>
      </c>
      <c r="N175" s="539">
        <f t="shared" ref="N175:O175" si="85">N162-N163-N174</f>
        <v>1.8811903289150268E-3</v>
      </c>
      <c r="O175" s="539">
        <f t="shared" si="85"/>
        <v>1.9942419068193287E-3</v>
      </c>
      <c r="P175" s="539">
        <f t="shared" ref="P175:Q175" si="86">P162-P163-P174</f>
        <v>2.0429604024112917E-3</v>
      </c>
      <c r="Q175" s="539">
        <f t="shared" si="86"/>
        <v>2.0448431781275901E-3</v>
      </c>
      <c r="R175" s="223"/>
      <c r="S175" s="223"/>
      <c r="T175" s="223"/>
      <c r="U175" s="223"/>
      <c r="V175" s="223"/>
      <c r="W175" s="223"/>
      <c r="X175" s="223"/>
      <c r="Y175" s="223"/>
      <c r="Z175" s="223"/>
      <c r="AA175" s="223"/>
      <c r="AB175" s="223"/>
      <c r="AC175" s="223"/>
      <c r="AD175" s="223"/>
      <c r="AE175" s="223"/>
      <c r="AF175" s="223"/>
      <c r="AG175" s="223"/>
      <c r="AH175" s="223"/>
      <c r="AI175" s="224">
        <f>AVERAGE(D175:AE175)</f>
        <v>2.0635526048412467E-3</v>
      </c>
    </row>
    <row r="177" spans="1:36" x14ac:dyDescent="0.25">
      <c r="B177" s="1"/>
      <c r="C177" s="1"/>
      <c r="D177" s="187">
        <v>1</v>
      </c>
      <c r="E177" s="187">
        <v>2</v>
      </c>
      <c r="F177" s="187">
        <v>3</v>
      </c>
      <c r="G177" s="187">
        <v>4</v>
      </c>
      <c r="H177" s="472">
        <v>5</v>
      </c>
      <c r="I177" s="479">
        <v>6</v>
      </c>
      <c r="J177" s="492">
        <v>7</v>
      </c>
      <c r="K177" s="187">
        <v>8</v>
      </c>
      <c r="L177" s="187">
        <v>9</v>
      </c>
      <c r="M177" s="187">
        <v>10</v>
      </c>
      <c r="N177" s="187">
        <v>11</v>
      </c>
      <c r="O177" s="187">
        <v>12</v>
      </c>
      <c r="P177" s="509">
        <v>13</v>
      </c>
      <c r="Q177" s="389">
        <v>14</v>
      </c>
      <c r="R177" s="187">
        <v>15</v>
      </c>
      <c r="S177" s="187">
        <v>16</v>
      </c>
      <c r="T177" s="187">
        <v>17</v>
      </c>
      <c r="U177" s="187">
        <v>18</v>
      </c>
      <c r="V177" s="187">
        <v>19</v>
      </c>
      <c r="W177" s="525">
        <v>20</v>
      </c>
      <c r="X177" s="542">
        <v>21</v>
      </c>
      <c r="Y177" s="187">
        <v>22</v>
      </c>
      <c r="Z177" s="187">
        <v>23</v>
      </c>
      <c r="AA177" s="187">
        <v>24</v>
      </c>
      <c r="AB177" s="187">
        <v>25</v>
      </c>
      <c r="AC177" s="550">
        <v>26</v>
      </c>
      <c r="AD177" s="558">
        <v>27</v>
      </c>
      <c r="AE177" s="187">
        <v>28</v>
      </c>
      <c r="AF177" s="187">
        <v>29</v>
      </c>
      <c r="AG177" s="426">
        <v>30</v>
      </c>
      <c r="AH177" s="187">
        <v>31</v>
      </c>
      <c r="AI177" s="187"/>
      <c r="AJ177" s="6"/>
    </row>
    <row r="178" spans="1:36" ht="15.75" x14ac:dyDescent="0.25">
      <c r="A178" t="s">
        <v>41</v>
      </c>
      <c r="B178" s="280" t="s">
        <v>265</v>
      </c>
      <c r="C178" s="1" t="s">
        <v>6</v>
      </c>
      <c r="D178" s="191">
        <v>78.680000000000007</v>
      </c>
      <c r="E178" s="191">
        <v>60.12</v>
      </c>
      <c r="F178" s="191">
        <v>84.43</v>
      </c>
      <c r="G178" s="191">
        <v>63.11</v>
      </c>
      <c r="H178" s="467">
        <v>95.01</v>
      </c>
      <c r="I178" s="474">
        <v>100.1</v>
      </c>
      <c r="J178" s="483">
        <v>102.49</v>
      </c>
      <c r="K178" s="191">
        <v>103.22</v>
      </c>
      <c r="L178" s="191">
        <v>105.09</v>
      </c>
      <c r="M178" s="191">
        <v>105.08</v>
      </c>
      <c r="N178" s="191">
        <v>106.26</v>
      </c>
      <c r="O178" s="191">
        <v>105.1</v>
      </c>
      <c r="P178" s="502">
        <v>98.96</v>
      </c>
      <c r="Q178" s="191">
        <v>96.74</v>
      </c>
      <c r="R178" s="191"/>
      <c r="S178" s="191"/>
      <c r="T178" s="191"/>
      <c r="U178" s="191"/>
      <c r="V178" s="191"/>
      <c r="W178" s="518"/>
      <c r="X178" s="535"/>
      <c r="Y178" s="191"/>
      <c r="Z178" s="191"/>
      <c r="AA178" s="191"/>
      <c r="AB178" s="191"/>
      <c r="AC178" s="545"/>
      <c r="AD178" s="557"/>
      <c r="AE178" s="191"/>
      <c r="AF178" s="191"/>
      <c r="AG178" s="419"/>
      <c r="AH178" s="191"/>
      <c r="AI178" s="3">
        <f t="shared" ref="AI178:AI181" si="87">SUM(D178:AH178)</f>
        <v>1304.3900000000001</v>
      </c>
      <c r="AJ178" s="6"/>
    </row>
    <row r="179" spans="1:36" ht="15.75" x14ac:dyDescent="0.25">
      <c r="B179" s="280" t="s">
        <v>266</v>
      </c>
      <c r="C179" s="1" t="s">
        <v>6</v>
      </c>
      <c r="D179" s="191">
        <v>109.03</v>
      </c>
      <c r="E179" s="191">
        <v>70.38</v>
      </c>
      <c r="F179" s="191">
        <v>80.38</v>
      </c>
      <c r="G179" s="191">
        <v>97.18</v>
      </c>
      <c r="H179" s="467">
        <v>129</v>
      </c>
      <c r="I179" s="474">
        <v>143.16999999999999</v>
      </c>
      <c r="J179" s="483">
        <v>147.08000000000001</v>
      </c>
      <c r="K179" s="191">
        <v>148.74</v>
      </c>
      <c r="L179" s="191">
        <v>152.57</v>
      </c>
      <c r="M179" s="191">
        <v>153.69999999999999</v>
      </c>
      <c r="N179" s="191">
        <v>151.74</v>
      </c>
      <c r="O179" s="191">
        <v>146.1</v>
      </c>
      <c r="P179" s="502">
        <v>138.25</v>
      </c>
      <c r="Q179" s="191">
        <v>135.84</v>
      </c>
      <c r="R179" s="191"/>
      <c r="S179" s="191"/>
      <c r="T179" s="191"/>
      <c r="U179" s="191"/>
      <c r="V179" s="191"/>
      <c r="W179" s="518"/>
      <c r="X179" s="535"/>
      <c r="Y179" s="191"/>
      <c r="Z179" s="191"/>
      <c r="AA179" s="191"/>
      <c r="AB179" s="191"/>
      <c r="AC179" s="545"/>
      <c r="AD179" s="557"/>
      <c r="AE179" s="191"/>
      <c r="AF179" s="191"/>
      <c r="AG179" s="419"/>
      <c r="AH179" s="191"/>
      <c r="AI179" s="3">
        <f t="shared" si="87"/>
        <v>1803.1599999999999</v>
      </c>
      <c r="AJ179" s="6"/>
    </row>
    <row r="180" spans="1:36" ht="15.75" x14ac:dyDescent="0.25">
      <c r="B180" s="280" t="s">
        <v>267</v>
      </c>
      <c r="C180" s="1" t="s">
        <v>6</v>
      </c>
      <c r="D180" s="191">
        <v>87.63</v>
      </c>
      <c r="E180" s="191">
        <v>74.53</v>
      </c>
      <c r="F180" s="191">
        <v>85.62</v>
      </c>
      <c r="G180" s="191">
        <v>79.739999999999995</v>
      </c>
      <c r="H180" s="467">
        <v>105.56</v>
      </c>
      <c r="I180" s="474">
        <v>117.35</v>
      </c>
      <c r="J180" s="483">
        <v>120.6</v>
      </c>
      <c r="K180" s="191">
        <v>121.96</v>
      </c>
      <c r="L180" s="191">
        <v>124.62</v>
      </c>
      <c r="M180" s="191">
        <v>127.12</v>
      </c>
      <c r="N180" s="191">
        <v>126.45</v>
      </c>
      <c r="O180" s="191">
        <v>125.02</v>
      </c>
      <c r="P180" s="502">
        <v>118.54</v>
      </c>
      <c r="Q180" s="191">
        <v>117.65</v>
      </c>
      <c r="R180" s="191"/>
      <c r="S180" s="191"/>
      <c r="T180" s="191"/>
      <c r="U180" s="191"/>
      <c r="V180" s="191"/>
      <c r="W180" s="518"/>
      <c r="X180" s="535"/>
      <c r="Y180" s="191"/>
      <c r="Z180" s="191"/>
      <c r="AA180" s="191"/>
      <c r="AB180" s="191"/>
      <c r="AC180" s="545"/>
      <c r="AD180" s="557"/>
      <c r="AE180" s="191"/>
      <c r="AF180" s="191"/>
      <c r="AG180" s="419"/>
      <c r="AH180" s="191"/>
      <c r="AI180" s="3">
        <f t="shared" si="87"/>
        <v>1532.39</v>
      </c>
      <c r="AJ180" s="6"/>
    </row>
    <row r="181" spans="1:36" x14ac:dyDescent="0.25">
      <c r="B181" s="280" t="s">
        <v>24</v>
      </c>
      <c r="C181" s="1" t="s">
        <v>6</v>
      </c>
      <c r="D181" s="192">
        <v>288</v>
      </c>
      <c r="E181" s="192">
        <v>205.03000000002794</v>
      </c>
      <c r="F181" s="192">
        <v>265.42999999999302</v>
      </c>
      <c r="G181" s="192">
        <v>272.53999999997905</v>
      </c>
      <c r="H181" s="468">
        <v>343</v>
      </c>
      <c r="I181" s="475">
        <v>366</v>
      </c>
      <c r="J181" s="484">
        <v>379</v>
      </c>
      <c r="K181" s="192">
        <v>391</v>
      </c>
      <c r="L181" s="192">
        <v>399</v>
      </c>
      <c r="M181" s="192">
        <v>402</v>
      </c>
      <c r="N181" s="192">
        <v>401</v>
      </c>
      <c r="O181" s="192">
        <v>392</v>
      </c>
      <c r="P181" s="503">
        <v>372</v>
      </c>
      <c r="Q181" s="192">
        <v>360</v>
      </c>
      <c r="R181" s="192"/>
      <c r="S181" s="192"/>
      <c r="T181" s="192"/>
      <c r="U181" s="192"/>
      <c r="V181" s="192"/>
      <c r="W181" s="519"/>
      <c r="X181" s="536"/>
      <c r="Y181" s="192"/>
      <c r="Z181" s="192"/>
      <c r="AA181" s="192"/>
      <c r="AB181" s="192"/>
      <c r="AC181" s="546"/>
      <c r="AD181" s="554"/>
      <c r="AE181" s="192"/>
      <c r="AF181" s="192"/>
      <c r="AG181" s="420"/>
      <c r="AH181" s="192"/>
      <c r="AI181" s="3">
        <f t="shared" si="87"/>
        <v>4836</v>
      </c>
      <c r="AJ181" s="303">
        <f>+AI181/62</f>
        <v>78</v>
      </c>
    </row>
    <row r="182" spans="1:36" x14ac:dyDescent="0.25">
      <c r="B182" s="280" t="s">
        <v>268</v>
      </c>
      <c r="C182" s="1" t="s">
        <v>26</v>
      </c>
      <c r="D182" s="8">
        <v>6.0602980555422841</v>
      </c>
      <c r="E182" s="8">
        <v>4.3829091096323207</v>
      </c>
      <c r="F182" s="91">
        <v>6.1879275958747018</v>
      </c>
      <c r="G182" s="91">
        <v>5.6760141666572306</v>
      </c>
      <c r="H182" s="471">
        <v>7.0802785777878015</v>
      </c>
      <c r="I182" s="478">
        <v>7.6730766944788629</v>
      </c>
      <c r="J182" s="491">
        <v>7.896776944457379</v>
      </c>
      <c r="K182" s="91">
        <v>8.1790866666540385</v>
      </c>
      <c r="L182" s="91">
        <v>8.4593119444358749</v>
      </c>
      <c r="M182" s="91">
        <v>8.6077625000067641</v>
      </c>
      <c r="N182" s="91">
        <v>8.5083499999995684</v>
      </c>
      <c r="O182" s="91">
        <v>8.3337833333364681</v>
      </c>
      <c r="P182" s="507">
        <v>7.9130858262623658</v>
      </c>
      <c r="Q182" s="91">
        <v>7.6000786140746204</v>
      </c>
      <c r="R182" s="91"/>
      <c r="S182" s="91"/>
      <c r="T182" s="91"/>
      <c r="U182" s="91"/>
      <c r="V182" s="91"/>
      <c r="W182" s="523"/>
      <c r="X182" s="540"/>
      <c r="Y182" s="91"/>
      <c r="Z182" s="91"/>
      <c r="AA182" s="91"/>
      <c r="AB182" s="91"/>
      <c r="AC182" s="549"/>
      <c r="AD182" s="556"/>
      <c r="AE182" s="91"/>
      <c r="AF182" s="91"/>
      <c r="AG182" s="424"/>
      <c r="AH182" s="91"/>
      <c r="AI182" s="234">
        <f>AVERAGE(D182:AH182)</f>
        <v>7.3256242878000188</v>
      </c>
      <c r="AJ182" s="6"/>
    </row>
    <row r="183" spans="1:36" x14ac:dyDescent="0.25">
      <c r="B183" s="280" t="s">
        <v>28</v>
      </c>
      <c r="C183" s="1" t="s">
        <v>6</v>
      </c>
      <c r="D183" s="190">
        <v>0.19644722575060616</v>
      </c>
      <c r="E183" s="190">
        <v>0.1412329622155952</v>
      </c>
      <c r="F183" s="190">
        <v>0.19820979669546696</v>
      </c>
      <c r="G183" s="190">
        <v>0.18535183932027469</v>
      </c>
      <c r="H183" s="470">
        <v>0.23346362645803748</v>
      </c>
      <c r="I183" s="477">
        <v>0.24910894166423736</v>
      </c>
      <c r="J183" s="490">
        <v>0.25726540014947291</v>
      </c>
      <c r="K183" s="190">
        <v>0.26591336441266411</v>
      </c>
      <c r="L183" s="190">
        <v>0.27502387386749605</v>
      </c>
      <c r="M183" s="190">
        <v>0.27733977348152999</v>
      </c>
      <c r="N183" s="190">
        <v>0.27224300003781049</v>
      </c>
      <c r="O183" s="190">
        <v>0.26673731476125062</v>
      </c>
      <c r="P183" s="505">
        <v>0.25316587335977953</v>
      </c>
      <c r="Q183" s="190">
        <v>0.24500371466687026</v>
      </c>
      <c r="R183" s="190"/>
      <c r="S183" s="190"/>
      <c r="T183" s="190"/>
      <c r="U183" s="190"/>
      <c r="V183" s="223"/>
      <c r="W183" s="521"/>
      <c r="X183" s="538"/>
      <c r="Y183" s="190"/>
      <c r="Z183" s="190"/>
      <c r="AA183" s="190"/>
      <c r="AB183" s="190"/>
      <c r="AC183" s="548"/>
      <c r="AD183" s="555"/>
      <c r="AE183" s="190"/>
      <c r="AF183" s="190"/>
      <c r="AG183" s="422"/>
      <c r="AH183" s="190"/>
      <c r="AI183" s="281">
        <f>AVERAGE(D183:AH183)</f>
        <v>0.23689333620293515</v>
      </c>
      <c r="AJ183" s="6"/>
    </row>
    <row r="184" spans="1:36" x14ac:dyDescent="0.25">
      <c r="B184" s="282" t="s">
        <v>35</v>
      </c>
      <c r="C184" s="1" t="s">
        <v>0</v>
      </c>
      <c r="D184" s="190">
        <v>0.19354838709677419</v>
      </c>
      <c r="E184" s="190">
        <v>0.13778897849464244</v>
      </c>
      <c r="F184" s="190">
        <v>0.17838037634408133</v>
      </c>
      <c r="G184" s="190">
        <v>0.18315860215052354</v>
      </c>
      <c r="H184" s="469">
        <v>0.23051075268817203</v>
      </c>
      <c r="I184" s="476">
        <v>0.24596774193548387</v>
      </c>
      <c r="J184" s="485">
        <v>0.25470430107526881</v>
      </c>
      <c r="K184" s="190">
        <v>0.26276881720430106</v>
      </c>
      <c r="L184" s="190">
        <v>0.26814516129032256</v>
      </c>
      <c r="M184" s="190">
        <v>0.27016129032258063</v>
      </c>
      <c r="N184" s="190">
        <v>0.26948924731182794</v>
      </c>
      <c r="O184" s="190">
        <v>0.26344086021505375</v>
      </c>
      <c r="P184" s="504">
        <v>0.25</v>
      </c>
      <c r="Q184" s="10">
        <v>0.24193548387096775</v>
      </c>
      <c r="R184" s="190"/>
      <c r="S184" s="190"/>
      <c r="T184" s="190"/>
      <c r="U184" s="190"/>
      <c r="V184" s="190"/>
      <c r="W184" s="520"/>
      <c r="X184" s="537"/>
      <c r="Y184" s="190"/>
      <c r="Z184" s="190"/>
      <c r="AA184" s="190"/>
      <c r="AB184" s="190"/>
      <c r="AC184" s="547"/>
      <c r="AD184" s="555"/>
      <c r="AE184" s="190"/>
      <c r="AF184" s="190"/>
      <c r="AG184" s="421"/>
      <c r="AH184" s="190"/>
      <c r="AI184" s="281">
        <f t="shared" ref="AI184:AI186" si="88">AVERAGE(D184:AH184)</f>
        <v>0.23214285714285715</v>
      </c>
      <c r="AJ184" s="6"/>
    </row>
    <row r="185" spans="1:36" x14ac:dyDescent="0.25">
      <c r="B185" s="5" t="s">
        <v>113</v>
      </c>
      <c r="C185" s="1" t="s">
        <v>0</v>
      </c>
      <c r="D185" s="72">
        <v>2.8988386538319755E-3</v>
      </c>
      <c r="E185" s="72">
        <v>3.4439837209527535E-3</v>
      </c>
      <c r="F185" s="72">
        <v>1.9829420351385629E-2</v>
      </c>
      <c r="G185" s="72">
        <v>2.1932371697511444E-3</v>
      </c>
      <c r="H185" s="469">
        <v>2.9528737698654439E-3</v>
      </c>
      <c r="I185" s="476">
        <v>3.1411997287534854E-3</v>
      </c>
      <c r="J185" s="485">
        <v>2.5610990742040984E-3</v>
      </c>
      <c r="K185" s="72">
        <v>3.1445472083630466E-3</v>
      </c>
      <c r="L185" s="72">
        <v>6.8787125771734847E-3</v>
      </c>
      <c r="M185" s="72">
        <v>7.1784831589493669E-3</v>
      </c>
      <c r="N185" s="72">
        <v>2.7537527259825501E-3</v>
      </c>
      <c r="O185" s="72">
        <v>3.2964545461968697E-3</v>
      </c>
      <c r="P185" s="504">
        <v>3.1658733597795252E-3</v>
      </c>
      <c r="Q185" s="10">
        <v>3.0682307959025157E-3</v>
      </c>
      <c r="R185" s="72"/>
      <c r="S185" s="72"/>
      <c r="T185" s="72"/>
      <c r="U185" s="72"/>
      <c r="V185" s="72"/>
      <c r="W185" s="520"/>
      <c r="X185" s="537"/>
      <c r="Y185" s="72"/>
      <c r="Z185" s="72"/>
      <c r="AA185" s="72"/>
      <c r="AB185" s="72"/>
      <c r="AC185" s="547"/>
      <c r="AD185" s="555"/>
      <c r="AE185" s="72"/>
      <c r="AF185" s="72"/>
      <c r="AG185" s="421"/>
      <c r="AH185" s="72"/>
      <c r="AI185" s="281">
        <f t="shared" si="88"/>
        <v>4.7504790600779922E-3</v>
      </c>
      <c r="AJ185" s="6"/>
    </row>
    <row r="186" spans="1:36" x14ac:dyDescent="0.25">
      <c r="B186" s="1" t="s">
        <v>111</v>
      </c>
      <c r="C186" s="1"/>
      <c r="D186" s="190">
        <v>0.76649056659424075</v>
      </c>
      <c r="E186" s="190">
        <v>0.75450697268710532</v>
      </c>
      <c r="F186" s="190">
        <v>0.69185183018496321</v>
      </c>
      <c r="G186" s="190">
        <v>0.77445304443300633</v>
      </c>
      <c r="H186" s="469">
        <v>0.78136163764401712</v>
      </c>
      <c r="I186" s="476">
        <v>0.76934273453818847</v>
      </c>
      <c r="J186" s="485">
        <v>0.77410103752480941</v>
      </c>
      <c r="K186" s="190">
        <v>0.77104594558393591</v>
      </c>
      <c r="L186" s="190">
        <v>0.76075736575723407</v>
      </c>
      <c r="M186" s="190">
        <v>0.75325858116285616</v>
      </c>
      <c r="N186" s="190">
        <v>0.76016406653278235</v>
      </c>
      <c r="O186" s="190">
        <v>0.75866870930876673</v>
      </c>
      <c r="P186" s="504">
        <v>0.75823770040341076</v>
      </c>
      <c r="Q186" s="10">
        <v>0.76399888839968466</v>
      </c>
      <c r="R186" s="190"/>
      <c r="S186" s="190"/>
      <c r="T186" s="190"/>
      <c r="U186" s="190"/>
      <c r="V186" s="190"/>
      <c r="W186" s="520"/>
      <c r="X186" s="537"/>
      <c r="Y186" s="190"/>
      <c r="Z186" s="190"/>
      <c r="AA186" s="190"/>
      <c r="AB186" s="190"/>
      <c r="AC186" s="547"/>
      <c r="AD186" s="555"/>
      <c r="AE186" s="190"/>
      <c r="AF186" s="190"/>
      <c r="AG186" s="421"/>
      <c r="AH186" s="190"/>
      <c r="AI186" s="281">
        <f t="shared" si="88"/>
        <v>0.75987422005392868</v>
      </c>
      <c r="AJ186" s="6"/>
    </row>
    <row r="187" spans="1:36" x14ac:dyDescent="0.25">
      <c r="B187" s="5" t="s">
        <v>109</v>
      </c>
      <c r="C187" s="1" t="s">
        <v>59</v>
      </c>
      <c r="D187" s="192">
        <v>292.31347191690202</v>
      </c>
      <c r="E187" s="192">
        <v>210.15464777680569</v>
      </c>
      <c r="F187" s="192">
        <v>294.93617748285482</v>
      </c>
      <c r="G187" s="192">
        <v>275.80353690856873</v>
      </c>
      <c r="H187" s="467">
        <v>347.39387616955975</v>
      </c>
      <c r="I187" s="474">
        <v>370.6741051963852</v>
      </c>
      <c r="J187" s="483">
        <v>382.81091542241569</v>
      </c>
      <c r="K187" s="192">
        <v>395.67908624604416</v>
      </c>
      <c r="L187" s="192">
        <v>409.23552431483409</v>
      </c>
      <c r="M187" s="192">
        <v>412.68158294051659</v>
      </c>
      <c r="N187" s="192">
        <v>405.09758405626201</v>
      </c>
      <c r="O187" s="192">
        <v>396.90512436474091</v>
      </c>
      <c r="P187" s="502">
        <v>376.71081955935193</v>
      </c>
      <c r="Q187" s="191">
        <v>364.56552742430296</v>
      </c>
      <c r="R187" s="192"/>
      <c r="S187" s="192"/>
      <c r="T187" s="192"/>
      <c r="U187" s="192"/>
      <c r="V187" s="192"/>
      <c r="W187" s="518"/>
      <c r="X187" s="535"/>
      <c r="Y187" s="192"/>
      <c r="Z187" s="192"/>
      <c r="AA187" s="192"/>
      <c r="AB187" s="192"/>
      <c r="AC187" s="545"/>
      <c r="AD187" s="553"/>
      <c r="AE187" s="192"/>
      <c r="AF187" s="192"/>
      <c r="AG187" s="419"/>
      <c r="AH187" s="192"/>
      <c r="AI187" s="3">
        <f t="shared" ref="AI187" si="89">SUM(D187:AH187)</f>
        <v>4934.9619797795449</v>
      </c>
      <c r="AJ187" s="6"/>
    </row>
    <row r="188" spans="1:36" x14ac:dyDescent="0.25">
      <c r="B188" s="5" t="s">
        <v>213</v>
      </c>
      <c r="C188" s="409" t="s">
        <v>148</v>
      </c>
      <c r="D188" s="187">
        <v>33.5</v>
      </c>
      <c r="E188" s="187">
        <v>32</v>
      </c>
      <c r="F188" s="187">
        <v>33</v>
      </c>
      <c r="G188" s="187">
        <v>32.25</v>
      </c>
      <c r="H188" s="473">
        <v>30.59</v>
      </c>
      <c r="I188" s="481">
        <v>33.24</v>
      </c>
      <c r="J188" s="483">
        <v>32.65</v>
      </c>
      <c r="K188" s="187">
        <v>33</v>
      </c>
      <c r="L188" s="187">
        <v>33</v>
      </c>
      <c r="M188" s="187">
        <v>34.520000000000003</v>
      </c>
      <c r="N188" s="187">
        <v>35.68</v>
      </c>
      <c r="O188" s="187">
        <v>35.630000000000003</v>
      </c>
      <c r="P188" s="510">
        <v>35.700000000000003</v>
      </c>
      <c r="Q188" s="96">
        <v>34.43</v>
      </c>
      <c r="R188" s="187"/>
      <c r="S188" s="187"/>
      <c r="T188" s="187"/>
      <c r="U188" s="187"/>
      <c r="V188" s="187"/>
      <c r="W188" s="526"/>
      <c r="X188" s="543"/>
      <c r="Y188" s="187"/>
      <c r="Z188" s="187"/>
      <c r="AA188" s="187"/>
      <c r="AB188" s="187"/>
      <c r="AC188" s="551"/>
      <c r="AD188" s="559"/>
      <c r="AE188" s="91"/>
      <c r="AF188" s="187"/>
      <c r="AG188" s="427"/>
      <c r="AH188" s="187"/>
      <c r="AI188" s="234">
        <f>AVERAGE(D188:AH188)</f>
        <v>33.513571428571431</v>
      </c>
      <c r="AJ188" s="6"/>
    </row>
    <row r="189" spans="1:36" ht="15.75" x14ac:dyDescent="0.25">
      <c r="B189" s="388" t="s">
        <v>100</v>
      </c>
      <c r="C189" s="1" t="s">
        <v>59</v>
      </c>
      <c r="D189" s="222"/>
      <c r="E189" s="222"/>
      <c r="F189" s="222"/>
      <c r="G189" s="222"/>
      <c r="H189" s="222"/>
      <c r="I189" s="480"/>
      <c r="J189" s="222"/>
      <c r="K189" s="222"/>
      <c r="L189" s="222">
        <v>8</v>
      </c>
      <c r="M189" s="222">
        <v>5</v>
      </c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  <c r="AF189" s="222"/>
      <c r="AG189" s="222"/>
      <c r="AH189" s="222"/>
      <c r="AI189" s="13">
        <f t="shared" ref="AI189:AI194" si="90">SUM(D189:AH189)</f>
        <v>13</v>
      </c>
      <c r="AJ189" s="6"/>
    </row>
    <row r="190" spans="1:36" ht="15.75" x14ac:dyDescent="0.25">
      <c r="B190" s="388" t="s">
        <v>101</v>
      </c>
      <c r="C190" s="1" t="s">
        <v>59</v>
      </c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  <c r="AF190" s="222"/>
      <c r="AG190" s="222"/>
      <c r="AH190" s="222"/>
      <c r="AI190" s="13">
        <f t="shared" si="90"/>
        <v>0</v>
      </c>
      <c r="AJ190" s="6"/>
    </row>
    <row r="191" spans="1:36" ht="15.75" x14ac:dyDescent="0.25">
      <c r="B191" s="388" t="s">
        <v>102</v>
      </c>
      <c r="C191" s="1" t="s">
        <v>59</v>
      </c>
      <c r="D191" s="222"/>
      <c r="E191" s="222"/>
      <c r="F191" s="222">
        <v>25</v>
      </c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  <c r="AF191" s="222"/>
      <c r="AG191" s="222"/>
      <c r="AH191" s="222"/>
      <c r="AI191" s="13">
        <f t="shared" si="90"/>
        <v>25</v>
      </c>
      <c r="AJ191" s="6"/>
    </row>
    <row r="192" spans="1:36" ht="15.75" x14ac:dyDescent="0.25">
      <c r="B192" s="388" t="s">
        <v>103</v>
      </c>
      <c r="C192" s="1" t="s">
        <v>59</v>
      </c>
      <c r="D192" s="222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  <c r="AF192" s="222"/>
      <c r="AG192" s="222"/>
      <c r="AH192" s="222"/>
      <c r="AI192" s="13">
        <f t="shared" si="90"/>
        <v>0</v>
      </c>
      <c r="AJ192" s="6"/>
    </row>
    <row r="193" spans="1:36" x14ac:dyDescent="0.25">
      <c r="B193" s="5" t="s">
        <v>218</v>
      </c>
      <c r="C193" s="1" t="s">
        <v>59</v>
      </c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  <c r="AF193" s="222"/>
      <c r="AG193" s="222"/>
      <c r="AH193" s="222"/>
      <c r="AI193" s="13">
        <f t="shared" si="90"/>
        <v>0</v>
      </c>
      <c r="AJ193" s="6"/>
    </row>
    <row r="194" spans="1:36" x14ac:dyDescent="0.25">
      <c r="B194" s="5" t="s">
        <v>86</v>
      </c>
      <c r="C194" s="1" t="s">
        <v>59</v>
      </c>
      <c r="D194" s="222">
        <f>SUM(D189:D193)</f>
        <v>0</v>
      </c>
      <c r="E194" s="222">
        <f>SUM(E189:E193)</f>
        <v>0</v>
      </c>
      <c r="F194" s="222">
        <f>SUM(F189:F193)</f>
        <v>25</v>
      </c>
      <c r="G194" s="222">
        <f>SUM(G189:G193)</f>
        <v>0</v>
      </c>
      <c r="H194" s="222">
        <f t="shared" ref="H194:I194" si="91">SUM(H189:H193)</f>
        <v>0</v>
      </c>
      <c r="I194" s="222">
        <f t="shared" si="91"/>
        <v>0</v>
      </c>
      <c r="J194" s="222">
        <f t="shared" ref="J194:L194" si="92">SUM(J189:J193)</f>
        <v>0</v>
      </c>
      <c r="K194" s="222">
        <f t="shared" si="92"/>
        <v>0</v>
      </c>
      <c r="L194" s="222">
        <f t="shared" si="92"/>
        <v>8</v>
      </c>
      <c r="M194" s="222">
        <f t="shared" ref="M194:N194" si="93">SUM(M189:M193)</f>
        <v>5</v>
      </c>
      <c r="N194" s="222">
        <f t="shared" si="93"/>
        <v>0</v>
      </c>
      <c r="O194" s="222">
        <f t="shared" ref="O194:P194" si="94">SUM(O189:O193)</f>
        <v>0</v>
      </c>
      <c r="P194" s="222">
        <f t="shared" si="94"/>
        <v>0</v>
      </c>
      <c r="Q194" s="222">
        <f t="shared" ref="Q194" si="95">SUM(Q189:Q193)</f>
        <v>0</v>
      </c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  <c r="AF194" s="222"/>
      <c r="AG194" s="222"/>
      <c r="AH194" s="222"/>
      <c r="AI194" s="13">
        <f t="shared" si="90"/>
        <v>38</v>
      </c>
      <c r="AJ194" s="6"/>
    </row>
    <row r="195" spans="1:36" x14ac:dyDescent="0.25">
      <c r="B195" s="5" t="s">
        <v>86</v>
      </c>
      <c r="C195" s="1" t="s">
        <v>59</v>
      </c>
      <c r="D195" s="555">
        <f>D194/62/24</f>
        <v>0</v>
      </c>
      <c r="E195" s="555">
        <f t="shared" ref="E195:F195" si="96">E194/62/24</f>
        <v>0</v>
      </c>
      <c r="F195" s="555">
        <f t="shared" si="96"/>
        <v>1.6801075268817203E-2</v>
      </c>
      <c r="G195" s="555">
        <f t="shared" ref="G195:I195" si="97">G194/62/24</f>
        <v>0</v>
      </c>
      <c r="H195" s="555">
        <f t="shared" si="97"/>
        <v>0</v>
      </c>
      <c r="I195" s="555">
        <f t="shared" si="97"/>
        <v>0</v>
      </c>
      <c r="J195" s="555">
        <f t="shared" ref="J195:L195" si="98">J194/62/24</f>
        <v>0</v>
      </c>
      <c r="K195" s="555">
        <f t="shared" si="98"/>
        <v>0</v>
      </c>
      <c r="L195" s="555">
        <f t="shared" si="98"/>
        <v>5.3763440860215049E-3</v>
      </c>
      <c r="M195" s="555">
        <f t="shared" ref="M195:N195" si="99">M194/62/24</f>
        <v>3.3602150537634409E-3</v>
      </c>
      <c r="N195" s="555">
        <f t="shared" si="99"/>
        <v>0</v>
      </c>
      <c r="O195" s="555">
        <f t="shared" ref="O195:P195" si="100">O194/62/24</f>
        <v>0</v>
      </c>
      <c r="P195" s="555">
        <f t="shared" si="100"/>
        <v>0</v>
      </c>
      <c r="Q195" s="555">
        <f t="shared" ref="Q195" si="101">Q194/62/24</f>
        <v>0</v>
      </c>
      <c r="R195" s="221"/>
      <c r="S195" s="221"/>
      <c r="T195" s="221"/>
      <c r="U195" s="221"/>
      <c r="V195" s="221"/>
      <c r="W195" s="221"/>
      <c r="X195" s="221"/>
      <c r="Y195" s="221"/>
      <c r="Z195" s="221"/>
      <c r="AA195" s="221"/>
      <c r="AB195" s="221"/>
      <c r="AC195" s="221"/>
      <c r="AD195" s="221"/>
      <c r="AE195" s="221"/>
      <c r="AF195" s="221"/>
      <c r="AG195" s="221"/>
      <c r="AH195" s="221"/>
      <c r="AI195" s="13">
        <f>AVERAGE(D195:AE195)</f>
        <v>1.824116743471582E-3</v>
      </c>
      <c r="AJ195" s="6"/>
    </row>
    <row r="196" spans="1:36" ht="15.75" x14ac:dyDescent="0.25">
      <c r="B196" s="5" t="s">
        <v>116</v>
      </c>
      <c r="C196" s="1" t="s">
        <v>60</v>
      </c>
      <c r="D196" s="223">
        <f>D183-D184-D195</f>
        <v>2.8988386538319755E-3</v>
      </c>
      <c r="E196" s="539">
        <f t="shared" ref="E196:F196" si="102">E183-E184-E195</f>
        <v>3.4439837209527535E-3</v>
      </c>
      <c r="F196" s="539">
        <f t="shared" si="102"/>
        <v>3.028345082568426E-3</v>
      </c>
      <c r="G196" s="539">
        <f t="shared" ref="G196:I196" si="103">G183-G184-G195</f>
        <v>2.1932371697511444E-3</v>
      </c>
      <c r="H196" s="539">
        <f t="shared" si="103"/>
        <v>2.9528737698654439E-3</v>
      </c>
      <c r="I196" s="539">
        <f t="shared" si="103"/>
        <v>3.1411997287534854E-3</v>
      </c>
      <c r="J196" s="539">
        <f t="shared" ref="J196:L196" si="104">J183-J184-J195</f>
        <v>2.5610990742040984E-3</v>
      </c>
      <c r="K196" s="539">
        <f t="shared" si="104"/>
        <v>3.1445472083630466E-3</v>
      </c>
      <c r="L196" s="539">
        <f t="shared" si="104"/>
        <v>1.5023684911519798E-3</v>
      </c>
      <c r="M196" s="539">
        <f t="shared" ref="M196:N196" si="105">M183-M184-M195</f>
        <v>3.818268105185926E-3</v>
      </c>
      <c r="N196" s="539">
        <f t="shared" si="105"/>
        <v>2.7537527259825501E-3</v>
      </c>
      <c r="O196" s="539">
        <f t="shared" ref="O196:P196" si="106">O183-O184-O195</f>
        <v>3.2964545461968697E-3</v>
      </c>
      <c r="P196" s="539">
        <f t="shared" si="106"/>
        <v>3.1658733597795252E-3</v>
      </c>
      <c r="Q196" s="539">
        <f t="shared" ref="Q196" si="107">Q183-Q184-Q195</f>
        <v>3.0682307959025157E-3</v>
      </c>
      <c r="R196" s="223"/>
      <c r="S196" s="223"/>
      <c r="T196" s="223"/>
      <c r="U196" s="223"/>
      <c r="V196" s="223"/>
      <c r="W196" s="223"/>
      <c r="X196" s="223"/>
      <c r="Y196" s="223"/>
      <c r="Z196" s="223"/>
      <c r="AA196" s="223"/>
      <c r="AB196" s="223"/>
      <c r="AC196" s="223"/>
      <c r="AD196" s="223"/>
      <c r="AE196" s="223"/>
      <c r="AF196" s="223"/>
      <c r="AG196" s="223"/>
      <c r="AH196" s="223"/>
      <c r="AI196" s="49">
        <f>AVERAGEIF(D196:AE196,"&gt;0")</f>
        <v>2.92636231660641E-3</v>
      </c>
      <c r="AJ196" s="6"/>
    </row>
    <row r="198" spans="1:36" x14ac:dyDescent="0.25">
      <c r="B198" s="126" t="s">
        <v>292</v>
      </c>
      <c r="C198" s="306" t="s">
        <v>122</v>
      </c>
      <c r="D198" s="308">
        <f>IF(D181&gt;1,1,0)</f>
        <v>1</v>
      </c>
      <c r="E198" s="308">
        <f t="shared" ref="E198:AH198" si="108">IF(E181&gt;1,1,0)</f>
        <v>1</v>
      </c>
      <c r="F198" s="308">
        <f t="shared" si="108"/>
        <v>1</v>
      </c>
      <c r="G198" s="308">
        <f t="shared" si="108"/>
        <v>1</v>
      </c>
      <c r="H198" s="308">
        <f t="shared" si="108"/>
        <v>1</v>
      </c>
      <c r="I198" s="308">
        <f t="shared" si="108"/>
        <v>1</v>
      </c>
      <c r="J198" s="308">
        <f t="shared" si="108"/>
        <v>1</v>
      </c>
      <c r="K198" s="308">
        <f t="shared" si="108"/>
        <v>1</v>
      </c>
      <c r="L198" s="308">
        <f t="shared" si="108"/>
        <v>1</v>
      </c>
      <c r="M198" s="308">
        <f t="shared" si="108"/>
        <v>1</v>
      </c>
      <c r="N198" s="308">
        <f t="shared" si="108"/>
        <v>1</v>
      </c>
      <c r="O198" s="308">
        <f t="shared" si="108"/>
        <v>1</v>
      </c>
      <c r="P198" s="308">
        <f t="shared" si="108"/>
        <v>1</v>
      </c>
      <c r="Q198" s="308">
        <f t="shared" si="108"/>
        <v>1</v>
      </c>
      <c r="R198" s="308">
        <f t="shared" si="108"/>
        <v>0</v>
      </c>
      <c r="S198" s="308">
        <f t="shared" si="108"/>
        <v>0</v>
      </c>
      <c r="T198" s="308">
        <f t="shared" si="108"/>
        <v>0</v>
      </c>
      <c r="U198" s="308">
        <f t="shared" si="108"/>
        <v>0</v>
      </c>
      <c r="V198" s="308">
        <f t="shared" si="108"/>
        <v>0</v>
      </c>
      <c r="W198" s="308">
        <f t="shared" si="108"/>
        <v>0</v>
      </c>
      <c r="X198" s="308">
        <f t="shared" si="108"/>
        <v>0</v>
      </c>
      <c r="Y198" s="308">
        <f t="shared" si="108"/>
        <v>0</v>
      </c>
      <c r="Z198" s="308">
        <f t="shared" si="108"/>
        <v>0</v>
      </c>
      <c r="AA198" s="308">
        <f t="shared" si="108"/>
        <v>0</v>
      </c>
      <c r="AB198" s="308">
        <f t="shared" si="108"/>
        <v>0</v>
      </c>
      <c r="AC198" s="308">
        <f t="shared" si="108"/>
        <v>0</v>
      </c>
      <c r="AD198" s="308">
        <f t="shared" si="108"/>
        <v>0</v>
      </c>
      <c r="AE198" s="308">
        <f t="shared" si="108"/>
        <v>0</v>
      </c>
      <c r="AF198" s="308">
        <f t="shared" si="108"/>
        <v>0</v>
      </c>
      <c r="AG198" s="308">
        <f t="shared" si="108"/>
        <v>0</v>
      </c>
      <c r="AH198" s="308">
        <f t="shared" si="108"/>
        <v>0</v>
      </c>
      <c r="AI198" s="314">
        <f t="shared" ref="AI198" si="109">SUM(D198:AH198)</f>
        <v>14</v>
      </c>
    </row>
    <row r="200" spans="1:36" x14ac:dyDescent="0.25">
      <c r="AI200" s="346">
        <f>AI159+AI96</f>
        <v>65596.000000000291</v>
      </c>
    </row>
    <row r="202" spans="1:36" x14ac:dyDescent="0.25">
      <c r="A202" t="s">
        <v>31</v>
      </c>
      <c r="D202" s="187">
        <v>1</v>
      </c>
      <c r="E202" s="187">
        <v>2</v>
      </c>
      <c r="F202" s="187">
        <v>3</v>
      </c>
      <c r="G202" s="187">
        <v>4</v>
      </c>
      <c r="H202" s="187">
        <v>5</v>
      </c>
      <c r="I202" s="187">
        <v>6</v>
      </c>
      <c r="J202" s="187">
        <v>7</v>
      </c>
      <c r="K202" s="187">
        <v>8</v>
      </c>
      <c r="L202" s="187">
        <v>9</v>
      </c>
      <c r="M202" s="187">
        <v>10</v>
      </c>
      <c r="N202" s="187">
        <v>11</v>
      </c>
      <c r="O202" s="187">
        <v>12</v>
      </c>
      <c r="P202" s="187">
        <v>13</v>
      </c>
      <c r="Q202" s="187">
        <v>14</v>
      </c>
      <c r="R202" s="187">
        <v>15</v>
      </c>
      <c r="S202" s="187">
        <v>16</v>
      </c>
      <c r="T202" s="187">
        <v>17</v>
      </c>
      <c r="U202" s="187">
        <v>18</v>
      </c>
      <c r="V202" s="187">
        <v>19</v>
      </c>
      <c r="W202" s="187">
        <v>20</v>
      </c>
      <c r="X202" s="187">
        <v>21</v>
      </c>
      <c r="Y202" s="187">
        <v>22</v>
      </c>
      <c r="Z202" s="187">
        <v>23</v>
      </c>
      <c r="AA202" s="187">
        <v>24</v>
      </c>
      <c r="AB202" s="187">
        <v>25</v>
      </c>
      <c r="AC202" s="187">
        <v>26</v>
      </c>
      <c r="AD202" s="187">
        <v>27</v>
      </c>
      <c r="AE202" s="187">
        <v>28</v>
      </c>
      <c r="AF202" s="187">
        <v>29</v>
      </c>
      <c r="AG202" s="187">
        <v>30</v>
      </c>
      <c r="AH202" s="187">
        <v>31</v>
      </c>
      <c r="AI202" s="187"/>
      <c r="AJ202" s="6"/>
    </row>
    <row r="203" spans="1:36" x14ac:dyDescent="0.25">
      <c r="B203" s="21" t="s">
        <v>5</v>
      </c>
      <c r="C203" s="1" t="s">
        <v>6</v>
      </c>
      <c r="D203" s="191">
        <f>D78</f>
        <v>164.60001</v>
      </c>
      <c r="E203" s="553">
        <f>E78</f>
        <v>256</v>
      </c>
      <c r="F203" s="553">
        <f>F78</f>
        <v>226.89999</v>
      </c>
      <c r="G203" s="553">
        <f>G78</f>
        <v>202.2</v>
      </c>
      <c r="H203" s="553">
        <f t="shared" ref="H203:I203" si="110">H78</f>
        <v>272.70001000000002</v>
      </c>
      <c r="I203" s="553">
        <f t="shared" si="110"/>
        <v>282.89999999999998</v>
      </c>
      <c r="J203" s="553">
        <f t="shared" ref="J203:K203" si="111">J78</f>
        <v>257.60001</v>
      </c>
      <c r="K203" s="553">
        <f t="shared" si="111"/>
        <v>273.39999</v>
      </c>
      <c r="L203" s="553">
        <f t="shared" ref="L203:M203" si="112">L78</f>
        <v>256.5</v>
      </c>
      <c r="M203" s="553">
        <f t="shared" si="112"/>
        <v>231</v>
      </c>
      <c r="N203" s="553">
        <f t="shared" ref="N203:P203" si="113">N78</f>
        <v>248</v>
      </c>
      <c r="O203" s="553">
        <f t="shared" si="113"/>
        <v>222.7</v>
      </c>
      <c r="P203" s="553">
        <f t="shared" si="113"/>
        <v>153.89999</v>
      </c>
      <c r="Q203" s="553">
        <f t="shared" ref="Q203" si="114">Q78</f>
        <v>264.5</v>
      </c>
      <c r="R203" s="502"/>
      <c r="S203" s="502"/>
      <c r="T203" s="502"/>
      <c r="U203" s="502"/>
      <c r="V203" s="502"/>
      <c r="W203" s="518"/>
      <c r="X203" s="535"/>
      <c r="Y203" s="535"/>
      <c r="Z203" s="535"/>
      <c r="AA203" s="535"/>
      <c r="AB203" s="535"/>
      <c r="AC203" s="535"/>
      <c r="AD203" s="553"/>
      <c r="AE203" s="553"/>
      <c r="AF203" s="553"/>
      <c r="AG203" s="553"/>
      <c r="AH203" s="553"/>
      <c r="AI203" s="192">
        <f>+SUM(D203:AH203)</f>
        <v>3312.8999999999996</v>
      </c>
    </row>
    <row r="204" spans="1:36" x14ac:dyDescent="0.25">
      <c r="B204" s="21" t="s">
        <v>7</v>
      </c>
      <c r="C204" s="1" t="s">
        <v>6</v>
      </c>
      <c r="D204" s="191">
        <f t="shared" ref="D204:E220" si="115">D79</f>
        <v>164.39999</v>
      </c>
      <c r="E204" s="553">
        <f t="shared" si="115"/>
        <v>256.79998999999998</v>
      </c>
      <c r="F204" s="553">
        <f t="shared" ref="F204:G204" si="116">F79</f>
        <v>229.89999</v>
      </c>
      <c r="G204" s="553">
        <f t="shared" si="116"/>
        <v>206</v>
      </c>
      <c r="H204" s="553">
        <f t="shared" ref="H204:I204" si="117">H79</f>
        <v>275</v>
      </c>
      <c r="I204" s="553">
        <f t="shared" si="117"/>
        <v>272.10000000000002</v>
      </c>
      <c r="J204" s="553">
        <f t="shared" ref="J204:K204" si="118">J79</f>
        <v>267.20001000000002</v>
      </c>
      <c r="K204" s="553">
        <f t="shared" si="118"/>
        <v>272.29998999999998</v>
      </c>
      <c r="L204" s="553">
        <f t="shared" ref="L204:M204" si="119">L79</f>
        <v>224.7</v>
      </c>
      <c r="M204" s="553">
        <f t="shared" si="119"/>
        <v>183.2</v>
      </c>
      <c r="N204" s="553">
        <f t="shared" ref="N204:P204" si="120">N79</f>
        <v>245.7</v>
      </c>
      <c r="O204" s="553">
        <f t="shared" si="120"/>
        <v>223</v>
      </c>
      <c r="P204" s="553">
        <f t="shared" si="120"/>
        <v>138.5</v>
      </c>
      <c r="Q204" s="553">
        <f t="shared" ref="Q204" si="121">Q79</f>
        <v>174</v>
      </c>
      <c r="R204" s="502"/>
      <c r="S204" s="502"/>
      <c r="T204" s="502"/>
      <c r="U204" s="502"/>
      <c r="V204" s="502"/>
      <c r="W204" s="518"/>
      <c r="X204" s="535"/>
      <c r="Y204" s="535"/>
      <c r="Z204" s="535"/>
      <c r="AA204" s="535"/>
      <c r="AB204" s="535"/>
      <c r="AC204" s="535"/>
      <c r="AD204" s="553"/>
      <c r="AE204" s="553"/>
      <c r="AF204" s="553"/>
      <c r="AG204" s="553"/>
      <c r="AH204" s="553"/>
      <c r="AI204" s="192">
        <f t="shared" ref="AI204:AI225" si="122">+SUM(D204:AH204)</f>
        <v>3132.7999699999996</v>
      </c>
    </row>
    <row r="205" spans="1:36" x14ac:dyDescent="0.25">
      <c r="B205" s="21" t="s">
        <v>8</v>
      </c>
      <c r="C205" s="1" t="s">
        <v>6</v>
      </c>
      <c r="D205" s="191">
        <f t="shared" si="115"/>
        <v>161.60001</v>
      </c>
      <c r="E205" s="553">
        <f t="shared" si="115"/>
        <v>252.8</v>
      </c>
      <c r="F205" s="553">
        <f t="shared" ref="F205:G205" si="123">F80</f>
        <v>229.8</v>
      </c>
      <c r="G205" s="553">
        <f t="shared" si="123"/>
        <v>205.8</v>
      </c>
      <c r="H205" s="553">
        <f t="shared" ref="H205:I205" si="124">H80</f>
        <v>270.79998999999998</v>
      </c>
      <c r="I205" s="553">
        <f t="shared" si="124"/>
        <v>268.2</v>
      </c>
      <c r="J205" s="553">
        <f t="shared" ref="J205:K205" si="125">J80</f>
        <v>264.10001</v>
      </c>
      <c r="K205" s="553">
        <f t="shared" si="125"/>
        <v>269.10001</v>
      </c>
      <c r="L205" s="553">
        <f t="shared" ref="L205:M205" si="126">L80</f>
        <v>224.2</v>
      </c>
      <c r="M205" s="553">
        <f t="shared" si="126"/>
        <v>183.8</v>
      </c>
      <c r="N205" s="553">
        <f t="shared" ref="N205:P205" si="127">N80</f>
        <v>243</v>
      </c>
      <c r="O205" s="553">
        <f t="shared" si="127"/>
        <v>218.2</v>
      </c>
      <c r="P205" s="553">
        <f t="shared" si="127"/>
        <v>138.5</v>
      </c>
      <c r="Q205" s="553">
        <f t="shared" ref="Q205" si="128">Q80</f>
        <v>186.60001</v>
      </c>
      <c r="R205" s="502"/>
      <c r="S205" s="502"/>
      <c r="T205" s="502"/>
      <c r="U205" s="502"/>
      <c r="V205" s="502"/>
      <c r="W205" s="518"/>
      <c r="X205" s="535"/>
      <c r="Y205" s="535"/>
      <c r="Z205" s="535"/>
      <c r="AA205" s="535"/>
      <c r="AB205" s="535"/>
      <c r="AC205" s="535"/>
      <c r="AD205" s="553"/>
      <c r="AE205" s="553"/>
      <c r="AF205" s="553"/>
      <c r="AG205" s="553"/>
      <c r="AH205" s="553"/>
      <c r="AI205" s="192">
        <f t="shared" si="122"/>
        <v>3116.5000300000002</v>
      </c>
    </row>
    <row r="206" spans="1:36" x14ac:dyDescent="0.25">
      <c r="B206" s="21" t="s">
        <v>9</v>
      </c>
      <c r="C206" s="1" t="s">
        <v>6</v>
      </c>
      <c r="D206" s="191">
        <f t="shared" si="115"/>
        <v>165.39999</v>
      </c>
      <c r="E206" s="553">
        <f t="shared" si="115"/>
        <v>258.70001000000002</v>
      </c>
      <c r="F206" s="553">
        <f t="shared" ref="F206:G206" si="129">F81</f>
        <v>232.2</v>
      </c>
      <c r="G206" s="553">
        <f t="shared" si="129"/>
        <v>209.10001</v>
      </c>
      <c r="H206" s="553">
        <f t="shared" ref="H206:I206" si="130">H81</f>
        <v>276</v>
      </c>
      <c r="I206" s="553">
        <f t="shared" si="130"/>
        <v>273.2</v>
      </c>
      <c r="J206" s="553">
        <f t="shared" ref="J206:K206" si="131">J81</f>
        <v>265.79998999999998</v>
      </c>
      <c r="K206" s="553">
        <f t="shared" si="131"/>
        <v>270.29998999999998</v>
      </c>
      <c r="L206" s="553">
        <f t="shared" ref="L206:M206" si="132">L81</f>
        <v>223.8</v>
      </c>
      <c r="M206" s="553">
        <f t="shared" si="132"/>
        <v>184.2</v>
      </c>
      <c r="N206" s="553">
        <f t="shared" ref="N206:P206" si="133">N81</f>
        <v>245</v>
      </c>
      <c r="O206" s="553">
        <f t="shared" si="133"/>
        <v>220.60001</v>
      </c>
      <c r="P206" s="553">
        <f t="shared" si="133"/>
        <v>141.69999999999999</v>
      </c>
      <c r="Q206" s="553">
        <f t="shared" ref="Q206" si="134">Q81</f>
        <v>173.39999</v>
      </c>
      <c r="R206" s="502"/>
      <c r="S206" s="502"/>
      <c r="T206" s="502"/>
      <c r="U206" s="502"/>
      <c r="V206" s="502"/>
      <c r="W206" s="518"/>
      <c r="X206" s="535"/>
      <c r="Y206" s="535"/>
      <c r="Z206" s="535"/>
      <c r="AA206" s="535"/>
      <c r="AB206" s="535"/>
      <c r="AC206" s="535"/>
      <c r="AD206" s="553"/>
      <c r="AE206" s="553"/>
      <c r="AF206" s="553"/>
      <c r="AG206" s="553"/>
      <c r="AH206" s="553"/>
      <c r="AI206" s="192">
        <f t="shared" si="122"/>
        <v>3139.3999899999994</v>
      </c>
    </row>
    <row r="207" spans="1:36" x14ac:dyDescent="0.25">
      <c r="B207" s="21" t="s">
        <v>10</v>
      </c>
      <c r="C207" s="1" t="s">
        <v>6</v>
      </c>
      <c r="D207" s="191">
        <f t="shared" si="115"/>
        <v>148.89999</v>
      </c>
      <c r="E207" s="553">
        <f t="shared" si="115"/>
        <v>235.89999</v>
      </c>
      <c r="F207" s="553">
        <f t="shared" ref="F207:G207" si="135">F82</f>
        <v>212.2</v>
      </c>
      <c r="G207" s="553">
        <f t="shared" si="135"/>
        <v>191.3</v>
      </c>
      <c r="H207" s="553">
        <f t="shared" ref="H207:I207" si="136">H82</f>
        <v>239.5</v>
      </c>
      <c r="I207" s="553">
        <f t="shared" si="136"/>
        <v>237</v>
      </c>
      <c r="J207" s="553">
        <f t="shared" ref="J207:K207" si="137">J82</f>
        <v>246</v>
      </c>
      <c r="K207" s="553">
        <f t="shared" si="137"/>
        <v>251.2</v>
      </c>
      <c r="L207" s="553">
        <f t="shared" ref="L207:M207" si="138">L82</f>
        <v>211.10001</v>
      </c>
      <c r="M207" s="553">
        <f t="shared" si="138"/>
        <v>175</v>
      </c>
      <c r="N207" s="553">
        <f t="shared" ref="N207:P207" si="139">N82</f>
        <v>225.60001</v>
      </c>
      <c r="O207" s="553">
        <f t="shared" si="139"/>
        <v>204.10001</v>
      </c>
      <c r="P207" s="553">
        <f t="shared" si="139"/>
        <v>126.6</v>
      </c>
      <c r="Q207" s="553">
        <f t="shared" ref="Q207" si="140">Q82</f>
        <v>163.60001</v>
      </c>
      <c r="R207" s="502"/>
      <c r="S207" s="502"/>
      <c r="T207" s="502"/>
      <c r="U207" s="502"/>
      <c r="V207" s="502"/>
      <c r="W207" s="518"/>
      <c r="X207" s="535"/>
      <c r="Y207" s="535"/>
      <c r="Z207" s="535"/>
      <c r="AA207" s="535"/>
      <c r="AB207" s="535"/>
      <c r="AC207" s="535"/>
      <c r="AD207" s="553"/>
      <c r="AE207" s="553"/>
      <c r="AF207" s="553"/>
      <c r="AG207" s="553"/>
      <c r="AH207" s="553"/>
      <c r="AI207" s="192">
        <f t="shared" si="122"/>
        <v>2868.0000200000004</v>
      </c>
    </row>
    <row r="208" spans="1:36" x14ac:dyDescent="0.25">
      <c r="B208" s="21" t="s">
        <v>11</v>
      </c>
      <c r="C208" s="1" t="s">
        <v>6</v>
      </c>
      <c r="D208" s="191">
        <f t="shared" si="115"/>
        <v>148.30000000000001</v>
      </c>
      <c r="E208" s="553">
        <f t="shared" si="115"/>
        <v>234.39999</v>
      </c>
      <c r="F208" s="553">
        <f t="shared" ref="F208:G208" si="141">F83</f>
        <v>209.7</v>
      </c>
      <c r="G208" s="553">
        <f t="shared" si="141"/>
        <v>188.10001</v>
      </c>
      <c r="H208" s="553">
        <f t="shared" ref="H208:I208" si="142">H83</f>
        <v>248.3</v>
      </c>
      <c r="I208" s="553">
        <f t="shared" si="142"/>
        <v>247</v>
      </c>
      <c r="J208" s="553">
        <f t="shared" ref="J208:K208" si="143">J83</f>
        <v>247.8</v>
      </c>
      <c r="K208" s="553">
        <f t="shared" si="143"/>
        <v>253.10001</v>
      </c>
      <c r="L208" s="553">
        <f t="shared" ref="L208:M208" si="144">L83</f>
        <v>215.10001</v>
      </c>
      <c r="M208" s="553">
        <f t="shared" si="144"/>
        <v>178.60001</v>
      </c>
      <c r="N208" s="553">
        <f t="shared" ref="N208:P208" si="145">N83</f>
        <v>230.2</v>
      </c>
      <c r="O208" s="553">
        <f t="shared" si="145"/>
        <v>206.39999</v>
      </c>
      <c r="P208" s="553">
        <f t="shared" si="145"/>
        <v>133.30000000000001</v>
      </c>
      <c r="Q208" s="553">
        <f t="shared" ref="Q208" si="146">Q83</f>
        <v>165.89999</v>
      </c>
      <c r="R208" s="502"/>
      <c r="S208" s="502"/>
      <c r="T208" s="502"/>
      <c r="U208" s="502"/>
      <c r="V208" s="502"/>
      <c r="W208" s="518"/>
      <c r="X208" s="535"/>
      <c r="Y208" s="535"/>
      <c r="Z208" s="535"/>
      <c r="AA208" s="535"/>
      <c r="AB208" s="535"/>
      <c r="AC208" s="535"/>
      <c r="AD208" s="553"/>
      <c r="AE208" s="553"/>
      <c r="AF208" s="553"/>
      <c r="AG208" s="553"/>
      <c r="AH208" s="553"/>
      <c r="AI208" s="192">
        <f t="shared" si="122"/>
        <v>2906.20001</v>
      </c>
    </row>
    <row r="209" spans="2:36" x14ac:dyDescent="0.25">
      <c r="B209" s="21" t="s">
        <v>12</v>
      </c>
      <c r="C209" s="1" t="s">
        <v>6</v>
      </c>
      <c r="D209" s="191">
        <f t="shared" si="115"/>
        <v>145.39999</v>
      </c>
      <c r="E209" s="553">
        <f t="shared" si="115"/>
        <v>230.10001</v>
      </c>
      <c r="F209" s="553">
        <f t="shared" ref="F209:G209" si="147">F84</f>
        <v>204.8</v>
      </c>
      <c r="G209" s="553">
        <f t="shared" si="147"/>
        <v>186.39999</v>
      </c>
      <c r="H209" s="553">
        <f t="shared" ref="H209:I209" si="148">H84</f>
        <v>248.60001</v>
      </c>
      <c r="I209" s="553">
        <f t="shared" si="148"/>
        <v>248.3</v>
      </c>
      <c r="J209" s="553">
        <f t="shared" ref="J209:K209" si="149">J84</f>
        <v>244.3</v>
      </c>
      <c r="K209" s="553">
        <f t="shared" si="149"/>
        <v>248.39999</v>
      </c>
      <c r="L209" s="553">
        <f t="shared" ref="L209:M209" si="150">L84</f>
        <v>210.3</v>
      </c>
      <c r="M209" s="553">
        <f t="shared" si="150"/>
        <v>177.7</v>
      </c>
      <c r="N209" s="553">
        <f t="shared" ref="N209:P209" si="151">N84</f>
        <v>225.3</v>
      </c>
      <c r="O209" s="553">
        <f t="shared" si="151"/>
        <v>202.7</v>
      </c>
      <c r="P209" s="553">
        <f t="shared" si="151"/>
        <v>127.3</v>
      </c>
      <c r="Q209" s="553">
        <f t="shared" ref="Q209" si="152">Q84</f>
        <v>162.10001</v>
      </c>
      <c r="R209" s="502"/>
      <c r="S209" s="502"/>
      <c r="T209" s="502"/>
      <c r="U209" s="502"/>
      <c r="V209" s="502"/>
      <c r="W209" s="518"/>
      <c r="X209" s="535"/>
      <c r="Y209" s="535"/>
      <c r="Z209" s="535"/>
      <c r="AA209" s="535"/>
      <c r="AB209" s="535"/>
      <c r="AC209" s="535"/>
      <c r="AD209" s="553"/>
      <c r="AE209" s="553"/>
      <c r="AF209" s="553"/>
      <c r="AG209" s="553"/>
      <c r="AH209" s="553"/>
      <c r="AI209" s="192">
        <f t="shared" si="122"/>
        <v>2861.7000000000003</v>
      </c>
    </row>
    <row r="210" spans="2:36" x14ac:dyDescent="0.25">
      <c r="B210" s="21" t="s">
        <v>13</v>
      </c>
      <c r="C210" s="1" t="s">
        <v>6</v>
      </c>
      <c r="D210" s="191">
        <f t="shared" si="115"/>
        <v>147.80000000000001</v>
      </c>
      <c r="E210" s="553">
        <f t="shared" si="115"/>
        <v>233.60001</v>
      </c>
      <c r="F210" s="553">
        <f t="shared" ref="F210:G210" si="153">F85</f>
        <v>207.2</v>
      </c>
      <c r="G210" s="553">
        <f t="shared" si="153"/>
        <v>186</v>
      </c>
      <c r="H210" s="553">
        <f t="shared" ref="H210:I210" si="154">H85</f>
        <v>248.60001</v>
      </c>
      <c r="I210" s="553">
        <f t="shared" si="154"/>
        <v>246.6</v>
      </c>
      <c r="J210" s="553">
        <f t="shared" ref="J210:K210" si="155">J85</f>
        <v>240.60001</v>
      </c>
      <c r="K210" s="553">
        <f t="shared" si="155"/>
        <v>241.39999</v>
      </c>
      <c r="L210" s="553">
        <f t="shared" ref="L210:M210" si="156">L85</f>
        <v>208.39999</v>
      </c>
      <c r="M210" s="553">
        <f t="shared" si="156"/>
        <v>175.89999</v>
      </c>
      <c r="N210" s="553">
        <f t="shared" ref="N210:P210" si="157">N85</f>
        <v>222.8</v>
      </c>
      <c r="O210" s="553">
        <f t="shared" si="157"/>
        <v>198.89999</v>
      </c>
      <c r="P210" s="553">
        <f t="shared" si="157"/>
        <v>127.2</v>
      </c>
      <c r="Q210" s="553">
        <f t="shared" ref="Q210" si="158">Q85</f>
        <v>173.5</v>
      </c>
      <c r="R210" s="502"/>
      <c r="S210" s="502"/>
      <c r="T210" s="502"/>
      <c r="U210" s="502"/>
      <c r="V210" s="502"/>
      <c r="W210" s="518"/>
      <c r="X210" s="535"/>
      <c r="Y210" s="535"/>
      <c r="Z210" s="535"/>
      <c r="AA210" s="535"/>
      <c r="AB210" s="535"/>
      <c r="AC210" s="535"/>
      <c r="AD210" s="553"/>
      <c r="AE210" s="553"/>
      <c r="AF210" s="553"/>
      <c r="AG210" s="553"/>
      <c r="AH210" s="553"/>
      <c r="AI210" s="192">
        <f t="shared" si="122"/>
        <v>2858.4999899999993</v>
      </c>
    </row>
    <row r="211" spans="2:36" x14ac:dyDescent="0.25">
      <c r="B211" s="21" t="s">
        <v>14</v>
      </c>
      <c r="C211" s="1" t="s">
        <v>6</v>
      </c>
      <c r="D211" s="191">
        <f t="shared" si="115"/>
        <v>145.69999999999999</v>
      </c>
      <c r="E211" s="553">
        <f t="shared" si="115"/>
        <v>229.5</v>
      </c>
      <c r="F211" s="553">
        <f t="shared" ref="F211:G211" si="159">F86</f>
        <v>206.7</v>
      </c>
      <c r="G211" s="553">
        <f t="shared" si="159"/>
        <v>185.7</v>
      </c>
      <c r="H211" s="553">
        <f t="shared" ref="H211:I211" si="160">H86</f>
        <v>228.89999</v>
      </c>
      <c r="I211" s="553">
        <f t="shared" si="160"/>
        <v>253</v>
      </c>
      <c r="J211" s="553">
        <f t="shared" ref="J211:K211" si="161">J86</f>
        <v>239.7</v>
      </c>
      <c r="K211" s="553">
        <f t="shared" si="161"/>
        <v>238</v>
      </c>
      <c r="L211" s="553">
        <f t="shared" ref="L211:M211" si="162">L86</f>
        <v>205.89999</v>
      </c>
      <c r="M211" s="553">
        <f t="shared" si="162"/>
        <v>175.39999</v>
      </c>
      <c r="N211" s="553">
        <f t="shared" ref="N211:P211" si="163">N86</f>
        <v>220.3</v>
      </c>
      <c r="O211" s="553">
        <f t="shared" si="163"/>
        <v>198.2</v>
      </c>
      <c r="P211" s="553">
        <f t="shared" si="163"/>
        <v>122.8</v>
      </c>
      <c r="Q211" s="553">
        <f t="shared" ref="Q211" si="164">Q86</f>
        <v>155.30000000000001</v>
      </c>
      <c r="R211" s="502"/>
      <c r="S211" s="502"/>
      <c r="T211" s="502"/>
      <c r="U211" s="502"/>
      <c r="V211" s="502"/>
      <c r="W211" s="518"/>
      <c r="X211" s="535"/>
      <c r="Y211" s="535"/>
      <c r="Z211" s="535"/>
      <c r="AA211" s="535"/>
      <c r="AB211" s="535"/>
      <c r="AC211" s="535"/>
      <c r="AD211" s="553"/>
      <c r="AE211" s="553"/>
      <c r="AF211" s="553"/>
      <c r="AG211" s="553"/>
      <c r="AH211" s="553"/>
      <c r="AI211" s="192">
        <f t="shared" si="122"/>
        <v>2805.0999700000002</v>
      </c>
    </row>
    <row r="212" spans="2:36" x14ac:dyDescent="0.25">
      <c r="B212" s="21" t="s">
        <v>15</v>
      </c>
      <c r="C212" s="1" t="s">
        <v>6</v>
      </c>
      <c r="D212" s="191">
        <f t="shared" si="115"/>
        <v>150.89999</v>
      </c>
      <c r="E212" s="553">
        <f t="shared" si="115"/>
        <v>238.8</v>
      </c>
      <c r="F212" s="553">
        <f t="shared" ref="F212:G212" si="165">F87</f>
        <v>214.60001</v>
      </c>
      <c r="G212" s="553">
        <f t="shared" si="165"/>
        <v>194.2</v>
      </c>
      <c r="H212" s="553">
        <f t="shared" ref="H212:I212" si="166">H87</f>
        <v>248.3</v>
      </c>
      <c r="I212" s="553">
        <f t="shared" si="166"/>
        <v>252</v>
      </c>
      <c r="J212" s="553">
        <f t="shared" ref="J212:K212" si="167">J87</f>
        <v>229</v>
      </c>
      <c r="K212" s="553">
        <f t="shared" si="167"/>
        <v>248.3</v>
      </c>
      <c r="L212" s="553">
        <f t="shared" ref="L212:M212" si="168">L87</f>
        <v>212.5</v>
      </c>
      <c r="M212" s="553">
        <f t="shared" si="168"/>
        <v>175.60001</v>
      </c>
      <c r="N212" s="553">
        <f t="shared" ref="N212:P212" si="169">N87</f>
        <v>226.39999</v>
      </c>
      <c r="O212" s="553">
        <f t="shared" si="169"/>
        <v>203.3</v>
      </c>
      <c r="P212" s="553">
        <f t="shared" si="169"/>
        <v>123.5</v>
      </c>
      <c r="Q212" s="553">
        <f t="shared" ref="Q212" si="170">Q87</f>
        <v>170.60001</v>
      </c>
      <c r="R212" s="502"/>
      <c r="S212" s="502"/>
      <c r="T212" s="502"/>
      <c r="U212" s="502"/>
      <c r="V212" s="502"/>
      <c r="W212" s="518"/>
      <c r="X212" s="535"/>
      <c r="Y212" s="535"/>
      <c r="Z212" s="535"/>
      <c r="AA212" s="535"/>
      <c r="AB212" s="535"/>
      <c r="AC212" s="535"/>
      <c r="AD212" s="553"/>
      <c r="AE212" s="553"/>
      <c r="AF212" s="553"/>
      <c r="AG212" s="553"/>
      <c r="AH212" s="553"/>
      <c r="AI212" s="192">
        <f t="shared" si="122"/>
        <v>2888.0000100000002</v>
      </c>
    </row>
    <row r="213" spans="2:36" x14ac:dyDescent="0.25">
      <c r="B213" s="21" t="s">
        <v>16</v>
      </c>
      <c r="C213" s="1" t="s">
        <v>6</v>
      </c>
      <c r="D213" s="191">
        <f t="shared" si="115"/>
        <v>148.80000000000001</v>
      </c>
      <c r="E213" s="553">
        <f t="shared" si="115"/>
        <v>242</v>
      </c>
      <c r="F213" s="553">
        <f t="shared" ref="F213:G213" si="171">F88</f>
        <v>215.39999</v>
      </c>
      <c r="G213" s="553">
        <f t="shared" si="171"/>
        <v>194.10001</v>
      </c>
      <c r="H213" s="553">
        <f t="shared" ref="H213:I213" si="172">H88</f>
        <v>257.89999</v>
      </c>
      <c r="I213" s="553">
        <f t="shared" si="172"/>
        <v>255.1</v>
      </c>
      <c r="J213" s="553">
        <f t="shared" ref="J213:K213" si="173">J88</f>
        <v>230.60001</v>
      </c>
      <c r="K213" s="553">
        <f t="shared" si="173"/>
        <v>252.7</v>
      </c>
      <c r="L213" s="553">
        <f t="shared" ref="L213:M213" si="174">L88</f>
        <v>216.10001</v>
      </c>
      <c r="M213" s="553">
        <f t="shared" si="174"/>
        <v>178.7</v>
      </c>
      <c r="N213" s="553">
        <f t="shared" ref="N213:P213" si="175">N88</f>
        <v>232</v>
      </c>
      <c r="O213" s="553">
        <f t="shared" si="175"/>
        <v>209.10001</v>
      </c>
      <c r="P213" s="553">
        <f t="shared" si="175"/>
        <v>125.6</v>
      </c>
      <c r="Q213" s="553">
        <f t="shared" ref="Q213" si="176">Q88</f>
        <v>174</v>
      </c>
      <c r="R213" s="502"/>
      <c r="S213" s="502"/>
      <c r="T213" s="502"/>
      <c r="U213" s="502"/>
      <c r="V213" s="502"/>
      <c r="W213" s="518"/>
      <c r="X213" s="535"/>
      <c r="Y213" s="535"/>
      <c r="Z213" s="535"/>
      <c r="AA213" s="535"/>
      <c r="AB213" s="535"/>
      <c r="AC213" s="535"/>
      <c r="AD213" s="553"/>
      <c r="AE213" s="553"/>
      <c r="AF213" s="553"/>
      <c r="AG213" s="553"/>
      <c r="AH213" s="553"/>
      <c r="AI213" s="192">
        <f t="shared" si="122"/>
        <v>2932.1000199999999</v>
      </c>
    </row>
    <row r="214" spans="2:36" x14ac:dyDescent="0.25">
      <c r="B214" s="21" t="s">
        <v>17</v>
      </c>
      <c r="C214" s="1" t="s">
        <v>6</v>
      </c>
      <c r="D214" s="191">
        <f t="shared" si="115"/>
        <v>150.5</v>
      </c>
      <c r="E214" s="553">
        <f t="shared" si="115"/>
        <v>238.2</v>
      </c>
      <c r="F214" s="553">
        <f t="shared" ref="F214:G214" si="177">F89</f>
        <v>214</v>
      </c>
      <c r="G214" s="553">
        <f t="shared" si="177"/>
        <v>192.3</v>
      </c>
      <c r="H214" s="553">
        <f t="shared" ref="H214:I214" si="178">H89</f>
        <v>252.60001</v>
      </c>
      <c r="I214" s="553">
        <f t="shared" si="178"/>
        <v>249.3</v>
      </c>
      <c r="J214" s="553">
        <f t="shared" ref="J214:K214" si="179">J89</f>
        <v>224.10001</v>
      </c>
      <c r="K214" s="553">
        <f t="shared" si="179"/>
        <v>241.5</v>
      </c>
      <c r="L214" s="553">
        <f t="shared" ref="L214:M214" si="180">L89</f>
        <v>210</v>
      </c>
      <c r="M214" s="553">
        <f t="shared" si="180"/>
        <v>173.60001</v>
      </c>
      <c r="N214" s="553">
        <f t="shared" ref="N214:P214" si="181">N89</f>
        <v>221.8</v>
      </c>
      <c r="O214" s="553">
        <f t="shared" si="181"/>
        <v>200.39999</v>
      </c>
      <c r="P214" s="553">
        <f t="shared" si="181"/>
        <v>119.6</v>
      </c>
      <c r="Q214" s="553">
        <f t="shared" ref="Q214" si="182">Q89</f>
        <v>166.8</v>
      </c>
      <c r="R214" s="502"/>
      <c r="S214" s="502"/>
      <c r="T214" s="502"/>
      <c r="U214" s="502"/>
      <c r="V214" s="502"/>
      <c r="W214" s="518"/>
      <c r="X214" s="535"/>
      <c r="Y214" s="535"/>
      <c r="Z214" s="535"/>
      <c r="AA214" s="535"/>
      <c r="AB214" s="535"/>
      <c r="AC214" s="535"/>
      <c r="AD214" s="553"/>
      <c r="AE214" s="553"/>
      <c r="AF214" s="553"/>
      <c r="AG214" s="553"/>
      <c r="AH214" s="553"/>
      <c r="AI214" s="192">
        <f t="shared" si="122"/>
        <v>2854.7000200000002</v>
      </c>
    </row>
    <row r="215" spans="2:36" x14ac:dyDescent="0.25">
      <c r="B215" s="21" t="s">
        <v>18</v>
      </c>
      <c r="C215" s="1" t="s">
        <v>6</v>
      </c>
      <c r="D215" s="191">
        <f t="shared" si="115"/>
        <v>153.60001</v>
      </c>
      <c r="E215" s="553">
        <f t="shared" si="115"/>
        <v>247.10001</v>
      </c>
      <c r="F215" s="553">
        <f t="shared" ref="F215:G215" si="183">F90</f>
        <v>218.3</v>
      </c>
      <c r="G215" s="553">
        <f t="shared" si="183"/>
        <v>196.8</v>
      </c>
      <c r="H215" s="553">
        <f t="shared" ref="H215:I215" si="184">H90</f>
        <v>258.5</v>
      </c>
      <c r="I215" s="553">
        <f t="shared" si="184"/>
        <v>254.9</v>
      </c>
      <c r="J215" s="553">
        <f t="shared" ref="J215:K215" si="185">J90</f>
        <v>230.5</v>
      </c>
      <c r="K215" s="553">
        <f t="shared" si="185"/>
        <v>245.7</v>
      </c>
      <c r="L215" s="553">
        <f t="shared" ref="L215:M215" si="186">L90</f>
        <v>218.60001</v>
      </c>
      <c r="M215" s="553">
        <f t="shared" si="186"/>
        <v>180.39999</v>
      </c>
      <c r="N215" s="553">
        <f t="shared" ref="N215:P215" si="187">N90</f>
        <v>234.39999</v>
      </c>
      <c r="O215" s="553">
        <f t="shared" si="187"/>
        <v>211.39999</v>
      </c>
      <c r="P215" s="553">
        <f t="shared" si="187"/>
        <v>127.3</v>
      </c>
      <c r="Q215" s="553">
        <f t="shared" ref="Q215" si="188">Q90</f>
        <v>186.2</v>
      </c>
      <c r="R215" s="502"/>
      <c r="S215" s="502"/>
      <c r="T215" s="502"/>
      <c r="U215" s="502"/>
      <c r="V215" s="502"/>
      <c r="W215" s="518"/>
      <c r="X215" s="535"/>
      <c r="Y215" s="535"/>
      <c r="Z215" s="535"/>
      <c r="AA215" s="535"/>
      <c r="AB215" s="535"/>
      <c r="AC215" s="535"/>
      <c r="AD215" s="553"/>
      <c r="AE215" s="553"/>
      <c r="AF215" s="553"/>
      <c r="AG215" s="553"/>
      <c r="AH215" s="553"/>
      <c r="AI215" s="192">
        <f t="shared" si="122"/>
        <v>2963.7</v>
      </c>
    </row>
    <row r="216" spans="2:36" x14ac:dyDescent="0.25">
      <c r="B216" s="21" t="s">
        <v>19</v>
      </c>
      <c r="C216" s="1" t="s">
        <v>6</v>
      </c>
      <c r="D216" s="191">
        <f t="shared" si="115"/>
        <v>153.60001</v>
      </c>
      <c r="E216" s="553">
        <f t="shared" si="115"/>
        <v>249.39999</v>
      </c>
      <c r="F216" s="553">
        <f t="shared" ref="F216:G216" si="189">F91</f>
        <v>222.39999</v>
      </c>
      <c r="G216" s="553">
        <f t="shared" si="189"/>
        <v>201.60001</v>
      </c>
      <c r="H216" s="553">
        <f t="shared" ref="H216:I216" si="190">H91</f>
        <v>262.39999</v>
      </c>
      <c r="I216" s="553">
        <f t="shared" si="190"/>
        <v>259.2</v>
      </c>
      <c r="J216" s="553">
        <f t="shared" ref="J216:K216" si="191">J91</f>
        <v>234.10001</v>
      </c>
      <c r="K216" s="553">
        <f t="shared" si="191"/>
        <v>249.5</v>
      </c>
      <c r="L216" s="553">
        <f t="shared" ref="L216:M216" si="192">L91</f>
        <v>220.60001</v>
      </c>
      <c r="M216" s="553">
        <f t="shared" si="192"/>
        <v>180.2</v>
      </c>
      <c r="N216" s="553">
        <f t="shared" ref="N216:P216" si="193">N91</f>
        <v>236.7</v>
      </c>
      <c r="O216" s="553">
        <f t="shared" si="193"/>
        <v>214</v>
      </c>
      <c r="P216" s="553">
        <f t="shared" si="193"/>
        <v>126.6</v>
      </c>
      <c r="Q216" s="553">
        <f t="shared" ref="Q216" si="194">Q91</f>
        <v>174.5</v>
      </c>
      <c r="R216" s="502"/>
      <c r="S216" s="502"/>
      <c r="T216" s="502"/>
      <c r="U216" s="502"/>
      <c r="V216" s="502"/>
      <c r="W216" s="518"/>
      <c r="X216" s="535"/>
      <c r="Y216" s="535"/>
      <c r="Z216" s="535"/>
      <c r="AA216" s="535"/>
      <c r="AB216" s="535"/>
      <c r="AC216" s="535"/>
      <c r="AD216" s="553"/>
      <c r="AE216" s="553"/>
      <c r="AF216" s="553"/>
      <c r="AG216" s="553"/>
      <c r="AH216" s="553"/>
      <c r="AI216" s="192">
        <f t="shared" si="122"/>
        <v>2984.8000099999995</v>
      </c>
    </row>
    <row r="217" spans="2:36" x14ac:dyDescent="0.25">
      <c r="B217" s="21" t="s">
        <v>20</v>
      </c>
      <c r="C217" s="1" t="s">
        <v>6</v>
      </c>
      <c r="D217" s="191">
        <f t="shared" si="115"/>
        <v>154.10001</v>
      </c>
      <c r="E217" s="553">
        <f t="shared" si="115"/>
        <v>249.60001</v>
      </c>
      <c r="F217" s="553">
        <f t="shared" ref="F217:G217" si="195">F92</f>
        <v>219.89999</v>
      </c>
      <c r="G217" s="553">
        <f t="shared" si="195"/>
        <v>201.3</v>
      </c>
      <c r="H217" s="553">
        <f t="shared" ref="H217:I217" si="196">H92</f>
        <v>262.5</v>
      </c>
      <c r="I217" s="553">
        <f t="shared" si="196"/>
        <v>257</v>
      </c>
      <c r="J217" s="553">
        <f t="shared" ref="J217:K217" si="197">J92</f>
        <v>230.60001</v>
      </c>
      <c r="K217" s="553">
        <f t="shared" si="197"/>
        <v>249.5</v>
      </c>
      <c r="L217" s="553">
        <f t="shared" ref="L217:M217" si="198">L92</f>
        <v>218.39999</v>
      </c>
      <c r="M217" s="553">
        <f t="shared" si="198"/>
        <v>178</v>
      </c>
      <c r="N217" s="553">
        <f t="shared" ref="N217:P217" si="199">N92</f>
        <v>232.10001</v>
      </c>
      <c r="O217" s="553">
        <f t="shared" si="199"/>
        <v>210.2</v>
      </c>
      <c r="P217" s="553">
        <f t="shared" si="199"/>
        <v>124.5</v>
      </c>
      <c r="Q217" s="553">
        <f t="shared" ref="Q217" si="200">Q92</f>
        <v>173.2</v>
      </c>
      <c r="R217" s="502"/>
      <c r="S217" s="502"/>
      <c r="T217" s="502"/>
      <c r="U217" s="502"/>
      <c r="V217" s="502"/>
      <c r="W217" s="518"/>
      <c r="X217" s="535"/>
      <c r="Y217" s="535"/>
      <c r="Z217" s="535"/>
      <c r="AA217" s="535"/>
      <c r="AB217" s="535"/>
      <c r="AC217" s="535"/>
      <c r="AD217" s="553"/>
      <c r="AE217" s="553"/>
      <c r="AF217" s="553"/>
      <c r="AG217" s="553"/>
      <c r="AH217" s="553"/>
      <c r="AI217" s="192">
        <f t="shared" si="122"/>
        <v>2960.9000199999996</v>
      </c>
    </row>
    <row r="218" spans="2:36" x14ac:dyDescent="0.25">
      <c r="B218" s="21" t="s">
        <v>21</v>
      </c>
      <c r="C218" s="1" t="s">
        <v>6</v>
      </c>
      <c r="D218" s="191">
        <f t="shared" si="115"/>
        <v>135.69999999999999</v>
      </c>
      <c r="E218" s="553">
        <f t="shared" si="115"/>
        <v>232.89999</v>
      </c>
      <c r="F218" s="553">
        <f t="shared" ref="F218:G218" si="201">F93</f>
        <v>208.60001</v>
      </c>
      <c r="G218" s="553">
        <f t="shared" si="201"/>
        <v>191.7</v>
      </c>
      <c r="H218" s="553">
        <f t="shared" ref="H218:I218" si="202">H93</f>
        <v>247</v>
      </c>
      <c r="I218" s="553">
        <f t="shared" si="202"/>
        <v>240.7</v>
      </c>
      <c r="J218" s="553">
        <f t="shared" ref="J218:K218" si="203">J93</f>
        <v>214.10001</v>
      </c>
      <c r="K218" s="553">
        <f t="shared" si="203"/>
        <v>229.3</v>
      </c>
      <c r="L218" s="553">
        <f t="shared" ref="L218:M218" si="204">L93</f>
        <v>202.3</v>
      </c>
      <c r="M218" s="553">
        <f t="shared" si="204"/>
        <v>172</v>
      </c>
      <c r="N218" s="553">
        <f t="shared" ref="N218:P218" si="205">N93</f>
        <v>167.8</v>
      </c>
      <c r="O218" s="553">
        <f t="shared" si="205"/>
        <v>193.5</v>
      </c>
      <c r="P218" s="553">
        <f t="shared" si="205"/>
        <v>106.5</v>
      </c>
      <c r="Q218" s="553">
        <f t="shared" ref="Q218" si="206">Q93</f>
        <v>159.89999</v>
      </c>
      <c r="R218" s="502"/>
      <c r="S218" s="502"/>
      <c r="T218" s="502"/>
      <c r="U218" s="502"/>
      <c r="V218" s="502"/>
      <c r="W218" s="518"/>
      <c r="X218" s="535"/>
      <c r="Y218" s="535"/>
      <c r="Z218" s="535"/>
      <c r="AA218" s="535"/>
      <c r="AB218" s="535"/>
      <c r="AC218" s="535"/>
      <c r="AD218" s="553"/>
      <c r="AE218" s="553"/>
      <c r="AF218" s="553"/>
      <c r="AG218" s="553"/>
      <c r="AH218" s="553"/>
      <c r="AI218" s="192">
        <f t="shared" si="122"/>
        <v>2702</v>
      </c>
    </row>
    <row r="219" spans="2:36" x14ac:dyDescent="0.25">
      <c r="B219" s="21" t="s">
        <v>22</v>
      </c>
      <c r="C219" s="1" t="s">
        <v>6</v>
      </c>
      <c r="D219" s="191">
        <f t="shared" si="115"/>
        <v>127.6</v>
      </c>
      <c r="E219" s="553">
        <f t="shared" si="115"/>
        <v>225.5</v>
      </c>
      <c r="F219" s="553">
        <f t="shared" ref="F219:G219" si="207">F94</f>
        <v>204.2</v>
      </c>
      <c r="G219" s="553">
        <f t="shared" si="207"/>
        <v>186.2</v>
      </c>
      <c r="H219" s="553">
        <f t="shared" ref="H219:I219" si="208">H94</f>
        <v>235.39999</v>
      </c>
      <c r="I219" s="553">
        <f t="shared" si="208"/>
        <v>233.5</v>
      </c>
      <c r="J219" s="553">
        <f t="shared" ref="J219:K219" si="209">J94</f>
        <v>206.8</v>
      </c>
      <c r="K219" s="553">
        <f t="shared" si="209"/>
        <v>192.89999</v>
      </c>
      <c r="L219" s="553">
        <f t="shared" ref="L219:M219" si="210">L94</f>
        <v>185.60001</v>
      </c>
      <c r="M219" s="553">
        <f t="shared" si="210"/>
        <v>164.60001</v>
      </c>
      <c r="N219" s="553">
        <f t="shared" ref="N219:P219" si="211">N94</f>
        <v>209.10001</v>
      </c>
      <c r="O219" s="553">
        <f t="shared" si="211"/>
        <v>189.39999</v>
      </c>
      <c r="P219" s="553">
        <f t="shared" si="211"/>
        <v>102.6</v>
      </c>
      <c r="Q219" s="553">
        <f t="shared" ref="Q219" si="212">Q94</f>
        <v>150.60001</v>
      </c>
      <c r="R219" s="502"/>
      <c r="S219" s="502"/>
      <c r="T219" s="502"/>
      <c r="U219" s="502"/>
      <c r="V219" s="502"/>
      <c r="W219" s="518"/>
      <c r="X219" s="535"/>
      <c r="Y219" s="535"/>
      <c r="Z219" s="535"/>
      <c r="AA219" s="535"/>
      <c r="AB219" s="535"/>
      <c r="AC219" s="535"/>
      <c r="AD219" s="553"/>
      <c r="AE219" s="553"/>
      <c r="AF219" s="553"/>
      <c r="AG219" s="553"/>
      <c r="AH219" s="553"/>
      <c r="AI219" s="192">
        <f t="shared" si="122"/>
        <v>2614.0000100000002</v>
      </c>
    </row>
    <row r="220" spans="2:36" x14ac:dyDescent="0.25">
      <c r="B220" s="21" t="s">
        <v>23</v>
      </c>
      <c r="C220" s="1" t="s">
        <v>6</v>
      </c>
      <c r="D220" s="191">
        <f t="shared" si="115"/>
        <v>142.30000000000001</v>
      </c>
      <c r="E220" s="553">
        <f t="shared" si="115"/>
        <v>244.60001</v>
      </c>
      <c r="F220" s="553">
        <f t="shared" ref="F220:G220" si="213">F95</f>
        <v>222.10001</v>
      </c>
      <c r="G220" s="553">
        <f t="shared" si="213"/>
        <v>201.89999</v>
      </c>
      <c r="H220" s="553">
        <f t="shared" ref="H220:I220" si="214">H95</f>
        <v>256.20001000000002</v>
      </c>
      <c r="I220" s="553">
        <f t="shared" si="214"/>
        <v>254.3</v>
      </c>
      <c r="J220" s="553">
        <f t="shared" ref="J220:K220" si="215">J95</f>
        <v>231.60001</v>
      </c>
      <c r="K220" s="553">
        <f t="shared" si="215"/>
        <v>196.7</v>
      </c>
      <c r="L220" s="553">
        <f t="shared" ref="L220:M220" si="216">L95</f>
        <v>198.5</v>
      </c>
      <c r="M220" s="553">
        <f t="shared" si="216"/>
        <v>170.89999</v>
      </c>
      <c r="N220" s="553">
        <f t="shared" ref="N220:P220" si="217">N95</f>
        <v>226.89999</v>
      </c>
      <c r="O220" s="553">
        <f t="shared" si="217"/>
        <v>203.8</v>
      </c>
      <c r="P220" s="553">
        <f t="shared" si="217"/>
        <v>113.4</v>
      </c>
      <c r="Q220" s="553">
        <f t="shared" ref="Q220" si="218">Q95</f>
        <v>165.7</v>
      </c>
      <c r="R220" s="502"/>
      <c r="S220" s="502"/>
      <c r="T220" s="502"/>
      <c r="U220" s="502"/>
      <c r="V220" s="502"/>
      <c r="W220" s="518"/>
      <c r="X220" s="535"/>
      <c r="Y220" s="535"/>
      <c r="Z220" s="535"/>
      <c r="AA220" s="535"/>
      <c r="AB220" s="535"/>
      <c r="AC220" s="535"/>
      <c r="AD220" s="553"/>
      <c r="AE220" s="553"/>
      <c r="AF220" s="553"/>
      <c r="AG220" s="553"/>
      <c r="AH220" s="553"/>
      <c r="AI220" s="192">
        <f t="shared" si="122"/>
        <v>2828.9000099999998</v>
      </c>
    </row>
    <row r="221" spans="2:36" x14ac:dyDescent="0.25">
      <c r="B221" s="21" t="s">
        <v>37</v>
      </c>
      <c r="C221" s="1" t="s">
        <v>6</v>
      </c>
      <c r="D221" s="191">
        <f>D155</f>
        <v>170.5</v>
      </c>
      <c r="E221" s="553">
        <f>E155</f>
        <v>271.70001000000002</v>
      </c>
      <c r="F221" s="553">
        <f>F155</f>
        <v>244.3</v>
      </c>
      <c r="G221" s="553">
        <f>G155</f>
        <v>220.5</v>
      </c>
      <c r="H221" s="553">
        <f t="shared" ref="H221:I221" si="219">H155</f>
        <v>283.60001</v>
      </c>
      <c r="I221" s="553">
        <f t="shared" si="219"/>
        <v>287.60000000000002</v>
      </c>
      <c r="J221" s="553">
        <f t="shared" ref="J221:K221" si="220">J155</f>
        <v>256.10001</v>
      </c>
      <c r="K221" s="553">
        <f t="shared" si="220"/>
        <v>274.89999</v>
      </c>
      <c r="L221" s="553">
        <f t="shared" ref="L221:M221" si="221">L155</f>
        <v>291</v>
      </c>
      <c r="M221" s="553">
        <f t="shared" si="221"/>
        <v>263.10001</v>
      </c>
      <c r="N221" s="553">
        <f t="shared" ref="N221:P221" si="222">N155</f>
        <v>273.20001000000002</v>
      </c>
      <c r="O221" s="553">
        <f t="shared" si="222"/>
        <v>242.89999</v>
      </c>
      <c r="P221" s="553">
        <f t="shared" si="222"/>
        <v>157.80000000000001</v>
      </c>
      <c r="Q221" s="553">
        <f t="shared" ref="Q221" si="223">Q155</f>
        <v>294.70001000000002</v>
      </c>
      <c r="R221" s="502"/>
      <c r="S221" s="502"/>
      <c r="T221" s="502"/>
      <c r="U221" s="502"/>
      <c r="V221" s="502"/>
      <c r="W221" s="518"/>
      <c r="X221" s="535"/>
      <c r="Y221" s="535"/>
      <c r="Z221" s="535"/>
      <c r="AA221" s="535"/>
      <c r="AB221" s="535"/>
      <c r="AC221" s="535"/>
      <c r="AD221" s="553"/>
      <c r="AE221" s="553"/>
      <c r="AF221" s="553"/>
      <c r="AG221" s="553"/>
      <c r="AH221" s="553"/>
      <c r="AI221" s="192">
        <f t="shared" si="122"/>
        <v>3531.90004</v>
      </c>
    </row>
    <row r="222" spans="2:36" x14ac:dyDescent="0.25">
      <c r="B222" s="21" t="s">
        <v>38</v>
      </c>
      <c r="C222" s="1" t="s">
        <v>6</v>
      </c>
      <c r="D222" s="191">
        <f t="shared" ref="D222:E224" si="224">D156</f>
        <v>91.2</v>
      </c>
      <c r="E222" s="553">
        <f t="shared" si="224"/>
        <v>249.89999</v>
      </c>
      <c r="F222" s="553">
        <f t="shared" ref="F222:G222" si="225">F156</f>
        <v>224.10001</v>
      </c>
      <c r="G222" s="553">
        <f t="shared" si="225"/>
        <v>207.3</v>
      </c>
      <c r="H222" s="553">
        <f t="shared" ref="H222:I222" si="226">H156</f>
        <v>114.2</v>
      </c>
      <c r="I222" s="553">
        <f t="shared" si="226"/>
        <v>267.8</v>
      </c>
      <c r="J222" s="553">
        <f t="shared" ref="J222:K222" si="227">J156</f>
        <v>221.60001</v>
      </c>
      <c r="K222" s="553">
        <f t="shared" si="227"/>
        <v>222.60001</v>
      </c>
      <c r="L222" s="553">
        <f t="shared" ref="L222:M222" si="228">L156</f>
        <v>240.39999</v>
      </c>
      <c r="M222" s="553">
        <f t="shared" si="228"/>
        <v>195</v>
      </c>
      <c r="N222" s="553">
        <f t="shared" ref="N222:P222" si="229">N156</f>
        <v>264</v>
      </c>
      <c r="O222" s="553">
        <f t="shared" si="229"/>
        <v>235.39999</v>
      </c>
      <c r="P222" s="553">
        <f t="shared" si="229"/>
        <v>154.19999999999999</v>
      </c>
      <c r="Q222" s="553">
        <f t="shared" ref="Q222" si="230">Q156</f>
        <v>261</v>
      </c>
      <c r="R222" s="502"/>
      <c r="S222" s="502"/>
      <c r="T222" s="502"/>
      <c r="U222" s="502"/>
      <c r="V222" s="502"/>
      <c r="W222" s="518"/>
      <c r="X222" s="535"/>
      <c r="Y222" s="535"/>
      <c r="Z222" s="535"/>
      <c r="AA222" s="535"/>
      <c r="AB222" s="535"/>
      <c r="AC222" s="535"/>
      <c r="AD222" s="553"/>
      <c r="AE222" s="553"/>
      <c r="AF222" s="553"/>
      <c r="AG222" s="553"/>
      <c r="AH222" s="553"/>
      <c r="AI222" s="192">
        <f t="shared" si="122"/>
        <v>2948.7</v>
      </c>
    </row>
    <row r="223" spans="2:36" x14ac:dyDescent="0.25">
      <c r="B223" s="21" t="s">
        <v>39</v>
      </c>
      <c r="C223" s="1" t="s">
        <v>6</v>
      </c>
      <c r="D223" s="191">
        <f t="shared" si="224"/>
        <v>168.7</v>
      </c>
      <c r="E223" s="553">
        <f t="shared" si="224"/>
        <v>276.29998999999998</v>
      </c>
      <c r="F223" s="553">
        <f t="shared" ref="F223:G223" si="231">F157</f>
        <v>243.60001</v>
      </c>
      <c r="G223" s="553">
        <f t="shared" si="231"/>
        <v>221.60001</v>
      </c>
      <c r="H223" s="553">
        <f t="shared" ref="H223:I223" si="232">H157</f>
        <v>289.20001000000002</v>
      </c>
      <c r="I223" s="553">
        <f t="shared" si="232"/>
        <v>289.8</v>
      </c>
      <c r="J223" s="553">
        <f t="shared" ref="J223:K223" si="233">J157</f>
        <v>255.2</v>
      </c>
      <c r="K223" s="553">
        <f t="shared" si="233"/>
        <v>271.89999</v>
      </c>
      <c r="L223" s="553">
        <f t="shared" ref="L223:M223" si="234">L157</f>
        <v>247.39999</v>
      </c>
      <c r="M223" s="553">
        <f t="shared" si="234"/>
        <v>197.7</v>
      </c>
      <c r="N223" s="553">
        <f t="shared" ref="N223:P223" si="235">N157</f>
        <v>274.70001000000002</v>
      </c>
      <c r="O223" s="553">
        <f t="shared" si="235"/>
        <v>244.10001</v>
      </c>
      <c r="P223" s="553">
        <f t="shared" si="235"/>
        <v>159.69999999999999</v>
      </c>
      <c r="Q223" s="553">
        <f t="shared" ref="Q223" si="236">Q157</f>
        <v>270.70001000000002</v>
      </c>
      <c r="R223" s="502"/>
      <c r="S223" s="502"/>
      <c r="T223" s="502"/>
      <c r="U223" s="502"/>
      <c r="V223" s="502"/>
      <c r="W223" s="518"/>
      <c r="X223" s="535"/>
      <c r="Y223" s="535"/>
      <c r="Z223" s="535"/>
      <c r="AA223" s="535"/>
      <c r="AB223" s="535"/>
      <c r="AC223" s="535"/>
      <c r="AD223" s="553"/>
      <c r="AE223" s="553"/>
      <c r="AF223" s="553"/>
      <c r="AG223" s="553"/>
      <c r="AH223" s="553"/>
      <c r="AI223" s="192">
        <f t="shared" si="122"/>
        <v>3410.6000299999996</v>
      </c>
    </row>
    <row r="224" spans="2:36" x14ac:dyDescent="0.25">
      <c r="B224" s="21" t="s">
        <v>305</v>
      </c>
      <c r="C224" s="1" t="s">
        <v>6</v>
      </c>
      <c r="D224" s="191">
        <f t="shared" si="224"/>
        <v>128.10001</v>
      </c>
      <c r="E224" s="553">
        <f t="shared" si="224"/>
        <v>247.2</v>
      </c>
      <c r="F224" s="553">
        <f t="shared" ref="F224:G224" si="237">F158</f>
        <v>214.60001</v>
      </c>
      <c r="G224" s="553">
        <f t="shared" si="237"/>
        <v>190.5</v>
      </c>
      <c r="H224" s="553">
        <f t="shared" ref="H224:I224" si="238">H158</f>
        <v>255.89999</v>
      </c>
      <c r="I224" s="553">
        <f t="shared" si="238"/>
        <v>255.4</v>
      </c>
      <c r="J224" s="553">
        <f t="shared" ref="J224:K224" si="239">J158</f>
        <v>224.60001</v>
      </c>
      <c r="K224" s="553">
        <f t="shared" si="239"/>
        <v>240.8</v>
      </c>
      <c r="L224" s="553">
        <f t="shared" ref="L224:M224" si="240">L158</f>
        <v>223</v>
      </c>
      <c r="M224" s="553">
        <f t="shared" si="240"/>
        <v>188.7</v>
      </c>
      <c r="N224" s="553">
        <f t="shared" ref="N224:P224" si="241">N158</f>
        <v>220.7</v>
      </c>
      <c r="O224" s="553">
        <f t="shared" si="241"/>
        <v>215.5</v>
      </c>
      <c r="P224" s="553">
        <f t="shared" si="241"/>
        <v>125.9</v>
      </c>
      <c r="Q224" s="553">
        <f t="shared" ref="Q224" si="242">Q158</f>
        <v>227.39999</v>
      </c>
      <c r="R224" s="502"/>
      <c r="S224" s="502"/>
      <c r="T224" s="502"/>
      <c r="U224" s="502"/>
      <c r="V224" s="502"/>
      <c r="W224" s="518"/>
      <c r="X224" s="535"/>
      <c r="Y224" s="535"/>
      <c r="Z224" s="535"/>
      <c r="AA224" s="535"/>
      <c r="AB224" s="535"/>
      <c r="AC224" s="535"/>
      <c r="AD224" s="553"/>
      <c r="AE224" s="553"/>
      <c r="AF224" s="553"/>
      <c r="AG224" s="553"/>
      <c r="AH224" s="553"/>
      <c r="AI224" s="192">
        <f t="shared" si="122"/>
        <v>2958.3000099999999</v>
      </c>
      <c r="AJ224" s="465">
        <f>+SUM(AI203:AI224)</f>
        <v>65579.700160000008</v>
      </c>
    </row>
    <row r="225" spans="2:36" x14ac:dyDescent="0.25">
      <c r="B225" s="21" t="s">
        <v>24</v>
      </c>
      <c r="C225" s="1" t="s">
        <v>6</v>
      </c>
      <c r="D225" s="211">
        <f>D96+D159</f>
        <v>3304.0000000000873</v>
      </c>
      <c r="E225" s="531">
        <f>E96+E159</f>
        <v>5384.0000000000146</v>
      </c>
      <c r="F225" s="531">
        <f>F96+F159</f>
        <v>4831.9999999999709</v>
      </c>
      <c r="G225" s="531">
        <f>G96+G159</f>
        <v>4372.0000000001164</v>
      </c>
      <c r="H225" s="531">
        <f t="shared" ref="H225:I225" si="243">H96+H159</f>
        <v>5511.9999999998981</v>
      </c>
      <c r="I225" s="531">
        <f t="shared" si="243"/>
        <v>5663.9999999999418</v>
      </c>
      <c r="J225" s="531">
        <f t="shared" ref="J225:K225" si="244">J96+J159</f>
        <v>5244.0000000002328</v>
      </c>
      <c r="K225" s="531">
        <f t="shared" si="244"/>
        <v>5420.0000000000728</v>
      </c>
      <c r="L225" s="531">
        <f t="shared" ref="L225:M225" si="245">L96+L159</f>
        <v>4863.9999999999418</v>
      </c>
      <c r="M225" s="531">
        <f t="shared" si="245"/>
        <v>4100</v>
      </c>
      <c r="N225" s="531">
        <f t="shared" ref="N225:P225" si="246">N96+N159</f>
        <v>5120.0000000000728</v>
      </c>
      <c r="O225" s="531">
        <f t="shared" si="246"/>
        <v>4671.9999999997526</v>
      </c>
      <c r="P225" s="531">
        <f t="shared" si="246"/>
        <v>2911.9999999998981</v>
      </c>
      <c r="Q225" s="531">
        <f t="shared" ref="Q225" si="247">Q96+Q159</f>
        <v>4196.0000000002765</v>
      </c>
      <c r="R225" s="531"/>
      <c r="S225" s="531"/>
      <c r="T225" s="531"/>
      <c r="U225" s="531"/>
      <c r="V225" s="531"/>
      <c r="W225" s="531"/>
      <c r="X225" s="531"/>
      <c r="Y225" s="531"/>
      <c r="Z225" s="531"/>
      <c r="AA225" s="531"/>
      <c r="AB225" s="531"/>
      <c r="AC225" s="531"/>
      <c r="AD225" s="531"/>
      <c r="AE225" s="531"/>
      <c r="AF225" s="531"/>
      <c r="AG225" s="531"/>
      <c r="AH225" s="531"/>
      <c r="AI225" s="192">
        <f t="shared" si="122"/>
        <v>65596.000000000276</v>
      </c>
    </row>
    <row r="226" spans="2:36" x14ac:dyDescent="0.25">
      <c r="B226" s="21" t="s">
        <v>25</v>
      </c>
      <c r="C226" s="1" t="s">
        <v>26</v>
      </c>
      <c r="D226" s="237">
        <f>+(D97*999.4+D160*248)/1247.4</f>
        <v>3.7914438472286882</v>
      </c>
      <c r="E226" s="237">
        <f>+(E97*999.4+E160*248)/1247.4</f>
        <v>6.1531769274236341</v>
      </c>
      <c r="F226" s="237">
        <f>+(F97*999.4+F160*248)/1247.4</f>
        <v>5.6008155794458663</v>
      </c>
      <c r="G226" s="237">
        <f>+(G97*999.4+G160*248)/1247.4</f>
        <v>5.0899492035404794</v>
      </c>
      <c r="H226" s="237">
        <f t="shared" ref="H226:I226" si="248">+(H97*999.4+H160*248)/1247.4</f>
        <v>6.5272111007695752</v>
      </c>
      <c r="I226" s="237">
        <f t="shared" si="248"/>
        <v>6.6248558837364673</v>
      </c>
      <c r="J226" s="237">
        <f t="shared" ref="J226:K226" si="249">+(J97*999.4+J160*248)/1247.4</f>
        <v>6.2228306122096866</v>
      </c>
      <c r="K226" s="237">
        <f t="shared" si="249"/>
        <v>6.5019566669954525</v>
      </c>
      <c r="L226" s="237">
        <f t="shared" ref="L226:M226" si="250">+(L97*999.4+L160*248)/1247.4</f>
        <v>6.2944047940608217</v>
      </c>
      <c r="M226" s="237">
        <f t="shared" si="250"/>
        <v>5.8200761451143705</v>
      </c>
      <c r="N226" s="237">
        <f t="shared" ref="N226:P226" si="251">+(N97*999.4+N160*248)/1247.4</f>
        <v>6.1041787323133319</v>
      </c>
      <c r="O226" s="237">
        <f t="shared" si="251"/>
        <v>5.320579278027048</v>
      </c>
      <c r="P226" s="237">
        <f t="shared" si="251"/>
        <v>4.1041459667853166</v>
      </c>
      <c r="Q226" s="237">
        <f t="shared" ref="Q226" si="252">+(Q97*999.4+Q160*248)/1247.4</f>
        <v>6.7473781860871211</v>
      </c>
      <c r="R226" s="237"/>
      <c r="S226" s="237"/>
      <c r="T226" s="237"/>
      <c r="U226" s="237"/>
      <c r="V226" s="237"/>
      <c r="W226" s="237"/>
      <c r="X226" s="237"/>
      <c r="Y226" s="237"/>
      <c r="Z226" s="237"/>
      <c r="AA226" s="237"/>
      <c r="AB226" s="237"/>
      <c r="AC226" s="237"/>
      <c r="AD226" s="237"/>
      <c r="AE226" s="237"/>
      <c r="AF226" s="237"/>
      <c r="AG226" s="237"/>
      <c r="AH226" s="237"/>
      <c r="AI226" s="234">
        <f>AVERAGE(D226:AH226)</f>
        <v>5.7787859231241328</v>
      </c>
    </row>
    <row r="227" spans="2:36" x14ac:dyDescent="0.25">
      <c r="B227" s="21" t="s">
        <v>27</v>
      </c>
      <c r="C227" s="1" t="s">
        <v>6</v>
      </c>
      <c r="D227" s="191">
        <f>D98</f>
        <v>103347.9999999945</v>
      </c>
      <c r="E227" s="553">
        <f>E98</f>
        <v>141380.00000001374</v>
      </c>
      <c r="F227" s="553">
        <f>F98</f>
        <v>151916.00000000253</v>
      </c>
      <c r="G227" s="553">
        <f>G98</f>
        <v>144736.00000000151</v>
      </c>
      <c r="H227" s="553">
        <f t="shared" ref="H227:I227" si="253">H98</f>
        <v>145707.99999999616</v>
      </c>
      <c r="I227" s="553">
        <f t="shared" si="253"/>
        <v>152579.99999999738</v>
      </c>
      <c r="J227" s="553">
        <f t="shared" ref="J227:K227" si="254">J98</f>
        <v>150564.00000000722</v>
      </c>
      <c r="K227" s="553">
        <f t="shared" si="254"/>
        <v>107814.80000000799</v>
      </c>
      <c r="L227" s="553">
        <f t="shared" ref="L227:M227" si="255">L98</f>
        <v>57770.30000001275</v>
      </c>
      <c r="M227" s="553">
        <f t="shared" si="255"/>
        <v>13167.899999985559</v>
      </c>
      <c r="N227" s="553">
        <f t="shared" ref="N227:P227" si="256">N98</f>
        <v>91806.399999994712</v>
      </c>
      <c r="O227" s="553">
        <f t="shared" si="256"/>
        <v>117901.09999998882</v>
      </c>
      <c r="P227" s="553">
        <f t="shared" si="256"/>
        <v>104300.00000000618</v>
      </c>
      <c r="Q227" s="553">
        <f t="shared" ref="Q227" si="257">Q98</f>
        <v>67512.100000010527</v>
      </c>
      <c r="R227" s="502"/>
      <c r="S227" s="502"/>
      <c r="T227" s="502"/>
      <c r="U227" s="502"/>
      <c r="V227" s="502"/>
      <c r="W227" s="518"/>
      <c r="X227" s="535"/>
      <c r="Y227" s="535"/>
      <c r="Z227" s="535"/>
      <c r="AA227" s="535"/>
      <c r="AB227" s="535"/>
      <c r="AC227" s="535"/>
      <c r="AD227" s="553"/>
      <c r="AE227" s="553"/>
      <c r="AF227" s="553"/>
      <c r="AG227" s="553"/>
      <c r="AH227" s="553"/>
      <c r="AI227" s="3">
        <f>AVERAGE(D227:AH227)</f>
        <v>110750.32857142999</v>
      </c>
    </row>
    <row r="228" spans="2:36" ht="15.75" x14ac:dyDescent="0.25">
      <c r="B228" s="25" t="s">
        <v>28</v>
      </c>
      <c r="C228" s="1" t="s">
        <v>0</v>
      </c>
      <c r="D228" s="190">
        <f>+(D99*999.4*24+D162*248*24)/1247.4/24</f>
        <v>0.12060468442868821</v>
      </c>
      <c r="E228" s="555">
        <f>+(E99*999.4*24+E162*248*24)/1247.4/24</f>
        <v>0.19022600056888825</v>
      </c>
      <c r="F228" s="555">
        <f>+(F99*999.4*24+F162*248*24)/1247.4/24</f>
        <v>0.17210120321247938</v>
      </c>
      <c r="G228" s="555">
        <f>+(G99*999.4*24+G162*248*24)/1247.4/24</f>
        <v>0.15626300374526333</v>
      </c>
      <c r="H228" s="555">
        <f t="shared" ref="H228:I228" si="258">+(H99*999.4*24+H162*248*24)/1247.4/24</f>
        <v>0.20285035201544654</v>
      </c>
      <c r="I228" s="555">
        <f t="shared" si="258"/>
        <v>0.20309099931391272</v>
      </c>
      <c r="J228" s="555">
        <f t="shared" ref="J228:K228" si="259">+(J99*999.4*24+J162*248*24)/1247.4/24</f>
        <v>0.18870852659761692</v>
      </c>
      <c r="K228" s="555">
        <f t="shared" si="259"/>
        <v>0.1953262417318091</v>
      </c>
      <c r="L228" s="555">
        <f t="shared" ref="L228:M228" si="260">+(L99*999.4*24+L162*248*24)/1247.4/24</f>
        <v>0.18801692350708862</v>
      </c>
      <c r="M228" s="555">
        <f t="shared" si="260"/>
        <v>0.17808045319851915</v>
      </c>
      <c r="N228" s="555">
        <f t="shared" ref="N228:P228" si="261">+(N99*999.4*24+N162*248*24)/1247.4/24</f>
        <v>0.18857517977177207</v>
      </c>
      <c r="O228" s="555">
        <f t="shared" si="261"/>
        <v>0.16594552553291889</v>
      </c>
      <c r="P228" s="555">
        <f t="shared" si="261"/>
        <v>0.12907330084467047</v>
      </c>
      <c r="Q228" s="555">
        <f t="shared" ref="Q228" si="262">+(Q99*999.4*24+Q162*248*24)/1247.4/24</f>
        <v>0.2077815027265465</v>
      </c>
      <c r="R228" s="505"/>
      <c r="S228" s="505"/>
      <c r="T228" s="505"/>
      <c r="U228" s="505"/>
      <c r="V228" s="505"/>
      <c r="W228" s="521"/>
      <c r="X228" s="538"/>
      <c r="Y228" s="538"/>
      <c r="Z228" s="538"/>
      <c r="AA228" s="538"/>
      <c r="AB228" s="538"/>
      <c r="AC228" s="538"/>
      <c r="AD228" s="555"/>
      <c r="AE228" s="555"/>
      <c r="AF228" s="555"/>
      <c r="AG228" s="555"/>
      <c r="AH228" s="555"/>
      <c r="AI228" s="49">
        <f>AVERAGEIF(D228:AE228,"&gt;0")</f>
        <v>0.17761742122825858</v>
      </c>
    </row>
    <row r="229" spans="2:36" x14ac:dyDescent="0.25">
      <c r="B229" s="25" t="s">
        <v>35</v>
      </c>
      <c r="C229" s="1" t="s">
        <v>0</v>
      </c>
      <c r="D229" s="10">
        <f>+D225/1247.4/24</f>
        <v>0.11036288814066882</v>
      </c>
      <c r="E229" s="547">
        <f>+E225/1247.4/24</f>
        <v>0.17984073539629142</v>
      </c>
      <c r="F229" s="547">
        <f>+F225/1247.4/24</f>
        <v>0.16140238362460488</v>
      </c>
      <c r="G229" s="547">
        <f>+G225/1247.4/24</f>
        <v>0.14603709048153882</v>
      </c>
      <c r="H229" s="547">
        <f t="shared" ref="H229:I229" si="263">+H225/1247.4/24</f>
        <v>0.18411629522740292</v>
      </c>
      <c r="I229" s="547">
        <f t="shared" si="263"/>
        <v>0.18919352252685392</v>
      </c>
      <c r="J229" s="547">
        <f t="shared" ref="J229:K229" si="264">+J225/1247.4/24</f>
        <v>0.17516434183101626</v>
      </c>
      <c r="K229" s="547">
        <f t="shared" si="264"/>
        <v>0.18104323659879459</v>
      </c>
      <c r="L229" s="547">
        <f t="shared" ref="L229:M229" si="265">+L225/1247.4/24</f>
        <v>0.16247127358238275</v>
      </c>
      <c r="M229" s="547">
        <f t="shared" si="265"/>
        <v>0.13695152584041473</v>
      </c>
      <c r="N229" s="547">
        <f t="shared" ref="N229:P229" si="266">+N225/1247.4/24</f>
        <v>0.17102239324461788</v>
      </c>
      <c r="O229" s="547">
        <f t="shared" si="266"/>
        <v>0.15605793383570335</v>
      </c>
      <c r="P229" s="547">
        <f t="shared" si="266"/>
        <v>9.7268986157871648E-2</v>
      </c>
      <c r="Q229" s="547">
        <f t="shared" ref="Q229" si="267">+Q225/1247.4/24</f>
        <v>0.14015819571376051</v>
      </c>
      <c r="R229" s="504"/>
      <c r="S229" s="504"/>
      <c r="T229" s="504"/>
      <c r="U229" s="504"/>
      <c r="V229" s="504"/>
      <c r="W229" s="520"/>
      <c r="X229" s="537"/>
      <c r="Y229" s="537"/>
      <c r="Z229" s="537"/>
      <c r="AA229" s="537"/>
      <c r="AB229" s="537"/>
      <c r="AC229" s="537"/>
      <c r="AD229" s="547"/>
      <c r="AE229" s="547"/>
      <c r="AF229" s="547"/>
      <c r="AG229" s="547"/>
      <c r="AH229" s="547"/>
      <c r="AI229" s="187"/>
    </row>
    <row r="230" spans="2:36" x14ac:dyDescent="0.25">
      <c r="B230" s="406" t="s">
        <v>113</v>
      </c>
      <c r="C230" s="1"/>
      <c r="D230" s="72">
        <f>D228-D229</f>
        <v>1.0241796288019397E-2</v>
      </c>
      <c r="E230" s="541">
        <f>E228-E229</f>
        <v>1.038526517259683E-2</v>
      </c>
      <c r="F230" s="541">
        <f>F228-F229</f>
        <v>1.0698819587874497E-2</v>
      </c>
      <c r="G230" s="541">
        <f>G228-G229</f>
        <v>1.0225913263724518E-2</v>
      </c>
      <c r="H230" s="541">
        <f t="shared" ref="H230:I230" si="268">H228-H229</f>
        <v>1.8734056788043629E-2</v>
      </c>
      <c r="I230" s="541">
        <f t="shared" si="268"/>
        <v>1.3897476787058799E-2</v>
      </c>
      <c r="J230" s="541">
        <f t="shared" ref="J230:K230" si="269">J228-J229</f>
        <v>1.3544184766600659E-2</v>
      </c>
      <c r="K230" s="541">
        <f t="shared" si="269"/>
        <v>1.4283005133014504E-2</v>
      </c>
      <c r="L230" s="541">
        <f t="shared" ref="L230:M230" si="270">L228-L229</f>
        <v>2.5545649924705871E-2</v>
      </c>
      <c r="M230" s="541">
        <f t="shared" si="270"/>
        <v>4.1128927358104417E-2</v>
      </c>
      <c r="N230" s="541">
        <f t="shared" ref="N230:P230" si="271">N228-N229</f>
        <v>1.7552786527154196E-2</v>
      </c>
      <c r="O230" s="541">
        <f t="shared" si="271"/>
        <v>9.8875916972155364E-3</v>
      </c>
      <c r="P230" s="541">
        <f t="shared" si="271"/>
        <v>3.1804314686798826E-2</v>
      </c>
      <c r="Q230" s="541">
        <f t="shared" ref="Q230" si="272">Q228-Q229</f>
        <v>6.7623307012785988E-2</v>
      </c>
      <c r="R230" s="508"/>
      <c r="S230" s="508"/>
      <c r="T230" s="508"/>
      <c r="U230" s="508"/>
      <c r="V230" s="508"/>
      <c r="W230" s="524"/>
      <c r="X230" s="541"/>
      <c r="Y230" s="541"/>
      <c r="Z230" s="541"/>
      <c r="AA230" s="541"/>
      <c r="AB230" s="541"/>
      <c r="AC230" s="541"/>
      <c r="AD230" s="541"/>
      <c r="AE230" s="541"/>
      <c r="AF230" s="541"/>
      <c r="AG230" s="541"/>
      <c r="AH230" s="541"/>
      <c r="AI230" s="187"/>
    </row>
    <row r="231" spans="2:36" x14ac:dyDescent="0.25">
      <c r="B231" s="406" t="s">
        <v>29</v>
      </c>
      <c r="C231" s="1"/>
      <c r="D231" s="190"/>
      <c r="E231" s="555"/>
      <c r="F231" s="555"/>
      <c r="G231" s="555"/>
      <c r="H231" s="555"/>
      <c r="I231" s="555"/>
      <c r="J231" s="555"/>
      <c r="K231" s="555"/>
      <c r="L231" s="555"/>
      <c r="M231" s="555"/>
      <c r="N231" s="555"/>
      <c r="O231" s="555"/>
      <c r="P231" s="555"/>
      <c r="Q231" s="555"/>
      <c r="R231" s="505"/>
      <c r="S231" s="505"/>
      <c r="T231" s="505"/>
      <c r="U231" s="505"/>
      <c r="V231" s="505"/>
      <c r="W231" s="521"/>
      <c r="X231" s="538"/>
      <c r="Y231" s="538"/>
      <c r="Z231" s="538"/>
      <c r="AA231" s="538"/>
      <c r="AB231" s="538"/>
      <c r="AC231" s="538"/>
      <c r="AD231" s="555"/>
      <c r="AE231" s="555"/>
      <c r="AF231" s="555"/>
      <c r="AG231" s="555"/>
      <c r="AH231" s="555"/>
      <c r="AI231" s="187"/>
    </row>
    <row r="232" spans="2:36" x14ac:dyDescent="0.25">
      <c r="B232" s="25" t="s">
        <v>109</v>
      </c>
      <c r="C232" s="1" t="s">
        <v>59</v>
      </c>
      <c r="D232" s="192">
        <f>+D228*1247.4*24</f>
        <v>3610.6148005522964</v>
      </c>
      <c r="E232" s="554">
        <f>+E228*1247.4*24</f>
        <v>5694.9099146311491</v>
      </c>
      <c r="F232" s="554">
        <f>+F228*1247.4*24</f>
        <v>5152.2969812939227</v>
      </c>
      <c r="G232" s="554">
        <f>+G228*1247.4*24</f>
        <v>4678.1393009241965</v>
      </c>
      <c r="H232" s="554">
        <f t="shared" ref="H232:I232" si="273">+H228*1247.4*24</f>
        <v>6072.8526984976334</v>
      </c>
      <c r="I232" s="554">
        <f t="shared" si="273"/>
        <v>6080.0571010601943</v>
      </c>
      <c r="J232" s="554">
        <f t="shared" ref="J232:K232" si="274">+J228*1247.4*24</f>
        <v>5649.4803858688165</v>
      </c>
      <c r="K232" s="554">
        <f t="shared" si="274"/>
        <v>5847.5988944702085</v>
      </c>
      <c r="L232" s="554">
        <f t="shared" ref="L232:M232" si="275">+L228*1247.4*24</f>
        <v>5628.7754491858168</v>
      </c>
      <c r="M232" s="554">
        <f t="shared" si="275"/>
        <v>5331.3013756759874</v>
      </c>
      <c r="N232" s="554">
        <f t="shared" ref="N232:P232" si="276">+N228*1247.4*24</f>
        <v>5645.4883019354038</v>
      </c>
      <c r="O232" s="554">
        <f t="shared" si="276"/>
        <v>4968.0107651943126</v>
      </c>
      <c r="P232" s="554">
        <f t="shared" si="276"/>
        <v>3864.1448513674068</v>
      </c>
      <c r="Q232" s="554">
        <f t="shared" ref="Q232" si="277">+Q228*1247.4*24</f>
        <v>6220.4795160262584</v>
      </c>
      <c r="R232" s="503"/>
      <c r="S232" s="503"/>
      <c r="T232" s="503"/>
      <c r="U232" s="503"/>
      <c r="V232" s="503"/>
      <c r="W232" s="519"/>
      <c r="X232" s="536"/>
      <c r="Y232" s="536"/>
      <c r="Z232" s="536"/>
      <c r="AA232" s="536"/>
      <c r="AB232" s="536"/>
      <c r="AC232" s="536"/>
      <c r="AD232" s="554"/>
      <c r="AE232" s="554"/>
      <c r="AF232" s="554"/>
      <c r="AG232" s="554"/>
      <c r="AH232" s="554"/>
      <c r="AI232" s="420">
        <f t="shared" ref="AI232" si="278">+SUM(D232:AH232)</f>
        <v>74444.150336683597</v>
      </c>
    </row>
    <row r="233" spans="2:36" x14ac:dyDescent="0.25">
      <c r="B233" s="25" t="s">
        <v>213</v>
      </c>
      <c r="C233" s="1" t="s">
        <v>298</v>
      </c>
      <c r="D233" s="211">
        <f>D104</f>
        <v>27.59</v>
      </c>
      <c r="E233" s="531">
        <f>E104</f>
        <v>33.408906250000001</v>
      </c>
      <c r="F233" s="531">
        <f>F104</f>
        <v>34.630593750000102</v>
      </c>
      <c r="G233" s="531">
        <f>G104</f>
        <v>34.806892857142856</v>
      </c>
      <c r="H233" s="531">
        <f t="shared" ref="H233:I233" si="279">H104</f>
        <v>32.36</v>
      </c>
      <c r="I233" s="531">
        <f t="shared" si="279"/>
        <v>35.1</v>
      </c>
      <c r="J233" s="531">
        <f t="shared" ref="J233:K233" si="280">J104</f>
        <v>37.266348214285735</v>
      </c>
      <c r="K233" s="531">
        <f t="shared" si="280"/>
        <v>39.1</v>
      </c>
      <c r="L233" s="531">
        <f t="shared" ref="L233:M233" si="281">L104</f>
        <v>40.19</v>
      </c>
      <c r="M233" s="531">
        <f t="shared" si="281"/>
        <v>35.15</v>
      </c>
      <c r="N233" s="531">
        <f t="shared" ref="N233:P233" si="282">N104</f>
        <v>33.54</v>
      </c>
      <c r="O233" s="531">
        <f t="shared" si="282"/>
        <v>31.61</v>
      </c>
      <c r="P233" s="531">
        <f t="shared" si="282"/>
        <v>29.936660714285708</v>
      </c>
      <c r="Q233" s="531">
        <f t="shared" ref="Q233" si="283">Q104</f>
        <v>34.192232142857172</v>
      </c>
      <c r="R233" s="499"/>
      <c r="S233" s="499"/>
      <c r="T233" s="499"/>
      <c r="U233" s="499"/>
      <c r="V233" s="499"/>
      <c r="W233" s="514"/>
      <c r="X233" s="531"/>
      <c r="Y233" s="531"/>
      <c r="Z233" s="531"/>
      <c r="AA233" s="531"/>
      <c r="AB233" s="531"/>
      <c r="AC233" s="531"/>
      <c r="AD233" s="531"/>
      <c r="AE233" s="531"/>
      <c r="AF233" s="531"/>
      <c r="AG233" s="531"/>
      <c r="AH233" s="531"/>
      <c r="AI233" s="187"/>
    </row>
    <row r="234" spans="2:36" ht="15.75" x14ac:dyDescent="0.25">
      <c r="B234" s="219" t="s">
        <v>100</v>
      </c>
      <c r="C234" s="1" t="s">
        <v>59</v>
      </c>
      <c r="D234" s="222">
        <f>D105+D168</f>
        <v>142</v>
      </c>
      <c r="E234" s="222">
        <f>E105+E168</f>
        <v>230</v>
      </c>
      <c r="F234" s="222">
        <f>F105+F168</f>
        <v>240</v>
      </c>
      <c r="G234" s="222">
        <f>G105+G168</f>
        <v>233</v>
      </c>
      <c r="H234" s="222">
        <f t="shared" ref="H234:I234" si="284">H105+H168</f>
        <v>331</v>
      </c>
      <c r="I234" s="222">
        <f t="shared" si="284"/>
        <v>335</v>
      </c>
      <c r="J234" s="222">
        <f t="shared" ref="J234:K234" si="285">J105+J168</f>
        <v>303</v>
      </c>
      <c r="K234" s="222">
        <f t="shared" si="285"/>
        <v>315</v>
      </c>
      <c r="L234" s="222">
        <f t="shared" ref="L234:M234" si="286">L105+L168</f>
        <v>214</v>
      </c>
      <c r="M234" s="222">
        <f t="shared" si="286"/>
        <v>207</v>
      </c>
      <c r="N234" s="222">
        <f t="shared" ref="N234:P234" si="287">N105+N168</f>
        <v>239</v>
      </c>
      <c r="O234" s="222">
        <f t="shared" si="287"/>
        <v>200</v>
      </c>
      <c r="P234" s="222">
        <f t="shared" si="287"/>
        <v>208</v>
      </c>
      <c r="Q234" s="222">
        <f t="shared" ref="Q234" si="288">Q105+Q168</f>
        <v>370</v>
      </c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  <c r="AF234" s="222"/>
      <c r="AG234" s="222"/>
      <c r="AH234" s="222"/>
      <c r="AI234" s="13">
        <f>SUM(D234:AH234)</f>
        <v>3567</v>
      </c>
      <c r="AJ234">
        <f>+AI234/1247.4/24/28</f>
        <v>4.2552795528986E-3</v>
      </c>
    </row>
    <row r="235" spans="2:36" ht="15.75" x14ac:dyDescent="0.25">
      <c r="B235" s="219" t="s">
        <v>101</v>
      </c>
      <c r="C235" s="1" t="s">
        <v>59</v>
      </c>
      <c r="D235" s="222">
        <f t="shared" ref="D235:E235" si="289">D106+D169</f>
        <v>0</v>
      </c>
      <c r="E235" s="222">
        <f t="shared" si="289"/>
        <v>0</v>
      </c>
      <c r="F235" s="222">
        <f t="shared" ref="F235:G235" si="290">F106+F169</f>
        <v>0</v>
      </c>
      <c r="G235" s="222">
        <f t="shared" si="290"/>
        <v>0</v>
      </c>
      <c r="H235" s="222">
        <f t="shared" ref="H235:I235" si="291">H106+H169</f>
        <v>0</v>
      </c>
      <c r="I235" s="222">
        <f t="shared" si="291"/>
        <v>0</v>
      </c>
      <c r="J235" s="222">
        <f t="shared" ref="J235:K235" si="292">J106+J169</f>
        <v>0</v>
      </c>
      <c r="K235" s="222">
        <f t="shared" si="292"/>
        <v>0</v>
      </c>
      <c r="L235" s="222">
        <f t="shared" ref="L235:M235" si="293">L106+L169</f>
        <v>491</v>
      </c>
      <c r="M235" s="222">
        <f t="shared" si="293"/>
        <v>964</v>
      </c>
      <c r="N235" s="222">
        <f t="shared" ref="N235:P235" si="294">N106+N169</f>
        <v>0</v>
      </c>
      <c r="O235" s="222">
        <f t="shared" si="294"/>
        <v>0</v>
      </c>
      <c r="P235" s="222">
        <f t="shared" si="294"/>
        <v>684</v>
      </c>
      <c r="Q235" s="222">
        <f t="shared" ref="Q235" si="295">Q106+Q169</f>
        <v>1144</v>
      </c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  <c r="AF235" s="222"/>
      <c r="AG235" s="222"/>
      <c r="AH235" s="222"/>
      <c r="AI235" s="13">
        <f t="shared" ref="AI235:AI239" si="296">SUM(D235:AH235)</f>
        <v>3283</v>
      </c>
    </row>
    <row r="236" spans="2:36" ht="15.75" x14ac:dyDescent="0.25">
      <c r="B236" s="219" t="s">
        <v>102</v>
      </c>
      <c r="C236" s="1" t="s">
        <v>59</v>
      </c>
      <c r="D236" s="222">
        <f t="shared" ref="D236:E236" si="297">D107+D170</f>
        <v>79</v>
      </c>
      <c r="E236" s="222">
        <f t="shared" si="297"/>
        <v>21</v>
      </c>
      <c r="F236" s="222">
        <f t="shared" ref="F236:G236" si="298">F107+F170</f>
        <v>20</v>
      </c>
      <c r="G236" s="222">
        <f t="shared" si="298"/>
        <v>13</v>
      </c>
      <c r="H236" s="222">
        <f t="shared" ref="H236:I236" si="299">H107+H170</f>
        <v>169</v>
      </c>
      <c r="I236" s="222">
        <f t="shared" si="299"/>
        <v>20</v>
      </c>
      <c r="J236" s="222">
        <f t="shared" ref="J236:K236" si="300">J107+J170</f>
        <v>41</v>
      </c>
      <c r="K236" s="222">
        <f t="shared" si="300"/>
        <v>52</v>
      </c>
      <c r="L236" s="222">
        <f t="shared" ref="L236:M236" si="301">L107+L170</f>
        <v>0</v>
      </c>
      <c r="M236" s="222">
        <f t="shared" si="301"/>
        <v>0</v>
      </c>
      <c r="N236" s="222">
        <f t="shared" ref="N236:P236" si="302">N107+N170</f>
        <v>0</v>
      </c>
      <c r="O236" s="222">
        <f t="shared" si="302"/>
        <v>0</v>
      </c>
      <c r="P236" s="222">
        <f t="shared" si="302"/>
        <v>0</v>
      </c>
      <c r="Q236" s="222">
        <f t="shared" ref="Q236" si="303">Q107+Q170</f>
        <v>0</v>
      </c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  <c r="AF236" s="222"/>
      <c r="AG236" s="222"/>
      <c r="AH236" s="222"/>
      <c r="AI236" s="13">
        <f t="shared" si="296"/>
        <v>415</v>
      </c>
    </row>
    <row r="237" spans="2:36" ht="15.75" x14ac:dyDescent="0.25">
      <c r="B237" s="219" t="s">
        <v>103</v>
      </c>
      <c r="C237" s="1" t="s">
        <v>59</v>
      </c>
      <c r="D237" s="222">
        <f t="shared" ref="D237:E237" si="304">D108+D171</f>
        <v>25</v>
      </c>
      <c r="E237" s="222">
        <f t="shared" si="304"/>
        <v>0</v>
      </c>
      <c r="F237" s="222">
        <f t="shared" ref="F237:G237" si="305">F108+F171</f>
        <v>0</v>
      </c>
      <c r="G237" s="222">
        <f t="shared" si="305"/>
        <v>0</v>
      </c>
      <c r="H237" s="222">
        <f t="shared" ref="H237:I237" si="306">H108+H171</f>
        <v>0</v>
      </c>
      <c r="I237" s="222">
        <f t="shared" si="306"/>
        <v>0</v>
      </c>
      <c r="J237" s="222">
        <f t="shared" ref="J237:K237" si="307">J108+J171</f>
        <v>0</v>
      </c>
      <c r="K237" s="222">
        <f t="shared" si="307"/>
        <v>0</v>
      </c>
      <c r="L237" s="222">
        <f t="shared" ref="L237:M237" si="308">L108+L171</f>
        <v>0</v>
      </c>
      <c r="M237" s="222">
        <f t="shared" si="308"/>
        <v>0</v>
      </c>
      <c r="N237" s="222">
        <f t="shared" ref="N237:P237" si="309">N108+N171</f>
        <v>103</v>
      </c>
      <c r="O237" s="222">
        <f t="shared" si="309"/>
        <v>36</v>
      </c>
      <c r="P237" s="222">
        <f t="shared" si="309"/>
        <v>0</v>
      </c>
      <c r="Q237" s="222">
        <f t="shared" ref="Q237" si="310">Q108+Q171</f>
        <v>450</v>
      </c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  <c r="AF237" s="222"/>
      <c r="AG237" s="222"/>
      <c r="AH237" s="222"/>
      <c r="AI237" s="13">
        <f t="shared" si="296"/>
        <v>614</v>
      </c>
    </row>
    <row r="238" spans="2:36" x14ac:dyDescent="0.25">
      <c r="B238" s="5" t="s">
        <v>218</v>
      </c>
      <c r="C238" s="1" t="s">
        <v>59</v>
      </c>
      <c r="D238" s="222">
        <f t="shared" ref="D238:E238" si="311">D109+D172</f>
        <v>0</v>
      </c>
      <c r="E238" s="222">
        <f t="shared" si="311"/>
        <v>0</v>
      </c>
      <c r="F238" s="222">
        <f t="shared" ref="F238:G238" si="312">F109+F172</f>
        <v>0</v>
      </c>
      <c r="G238" s="222">
        <f t="shared" si="312"/>
        <v>0</v>
      </c>
      <c r="H238" s="222">
        <f t="shared" ref="H238:I238" si="313">H109+H172</f>
        <v>0</v>
      </c>
      <c r="I238" s="222">
        <f t="shared" si="313"/>
        <v>0</v>
      </c>
      <c r="J238" s="222">
        <f t="shared" ref="J238:K238" si="314">J109+J172</f>
        <v>0</v>
      </c>
      <c r="K238" s="222">
        <f t="shared" si="314"/>
        <v>0</v>
      </c>
      <c r="L238" s="222">
        <f t="shared" ref="L238:M238" si="315">L109+L172</f>
        <v>0</v>
      </c>
      <c r="M238" s="222">
        <f t="shared" si="315"/>
        <v>0</v>
      </c>
      <c r="N238" s="222">
        <f t="shared" ref="N238:P238" si="316">N109+N172</f>
        <v>124</v>
      </c>
      <c r="O238" s="222">
        <f t="shared" si="316"/>
        <v>0</v>
      </c>
      <c r="P238" s="222">
        <f t="shared" si="316"/>
        <v>0</v>
      </c>
      <c r="Q238" s="222">
        <f t="shared" ref="Q238" si="317">Q109+Q172</f>
        <v>0</v>
      </c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  <c r="AF238" s="222"/>
      <c r="AG238" s="222"/>
      <c r="AH238" s="222"/>
      <c r="AI238" s="13">
        <f t="shared" si="296"/>
        <v>124</v>
      </c>
    </row>
    <row r="239" spans="2:36" x14ac:dyDescent="0.25">
      <c r="B239" s="220" t="s">
        <v>86</v>
      </c>
      <c r="C239" s="1" t="s">
        <v>59</v>
      </c>
      <c r="D239" s="222">
        <f t="shared" ref="D239:E239" si="318">+SUM(D234:D238)</f>
        <v>246</v>
      </c>
      <c r="E239" s="222">
        <f t="shared" si="318"/>
        <v>251</v>
      </c>
      <c r="F239" s="222">
        <f t="shared" ref="F239:G239" si="319">+SUM(F234:F238)</f>
        <v>260</v>
      </c>
      <c r="G239" s="222">
        <f t="shared" si="319"/>
        <v>246</v>
      </c>
      <c r="H239" s="222">
        <f t="shared" ref="H239:I239" si="320">+SUM(H234:H238)</f>
        <v>500</v>
      </c>
      <c r="I239" s="222">
        <f t="shared" si="320"/>
        <v>355</v>
      </c>
      <c r="J239" s="222">
        <f t="shared" ref="J239:K239" si="321">+SUM(J234:J238)</f>
        <v>344</v>
      </c>
      <c r="K239" s="222">
        <f t="shared" si="321"/>
        <v>367</v>
      </c>
      <c r="L239" s="222">
        <f t="shared" ref="L239:M239" si="322">+SUM(L234:L238)</f>
        <v>705</v>
      </c>
      <c r="M239" s="222">
        <f t="shared" si="322"/>
        <v>1171</v>
      </c>
      <c r="N239" s="222">
        <f t="shared" ref="N239:P239" si="323">+SUM(N234:N238)</f>
        <v>466</v>
      </c>
      <c r="O239" s="222">
        <f t="shared" si="323"/>
        <v>236</v>
      </c>
      <c r="P239" s="222">
        <f t="shared" si="323"/>
        <v>892</v>
      </c>
      <c r="Q239" s="222">
        <f t="shared" ref="Q239" si="324">+SUM(Q234:Q238)</f>
        <v>1964</v>
      </c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  <c r="AF239" s="222"/>
      <c r="AG239" s="222"/>
      <c r="AH239" s="222"/>
      <c r="AI239" s="13">
        <f t="shared" si="296"/>
        <v>8003</v>
      </c>
    </row>
    <row r="240" spans="2:36" x14ac:dyDescent="0.25">
      <c r="B240" s="220" t="s">
        <v>86</v>
      </c>
      <c r="C240" s="1" t="s">
        <v>59</v>
      </c>
      <c r="D240" s="221">
        <f>+D239/1247.4/24</f>
        <v>8.2170915504248838E-3</v>
      </c>
      <c r="E240" s="221">
        <f>+E239/1247.4/24</f>
        <v>8.3841056063278276E-3</v>
      </c>
      <c r="F240" s="221">
        <f>+F239/1247.4/24</f>
        <v>8.6847309069531288E-3</v>
      </c>
      <c r="G240" s="221">
        <f>+G239/1247.4/24</f>
        <v>8.2170915504248838E-3</v>
      </c>
      <c r="H240" s="221">
        <f t="shared" ref="H240:I240" si="325">+H239/1247.4/24</f>
        <v>1.6701405590294479E-2</v>
      </c>
      <c r="I240" s="221">
        <f t="shared" si="325"/>
        <v>1.185799796910908E-2</v>
      </c>
      <c r="J240" s="221">
        <f t="shared" ref="J240:K240" si="326">+J239/1247.4/24</f>
        <v>1.1490567046122601E-2</v>
      </c>
      <c r="K240" s="221">
        <f t="shared" si="326"/>
        <v>1.2258831703276145E-2</v>
      </c>
      <c r="L240" s="221">
        <f t="shared" ref="L240:M240" si="327">+L239/1247.4/24</f>
        <v>2.3548981882315214E-2</v>
      </c>
      <c r="M240" s="221">
        <f t="shared" si="327"/>
        <v>3.9114691892469668E-2</v>
      </c>
      <c r="N240" s="221">
        <f t="shared" ref="N240:P240" si="328">+N239/1247.4/24</f>
        <v>1.5565710010154452E-2</v>
      </c>
      <c r="O240" s="221">
        <f t="shared" si="328"/>
        <v>7.8830634386189927E-3</v>
      </c>
      <c r="P240" s="221">
        <f t="shared" si="328"/>
        <v>2.979530757308535E-2</v>
      </c>
      <c r="Q240" s="221">
        <f t="shared" ref="Q240" si="329">+Q239/1247.4/24</f>
        <v>6.5603121158676711E-2</v>
      </c>
      <c r="R240" s="221"/>
      <c r="S240" s="221"/>
      <c r="T240" s="221"/>
      <c r="U240" s="221"/>
      <c r="V240" s="221"/>
      <c r="W240" s="221"/>
      <c r="X240" s="221"/>
      <c r="Y240" s="221"/>
      <c r="Z240" s="221"/>
      <c r="AA240" s="221"/>
      <c r="AB240" s="221"/>
      <c r="AC240" s="221"/>
      <c r="AD240" s="221"/>
      <c r="AE240" s="221"/>
      <c r="AF240" s="221"/>
      <c r="AG240" s="221"/>
      <c r="AH240" s="221"/>
      <c r="AI240" s="13">
        <f>AVERAGE(D240:AE240)</f>
        <v>1.9094478419875244E-2</v>
      </c>
    </row>
    <row r="241" spans="2:35" x14ac:dyDescent="0.25">
      <c r="B241" s="5" t="s">
        <v>116</v>
      </c>
      <c r="C241" s="1" t="s">
        <v>60</v>
      </c>
      <c r="D241" s="223">
        <f t="shared" ref="D241:E241" si="330">+D228-D229-D240</f>
        <v>2.0247047375945137E-3</v>
      </c>
      <c r="E241" s="539">
        <f t="shared" si="330"/>
        <v>2.0011595662690028E-3</v>
      </c>
      <c r="F241" s="539">
        <f t="shared" ref="F241:G241" si="331">+F228-F229-F240</f>
        <v>2.0140886809213686E-3</v>
      </c>
      <c r="G241" s="539">
        <f t="shared" si="331"/>
        <v>2.0088217132996338E-3</v>
      </c>
      <c r="H241" s="539">
        <f t="shared" ref="H241:I241" si="332">+H228-H229-H240</f>
        <v>2.0326511977491503E-3</v>
      </c>
      <c r="I241" s="539">
        <f t="shared" si="332"/>
        <v>2.0394788179497192E-3</v>
      </c>
      <c r="J241" s="539">
        <f t="shared" ref="J241:K241" si="333">+J228-J229-J240</f>
        <v>2.0536177204780581E-3</v>
      </c>
      <c r="K241" s="539">
        <f t="shared" si="333"/>
        <v>2.0241734297383584E-3</v>
      </c>
      <c r="L241" s="539">
        <f t="shared" ref="L241:M241" si="334">+L228-L229-L240</f>
        <v>1.996668042390657E-3</v>
      </c>
      <c r="M241" s="539">
        <f t="shared" si="334"/>
        <v>2.0142354656347491E-3</v>
      </c>
      <c r="N241" s="539">
        <f t="shared" ref="N241:P241" si="335">+N228-N229-N240</f>
        <v>1.9870765169997442E-3</v>
      </c>
      <c r="O241" s="539">
        <f t="shared" si="335"/>
        <v>2.0045282585965437E-3</v>
      </c>
      <c r="P241" s="539">
        <f t="shared" si="335"/>
        <v>2.0090071137134763E-3</v>
      </c>
      <c r="Q241" s="539">
        <f t="shared" ref="Q241" si="336">+Q228-Q229-Q240</f>
        <v>2.0201858541092771E-3</v>
      </c>
      <c r="R241" s="506"/>
      <c r="S241" s="506"/>
      <c r="T241" s="506"/>
      <c r="U241" s="506"/>
      <c r="V241" s="506"/>
      <c r="W241" s="522"/>
      <c r="X241" s="539"/>
      <c r="Y241" s="539"/>
      <c r="Z241" s="539"/>
      <c r="AA241" s="539"/>
      <c r="AB241" s="539"/>
      <c r="AC241" s="539"/>
      <c r="AD241" s="539"/>
      <c r="AE241" s="539"/>
      <c r="AF241" s="539"/>
      <c r="AG241" s="539"/>
      <c r="AH241" s="539"/>
      <c r="AI241" s="224">
        <f>AVERAGE(D241:AE241)</f>
        <v>2.0164569368174468E-3</v>
      </c>
    </row>
    <row r="244" spans="2:35" x14ac:dyDescent="0.25">
      <c r="D244" s="544"/>
      <c r="E244" s="544"/>
      <c r="F244" s="544"/>
      <c r="G244" s="544"/>
      <c r="H244" s="544"/>
      <c r="I244" s="544"/>
      <c r="J244" s="544"/>
      <c r="K244" s="544"/>
      <c r="L244" s="544"/>
      <c r="M244" s="544"/>
      <c r="N244" s="544"/>
      <c r="O244" s="544"/>
      <c r="P244" s="544"/>
      <c r="Q244" s="544"/>
      <c r="R244" s="544"/>
      <c r="S244" s="544"/>
      <c r="T244" s="544"/>
      <c r="U244" s="544"/>
      <c r="V244" s="544"/>
      <c r="W244" s="544"/>
      <c r="X244" s="544"/>
      <c r="Y244" s="544"/>
      <c r="Z244" s="544"/>
      <c r="AA244" s="544"/>
      <c r="AB244" s="544"/>
      <c r="AC244" s="544"/>
      <c r="AD244" s="544"/>
      <c r="AE244" s="544"/>
      <c r="AF244" s="544"/>
      <c r="AG244" s="544"/>
      <c r="AH244" s="544"/>
    </row>
    <row r="249" spans="2:35" x14ac:dyDescent="0.25">
      <c r="D249" s="346"/>
      <c r="E249" s="346"/>
      <c r="F249" s="346"/>
      <c r="G249" s="346"/>
      <c r="H249" s="346"/>
      <c r="I249" s="346"/>
      <c r="J249" s="346"/>
      <c r="K249" s="346"/>
      <c r="L249" s="346"/>
      <c r="M249" s="346"/>
      <c r="N249" s="346"/>
      <c r="O249" s="346"/>
      <c r="P249" s="346"/>
      <c r="Q249" s="346"/>
      <c r="R249" s="346"/>
      <c r="S249" s="346"/>
      <c r="T249" s="346"/>
      <c r="U249" s="346"/>
      <c r="V249" s="346"/>
      <c r="W249" s="346"/>
      <c r="X249" s="346"/>
      <c r="Y249" s="346"/>
      <c r="Z249" s="346"/>
      <c r="AA249" s="346"/>
      <c r="AB249" s="346"/>
      <c r="AC249" s="346"/>
      <c r="AD249" s="346"/>
      <c r="AE249" s="346"/>
      <c r="AF249" s="346"/>
      <c r="AG249" s="346"/>
    </row>
    <row r="250" spans="2:35" x14ac:dyDescent="0.25">
      <c r="D250" s="346"/>
      <c r="E250" s="346"/>
      <c r="F250" s="346"/>
      <c r="G250" s="346"/>
      <c r="H250" s="346"/>
      <c r="I250" s="346"/>
      <c r="J250" s="346"/>
      <c r="K250" s="346"/>
      <c r="L250" s="346"/>
      <c r="M250" s="346"/>
      <c r="N250" s="346"/>
      <c r="O250" s="346"/>
      <c r="P250" s="346"/>
      <c r="Q250" s="346"/>
      <c r="R250" s="346"/>
      <c r="S250" s="346"/>
      <c r="T250" s="346"/>
      <c r="U250" s="346"/>
      <c r="V250" s="346"/>
      <c r="W250" s="346"/>
      <c r="X250" s="346"/>
      <c r="Y250" s="346"/>
      <c r="Z250" s="346"/>
      <c r="AA250" s="346"/>
      <c r="AB250" s="346"/>
      <c r="AC250" s="346"/>
      <c r="AD250" s="346"/>
      <c r="AE250" s="346"/>
      <c r="AF250" s="346"/>
      <c r="AG250" s="346"/>
    </row>
    <row r="253" spans="2:35" x14ac:dyDescent="0.25">
      <c r="D253" s="346"/>
      <c r="E253" s="346"/>
      <c r="F253" s="346"/>
      <c r="G253" s="346"/>
      <c r="H253" s="346"/>
      <c r="I253" s="346"/>
      <c r="J253" s="346"/>
      <c r="K253" s="346"/>
      <c r="L253" s="346"/>
      <c r="M253" s="346"/>
      <c r="N253" s="346"/>
      <c r="O253" s="346"/>
      <c r="P253" s="346"/>
      <c r="Q253" s="346"/>
      <c r="R253" s="346"/>
      <c r="S253" s="346"/>
      <c r="T253" s="346"/>
      <c r="U253" s="346"/>
      <c r="V253" s="346"/>
      <c r="W253" s="346"/>
      <c r="X253" s="346"/>
      <c r="Y253" s="346"/>
      <c r="Z253" s="346"/>
      <c r="AA253" s="346"/>
      <c r="AB253" s="346"/>
      <c r="AC253" s="346"/>
      <c r="AD253" s="346"/>
      <c r="AE253" s="346"/>
      <c r="AF253" s="346"/>
      <c r="AG253" s="346"/>
    </row>
    <row r="254" spans="2:35" x14ac:dyDescent="0.25">
      <c r="D254" s="346"/>
      <c r="E254" s="346"/>
      <c r="F254" s="346"/>
      <c r="G254" s="346"/>
      <c r="H254" s="346"/>
      <c r="I254" s="346"/>
      <c r="J254" s="346"/>
      <c r="K254" s="346"/>
      <c r="L254" s="346"/>
      <c r="M254" s="346"/>
      <c r="N254" s="346"/>
      <c r="O254" s="346"/>
      <c r="P254" s="346"/>
      <c r="Q254" s="346"/>
      <c r="R254" s="346"/>
      <c r="S254" s="346"/>
      <c r="T254" s="346"/>
      <c r="U254" s="346"/>
      <c r="V254" s="346"/>
      <c r="W254" s="346"/>
      <c r="X254" s="346"/>
      <c r="Y254" s="346"/>
      <c r="Z254" s="346"/>
      <c r="AA254" s="346"/>
      <c r="AB254" s="346"/>
      <c r="AC254" s="346"/>
      <c r="AD254" s="346"/>
      <c r="AE254" s="346"/>
      <c r="AF254" s="346"/>
      <c r="AG254" s="346"/>
    </row>
    <row r="273" spans="8:8" x14ac:dyDescent="0.25">
      <c r="H273" s="6">
        <f>1100*50</f>
        <v>55000</v>
      </c>
    </row>
  </sheetData>
  <mergeCells count="5">
    <mergeCell ref="B2:AI2"/>
    <mergeCell ref="B39:AI39"/>
    <mergeCell ref="B76:AI76"/>
    <mergeCell ref="B113:AI113"/>
    <mergeCell ref="B153:AI153"/>
  </mergeCells>
  <pageMargins left="0.2" right="0.2" top="0.25" bottom="0.25" header="0.3" footer="0.3"/>
  <pageSetup paperSize="8" scale="28" orientation="portrait" r:id="rId1"/>
  <ignoredErrors>
    <ignoredError sqref="D23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6"/>
  <sheetViews>
    <sheetView tabSelected="1" zoomScaleNormal="100" workbookViewId="0">
      <selection activeCell="B12" sqref="B12"/>
    </sheetView>
  </sheetViews>
  <sheetFormatPr defaultColWidth="9.140625" defaultRowHeight="15" x14ac:dyDescent="0.25"/>
  <cols>
    <col min="1" max="1" width="15.85546875" style="12" customWidth="1"/>
    <col min="2" max="2" width="72.42578125" style="11" customWidth="1"/>
    <col min="3" max="3" width="11.85546875" style="12" bestFit="1" customWidth="1"/>
    <col min="4" max="16384" width="9.140625" style="12"/>
  </cols>
  <sheetData>
    <row r="2" spans="1:3" ht="15.75" thickBot="1" x14ac:dyDescent="0.3"/>
    <row r="3" spans="1:3" x14ac:dyDescent="0.25">
      <c r="A3" s="675" t="s">
        <v>1</v>
      </c>
      <c r="B3" s="487"/>
      <c r="C3" s="488">
        <v>44348</v>
      </c>
    </row>
    <row r="4" spans="1:3" x14ac:dyDescent="0.25">
      <c r="A4" s="676"/>
      <c r="B4" s="486"/>
      <c r="C4" s="489">
        <f t="shared" ref="C4:C12" si="0">C3</f>
        <v>44348</v>
      </c>
    </row>
    <row r="5" spans="1:3" x14ac:dyDescent="0.25">
      <c r="A5" s="677" t="s">
        <v>315</v>
      </c>
      <c r="B5" s="486"/>
      <c r="C5" s="489">
        <f t="shared" si="0"/>
        <v>44348</v>
      </c>
    </row>
    <row r="6" spans="1:3" x14ac:dyDescent="0.25">
      <c r="A6" s="677"/>
      <c r="B6" s="486"/>
      <c r="C6" s="489">
        <f t="shared" si="0"/>
        <v>44348</v>
      </c>
    </row>
    <row r="7" spans="1:3" x14ac:dyDescent="0.25">
      <c r="A7" s="677"/>
      <c r="B7" s="407"/>
      <c r="C7" s="489">
        <f>C6</f>
        <v>44348</v>
      </c>
    </row>
    <row r="8" spans="1:3" x14ac:dyDescent="0.25">
      <c r="A8" s="677"/>
      <c r="B8" s="407"/>
      <c r="C8" s="489">
        <f>C7</f>
        <v>44348</v>
      </c>
    </row>
    <row r="9" spans="1:3" x14ac:dyDescent="0.25">
      <c r="A9" s="676" t="s">
        <v>34</v>
      </c>
      <c r="B9" s="486"/>
      <c r="C9" s="489">
        <f>C7</f>
        <v>44348</v>
      </c>
    </row>
    <row r="10" spans="1:3" x14ac:dyDescent="0.25">
      <c r="A10" s="676"/>
      <c r="B10" s="486"/>
      <c r="C10" s="489">
        <f t="shared" si="0"/>
        <v>44348</v>
      </c>
    </row>
    <row r="11" spans="1:3" x14ac:dyDescent="0.25">
      <c r="A11" s="676"/>
      <c r="B11" s="486"/>
      <c r="C11" s="489">
        <f>C9</f>
        <v>44348</v>
      </c>
    </row>
    <row r="12" spans="1:3" x14ac:dyDescent="0.25">
      <c r="A12" s="676" t="s">
        <v>36</v>
      </c>
      <c r="B12" s="407"/>
      <c r="C12" s="489">
        <f t="shared" si="0"/>
        <v>44348</v>
      </c>
    </row>
    <row r="13" spans="1:3" ht="21.75" customHeight="1" x14ac:dyDescent="0.25">
      <c r="A13" s="676"/>
      <c r="B13" s="407"/>
      <c r="C13" s="489">
        <f>+C12</f>
        <v>44348</v>
      </c>
    </row>
    <row r="14" spans="1:3" x14ac:dyDescent="0.25">
      <c r="A14" s="676"/>
      <c r="B14" s="407"/>
      <c r="C14" s="489">
        <f>C12</f>
        <v>44348</v>
      </c>
    </row>
    <row r="15" spans="1:3" x14ac:dyDescent="0.25">
      <c r="A15" s="676" t="s">
        <v>227</v>
      </c>
      <c r="B15" s="486"/>
      <c r="C15" s="489">
        <f t="shared" ref="C15:C18" si="1">C13</f>
        <v>44348</v>
      </c>
    </row>
    <row r="16" spans="1:3" x14ac:dyDescent="0.25">
      <c r="A16" s="676"/>
      <c r="B16" s="486"/>
      <c r="C16" s="489">
        <f t="shared" si="1"/>
        <v>44348</v>
      </c>
    </row>
    <row r="17" spans="1:3" x14ac:dyDescent="0.25">
      <c r="A17" s="676"/>
      <c r="B17" s="407"/>
      <c r="C17" s="489">
        <f t="shared" si="1"/>
        <v>44348</v>
      </c>
    </row>
    <row r="18" spans="1:3" ht="15.75" thickBot="1" x14ac:dyDescent="0.3">
      <c r="A18" s="482" t="s">
        <v>41</v>
      </c>
      <c r="B18" s="486"/>
      <c r="C18" s="489">
        <f t="shared" si="1"/>
        <v>44348</v>
      </c>
    </row>
    <row r="19" spans="1:3" x14ac:dyDescent="0.25">
      <c r="A19" s="675" t="s">
        <v>1</v>
      </c>
      <c r="B19" s="487"/>
      <c r="C19" s="488">
        <v>44349</v>
      </c>
    </row>
    <row r="20" spans="1:3" x14ac:dyDescent="0.25">
      <c r="A20" s="676"/>
      <c r="B20" s="486"/>
      <c r="C20" s="489">
        <f t="shared" ref="C20:C28" si="2">C19</f>
        <v>44349</v>
      </c>
    </row>
    <row r="21" spans="1:3" x14ac:dyDescent="0.25">
      <c r="A21" s="677" t="s">
        <v>315</v>
      </c>
      <c r="B21" s="486"/>
      <c r="C21" s="489">
        <f t="shared" si="2"/>
        <v>44349</v>
      </c>
    </row>
    <row r="22" spans="1:3" x14ac:dyDescent="0.25">
      <c r="A22" s="677"/>
      <c r="B22" s="486"/>
      <c r="C22" s="489">
        <f t="shared" si="2"/>
        <v>44349</v>
      </c>
    </row>
    <row r="23" spans="1:3" x14ac:dyDescent="0.25">
      <c r="A23" s="677"/>
      <c r="B23" s="407"/>
      <c r="C23" s="489">
        <f>C22</f>
        <v>44349</v>
      </c>
    </row>
    <row r="24" spans="1:3" x14ac:dyDescent="0.25">
      <c r="A24" s="677"/>
      <c r="B24" s="407"/>
      <c r="C24" s="489">
        <f>C23</f>
        <v>44349</v>
      </c>
    </row>
    <row r="25" spans="1:3" x14ac:dyDescent="0.25">
      <c r="A25" s="676" t="s">
        <v>34</v>
      </c>
      <c r="B25" s="486"/>
      <c r="C25" s="489">
        <f>C23</f>
        <v>44349</v>
      </c>
    </row>
    <row r="26" spans="1:3" x14ac:dyDescent="0.25">
      <c r="A26" s="676"/>
      <c r="B26" s="486"/>
      <c r="C26" s="489">
        <f t="shared" si="2"/>
        <v>44349</v>
      </c>
    </row>
    <row r="27" spans="1:3" x14ac:dyDescent="0.25">
      <c r="A27" s="676"/>
      <c r="B27" s="486"/>
      <c r="C27" s="489">
        <f>C25</f>
        <v>44349</v>
      </c>
    </row>
    <row r="28" spans="1:3" x14ac:dyDescent="0.25">
      <c r="A28" s="676" t="s">
        <v>36</v>
      </c>
      <c r="B28" s="407"/>
      <c r="C28" s="489">
        <f t="shared" si="2"/>
        <v>44349</v>
      </c>
    </row>
    <row r="29" spans="1:3" x14ac:dyDescent="0.25">
      <c r="A29" s="676"/>
      <c r="B29" s="407"/>
      <c r="C29" s="489">
        <f>+C28</f>
        <v>44349</v>
      </c>
    </row>
    <row r="30" spans="1:3" x14ac:dyDescent="0.25">
      <c r="A30" s="676"/>
      <c r="B30" s="407"/>
      <c r="C30" s="489">
        <f>C28</f>
        <v>44349</v>
      </c>
    </row>
    <row r="31" spans="1:3" x14ac:dyDescent="0.25">
      <c r="A31" s="676" t="s">
        <v>227</v>
      </c>
      <c r="B31" s="486"/>
      <c r="C31" s="489">
        <f t="shared" ref="C31:C34" si="3">C29</f>
        <v>44349</v>
      </c>
    </row>
    <row r="32" spans="1:3" x14ac:dyDescent="0.25">
      <c r="A32" s="676"/>
      <c r="B32" s="486"/>
      <c r="C32" s="489">
        <f t="shared" si="3"/>
        <v>44349</v>
      </c>
    </row>
    <row r="33" spans="1:3" x14ac:dyDescent="0.25">
      <c r="A33" s="676"/>
      <c r="B33" s="407"/>
      <c r="C33" s="489">
        <f t="shared" si="3"/>
        <v>44349</v>
      </c>
    </row>
    <row r="34" spans="1:3" ht="15.75" thickBot="1" x14ac:dyDescent="0.3">
      <c r="A34" s="629" t="s">
        <v>41</v>
      </c>
      <c r="B34" s="486"/>
      <c r="C34" s="489">
        <f t="shared" si="3"/>
        <v>44349</v>
      </c>
    </row>
    <row r="35" spans="1:3" x14ac:dyDescent="0.25">
      <c r="A35" s="675" t="s">
        <v>1</v>
      </c>
      <c r="B35" s="487"/>
      <c r="C35" s="488">
        <v>44350</v>
      </c>
    </row>
    <row r="36" spans="1:3" x14ac:dyDescent="0.25">
      <c r="A36" s="676"/>
      <c r="B36" s="486"/>
      <c r="C36" s="489">
        <f t="shared" ref="C36:C44" si="4">C35</f>
        <v>44350</v>
      </c>
    </row>
    <row r="37" spans="1:3" x14ac:dyDescent="0.25">
      <c r="A37" s="677" t="s">
        <v>315</v>
      </c>
      <c r="B37" s="486"/>
      <c r="C37" s="489">
        <f t="shared" si="4"/>
        <v>44350</v>
      </c>
    </row>
    <row r="38" spans="1:3" x14ac:dyDescent="0.25">
      <c r="A38" s="677"/>
      <c r="B38" s="486"/>
      <c r="C38" s="489">
        <f t="shared" si="4"/>
        <v>44350</v>
      </c>
    </row>
    <row r="39" spans="1:3" x14ac:dyDescent="0.25">
      <c r="A39" s="677"/>
      <c r="B39" s="407"/>
      <c r="C39" s="489">
        <f>C38</f>
        <v>44350</v>
      </c>
    </row>
    <row r="40" spans="1:3" x14ac:dyDescent="0.25">
      <c r="A40" s="677"/>
      <c r="B40" s="407"/>
      <c r="C40" s="489">
        <f>C39</f>
        <v>44350</v>
      </c>
    </row>
    <row r="41" spans="1:3" x14ac:dyDescent="0.25">
      <c r="A41" s="676" t="s">
        <v>34</v>
      </c>
      <c r="B41" s="486"/>
      <c r="C41" s="489">
        <f>C39</f>
        <v>44350</v>
      </c>
    </row>
    <row r="42" spans="1:3" x14ac:dyDescent="0.25">
      <c r="A42" s="676"/>
      <c r="B42" s="486"/>
      <c r="C42" s="489">
        <f t="shared" si="4"/>
        <v>44350</v>
      </c>
    </row>
    <row r="43" spans="1:3" x14ac:dyDescent="0.25">
      <c r="A43" s="676"/>
      <c r="B43" s="486"/>
      <c r="C43" s="489">
        <f>C41</f>
        <v>44350</v>
      </c>
    </row>
    <row r="44" spans="1:3" x14ac:dyDescent="0.25">
      <c r="A44" s="676" t="s">
        <v>36</v>
      </c>
      <c r="B44" s="407"/>
      <c r="C44" s="489">
        <f t="shared" si="4"/>
        <v>44350</v>
      </c>
    </row>
    <row r="45" spans="1:3" x14ac:dyDescent="0.25">
      <c r="A45" s="676"/>
      <c r="B45" s="407"/>
      <c r="C45" s="489">
        <f>+C44</f>
        <v>44350</v>
      </c>
    </row>
    <row r="46" spans="1:3" x14ac:dyDescent="0.25">
      <c r="A46" s="676"/>
      <c r="B46" s="407"/>
      <c r="C46" s="489">
        <f>C44</f>
        <v>44350</v>
      </c>
    </row>
    <row r="47" spans="1:3" x14ac:dyDescent="0.25">
      <c r="A47" s="676" t="s">
        <v>227</v>
      </c>
      <c r="B47" s="486"/>
      <c r="C47" s="489">
        <f t="shared" ref="C47:C50" si="5">C45</f>
        <v>44350</v>
      </c>
    </row>
    <row r="48" spans="1:3" x14ac:dyDescent="0.25">
      <c r="A48" s="676"/>
      <c r="B48" s="486"/>
      <c r="C48" s="489">
        <f t="shared" si="5"/>
        <v>44350</v>
      </c>
    </row>
    <row r="49" spans="1:3" x14ac:dyDescent="0.25">
      <c r="A49" s="676"/>
      <c r="B49" s="407"/>
      <c r="C49" s="489">
        <f t="shared" si="5"/>
        <v>44350</v>
      </c>
    </row>
    <row r="50" spans="1:3" ht="15.75" thickBot="1" x14ac:dyDescent="0.3">
      <c r="A50" s="631" t="s">
        <v>41</v>
      </c>
      <c r="B50" s="486"/>
      <c r="C50" s="489">
        <f t="shared" si="5"/>
        <v>44350</v>
      </c>
    </row>
    <row r="51" spans="1:3" x14ac:dyDescent="0.25">
      <c r="A51" s="675" t="s">
        <v>1</v>
      </c>
      <c r="B51" s="487"/>
      <c r="C51" s="488">
        <v>44351</v>
      </c>
    </row>
    <row r="52" spans="1:3" x14ac:dyDescent="0.25">
      <c r="A52" s="676"/>
      <c r="B52" s="486"/>
      <c r="C52" s="489">
        <f t="shared" ref="C52:C60" si="6">C51</f>
        <v>44351</v>
      </c>
    </row>
    <row r="53" spans="1:3" x14ac:dyDescent="0.25">
      <c r="A53" s="677" t="s">
        <v>315</v>
      </c>
      <c r="B53" s="486"/>
      <c r="C53" s="489">
        <f t="shared" si="6"/>
        <v>44351</v>
      </c>
    </row>
    <row r="54" spans="1:3" x14ac:dyDescent="0.25">
      <c r="A54" s="677"/>
      <c r="B54" s="486"/>
      <c r="C54" s="489">
        <f t="shared" si="6"/>
        <v>44351</v>
      </c>
    </row>
    <row r="55" spans="1:3" x14ac:dyDescent="0.25">
      <c r="A55" s="677"/>
      <c r="B55" s="407"/>
      <c r="C55" s="489">
        <f>C54</f>
        <v>44351</v>
      </c>
    </row>
    <row r="56" spans="1:3" x14ac:dyDescent="0.25">
      <c r="A56" s="677"/>
      <c r="B56" s="407"/>
      <c r="C56" s="489">
        <f>C55</f>
        <v>44351</v>
      </c>
    </row>
    <row r="57" spans="1:3" x14ac:dyDescent="0.25">
      <c r="A57" s="676" t="s">
        <v>34</v>
      </c>
      <c r="B57" s="486"/>
      <c r="C57" s="489">
        <f>C55</f>
        <v>44351</v>
      </c>
    </row>
    <row r="58" spans="1:3" x14ac:dyDescent="0.25">
      <c r="A58" s="676"/>
      <c r="B58" s="486"/>
      <c r="C58" s="489">
        <f t="shared" si="6"/>
        <v>44351</v>
      </c>
    </row>
    <row r="59" spans="1:3" x14ac:dyDescent="0.25">
      <c r="A59" s="676"/>
      <c r="B59" s="486"/>
      <c r="C59" s="489">
        <f>C57</f>
        <v>44351</v>
      </c>
    </row>
    <row r="60" spans="1:3" x14ac:dyDescent="0.25">
      <c r="A60" s="676" t="s">
        <v>36</v>
      </c>
      <c r="B60" s="407"/>
      <c r="C60" s="489">
        <f t="shared" si="6"/>
        <v>44351</v>
      </c>
    </row>
    <row r="61" spans="1:3" x14ac:dyDescent="0.25">
      <c r="A61" s="676"/>
      <c r="B61" s="407"/>
      <c r="C61" s="489">
        <f>+C60</f>
        <v>44351</v>
      </c>
    </row>
    <row r="62" spans="1:3" x14ac:dyDescent="0.25">
      <c r="A62" s="676"/>
      <c r="B62" s="407"/>
      <c r="C62" s="489">
        <f>C60</f>
        <v>44351</v>
      </c>
    </row>
    <row r="63" spans="1:3" x14ac:dyDescent="0.25">
      <c r="A63" s="676" t="s">
        <v>227</v>
      </c>
      <c r="B63" s="486"/>
      <c r="C63" s="489">
        <f t="shared" ref="C63:C66" si="7">C61</f>
        <v>44351</v>
      </c>
    </row>
    <row r="64" spans="1:3" x14ac:dyDescent="0.25">
      <c r="A64" s="676"/>
      <c r="B64" s="486"/>
      <c r="C64" s="489">
        <f t="shared" si="7"/>
        <v>44351</v>
      </c>
    </row>
    <row r="65" spans="1:3" x14ac:dyDescent="0.25">
      <c r="A65" s="676"/>
      <c r="B65" s="407"/>
      <c r="C65" s="489">
        <f t="shared" si="7"/>
        <v>44351</v>
      </c>
    </row>
    <row r="66" spans="1:3" ht="15.75" thickBot="1" x14ac:dyDescent="0.3">
      <c r="A66" s="632" t="s">
        <v>41</v>
      </c>
      <c r="B66" s="486"/>
      <c r="C66" s="489">
        <f t="shared" si="7"/>
        <v>44351</v>
      </c>
    </row>
    <row r="67" spans="1:3" x14ac:dyDescent="0.25">
      <c r="A67" s="675" t="s">
        <v>1</v>
      </c>
      <c r="B67" s="487"/>
      <c r="C67" s="488">
        <v>44352</v>
      </c>
    </row>
    <row r="68" spans="1:3" x14ac:dyDescent="0.25">
      <c r="A68" s="676"/>
      <c r="B68" s="486"/>
      <c r="C68" s="489">
        <f t="shared" ref="C68:C76" si="8">C67</f>
        <v>44352</v>
      </c>
    </row>
    <row r="69" spans="1:3" x14ac:dyDescent="0.25">
      <c r="A69" s="677" t="s">
        <v>315</v>
      </c>
      <c r="B69" s="486"/>
      <c r="C69" s="489">
        <f t="shared" si="8"/>
        <v>44352</v>
      </c>
    </row>
    <row r="70" spans="1:3" x14ac:dyDescent="0.25">
      <c r="A70" s="677"/>
      <c r="B70" s="486"/>
      <c r="C70" s="489">
        <f t="shared" si="8"/>
        <v>44352</v>
      </c>
    </row>
    <row r="71" spans="1:3" x14ac:dyDescent="0.25">
      <c r="A71" s="677"/>
      <c r="B71" s="407"/>
      <c r="C71" s="489">
        <f>C70</f>
        <v>44352</v>
      </c>
    </row>
    <row r="72" spans="1:3" x14ac:dyDescent="0.25">
      <c r="A72" s="677"/>
      <c r="B72" s="407"/>
      <c r="C72" s="489">
        <f>C71</f>
        <v>44352</v>
      </c>
    </row>
    <row r="73" spans="1:3" x14ac:dyDescent="0.25">
      <c r="A73" s="676" t="s">
        <v>34</v>
      </c>
      <c r="B73" s="486"/>
      <c r="C73" s="489">
        <f>C71</f>
        <v>44352</v>
      </c>
    </row>
    <row r="74" spans="1:3" x14ac:dyDescent="0.25">
      <c r="A74" s="676"/>
      <c r="B74" s="486"/>
      <c r="C74" s="489">
        <f t="shared" si="8"/>
        <v>44352</v>
      </c>
    </row>
    <row r="75" spans="1:3" x14ac:dyDescent="0.25">
      <c r="A75" s="676"/>
      <c r="B75" s="486"/>
      <c r="C75" s="489">
        <f>C73</f>
        <v>44352</v>
      </c>
    </row>
    <row r="76" spans="1:3" x14ac:dyDescent="0.25">
      <c r="A76" s="676" t="s">
        <v>36</v>
      </c>
      <c r="B76" s="407"/>
      <c r="C76" s="489">
        <f t="shared" si="8"/>
        <v>44352</v>
      </c>
    </row>
    <row r="77" spans="1:3" x14ac:dyDescent="0.25">
      <c r="A77" s="676"/>
      <c r="B77" s="407"/>
      <c r="C77" s="489">
        <f>+C76</f>
        <v>44352</v>
      </c>
    </row>
    <row r="78" spans="1:3" x14ac:dyDescent="0.25">
      <c r="A78" s="676"/>
      <c r="B78" s="407"/>
      <c r="C78" s="489">
        <f>C76</f>
        <v>44352</v>
      </c>
    </row>
    <row r="79" spans="1:3" x14ac:dyDescent="0.25">
      <c r="A79" s="676" t="s">
        <v>227</v>
      </c>
      <c r="B79" s="486"/>
      <c r="C79" s="489">
        <f t="shared" ref="C79:C82" si="9">C77</f>
        <v>44352</v>
      </c>
    </row>
    <row r="80" spans="1:3" x14ac:dyDescent="0.25">
      <c r="A80" s="676"/>
      <c r="B80" s="486"/>
      <c r="C80" s="489">
        <f t="shared" si="9"/>
        <v>44352</v>
      </c>
    </row>
    <row r="81" spans="1:3" x14ac:dyDescent="0.25">
      <c r="A81" s="676"/>
      <c r="B81" s="407"/>
      <c r="C81" s="489">
        <f t="shared" si="9"/>
        <v>44352</v>
      </c>
    </row>
    <row r="82" spans="1:3" ht="15.75" thickBot="1" x14ac:dyDescent="0.3">
      <c r="A82" s="633" t="s">
        <v>41</v>
      </c>
      <c r="B82" s="486"/>
      <c r="C82" s="489">
        <f t="shared" si="9"/>
        <v>44352</v>
      </c>
    </row>
    <row r="83" spans="1:3" x14ac:dyDescent="0.25">
      <c r="A83" s="675" t="s">
        <v>1</v>
      </c>
      <c r="B83" s="487"/>
      <c r="C83" s="488">
        <v>44353</v>
      </c>
    </row>
    <row r="84" spans="1:3" x14ac:dyDescent="0.25">
      <c r="A84" s="676"/>
      <c r="B84" s="486"/>
      <c r="C84" s="489">
        <f t="shared" ref="C84:C92" si="10">C83</f>
        <v>44353</v>
      </c>
    </row>
    <row r="85" spans="1:3" x14ac:dyDescent="0.25">
      <c r="A85" s="677" t="s">
        <v>315</v>
      </c>
      <c r="B85" s="486"/>
      <c r="C85" s="489">
        <f t="shared" si="10"/>
        <v>44353</v>
      </c>
    </row>
    <row r="86" spans="1:3" x14ac:dyDescent="0.25">
      <c r="A86" s="677"/>
      <c r="B86" s="486"/>
      <c r="C86" s="489">
        <f t="shared" si="10"/>
        <v>44353</v>
      </c>
    </row>
    <row r="87" spans="1:3" x14ac:dyDescent="0.25">
      <c r="A87" s="677"/>
      <c r="B87" s="407"/>
      <c r="C87" s="489">
        <f>C86</f>
        <v>44353</v>
      </c>
    </row>
    <row r="88" spans="1:3" x14ac:dyDescent="0.25">
      <c r="A88" s="677"/>
      <c r="B88" s="407"/>
      <c r="C88" s="489">
        <f>C87</f>
        <v>44353</v>
      </c>
    </row>
    <row r="89" spans="1:3" x14ac:dyDescent="0.25">
      <c r="A89" s="676" t="s">
        <v>34</v>
      </c>
      <c r="B89" s="486"/>
      <c r="C89" s="489">
        <f>C87</f>
        <v>44353</v>
      </c>
    </row>
    <row r="90" spans="1:3" x14ac:dyDescent="0.25">
      <c r="A90" s="676"/>
      <c r="B90" s="486"/>
      <c r="C90" s="489">
        <f t="shared" si="10"/>
        <v>44353</v>
      </c>
    </row>
    <row r="91" spans="1:3" x14ac:dyDescent="0.25">
      <c r="A91" s="676"/>
      <c r="B91" s="486"/>
      <c r="C91" s="489">
        <f>C89</f>
        <v>44353</v>
      </c>
    </row>
    <row r="92" spans="1:3" x14ac:dyDescent="0.25">
      <c r="A92" s="676" t="s">
        <v>36</v>
      </c>
      <c r="B92" s="407"/>
      <c r="C92" s="489">
        <f t="shared" si="10"/>
        <v>44353</v>
      </c>
    </row>
    <row r="93" spans="1:3" x14ac:dyDescent="0.25">
      <c r="A93" s="676"/>
      <c r="B93" s="407"/>
      <c r="C93" s="489">
        <f>+C92</f>
        <v>44353</v>
      </c>
    </row>
    <row r="94" spans="1:3" x14ac:dyDescent="0.25">
      <c r="A94" s="676"/>
      <c r="B94" s="407"/>
      <c r="C94" s="489">
        <f>C92</f>
        <v>44353</v>
      </c>
    </row>
    <row r="95" spans="1:3" x14ac:dyDescent="0.25">
      <c r="A95" s="676" t="s">
        <v>227</v>
      </c>
      <c r="B95" s="486"/>
      <c r="C95" s="489">
        <f t="shared" ref="C95:C98" si="11">C93</f>
        <v>44353</v>
      </c>
    </row>
    <row r="96" spans="1:3" x14ac:dyDescent="0.25">
      <c r="A96" s="676"/>
      <c r="B96" s="486"/>
      <c r="C96" s="489">
        <f t="shared" si="11"/>
        <v>44353</v>
      </c>
    </row>
    <row r="97" spans="1:3" x14ac:dyDescent="0.25">
      <c r="A97" s="676"/>
      <c r="B97" s="407"/>
      <c r="C97" s="489">
        <f t="shared" si="11"/>
        <v>44353</v>
      </c>
    </row>
    <row r="98" spans="1:3" ht="15.75" thickBot="1" x14ac:dyDescent="0.3">
      <c r="A98" s="633" t="s">
        <v>41</v>
      </c>
      <c r="B98" s="486"/>
      <c r="C98" s="489">
        <f t="shared" si="11"/>
        <v>44353</v>
      </c>
    </row>
    <row r="99" spans="1:3" x14ac:dyDescent="0.25">
      <c r="A99" s="675" t="s">
        <v>1</v>
      </c>
      <c r="B99" s="487"/>
      <c r="C99" s="488">
        <v>44354</v>
      </c>
    </row>
    <row r="100" spans="1:3" x14ac:dyDescent="0.25">
      <c r="A100" s="676"/>
      <c r="B100" s="486"/>
      <c r="C100" s="489">
        <f t="shared" ref="C100:C108" si="12">C99</f>
        <v>44354</v>
      </c>
    </row>
    <row r="101" spans="1:3" x14ac:dyDescent="0.25">
      <c r="A101" s="677" t="s">
        <v>315</v>
      </c>
      <c r="B101" s="486"/>
      <c r="C101" s="489">
        <f t="shared" si="12"/>
        <v>44354</v>
      </c>
    </row>
    <row r="102" spans="1:3" x14ac:dyDescent="0.25">
      <c r="A102" s="677"/>
      <c r="B102" s="486"/>
      <c r="C102" s="489">
        <f t="shared" si="12"/>
        <v>44354</v>
      </c>
    </row>
    <row r="103" spans="1:3" x14ac:dyDescent="0.25">
      <c r="A103" s="677"/>
      <c r="B103" s="407"/>
      <c r="C103" s="489">
        <f>C102</f>
        <v>44354</v>
      </c>
    </row>
    <row r="104" spans="1:3" x14ac:dyDescent="0.25">
      <c r="A104" s="677"/>
      <c r="B104" s="407"/>
      <c r="C104" s="489">
        <f>C103</f>
        <v>44354</v>
      </c>
    </row>
    <row r="105" spans="1:3" x14ac:dyDescent="0.25">
      <c r="A105" s="676" t="s">
        <v>34</v>
      </c>
      <c r="B105" s="486"/>
      <c r="C105" s="489">
        <f>C103</f>
        <v>44354</v>
      </c>
    </row>
    <row r="106" spans="1:3" x14ac:dyDescent="0.25">
      <c r="A106" s="676"/>
      <c r="B106" s="486"/>
      <c r="C106" s="489">
        <f t="shared" si="12"/>
        <v>44354</v>
      </c>
    </row>
    <row r="107" spans="1:3" x14ac:dyDescent="0.25">
      <c r="A107" s="676"/>
      <c r="B107" s="486"/>
      <c r="C107" s="489">
        <f>C105</f>
        <v>44354</v>
      </c>
    </row>
    <row r="108" spans="1:3" x14ac:dyDescent="0.25">
      <c r="A108" s="676" t="s">
        <v>36</v>
      </c>
      <c r="B108" s="407"/>
      <c r="C108" s="489">
        <f t="shared" si="12"/>
        <v>44354</v>
      </c>
    </row>
    <row r="109" spans="1:3" x14ac:dyDescent="0.25">
      <c r="A109" s="676"/>
      <c r="B109" s="407"/>
      <c r="C109" s="489">
        <f>+C108</f>
        <v>44354</v>
      </c>
    </row>
    <row r="110" spans="1:3" x14ac:dyDescent="0.25">
      <c r="A110" s="676"/>
      <c r="B110" s="407"/>
      <c r="C110" s="489">
        <f>C108</f>
        <v>44354</v>
      </c>
    </row>
    <row r="111" spans="1:3" x14ac:dyDescent="0.25">
      <c r="A111" s="676" t="s">
        <v>227</v>
      </c>
      <c r="B111" s="486"/>
      <c r="C111" s="489">
        <f t="shared" ref="C111:C114" si="13">C109</f>
        <v>44354</v>
      </c>
    </row>
    <row r="112" spans="1:3" x14ac:dyDescent="0.25">
      <c r="A112" s="676"/>
      <c r="B112" s="486"/>
      <c r="C112" s="489">
        <f t="shared" si="13"/>
        <v>44354</v>
      </c>
    </row>
    <row r="113" spans="1:3" x14ac:dyDescent="0.25">
      <c r="A113" s="676"/>
      <c r="B113" s="407"/>
      <c r="C113" s="489">
        <f t="shared" si="13"/>
        <v>44354</v>
      </c>
    </row>
    <row r="114" spans="1:3" ht="15.75" thickBot="1" x14ac:dyDescent="0.3">
      <c r="A114" s="635" t="s">
        <v>41</v>
      </c>
      <c r="B114" s="486"/>
      <c r="C114" s="489">
        <f t="shared" si="13"/>
        <v>44354</v>
      </c>
    </row>
    <row r="115" spans="1:3" x14ac:dyDescent="0.25">
      <c r="A115" s="675" t="s">
        <v>1</v>
      </c>
      <c r="B115" s="487"/>
      <c r="C115" s="488">
        <v>44355</v>
      </c>
    </row>
    <row r="116" spans="1:3" x14ac:dyDescent="0.25">
      <c r="A116" s="676"/>
      <c r="B116" s="486"/>
      <c r="C116" s="489">
        <f t="shared" ref="C116:C124" si="14">C115</f>
        <v>44355</v>
      </c>
    </row>
    <row r="117" spans="1:3" x14ac:dyDescent="0.25">
      <c r="A117" s="677" t="s">
        <v>315</v>
      </c>
      <c r="B117" s="486"/>
      <c r="C117" s="489">
        <f t="shared" si="14"/>
        <v>44355</v>
      </c>
    </row>
    <row r="118" spans="1:3" x14ac:dyDescent="0.25">
      <c r="A118" s="677"/>
      <c r="B118" s="486"/>
      <c r="C118" s="489">
        <f t="shared" si="14"/>
        <v>44355</v>
      </c>
    </row>
    <row r="119" spans="1:3" x14ac:dyDescent="0.25">
      <c r="A119" s="677"/>
      <c r="B119" s="407"/>
      <c r="C119" s="489">
        <f>C118</f>
        <v>44355</v>
      </c>
    </row>
    <row r="120" spans="1:3" x14ac:dyDescent="0.25">
      <c r="A120" s="677"/>
      <c r="B120" s="407"/>
      <c r="C120" s="489">
        <f>C119</f>
        <v>44355</v>
      </c>
    </row>
    <row r="121" spans="1:3" x14ac:dyDescent="0.25">
      <c r="A121" s="676" t="s">
        <v>34</v>
      </c>
      <c r="B121" s="486"/>
      <c r="C121" s="489">
        <f>C119</f>
        <v>44355</v>
      </c>
    </row>
    <row r="122" spans="1:3" x14ac:dyDescent="0.25">
      <c r="A122" s="676"/>
      <c r="B122" s="486"/>
      <c r="C122" s="489">
        <f t="shared" si="14"/>
        <v>44355</v>
      </c>
    </row>
    <row r="123" spans="1:3" x14ac:dyDescent="0.25">
      <c r="A123" s="676"/>
      <c r="B123" s="486"/>
      <c r="C123" s="489">
        <f>C121</f>
        <v>44355</v>
      </c>
    </row>
    <row r="124" spans="1:3" x14ac:dyDescent="0.25">
      <c r="A124" s="676" t="s">
        <v>36</v>
      </c>
      <c r="B124" s="407"/>
      <c r="C124" s="489">
        <f t="shared" si="14"/>
        <v>44355</v>
      </c>
    </row>
    <row r="125" spans="1:3" x14ac:dyDescent="0.25">
      <c r="A125" s="676"/>
      <c r="B125" s="407"/>
      <c r="C125" s="489">
        <f>+C124</f>
        <v>44355</v>
      </c>
    </row>
    <row r="126" spans="1:3" x14ac:dyDescent="0.25">
      <c r="A126" s="676"/>
      <c r="B126" s="407"/>
      <c r="C126" s="489">
        <f>C124</f>
        <v>44355</v>
      </c>
    </row>
    <row r="127" spans="1:3" x14ac:dyDescent="0.25">
      <c r="A127" s="676" t="s">
        <v>227</v>
      </c>
      <c r="B127" s="486"/>
      <c r="C127" s="489">
        <f t="shared" ref="C127:C130" si="15">C125</f>
        <v>44355</v>
      </c>
    </row>
    <row r="128" spans="1:3" x14ac:dyDescent="0.25">
      <c r="A128" s="676"/>
      <c r="B128" s="486"/>
      <c r="C128" s="489">
        <f t="shared" si="15"/>
        <v>44355</v>
      </c>
    </row>
    <row r="129" spans="1:3" x14ac:dyDescent="0.25">
      <c r="A129" s="676"/>
      <c r="B129" s="407"/>
      <c r="C129" s="489">
        <f t="shared" si="15"/>
        <v>44355</v>
      </c>
    </row>
    <row r="130" spans="1:3" ht="15.75" thickBot="1" x14ac:dyDescent="0.3">
      <c r="A130" s="636" t="s">
        <v>41</v>
      </c>
      <c r="B130" s="486"/>
      <c r="C130" s="489">
        <f t="shared" si="15"/>
        <v>44355</v>
      </c>
    </row>
    <row r="131" spans="1:3" x14ac:dyDescent="0.25">
      <c r="A131" s="675" t="s">
        <v>1</v>
      </c>
      <c r="B131" s="487"/>
      <c r="C131" s="488">
        <v>44356</v>
      </c>
    </row>
    <row r="132" spans="1:3" x14ac:dyDescent="0.25">
      <c r="A132" s="676"/>
      <c r="B132" s="486"/>
      <c r="C132" s="489">
        <f>C131</f>
        <v>44356</v>
      </c>
    </row>
    <row r="133" spans="1:3" x14ac:dyDescent="0.25">
      <c r="A133" s="677" t="s">
        <v>315</v>
      </c>
      <c r="B133" s="486"/>
      <c r="C133" s="489">
        <f t="shared" ref="C133:C140" si="16">C132</f>
        <v>44356</v>
      </c>
    </row>
    <row r="134" spans="1:3" x14ac:dyDescent="0.25">
      <c r="A134" s="677"/>
      <c r="B134" s="486"/>
      <c r="C134" s="489">
        <f t="shared" si="16"/>
        <v>44356</v>
      </c>
    </row>
    <row r="135" spans="1:3" x14ac:dyDescent="0.25">
      <c r="A135" s="677"/>
      <c r="B135" s="407"/>
      <c r="C135" s="489">
        <f>C134</f>
        <v>44356</v>
      </c>
    </row>
    <row r="136" spans="1:3" x14ac:dyDescent="0.25">
      <c r="A136" s="677"/>
      <c r="B136" s="407"/>
      <c r="C136" s="489">
        <f>C135</f>
        <v>44356</v>
      </c>
    </row>
    <row r="137" spans="1:3" x14ac:dyDescent="0.25">
      <c r="A137" s="676" t="s">
        <v>34</v>
      </c>
      <c r="B137" s="486"/>
      <c r="C137" s="489">
        <f>C135</f>
        <v>44356</v>
      </c>
    </row>
    <row r="138" spans="1:3" x14ac:dyDescent="0.25">
      <c r="A138" s="676"/>
      <c r="B138" s="486"/>
      <c r="C138" s="489">
        <f t="shared" si="16"/>
        <v>44356</v>
      </c>
    </row>
    <row r="139" spans="1:3" x14ac:dyDescent="0.25">
      <c r="A139" s="676"/>
      <c r="B139" s="486"/>
      <c r="C139" s="489">
        <f>C137</f>
        <v>44356</v>
      </c>
    </row>
    <row r="140" spans="1:3" ht="15.75" x14ac:dyDescent="0.25">
      <c r="A140" s="676" t="s">
        <v>36</v>
      </c>
      <c r="B140" s="638"/>
      <c r="C140" s="489">
        <f t="shared" si="16"/>
        <v>44356</v>
      </c>
    </row>
    <row r="141" spans="1:3" x14ac:dyDescent="0.25">
      <c r="A141" s="676"/>
      <c r="B141" s="407"/>
      <c r="C141" s="489">
        <f>+C140</f>
        <v>44356</v>
      </c>
    </row>
    <row r="142" spans="1:3" x14ac:dyDescent="0.25">
      <c r="A142" s="676"/>
      <c r="B142" s="407"/>
      <c r="C142" s="489">
        <f>C141</f>
        <v>44356</v>
      </c>
    </row>
    <row r="143" spans="1:3" x14ac:dyDescent="0.25">
      <c r="A143" s="676"/>
      <c r="B143" s="407"/>
      <c r="C143" s="489">
        <f>C140</f>
        <v>44356</v>
      </c>
    </row>
    <row r="144" spans="1:3" x14ac:dyDescent="0.25">
      <c r="A144" s="676" t="s">
        <v>227</v>
      </c>
      <c r="B144" s="486"/>
      <c r="C144" s="489">
        <f>C141</f>
        <v>44356</v>
      </c>
    </row>
    <row r="145" spans="1:3" x14ac:dyDescent="0.25">
      <c r="A145" s="676"/>
      <c r="B145" s="486"/>
      <c r="C145" s="489">
        <f t="shared" ref="C145:C147" si="17">C143</f>
        <v>44356</v>
      </c>
    </row>
    <row r="146" spans="1:3" x14ac:dyDescent="0.25">
      <c r="A146" s="676"/>
      <c r="B146" s="407"/>
      <c r="C146" s="489">
        <f t="shared" si="17"/>
        <v>44356</v>
      </c>
    </row>
    <row r="147" spans="1:3" ht="15.75" thickBot="1" x14ac:dyDescent="0.3">
      <c r="A147" s="637" t="s">
        <v>41</v>
      </c>
      <c r="B147" s="486"/>
      <c r="C147" s="489">
        <f t="shared" si="17"/>
        <v>44356</v>
      </c>
    </row>
    <row r="148" spans="1:3" x14ac:dyDescent="0.25">
      <c r="A148" s="675" t="s">
        <v>1</v>
      </c>
      <c r="B148" s="487"/>
      <c r="C148" s="488">
        <v>44357</v>
      </c>
    </row>
    <row r="149" spans="1:3" x14ac:dyDescent="0.25">
      <c r="A149" s="676"/>
      <c r="B149" s="486"/>
      <c r="C149" s="489">
        <f>C148</f>
        <v>44357</v>
      </c>
    </row>
    <row r="150" spans="1:3" x14ac:dyDescent="0.25">
      <c r="A150" s="677" t="s">
        <v>315</v>
      </c>
      <c r="B150" s="486"/>
      <c r="C150" s="489">
        <f t="shared" ref="C150:C157" si="18">C149</f>
        <v>44357</v>
      </c>
    </row>
    <row r="151" spans="1:3" x14ac:dyDescent="0.25">
      <c r="A151" s="677"/>
      <c r="B151" s="486"/>
      <c r="C151" s="489">
        <f t="shared" si="18"/>
        <v>44357</v>
      </c>
    </row>
    <row r="152" spans="1:3" x14ac:dyDescent="0.25">
      <c r="A152" s="677"/>
      <c r="B152" s="407"/>
      <c r="C152" s="489">
        <f>C151</f>
        <v>44357</v>
      </c>
    </row>
    <row r="153" spans="1:3" x14ac:dyDescent="0.25">
      <c r="A153" s="677"/>
      <c r="B153" s="407"/>
      <c r="C153" s="489">
        <f>C152</f>
        <v>44357</v>
      </c>
    </row>
    <row r="154" spans="1:3" x14ac:dyDescent="0.25">
      <c r="A154" s="676" t="s">
        <v>34</v>
      </c>
      <c r="B154" s="486"/>
      <c r="C154" s="489">
        <f>C152</f>
        <v>44357</v>
      </c>
    </row>
    <row r="155" spans="1:3" x14ac:dyDescent="0.25">
      <c r="A155" s="676"/>
      <c r="B155" s="486"/>
      <c r="C155" s="489">
        <f t="shared" si="18"/>
        <v>44357</v>
      </c>
    </row>
    <row r="156" spans="1:3" x14ac:dyDescent="0.25">
      <c r="A156" s="676"/>
      <c r="B156" s="486"/>
      <c r="C156" s="489">
        <f>C154</f>
        <v>44357</v>
      </c>
    </row>
    <row r="157" spans="1:3" ht="15.75" x14ac:dyDescent="0.25">
      <c r="A157" s="676" t="s">
        <v>36</v>
      </c>
      <c r="B157" s="638"/>
      <c r="C157" s="489">
        <f t="shared" si="18"/>
        <v>44357</v>
      </c>
    </row>
    <row r="158" spans="1:3" x14ac:dyDescent="0.25">
      <c r="A158" s="676"/>
      <c r="B158" s="407"/>
      <c r="C158" s="489">
        <f>+C157</f>
        <v>44357</v>
      </c>
    </row>
    <row r="159" spans="1:3" x14ac:dyDescent="0.25">
      <c r="A159" s="676"/>
      <c r="B159" s="407"/>
      <c r="C159" s="489">
        <f>C158</f>
        <v>44357</v>
      </c>
    </row>
    <row r="160" spans="1:3" x14ac:dyDescent="0.25">
      <c r="A160" s="676"/>
      <c r="B160" s="407"/>
      <c r="C160" s="489">
        <f>C157</f>
        <v>44357</v>
      </c>
    </row>
    <row r="161" spans="1:3" x14ac:dyDescent="0.25">
      <c r="A161" s="676" t="s">
        <v>227</v>
      </c>
      <c r="B161" s="486"/>
      <c r="C161" s="489">
        <f>C158</f>
        <v>44357</v>
      </c>
    </row>
    <row r="162" spans="1:3" x14ac:dyDescent="0.25">
      <c r="A162" s="676"/>
      <c r="B162" s="486"/>
      <c r="C162" s="489">
        <f t="shared" ref="C162:C164" si="19">C160</f>
        <v>44357</v>
      </c>
    </row>
    <row r="163" spans="1:3" x14ac:dyDescent="0.25">
      <c r="A163" s="676"/>
      <c r="B163" s="407"/>
      <c r="C163" s="489">
        <f t="shared" si="19"/>
        <v>44357</v>
      </c>
    </row>
    <row r="164" spans="1:3" ht="15.75" thickBot="1" x14ac:dyDescent="0.3">
      <c r="A164" s="639" t="s">
        <v>41</v>
      </c>
      <c r="B164" s="486"/>
      <c r="C164" s="489">
        <f t="shared" si="19"/>
        <v>44357</v>
      </c>
    </row>
    <row r="165" spans="1:3" x14ac:dyDescent="0.25">
      <c r="A165" s="675" t="s">
        <v>1</v>
      </c>
      <c r="B165" s="487"/>
      <c r="C165" s="488">
        <v>44358</v>
      </c>
    </row>
    <row r="166" spans="1:3" x14ac:dyDescent="0.25">
      <c r="A166" s="676"/>
      <c r="B166" s="486"/>
      <c r="C166" s="489">
        <f>C165</f>
        <v>44358</v>
      </c>
    </row>
    <row r="167" spans="1:3" x14ac:dyDescent="0.25">
      <c r="A167" s="677" t="s">
        <v>315</v>
      </c>
      <c r="B167" s="486"/>
      <c r="C167" s="489">
        <f t="shared" ref="C167:C174" si="20">C166</f>
        <v>44358</v>
      </c>
    </row>
    <row r="168" spans="1:3" x14ac:dyDescent="0.25">
      <c r="A168" s="677"/>
      <c r="B168" s="486"/>
      <c r="C168" s="489">
        <f t="shared" si="20"/>
        <v>44358</v>
      </c>
    </row>
    <row r="169" spans="1:3" x14ac:dyDescent="0.25">
      <c r="A169" s="677"/>
      <c r="B169" s="407"/>
      <c r="C169" s="489">
        <f>C168</f>
        <v>44358</v>
      </c>
    </row>
    <row r="170" spans="1:3" x14ac:dyDescent="0.25">
      <c r="A170" s="677"/>
      <c r="B170" s="407"/>
      <c r="C170" s="489">
        <f>C169</f>
        <v>44358</v>
      </c>
    </row>
    <row r="171" spans="1:3" x14ac:dyDescent="0.25">
      <c r="A171" s="676" t="s">
        <v>34</v>
      </c>
      <c r="B171" s="486"/>
      <c r="C171" s="489">
        <f>C169</f>
        <v>44358</v>
      </c>
    </row>
    <row r="172" spans="1:3" x14ac:dyDescent="0.25">
      <c r="A172" s="676"/>
      <c r="B172" s="486"/>
      <c r="C172" s="489">
        <f t="shared" si="20"/>
        <v>44358</v>
      </c>
    </row>
    <row r="173" spans="1:3" x14ac:dyDescent="0.25">
      <c r="A173" s="676"/>
      <c r="B173" s="486"/>
      <c r="C173" s="489">
        <f>C171</f>
        <v>44358</v>
      </c>
    </row>
    <row r="174" spans="1:3" ht="15.75" x14ac:dyDescent="0.25">
      <c r="A174" s="676" t="s">
        <v>36</v>
      </c>
      <c r="B174" s="638"/>
      <c r="C174" s="489">
        <f t="shared" si="20"/>
        <v>44358</v>
      </c>
    </row>
    <row r="175" spans="1:3" x14ac:dyDescent="0.25">
      <c r="A175" s="676"/>
      <c r="B175" s="407"/>
      <c r="C175" s="489">
        <f>+C174</f>
        <v>44358</v>
      </c>
    </row>
    <row r="176" spans="1:3" x14ac:dyDescent="0.25">
      <c r="A176" s="676"/>
      <c r="B176" s="407"/>
      <c r="C176" s="489">
        <f>C175</f>
        <v>44358</v>
      </c>
    </row>
    <row r="177" spans="1:3" x14ac:dyDescent="0.25">
      <c r="A177" s="676"/>
      <c r="B177" s="407"/>
      <c r="C177" s="489">
        <f>C174</f>
        <v>44358</v>
      </c>
    </row>
    <row r="178" spans="1:3" x14ac:dyDescent="0.25">
      <c r="A178" s="676" t="s">
        <v>227</v>
      </c>
      <c r="B178" s="486"/>
      <c r="C178" s="489">
        <f>C175</f>
        <v>44358</v>
      </c>
    </row>
    <row r="179" spans="1:3" x14ac:dyDescent="0.25">
      <c r="A179" s="676"/>
      <c r="B179" s="486"/>
      <c r="C179" s="489">
        <f t="shared" ref="C179" si="21">C177</f>
        <v>44358</v>
      </c>
    </row>
    <row r="180" spans="1:3" x14ac:dyDescent="0.25">
      <c r="A180" s="676"/>
      <c r="B180" s="486"/>
      <c r="C180" s="489">
        <f>C179</f>
        <v>44358</v>
      </c>
    </row>
    <row r="181" spans="1:3" x14ac:dyDescent="0.25">
      <c r="A181" s="676"/>
      <c r="B181" s="407"/>
      <c r="C181" s="489">
        <f>C178</f>
        <v>44358</v>
      </c>
    </row>
    <row r="182" spans="1:3" ht="15.75" thickBot="1" x14ac:dyDescent="0.3">
      <c r="A182" s="640" t="s">
        <v>41</v>
      </c>
      <c r="B182" s="486"/>
      <c r="C182" s="489">
        <f>C179</f>
        <v>44358</v>
      </c>
    </row>
    <row r="183" spans="1:3" x14ac:dyDescent="0.25">
      <c r="A183" s="675" t="s">
        <v>1</v>
      </c>
      <c r="B183" s="487"/>
      <c r="C183" s="488">
        <v>44359</v>
      </c>
    </row>
    <row r="184" spans="1:3" x14ac:dyDescent="0.25">
      <c r="A184" s="676"/>
      <c r="B184" s="486"/>
      <c r="C184" s="489">
        <f>C183</f>
        <v>44359</v>
      </c>
    </row>
    <row r="185" spans="1:3" x14ac:dyDescent="0.25">
      <c r="A185" s="677" t="s">
        <v>315</v>
      </c>
      <c r="B185" s="486"/>
      <c r="C185" s="489">
        <f t="shared" ref="C185:C192" si="22">C184</f>
        <v>44359</v>
      </c>
    </row>
    <row r="186" spans="1:3" x14ac:dyDescent="0.25">
      <c r="A186" s="677"/>
      <c r="B186" s="486"/>
      <c r="C186" s="489">
        <f t="shared" si="22"/>
        <v>44359</v>
      </c>
    </row>
    <row r="187" spans="1:3" x14ac:dyDescent="0.25">
      <c r="A187" s="677"/>
      <c r="B187" s="407"/>
      <c r="C187" s="489">
        <f>C186</f>
        <v>44359</v>
      </c>
    </row>
    <row r="188" spans="1:3" x14ac:dyDescent="0.25">
      <c r="A188" s="677"/>
      <c r="B188" s="407"/>
      <c r="C188" s="489">
        <f>C187</f>
        <v>44359</v>
      </c>
    </row>
    <row r="189" spans="1:3" x14ac:dyDescent="0.25">
      <c r="A189" s="676" t="s">
        <v>34</v>
      </c>
      <c r="B189" s="486"/>
      <c r="C189" s="489">
        <f>C187</f>
        <v>44359</v>
      </c>
    </row>
    <row r="190" spans="1:3" x14ac:dyDescent="0.25">
      <c r="A190" s="676"/>
      <c r="B190" s="486"/>
      <c r="C190" s="489">
        <f t="shared" si="22"/>
        <v>44359</v>
      </c>
    </row>
    <row r="191" spans="1:3" x14ac:dyDescent="0.25">
      <c r="A191" s="676"/>
      <c r="B191" s="486"/>
      <c r="C191" s="489">
        <f>C189</f>
        <v>44359</v>
      </c>
    </row>
    <row r="192" spans="1:3" ht="15.75" x14ac:dyDescent="0.25">
      <c r="A192" s="676" t="s">
        <v>36</v>
      </c>
      <c r="B192" s="638"/>
      <c r="C192" s="489">
        <f t="shared" si="22"/>
        <v>44359</v>
      </c>
    </row>
    <row r="193" spans="1:3" x14ac:dyDescent="0.25">
      <c r="A193" s="676"/>
      <c r="B193" s="407"/>
      <c r="C193" s="489">
        <f>+C192</f>
        <v>44359</v>
      </c>
    </row>
    <row r="194" spans="1:3" x14ac:dyDescent="0.25">
      <c r="A194" s="676"/>
      <c r="B194" s="407"/>
      <c r="C194" s="489">
        <f>C193</f>
        <v>44359</v>
      </c>
    </row>
    <row r="195" spans="1:3" x14ac:dyDescent="0.25">
      <c r="A195" s="676"/>
      <c r="B195" s="407"/>
      <c r="C195" s="489">
        <f>C192</f>
        <v>44359</v>
      </c>
    </row>
    <row r="196" spans="1:3" x14ac:dyDescent="0.25">
      <c r="A196" s="676" t="s">
        <v>227</v>
      </c>
      <c r="B196" s="486"/>
      <c r="C196" s="489">
        <f>C193</f>
        <v>44359</v>
      </c>
    </row>
    <row r="197" spans="1:3" x14ac:dyDescent="0.25">
      <c r="A197" s="676"/>
      <c r="B197" s="486"/>
      <c r="C197" s="489">
        <f t="shared" ref="C197" si="23">C195</f>
        <v>44359</v>
      </c>
    </row>
    <row r="198" spans="1:3" x14ac:dyDescent="0.25">
      <c r="A198" s="676"/>
      <c r="B198" s="486"/>
      <c r="C198" s="489">
        <f>C197</f>
        <v>44359</v>
      </c>
    </row>
    <row r="199" spans="1:3" x14ac:dyDescent="0.25">
      <c r="A199" s="676"/>
      <c r="B199" s="407"/>
      <c r="C199" s="489">
        <f>C196</f>
        <v>44359</v>
      </c>
    </row>
    <row r="200" spans="1:3" ht="15.75" thickBot="1" x14ac:dyDescent="0.3">
      <c r="A200" s="641" t="s">
        <v>41</v>
      </c>
      <c r="B200" s="486"/>
      <c r="C200" s="489">
        <f>C197</f>
        <v>44359</v>
      </c>
    </row>
    <row r="201" spans="1:3" x14ac:dyDescent="0.25">
      <c r="A201" s="675" t="s">
        <v>1</v>
      </c>
      <c r="B201" s="487"/>
      <c r="C201" s="488">
        <v>44360</v>
      </c>
    </row>
    <row r="202" spans="1:3" x14ac:dyDescent="0.25">
      <c r="A202" s="676"/>
      <c r="B202" s="486"/>
      <c r="C202" s="489">
        <f>C201</f>
        <v>44360</v>
      </c>
    </row>
    <row r="203" spans="1:3" x14ac:dyDescent="0.25">
      <c r="A203" s="677" t="s">
        <v>315</v>
      </c>
      <c r="B203" s="486"/>
      <c r="C203" s="489">
        <f t="shared" ref="C203:C210" si="24">C202</f>
        <v>44360</v>
      </c>
    </row>
    <row r="204" spans="1:3" x14ac:dyDescent="0.25">
      <c r="A204" s="677"/>
      <c r="B204" s="486"/>
      <c r="C204" s="489">
        <f t="shared" si="24"/>
        <v>44360</v>
      </c>
    </row>
    <row r="205" spans="1:3" x14ac:dyDescent="0.25">
      <c r="A205" s="677"/>
      <c r="B205" s="407"/>
      <c r="C205" s="489">
        <f>C204</f>
        <v>44360</v>
      </c>
    </row>
    <row r="206" spans="1:3" x14ac:dyDescent="0.25">
      <c r="A206" s="677"/>
      <c r="B206" s="407"/>
      <c r="C206" s="489">
        <f>C205</f>
        <v>44360</v>
      </c>
    </row>
    <row r="207" spans="1:3" x14ac:dyDescent="0.25">
      <c r="A207" s="676" t="s">
        <v>34</v>
      </c>
      <c r="B207" s="486"/>
      <c r="C207" s="489">
        <f>C205</f>
        <v>44360</v>
      </c>
    </row>
    <row r="208" spans="1:3" x14ac:dyDescent="0.25">
      <c r="A208" s="676"/>
      <c r="B208" s="486"/>
      <c r="C208" s="489">
        <f t="shared" si="24"/>
        <v>44360</v>
      </c>
    </row>
    <row r="209" spans="1:3" x14ac:dyDescent="0.25">
      <c r="A209" s="676"/>
      <c r="B209" s="486"/>
      <c r="C209" s="489">
        <f>C207</f>
        <v>44360</v>
      </c>
    </row>
    <row r="210" spans="1:3" ht="15.75" x14ac:dyDescent="0.25">
      <c r="A210" s="676" t="s">
        <v>36</v>
      </c>
      <c r="B210" s="638"/>
      <c r="C210" s="489">
        <f t="shared" si="24"/>
        <v>44360</v>
      </c>
    </row>
    <row r="211" spans="1:3" x14ac:dyDescent="0.25">
      <c r="A211" s="676"/>
      <c r="B211" s="407"/>
      <c r="C211" s="489">
        <f>+C210</f>
        <v>44360</v>
      </c>
    </row>
    <row r="212" spans="1:3" x14ac:dyDescent="0.25">
      <c r="A212" s="676"/>
      <c r="B212" s="407"/>
      <c r="C212" s="489">
        <f>C211</f>
        <v>44360</v>
      </c>
    </row>
    <row r="213" spans="1:3" x14ac:dyDescent="0.25">
      <c r="A213" s="676"/>
      <c r="B213" s="407"/>
      <c r="C213" s="489">
        <f>C210</f>
        <v>44360</v>
      </c>
    </row>
    <row r="214" spans="1:3" x14ac:dyDescent="0.25">
      <c r="A214" s="676" t="s">
        <v>227</v>
      </c>
      <c r="B214" s="486"/>
      <c r="C214" s="489">
        <f>C211</f>
        <v>44360</v>
      </c>
    </row>
    <row r="215" spans="1:3" x14ac:dyDescent="0.25">
      <c r="A215" s="676"/>
      <c r="B215" s="486"/>
      <c r="C215" s="489">
        <f t="shared" ref="C215" si="25">C213</f>
        <v>44360</v>
      </c>
    </row>
    <row r="216" spans="1:3" x14ac:dyDescent="0.25">
      <c r="A216" s="676"/>
      <c r="B216" s="486"/>
      <c r="C216" s="489">
        <f>C215</f>
        <v>44360</v>
      </c>
    </row>
    <row r="217" spans="1:3" x14ac:dyDescent="0.25">
      <c r="A217" s="676"/>
      <c r="B217" s="407"/>
      <c r="C217" s="489">
        <f>C214</f>
        <v>44360</v>
      </c>
    </row>
    <row r="218" spans="1:3" ht="15.75" thickBot="1" x14ac:dyDescent="0.3">
      <c r="A218" s="641" t="s">
        <v>41</v>
      </c>
      <c r="B218" s="486"/>
      <c r="C218" s="489">
        <f>C215</f>
        <v>44360</v>
      </c>
    </row>
    <row r="219" spans="1:3" x14ac:dyDescent="0.25">
      <c r="A219" s="675" t="s">
        <v>1</v>
      </c>
      <c r="B219" s="487"/>
      <c r="C219" s="488">
        <v>44360</v>
      </c>
    </row>
    <row r="220" spans="1:3" x14ac:dyDescent="0.25">
      <c r="A220" s="676"/>
      <c r="B220" s="486"/>
      <c r="C220" s="489">
        <f>C219</f>
        <v>44360</v>
      </c>
    </row>
    <row r="221" spans="1:3" x14ac:dyDescent="0.25">
      <c r="A221" s="677" t="s">
        <v>315</v>
      </c>
      <c r="B221" s="486"/>
      <c r="C221" s="489">
        <f t="shared" ref="C221:C228" si="26">C220</f>
        <v>44360</v>
      </c>
    </row>
    <row r="222" spans="1:3" x14ac:dyDescent="0.25">
      <c r="A222" s="677"/>
      <c r="B222" s="486"/>
      <c r="C222" s="489">
        <f t="shared" si="26"/>
        <v>44360</v>
      </c>
    </row>
    <row r="223" spans="1:3" x14ac:dyDescent="0.25">
      <c r="A223" s="677"/>
      <c r="B223" s="407"/>
      <c r="C223" s="489">
        <f>C222</f>
        <v>44360</v>
      </c>
    </row>
    <row r="224" spans="1:3" x14ac:dyDescent="0.25">
      <c r="A224" s="677"/>
      <c r="B224" s="407"/>
      <c r="C224" s="489">
        <f>C223</f>
        <v>44360</v>
      </c>
    </row>
    <row r="225" spans="1:3" x14ac:dyDescent="0.25">
      <c r="A225" s="676" t="s">
        <v>34</v>
      </c>
      <c r="B225" s="486"/>
      <c r="C225" s="489">
        <f>C223</f>
        <v>44360</v>
      </c>
    </row>
    <row r="226" spans="1:3" x14ac:dyDescent="0.25">
      <c r="A226" s="676"/>
      <c r="B226" s="486"/>
      <c r="C226" s="489">
        <f t="shared" si="26"/>
        <v>44360</v>
      </c>
    </row>
    <row r="227" spans="1:3" x14ac:dyDescent="0.25">
      <c r="A227" s="676"/>
      <c r="B227" s="486"/>
      <c r="C227" s="489">
        <f>C225</f>
        <v>44360</v>
      </c>
    </row>
    <row r="228" spans="1:3" ht="15.75" x14ac:dyDescent="0.25">
      <c r="A228" s="676" t="s">
        <v>36</v>
      </c>
      <c r="B228" s="638"/>
      <c r="C228" s="489">
        <f t="shared" si="26"/>
        <v>44360</v>
      </c>
    </row>
    <row r="229" spans="1:3" x14ac:dyDescent="0.25">
      <c r="A229" s="676"/>
      <c r="B229" s="407"/>
      <c r="C229" s="489">
        <f>+C228</f>
        <v>44360</v>
      </c>
    </row>
    <row r="230" spans="1:3" x14ac:dyDescent="0.25">
      <c r="A230" s="676"/>
      <c r="B230" s="407"/>
      <c r="C230" s="489">
        <f>C229</f>
        <v>44360</v>
      </c>
    </row>
    <row r="231" spans="1:3" x14ac:dyDescent="0.25">
      <c r="A231" s="676"/>
      <c r="B231" s="407"/>
      <c r="C231" s="489">
        <f>C228</f>
        <v>44360</v>
      </c>
    </row>
    <row r="232" spans="1:3" x14ac:dyDescent="0.25">
      <c r="A232" s="676" t="s">
        <v>227</v>
      </c>
      <c r="B232" s="486"/>
      <c r="C232" s="489">
        <f>C229</f>
        <v>44360</v>
      </c>
    </row>
    <row r="233" spans="1:3" x14ac:dyDescent="0.25">
      <c r="A233" s="676"/>
      <c r="B233" s="486"/>
      <c r="C233" s="489">
        <f t="shared" ref="C233" si="27">C231</f>
        <v>44360</v>
      </c>
    </row>
    <row r="234" spans="1:3" x14ac:dyDescent="0.25">
      <c r="A234" s="676"/>
      <c r="B234" s="486"/>
      <c r="C234" s="489">
        <f>C233</f>
        <v>44360</v>
      </c>
    </row>
    <row r="235" spans="1:3" x14ac:dyDescent="0.25">
      <c r="A235" s="676"/>
      <c r="B235" s="407"/>
      <c r="C235" s="489">
        <f>C232</f>
        <v>44360</v>
      </c>
    </row>
    <row r="236" spans="1:3" x14ac:dyDescent="0.25">
      <c r="A236" s="642" t="s">
        <v>41</v>
      </c>
      <c r="B236" s="486"/>
      <c r="C236" s="489">
        <f>C233</f>
        <v>44360</v>
      </c>
    </row>
  </sheetData>
  <mergeCells count="70">
    <mergeCell ref="A201:A202"/>
    <mergeCell ref="A203:A206"/>
    <mergeCell ref="A207:A209"/>
    <mergeCell ref="A210:A213"/>
    <mergeCell ref="A214:A217"/>
    <mergeCell ref="A183:A184"/>
    <mergeCell ref="A185:A188"/>
    <mergeCell ref="A189:A191"/>
    <mergeCell ref="A192:A195"/>
    <mergeCell ref="A196:A199"/>
    <mergeCell ref="A115:A116"/>
    <mergeCell ref="A117:A120"/>
    <mergeCell ref="A121:A123"/>
    <mergeCell ref="A124:A126"/>
    <mergeCell ref="A127:A129"/>
    <mergeCell ref="A99:A100"/>
    <mergeCell ref="A101:A104"/>
    <mergeCell ref="A105:A107"/>
    <mergeCell ref="A108:A110"/>
    <mergeCell ref="A111:A113"/>
    <mergeCell ref="A83:A84"/>
    <mergeCell ref="A85:A88"/>
    <mergeCell ref="A89:A91"/>
    <mergeCell ref="A92:A94"/>
    <mergeCell ref="A95:A97"/>
    <mergeCell ref="A67:A68"/>
    <mergeCell ref="A69:A72"/>
    <mergeCell ref="A73:A75"/>
    <mergeCell ref="A76:A78"/>
    <mergeCell ref="A79:A81"/>
    <mergeCell ref="A51:A52"/>
    <mergeCell ref="A53:A56"/>
    <mergeCell ref="A57:A59"/>
    <mergeCell ref="A60:A62"/>
    <mergeCell ref="A63:A65"/>
    <mergeCell ref="A3:A4"/>
    <mergeCell ref="A5:A8"/>
    <mergeCell ref="A9:A11"/>
    <mergeCell ref="A12:A14"/>
    <mergeCell ref="A15:A17"/>
    <mergeCell ref="A19:A20"/>
    <mergeCell ref="A21:A24"/>
    <mergeCell ref="A25:A27"/>
    <mergeCell ref="A28:A30"/>
    <mergeCell ref="A31:A33"/>
    <mergeCell ref="A35:A36"/>
    <mergeCell ref="A37:A40"/>
    <mergeCell ref="A41:A43"/>
    <mergeCell ref="A44:A46"/>
    <mergeCell ref="A47:A49"/>
    <mergeCell ref="A131:A132"/>
    <mergeCell ref="A133:A136"/>
    <mergeCell ref="A137:A139"/>
    <mergeCell ref="A140:A143"/>
    <mergeCell ref="A144:A146"/>
    <mergeCell ref="A148:A149"/>
    <mergeCell ref="A150:A153"/>
    <mergeCell ref="A154:A156"/>
    <mergeCell ref="A157:A160"/>
    <mergeCell ref="A161:A163"/>
    <mergeCell ref="A165:A166"/>
    <mergeCell ref="A167:A170"/>
    <mergeCell ref="A171:A173"/>
    <mergeCell ref="A174:A177"/>
    <mergeCell ref="A178:A181"/>
    <mergeCell ref="A219:A220"/>
    <mergeCell ref="A221:A224"/>
    <mergeCell ref="A225:A227"/>
    <mergeCell ref="A228:A231"/>
    <mergeCell ref="A232:A235"/>
  </mergeCell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L11"/>
  <sheetViews>
    <sheetView topLeftCell="A4" workbookViewId="0">
      <selection activeCell="B11" sqref="B11"/>
    </sheetView>
  </sheetViews>
  <sheetFormatPr defaultRowHeight="15" x14ac:dyDescent="0.25"/>
  <cols>
    <col min="7" max="7" width="11.140625" customWidth="1"/>
    <col min="8" max="8" width="39.140625" bestFit="1" customWidth="1"/>
    <col min="9" max="9" width="13.85546875" bestFit="1" customWidth="1"/>
    <col min="10" max="10" width="7" bestFit="1" customWidth="1"/>
    <col min="11" max="11" width="9.28515625" bestFit="1" customWidth="1"/>
    <col min="12" max="12" width="14.140625" customWidth="1"/>
  </cols>
  <sheetData>
    <row r="6" spans="6:12" ht="18" x14ac:dyDescent="0.25">
      <c r="F6" s="679" t="s">
        <v>322</v>
      </c>
      <c r="G6" s="679"/>
      <c r="H6" s="679"/>
      <c r="I6" s="679"/>
      <c r="J6" s="679"/>
      <c r="K6" s="679"/>
      <c r="L6" s="679"/>
    </row>
    <row r="7" spans="6:12" ht="18" x14ac:dyDescent="0.25">
      <c r="F7" s="413"/>
      <c r="G7" s="413" t="s">
        <v>2</v>
      </c>
      <c r="H7" s="413" t="s">
        <v>323</v>
      </c>
      <c r="I7" s="413" t="s">
        <v>324</v>
      </c>
      <c r="J7" s="413" t="s">
        <v>325</v>
      </c>
      <c r="K7" s="414" t="s">
        <v>314</v>
      </c>
      <c r="L7" s="413" t="s">
        <v>327</v>
      </c>
    </row>
    <row r="8" spans="6:12" x14ac:dyDescent="0.25">
      <c r="F8" s="680" t="s">
        <v>33</v>
      </c>
      <c r="G8" s="412">
        <v>44287</v>
      </c>
      <c r="H8" s="411" t="s">
        <v>318</v>
      </c>
      <c r="I8" s="411">
        <v>13</v>
      </c>
      <c r="J8" s="411">
        <v>425</v>
      </c>
      <c r="K8" s="411">
        <f>I8*J8</f>
        <v>5525</v>
      </c>
      <c r="L8" s="678" t="s">
        <v>320</v>
      </c>
    </row>
    <row r="9" spans="6:12" x14ac:dyDescent="0.25">
      <c r="F9" s="680"/>
      <c r="G9" s="412">
        <v>44288</v>
      </c>
      <c r="H9" s="411" t="s">
        <v>319</v>
      </c>
      <c r="I9" s="411">
        <v>13</v>
      </c>
      <c r="J9" s="411">
        <v>425</v>
      </c>
      <c r="K9" s="411">
        <f>I9*J9</f>
        <v>5525</v>
      </c>
      <c r="L9" s="678"/>
    </row>
    <row r="10" spans="6:12" x14ac:dyDescent="0.25">
      <c r="F10" s="680"/>
      <c r="G10" s="412">
        <v>44289</v>
      </c>
      <c r="H10" s="411" t="s">
        <v>321</v>
      </c>
      <c r="I10" s="411">
        <v>13</v>
      </c>
      <c r="J10" s="411">
        <v>425</v>
      </c>
      <c r="K10" s="411">
        <f>K9*0.5</f>
        <v>2762.5</v>
      </c>
      <c r="L10" s="678"/>
    </row>
    <row r="11" spans="6:12" x14ac:dyDescent="0.25">
      <c r="F11" s="410"/>
      <c r="G11" s="410"/>
      <c r="H11" s="681" t="s">
        <v>326</v>
      </c>
      <c r="I11" s="682"/>
      <c r="J11" s="683"/>
      <c r="K11" s="411">
        <f>+SUM(K8:K10)</f>
        <v>13812.5</v>
      </c>
      <c r="L11" s="410"/>
    </row>
  </sheetData>
  <mergeCells count="4">
    <mergeCell ref="L8:L10"/>
    <mergeCell ref="F6:L6"/>
    <mergeCell ref="F8:F10"/>
    <mergeCell ref="H11:J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4" workbookViewId="0">
      <selection activeCell="C22" sqref="C22"/>
    </sheetView>
  </sheetViews>
  <sheetFormatPr defaultRowHeight="15" x14ac:dyDescent="0.25"/>
  <cols>
    <col min="2" max="2" width="12.5703125" customWidth="1"/>
    <col min="3" max="3" width="13.7109375" bestFit="1" customWidth="1"/>
    <col min="4" max="4" width="13.7109375" customWidth="1"/>
  </cols>
  <sheetData>
    <row r="2" spans="1:4" x14ac:dyDescent="0.25">
      <c r="A2" s="15" t="s">
        <v>44</v>
      </c>
    </row>
    <row r="3" spans="1:4" x14ac:dyDescent="0.25">
      <c r="A3" s="2" t="s">
        <v>40</v>
      </c>
      <c r="B3" s="2" t="s">
        <v>32</v>
      </c>
      <c r="C3" s="2" t="s">
        <v>43</v>
      </c>
      <c r="D3" s="2" t="s">
        <v>42</v>
      </c>
    </row>
    <row r="4" spans="1:4" x14ac:dyDescent="0.25">
      <c r="A4" s="2">
        <v>1</v>
      </c>
      <c r="B4" s="2" t="s">
        <v>41</v>
      </c>
      <c r="C4" s="9">
        <v>374.37868268571435</v>
      </c>
      <c r="D4" s="9">
        <v>381.4280624619355</v>
      </c>
    </row>
    <row r="5" spans="1:4" x14ac:dyDescent="0.25">
      <c r="A5" s="2">
        <v>2</v>
      </c>
      <c r="B5" s="2" t="s">
        <v>1</v>
      </c>
      <c r="C5" s="9">
        <v>4513.4662958284634</v>
      </c>
      <c r="D5" s="9">
        <v>4914.5849850367067</v>
      </c>
    </row>
    <row r="6" spans="1:4" x14ac:dyDescent="0.25">
      <c r="A6" s="2">
        <v>3</v>
      </c>
      <c r="B6" s="2" t="s">
        <v>33</v>
      </c>
      <c r="C6" s="9">
        <v>5101.1828943078499</v>
      </c>
      <c r="D6" s="9">
        <v>5277.9845165048764</v>
      </c>
    </row>
    <row r="7" spans="1:4" x14ac:dyDescent="0.25">
      <c r="A7" s="2">
        <v>4</v>
      </c>
      <c r="B7" s="2" t="s">
        <v>34</v>
      </c>
      <c r="C7" s="9">
        <v>5138.8222222279392</v>
      </c>
      <c r="D7" s="9">
        <v>5380.5344117607701</v>
      </c>
    </row>
    <row r="8" spans="1:4" x14ac:dyDescent="0.25">
      <c r="A8" s="2">
        <v>5</v>
      </c>
      <c r="B8" s="2" t="s">
        <v>36</v>
      </c>
      <c r="C8" s="9">
        <v>9977.2280773919701</v>
      </c>
      <c r="D8" s="9">
        <v>9819.0330580145146</v>
      </c>
    </row>
    <row r="10" spans="1:4" x14ac:dyDescent="0.25">
      <c r="A10" s="15" t="s">
        <v>45</v>
      </c>
    </row>
    <row r="11" spans="1:4" x14ac:dyDescent="0.25">
      <c r="A11" s="2" t="s">
        <v>40</v>
      </c>
      <c r="B11" s="2" t="s">
        <v>32</v>
      </c>
      <c r="C11" s="2" t="s">
        <v>43</v>
      </c>
      <c r="D11" s="2" t="s">
        <v>42</v>
      </c>
    </row>
    <row r="12" spans="1:4" x14ac:dyDescent="0.25">
      <c r="A12" s="2">
        <v>1</v>
      </c>
      <c r="B12" s="2" t="s">
        <v>41</v>
      </c>
      <c r="C12" s="8">
        <v>7.0928571428571425</v>
      </c>
      <c r="D12" s="8">
        <v>7.0225806451612902</v>
      </c>
    </row>
    <row r="13" spans="1:4" x14ac:dyDescent="0.25">
      <c r="A13" s="2">
        <v>2</v>
      </c>
      <c r="B13" s="2" t="s">
        <v>1</v>
      </c>
      <c r="C13" s="8">
        <v>5.6785714285714288</v>
      </c>
      <c r="D13" s="8">
        <v>6.3774193548387093</v>
      </c>
    </row>
    <row r="14" spans="1:4" x14ac:dyDescent="0.25">
      <c r="A14" s="2">
        <v>3</v>
      </c>
      <c r="B14" s="2" t="s">
        <v>33</v>
      </c>
      <c r="C14" s="8">
        <v>6.3999999999999995</v>
      </c>
      <c r="D14" s="8">
        <v>6.8774193548387093</v>
      </c>
    </row>
    <row r="15" spans="1:4" x14ac:dyDescent="0.25">
      <c r="A15" s="2">
        <v>4</v>
      </c>
      <c r="B15" s="2" t="s">
        <v>34</v>
      </c>
      <c r="C15" s="8">
        <v>6.3607142857142858</v>
      </c>
      <c r="D15" s="8">
        <v>6.7677419354838717</v>
      </c>
    </row>
    <row r="16" spans="1:4" x14ac:dyDescent="0.25">
      <c r="A16" s="2">
        <v>5</v>
      </c>
      <c r="B16" s="2" t="s">
        <v>36</v>
      </c>
      <c r="C16" s="8">
        <v>6.3892857142857142</v>
      </c>
      <c r="D16" s="8">
        <v>6.435483870967742</v>
      </c>
    </row>
    <row r="18" spans="1:4" x14ac:dyDescent="0.25">
      <c r="A18" s="15" t="s">
        <v>46</v>
      </c>
    </row>
    <row r="19" spans="1:4" x14ac:dyDescent="0.25">
      <c r="A19" s="2" t="s">
        <v>40</v>
      </c>
      <c r="B19" s="2" t="s">
        <v>32</v>
      </c>
      <c r="C19" s="2" t="s">
        <v>48</v>
      </c>
      <c r="D19" s="2" t="s">
        <v>49</v>
      </c>
    </row>
    <row r="20" spans="1:4" x14ac:dyDescent="0.25">
      <c r="A20" s="2">
        <v>1</v>
      </c>
      <c r="B20" s="2" t="s">
        <v>41</v>
      </c>
      <c r="C20" s="8">
        <v>5.8582595881256969</v>
      </c>
      <c r="D20" s="8"/>
    </row>
    <row r="21" spans="1:4" x14ac:dyDescent="0.25">
      <c r="A21" s="2">
        <v>2</v>
      </c>
      <c r="B21" s="2" t="s">
        <v>1</v>
      </c>
      <c r="C21" s="8">
        <v>5.6389780418947808</v>
      </c>
      <c r="D21" s="8"/>
    </row>
    <row r="22" spans="1:4" x14ac:dyDescent="0.25">
      <c r="A22" s="2">
        <v>3</v>
      </c>
      <c r="B22" s="2" t="s">
        <v>33</v>
      </c>
      <c r="C22" s="8">
        <v>4.9736030163965488</v>
      </c>
      <c r="D22" s="8"/>
    </row>
    <row r="23" spans="1:4" x14ac:dyDescent="0.25">
      <c r="A23" s="2">
        <v>4</v>
      </c>
      <c r="B23" s="2" t="s">
        <v>34</v>
      </c>
      <c r="C23" s="8">
        <v>5.0056241379310347</v>
      </c>
      <c r="D23" s="8"/>
    </row>
    <row r="24" spans="1:4" x14ac:dyDescent="0.25">
      <c r="A24" s="2">
        <v>5</v>
      </c>
      <c r="B24" s="2" t="s">
        <v>36</v>
      </c>
      <c r="C24" s="8">
        <v>5.0282583333333326</v>
      </c>
      <c r="D24" s="8"/>
    </row>
    <row r="26" spans="1:4" x14ac:dyDescent="0.25">
      <c r="A26" s="15" t="s">
        <v>47</v>
      </c>
    </row>
    <row r="27" spans="1:4" x14ac:dyDescent="0.25">
      <c r="A27" s="2" t="s">
        <v>40</v>
      </c>
      <c r="B27" s="2" t="s">
        <v>32</v>
      </c>
      <c r="C27" s="2" t="s">
        <v>50</v>
      </c>
      <c r="D27" s="2" t="s">
        <v>51</v>
      </c>
    </row>
    <row r="28" spans="1:4" x14ac:dyDescent="0.25">
      <c r="A28" s="2">
        <v>1</v>
      </c>
      <c r="B28" s="2" t="s">
        <v>41</v>
      </c>
      <c r="C28" s="8"/>
      <c r="D28" s="8"/>
    </row>
    <row r="29" spans="1:4" x14ac:dyDescent="0.25">
      <c r="A29" s="2">
        <v>2</v>
      </c>
      <c r="B29" s="2" t="s">
        <v>1</v>
      </c>
      <c r="C29" s="17">
        <f>(C21-C13)/C13</f>
        <v>-6.9724202952587714E-3</v>
      </c>
      <c r="D29" s="8"/>
    </row>
    <row r="30" spans="1:4" x14ac:dyDescent="0.25">
      <c r="A30" s="2">
        <v>3</v>
      </c>
      <c r="B30" s="2" t="s">
        <v>33</v>
      </c>
      <c r="C30" s="16">
        <f>(C22-C14)/C14</f>
        <v>-0.2228745286880392</v>
      </c>
      <c r="D30" s="8"/>
    </row>
    <row r="31" spans="1:4" x14ac:dyDescent="0.25">
      <c r="A31" s="2">
        <v>4</v>
      </c>
      <c r="B31" s="2" t="s">
        <v>34</v>
      </c>
      <c r="C31" s="16">
        <f>(C23-C15)/C15</f>
        <v>-0.21304056225677165</v>
      </c>
      <c r="D31" s="8"/>
    </row>
    <row r="32" spans="1:4" x14ac:dyDescent="0.25">
      <c r="A32" s="2">
        <v>5</v>
      </c>
      <c r="B32" s="2" t="s">
        <v>36</v>
      </c>
      <c r="C32" s="16">
        <f>(C24-C16)/C16</f>
        <v>-0.21301714179243536</v>
      </c>
      <c r="D32" s="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73"/>
  <sheetViews>
    <sheetView topLeftCell="A176" zoomScale="85" zoomScaleNormal="85" workbookViewId="0">
      <pane xSplit="3" topLeftCell="Y1" activePane="topRight" state="frozen"/>
      <selection activeCell="AA33" sqref="AA33"/>
      <selection pane="topRight" activeCell="AI105" sqref="AI105"/>
    </sheetView>
  </sheetViews>
  <sheetFormatPr defaultRowHeight="15" x14ac:dyDescent="0.25"/>
  <cols>
    <col min="1" max="1" width="11.28515625" customWidth="1"/>
    <col min="2" max="2" width="36" customWidth="1"/>
    <col min="3" max="3" width="12.5703125" bestFit="1" customWidth="1"/>
    <col min="4" max="4" width="8.85546875" style="575" customWidth="1"/>
    <col min="5" max="5" width="9.7109375" style="575" customWidth="1"/>
    <col min="6" max="6" width="8.85546875" style="575" customWidth="1"/>
    <col min="7" max="7" width="9" style="575" bestFit="1" customWidth="1"/>
    <col min="8" max="10" width="11.85546875" style="575" bestFit="1" customWidth="1"/>
    <col min="11" max="11" width="9.7109375" style="575" customWidth="1"/>
    <col min="12" max="12" width="9.5703125" style="575" bestFit="1" customWidth="1"/>
    <col min="13" max="13" width="10.5703125" style="575" bestFit="1" customWidth="1"/>
    <col min="14" max="14" width="9.28515625" style="575" bestFit="1" customWidth="1"/>
    <col min="15" max="15" width="9.5703125" style="575" bestFit="1" customWidth="1"/>
    <col min="16" max="16" width="7.85546875" style="575" customWidth="1"/>
    <col min="17" max="21" width="10.5703125" style="575" bestFit="1" customWidth="1"/>
    <col min="22" max="22" width="9.7109375" style="575" customWidth="1"/>
    <col min="23" max="23" width="9.5703125" style="575" bestFit="1" customWidth="1"/>
    <col min="24" max="24" width="8.5703125" style="575" customWidth="1"/>
    <col min="25" max="25" width="8.28515625" style="575" customWidth="1"/>
    <col min="26" max="26" width="8.140625" style="575" bestFit="1" customWidth="1"/>
    <col min="27" max="27" width="9.5703125" style="575" customWidth="1"/>
    <col min="28" max="28" width="10" style="575" customWidth="1"/>
    <col min="29" max="29" width="11.7109375" style="575" bestFit="1" customWidth="1"/>
    <col min="30" max="30" width="8.5703125" style="575" customWidth="1"/>
    <col min="31" max="31" width="8" style="575" customWidth="1"/>
    <col min="32" max="32" width="8.28515625" style="575" customWidth="1"/>
    <col min="33" max="33" width="9.42578125" style="575" customWidth="1"/>
    <col min="34" max="34" width="8.42578125" style="575" customWidth="1"/>
    <col min="35" max="35" width="26.28515625" style="575" customWidth="1"/>
    <col min="38" max="38" width="21.28515625" bestFit="1" customWidth="1"/>
  </cols>
  <sheetData>
    <row r="1" spans="1:35" ht="15.75" thickBot="1" x14ac:dyDescent="0.3"/>
    <row r="2" spans="1:35" x14ac:dyDescent="0.25">
      <c r="A2" s="218" t="s">
        <v>1</v>
      </c>
      <c r="B2" s="643" t="s">
        <v>1</v>
      </c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B2" s="644"/>
      <c r="AC2" s="644"/>
      <c r="AD2" s="644"/>
      <c r="AE2" s="644"/>
      <c r="AF2" s="644"/>
      <c r="AG2" s="644"/>
      <c r="AH2" s="644"/>
      <c r="AI2" s="645"/>
    </row>
    <row r="3" spans="1:35" x14ac:dyDescent="0.25">
      <c r="B3" s="1" t="s">
        <v>2</v>
      </c>
      <c r="C3" s="1" t="s">
        <v>3</v>
      </c>
      <c r="D3" s="187">
        <v>1</v>
      </c>
      <c r="E3" s="187">
        <v>2</v>
      </c>
      <c r="F3" s="187">
        <v>3</v>
      </c>
      <c r="G3" s="187">
        <v>4</v>
      </c>
      <c r="H3" s="187">
        <v>5</v>
      </c>
      <c r="I3" s="187">
        <v>6</v>
      </c>
      <c r="J3" s="187">
        <v>7</v>
      </c>
      <c r="K3" s="187">
        <v>8</v>
      </c>
      <c r="L3" s="187">
        <v>9</v>
      </c>
      <c r="M3" s="187">
        <v>10</v>
      </c>
      <c r="N3" s="187">
        <v>11</v>
      </c>
      <c r="O3" s="187">
        <v>12</v>
      </c>
      <c r="P3" s="187">
        <v>13</v>
      </c>
      <c r="Q3" s="187">
        <v>14</v>
      </c>
      <c r="R3" s="187">
        <v>15</v>
      </c>
      <c r="S3" s="187">
        <v>16</v>
      </c>
      <c r="T3" s="187">
        <v>17</v>
      </c>
      <c r="U3" s="187">
        <v>18</v>
      </c>
      <c r="V3" s="187">
        <v>19</v>
      </c>
      <c r="W3" s="187">
        <v>20</v>
      </c>
      <c r="X3" s="187">
        <v>21</v>
      </c>
      <c r="Y3" s="187">
        <v>22</v>
      </c>
      <c r="Z3" s="187">
        <v>23</v>
      </c>
      <c r="AA3" s="187">
        <v>24</v>
      </c>
      <c r="AB3" s="187">
        <v>25</v>
      </c>
      <c r="AC3" s="187">
        <v>26</v>
      </c>
      <c r="AD3" s="187">
        <v>27</v>
      </c>
      <c r="AE3" s="187">
        <v>28</v>
      </c>
      <c r="AF3" s="187">
        <v>29</v>
      </c>
      <c r="AG3" s="187">
        <v>30</v>
      </c>
      <c r="AH3" s="187">
        <v>31</v>
      </c>
      <c r="AI3" s="187" t="s">
        <v>4</v>
      </c>
    </row>
    <row r="4" spans="1:35" ht="15.75" x14ac:dyDescent="0.25">
      <c r="B4" s="1" t="s">
        <v>5</v>
      </c>
      <c r="C4" s="1" t="s">
        <v>6</v>
      </c>
      <c r="D4" s="553">
        <v>215</v>
      </c>
      <c r="E4" s="553">
        <v>190</v>
      </c>
      <c r="F4" s="553">
        <v>328</v>
      </c>
      <c r="G4" s="553">
        <v>344</v>
      </c>
      <c r="H4" s="553">
        <v>368</v>
      </c>
      <c r="I4" s="553">
        <v>280</v>
      </c>
      <c r="J4" s="527">
        <v>340</v>
      </c>
      <c r="K4" s="553">
        <v>320</v>
      </c>
      <c r="L4" s="553">
        <v>275</v>
      </c>
      <c r="M4" s="553">
        <v>344</v>
      </c>
      <c r="N4" s="553">
        <v>311</v>
      </c>
      <c r="O4" s="527">
        <v>356</v>
      </c>
      <c r="P4" s="553">
        <v>350</v>
      </c>
      <c r="Q4" s="553">
        <v>335</v>
      </c>
      <c r="R4" s="553">
        <v>330</v>
      </c>
      <c r="S4" s="527">
        <v>218</v>
      </c>
      <c r="T4" s="553">
        <v>135</v>
      </c>
      <c r="U4" s="553">
        <v>60</v>
      </c>
      <c r="V4" s="553">
        <v>60</v>
      </c>
      <c r="W4" s="527">
        <v>381</v>
      </c>
      <c r="X4" s="528">
        <v>381</v>
      </c>
      <c r="Y4" s="553">
        <v>369</v>
      </c>
      <c r="Z4" s="187">
        <v>318</v>
      </c>
      <c r="AA4" s="527">
        <v>365</v>
      </c>
      <c r="AB4" s="553">
        <v>350</v>
      </c>
      <c r="AC4" s="553">
        <v>304</v>
      </c>
      <c r="AD4" s="553">
        <v>360</v>
      </c>
      <c r="AE4" s="527">
        <v>353</v>
      </c>
      <c r="AF4" s="553">
        <v>353</v>
      </c>
      <c r="AG4" s="553">
        <v>353</v>
      </c>
      <c r="AH4" s="553">
        <v>325</v>
      </c>
      <c r="AI4" s="3">
        <v>9371</v>
      </c>
    </row>
    <row r="5" spans="1:35" ht="15.75" x14ac:dyDescent="0.25">
      <c r="B5" s="1" t="s">
        <v>7</v>
      </c>
      <c r="C5" s="1" t="s">
        <v>6</v>
      </c>
      <c r="D5" s="553">
        <v>213</v>
      </c>
      <c r="E5" s="553">
        <v>190</v>
      </c>
      <c r="F5" s="553">
        <v>328</v>
      </c>
      <c r="G5" s="553">
        <v>344</v>
      </c>
      <c r="H5" s="553">
        <v>367</v>
      </c>
      <c r="I5" s="553">
        <v>281</v>
      </c>
      <c r="J5" s="527">
        <v>340</v>
      </c>
      <c r="K5" s="553">
        <v>320</v>
      </c>
      <c r="L5" s="553">
        <v>274</v>
      </c>
      <c r="M5" s="553">
        <v>343</v>
      </c>
      <c r="N5" s="553">
        <v>310</v>
      </c>
      <c r="O5" s="527">
        <v>356</v>
      </c>
      <c r="P5" s="553">
        <v>349</v>
      </c>
      <c r="Q5" s="553">
        <v>334</v>
      </c>
      <c r="R5" s="553">
        <v>329</v>
      </c>
      <c r="S5" s="527">
        <v>217</v>
      </c>
      <c r="T5" s="553">
        <v>133</v>
      </c>
      <c r="U5" s="553">
        <v>60</v>
      </c>
      <c r="V5" s="553">
        <v>59</v>
      </c>
      <c r="W5" s="527">
        <v>380</v>
      </c>
      <c r="X5" s="527">
        <v>381</v>
      </c>
      <c r="Y5" s="553">
        <v>368</v>
      </c>
      <c r="Z5" s="187">
        <v>317</v>
      </c>
      <c r="AA5" s="527">
        <v>365</v>
      </c>
      <c r="AB5" s="553">
        <v>350</v>
      </c>
      <c r="AC5" s="553">
        <v>304</v>
      </c>
      <c r="AD5" s="553">
        <v>359</v>
      </c>
      <c r="AE5" s="527">
        <v>351</v>
      </c>
      <c r="AF5" s="553">
        <v>351</v>
      </c>
      <c r="AG5" s="553">
        <v>353</v>
      </c>
      <c r="AH5" s="553">
        <v>319</v>
      </c>
      <c r="AI5" s="3">
        <v>9345</v>
      </c>
    </row>
    <row r="6" spans="1:35" ht="15.75" x14ac:dyDescent="0.25">
      <c r="B6" s="1" t="s">
        <v>8</v>
      </c>
      <c r="C6" s="1" t="s">
        <v>6</v>
      </c>
      <c r="D6" s="553">
        <v>213</v>
      </c>
      <c r="E6" s="553">
        <v>190</v>
      </c>
      <c r="F6" s="553">
        <v>329</v>
      </c>
      <c r="G6" s="553">
        <v>344</v>
      </c>
      <c r="H6" s="553">
        <v>366</v>
      </c>
      <c r="I6" s="553">
        <v>280</v>
      </c>
      <c r="J6" s="527">
        <v>341</v>
      </c>
      <c r="K6" s="553">
        <v>319</v>
      </c>
      <c r="L6" s="553">
        <v>274</v>
      </c>
      <c r="M6" s="553">
        <v>337</v>
      </c>
      <c r="N6" s="553">
        <v>309</v>
      </c>
      <c r="O6" s="527">
        <v>356</v>
      </c>
      <c r="P6" s="553">
        <v>348</v>
      </c>
      <c r="Q6" s="553">
        <v>333</v>
      </c>
      <c r="R6" s="553">
        <v>329</v>
      </c>
      <c r="S6" s="527">
        <v>218</v>
      </c>
      <c r="T6" s="553">
        <v>134</v>
      </c>
      <c r="U6" s="553">
        <v>46</v>
      </c>
      <c r="V6" s="553">
        <v>61</v>
      </c>
      <c r="W6" s="527">
        <v>381</v>
      </c>
      <c r="X6" s="527">
        <v>380</v>
      </c>
      <c r="Y6" s="553">
        <v>368</v>
      </c>
      <c r="Z6" s="187">
        <v>318</v>
      </c>
      <c r="AA6" s="527">
        <v>365</v>
      </c>
      <c r="AB6" s="553">
        <v>350</v>
      </c>
      <c r="AC6" s="553">
        <v>304</v>
      </c>
      <c r="AD6" s="553">
        <v>359</v>
      </c>
      <c r="AE6" s="527">
        <v>353</v>
      </c>
      <c r="AF6" s="553">
        <v>353</v>
      </c>
      <c r="AG6" s="553">
        <v>354</v>
      </c>
      <c r="AH6" s="553">
        <v>329</v>
      </c>
      <c r="AI6" s="3">
        <v>9341</v>
      </c>
    </row>
    <row r="7" spans="1:35" ht="15.75" x14ac:dyDescent="0.25">
      <c r="B7" s="1" t="s">
        <v>9</v>
      </c>
      <c r="C7" s="1" t="s">
        <v>6</v>
      </c>
      <c r="D7" s="553">
        <v>211</v>
      </c>
      <c r="E7" s="553">
        <v>188</v>
      </c>
      <c r="F7" s="553">
        <v>315</v>
      </c>
      <c r="G7" s="553">
        <v>339</v>
      </c>
      <c r="H7" s="553">
        <v>361</v>
      </c>
      <c r="I7" s="553">
        <v>276</v>
      </c>
      <c r="J7" s="527">
        <v>336</v>
      </c>
      <c r="K7" s="553">
        <v>314</v>
      </c>
      <c r="L7" s="553">
        <v>270</v>
      </c>
      <c r="M7" s="553">
        <v>328</v>
      </c>
      <c r="N7" s="553">
        <v>305</v>
      </c>
      <c r="O7" s="527">
        <v>339</v>
      </c>
      <c r="P7" s="553">
        <v>345</v>
      </c>
      <c r="Q7" s="553">
        <v>326</v>
      </c>
      <c r="R7" s="553">
        <v>241</v>
      </c>
      <c r="S7" s="527">
        <v>216</v>
      </c>
      <c r="T7" s="553">
        <v>133</v>
      </c>
      <c r="U7" s="553">
        <v>60</v>
      </c>
      <c r="V7" s="553">
        <v>59</v>
      </c>
      <c r="W7" s="527">
        <v>377</v>
      </c>
      <c r="X7" s="527">
        <v>375</v>
      </c>
      <c r="Y7" s="553">
        <v>365</v>
      </c>
      <c r="Z7" s="187">
        <v>314</v>
      </c>
      <c r="AA7" s="527">
        <v>361</v>
      </c>
      <c r="AB7" s="553">
        <v>345</v>
      </c>
      <c r="AC7" s="553">
        <v>290</v>
      </c>
      <c r="AD7" s="553">
        <v>342</v>
      </c>
      <c r="AE7" s="527">
        <v>341</v>
      </c>
      <c r="AF7" s="553">
        <v>349</v>
      </c>
      <c r="AG7" s="553">
        <v>350</v>
      </c>
      <c r="AH7" s="553">
        <v>326</v>
      </c>
      <c r="AI7" s="3">
        <v>9097</v>
      </c>
    </row>
    <row r="8" spans="1:35" ht="15.75" x14ac:dyDescent="0.25">
      <c r="B8" s="1" t="s">
        <v>10</v>
      </c>
      <c r="C8" s="1" t="s">
        <v>6</v>
      </c>
      <c r="D8" s="553">
        <v>0</v>
      </c>
      <c r="E8" s="553">
        <v>0</v>
      </c>
      <c r="F8" s="553">
        <v>0</v>
      </c>
      <c r="G8" s="553">
        <v>0</v>
      </c>
      <c r="H8" s="553">
        <v>0</v>
      </c>
      <c r="I8" s="553">
        <v>0</v>
      </c>
      <c r="J8" s="527">
        <v>0</v>
      </c>
      <c r="K8" s="553">
        <v>0</v>
      </c>
      <c r="L8" s="553">
        <v>0</v>
      </c>
      <c r="M8" s="553">
        <v>0</v>
      </c>
      <c r="N8" s="553">
        <v>0</v>
      </c>
      <c r="O8" s="527">
        <v>0</v>
      </c>
      <c r="P8" s="553">
        <v>0</v>
      </c>
      <c r="Q8" s="553">
        <v>0</v>
      </c>
      <c r="R8" s="553">
        <v>0</v>
      </c>
      <c r="S8" s="527">
        <v>0</v>
      </c>
      <c r="T8" s="553">
        <v>0</v>
      </c>
      <c r="U8" s="553">
        <v>0</v>
      </c>
      <c r="V8" s="553">
        <v>0</v>
      </c>
      <c r="W8" s="527">
        <v>0</v>
      </c>
      <c r="X8" s="527">
        <v>0</v>
      </c>
      <c r="Y8" s="553">
        <v>0</v>
      </c>
      <c r="Z8" s="187">
        <v>0</v>
      </c>
      <c r="AA8" s="527">
        <v>0</v>
      </c>
      <c r="AB8" s="553">
        <v>0</v>
      </c>
      <c r="AC8" s="553">
        <v>0</v>
      </c>
      <c r="AD8" s="553">
        <v>0</v>
      </c>
      <c r="AE8" s="527">
        <v>0</v>
      </c>
      <c r="AF8" s="553">
        <v>0</v>
      </c>
      <c r="AG8" s="553">
        <v>0</v>
      </c>
      <c r="AH8" s="553">
        <v>0</v>
      </c>
      <c r="AI8" s="3">
        <v>0</v>
      </c>
    </row>
    <row r="9" spans="1:35" ht="15.75" x14ac:dyDescent="0.25">
      <c r="B9" s="1" t="s">
        <v>11</v>
      </c>
      <c r="C9" s="1" t="s">
        <v>6</v>
      </c>
      <c r="D9" s="553">
        <v>212</v>
      </c>
      <c r="E9" s="553">
        <v>181</v>
      </c>
      <c r="F9" s="553">
        <v>322</v>
      </c>
      <c r="G9" s="553">
        <v>338</v>
      </c>
      <c r="H9" s="553">
        <v>361</v>
      </c>
      <c r="I9" s="553">
        <v>276</v>
      </c>
      <c r="J9" s="527">
        <v>335</v>
      </c>
      <c r="K9" s="553">
        <v>313</v>
      </c>
      <c r="L9" s="553">
        <v>272</v>
      </c>
      <c r="M9" s="553">
        <v>331</v>
      </c>
      <c r="N9" s="553">
        <v>308</v>
      </c>
      <c r="O9" s="527">
        <v>354</v>
      </c>
      <c r="P9" s="553">
        <v>344</v>
      </c>
      <c r="Q9" s="553">
        <v>328</v>
      </c>
      <c r="R9" s="553">
        <v>320</v>
      </c>
      <c r="S9" s="527">
        <v>217</v>
      </c>
      <c r="T9" s="553">
        <v>133</v>
      </c>
      <c r="U9" s="553">
        <v>60</v>
      </c>
      <c r="V9" s="553">
        <v>61</v>
      </c>
      <c r="W9" s="527">
        <v>378</v>
      </c>
      <c r="X9" s="527">
        <v>376</v>
      </c>
      <c r="Y9" s="553">
        <v>366</v>
      </c>
      <c r="Z9" s="187">
        <v>315</v>
      </c>
      <c r="AA9" s="527">
        <v>362</v>
      </c>
      <c r="AB9" s="553">
        <v>350</v>
      </c>
      <c r="AC9" s="553">
        <v>304</v>
      </c>
      <c r="AD9" s="553">
        <v>339</v>
      </c>
      <c r="AE9" s="527">
        <v>328</v>
      </c>
      <c r="AF9" s="553">
        <v>351</v>
      </c>
      <c r="AG9" s="553">
        <v>356</v>
      </c>
      <c r="AH9" s="553">
        <v>327</v>
      </c>
      <c r="AI9" s="3">
        <v>9218</v>
      </c>
    </row>
    <row r="10" spans="1:35" ht="15.75" x14ac:dyDescent="0.25">
      <c r="B10" s="1" t="s">
        <v>12</v>
      </c>
      <c r="C10" s="1" t="s">
        <v>6</v>
      </c>
      <c r="D10" s="553">
        <v>212</v>
      </c>
      <c r="E10" s="553">
        <v>170</v>
      </c>
      <c r="F10" s="553">
        <v>299</v>
      </c>
      <c r="G10" s="553">
        <v>331</v>
      </c>
      <c r="H10" s="553">
        <v>354</v>
      </c>
      <c r="I10" s="553">
        <v>271</v>
      </c>
      <c r="J10" s="527">
        <v>329</v>
      </c>
      <c r="K10" s="553">
        <v>307</v>
      </c>
      <c r="L10" s="553">
        <v>266</v>
      </c>
      <c r="M10" s="553">
        <v>325</v>
      </c>
      <c r="N10" s="553">
        <v>264</v>
      </c>
      <c r="O10" s="527">
        <v>321</v>
      </c>
      <c r="P10" s="553">
        <v>318</v>
      </c>
      <c r="Q10" s="553">
        <v>324</v>
      </c>
      <c r="R10" s="553">
        <v>314</v>
      </c>
      <c r="S10" s="527">
        <v>214</v>
      </c>
      <c r="T10" s="553">
        <v>133</v>
      </c>
      <c r="U10" s="553">
        <v>60</v>
      </c>
      <c r="V10" s="553">
        <v>24</v>
      </c>
      <c r="W10" s="527">
        <v>374</v>
      </c>
      <c r="X10" s="527">
        <v>371</v>
      </c>
      <c r="Y10" s="553">
        <v>360</v>
      </c>
      <c r="Z10" s="187">
        <v>319</v>
      </c>
      <c r="AA10" s="527">
        <v>367</v>
      </c>
      <c r="AB10" s="553">
        <v>357</v>
      </c>
      <c r="AC10" s="553">
        <v>310</v>
      </c>
      <c r="AD10" s="553">
        <v>342</v>
      </c>
      <c r="AE10" s="527">
        <v>326</v>
      </c>
      <c r="AF10" s="553">
        <v>349</v>
      </c>
      <c r="AG10" s="553">
        <v>356</v>
      </c>
      <c r="AH10" s="553">
        <v>327</v>
      </c>
      <c r="AI10" s="3">
        <v>8994</v>
      </c>
    </row>
    <row r="11" spans="1:35" ht="15.75" x14ac:dyDescent="0.25">
      <c r="B11" s="1" t="s">
        <v>13</v>
      </c>
      <c r="C11" s="1" t="s">
        <v>6</v>
      </c>
      <c r="D11" s="553">
        <v>213</v>
      </c>
      <c r="E11" s="553">
        <v>169</v>
      </c>
      <c r="F11" s="553">
        <v>321</v>
      </c>
      <c r="G11" s="553">
        <v>336</v>
      </c>
      <c r="H11" s="553">
        <v>360</v>
      </c>
      <c r="I11" s="553">
        <v>275</v>
      </c>
      <c r="J11" s="527">
        <v>335</v>
      </c>
      <c r="K11" s="553">
        <v>313</v>
      </c>
      <c r="L11" s="553">
        <v>269</v>
      </c>
      <c r="M11" s="553">
        <v>327</v>
      </c>
      <c r="N11" s="553">
        <v>307</v>
      </c>
      <c r="O11" s="527">
        <v>350</v>
      </c>
      <c r="P11" s="553">
        <v>344</v>
      </c>
      <c r="Q11" s="553">
        <v>328</v>
      </c>
      <c r="R11" s="553">
        <v>317</v>
      </c>
      <c r="S11" s="527">
        <v>213</v>
      </c>
      <c r="T11" s="553">
        <v>139</v>
      </c>
      <c r="U11" s="553">
        <v>60</v>
      </c>
      <c r="V11" s="553">
        <v>61</v>
      </c>
      <c r="W11" s="527">
        <v>377</v>
      </c>
      <c r="X11" s="527">
        <v>374</v>
      </c>
      <c r="Y11" s="553">
        <v>359</v>
      </c>
      <c r="Z11" s="187">
        <v>320</v>
      </c>
      <c r="AA11" s="527">
        <v>368</v>
      </c>
      <c r="AB11" s="553">
        <v>350</v>
      </c>
      <c r="AC11" s="553">
        <v>304</v>
      </c>
      <c r="AD11" s="553">
        <v>341</v>
      </c>
      <c r="AE11" s="527">
        <v>325</v>
      </c>
      <c r="AF11" s="553">
        <v>350</v>
      </c>
      <c r="AG11" s="553">
        <v>357</v>
      </c>
      <c r="AH11" s="553">
        <v>324</v>
      </c>
      <c r="AI11" s="3">
        <v>9186</v>
      </c>
    </row>
    <row r="12" spans="1:35" ht="15.75" x14ac:dyDescent="0.25">
      <c r="B12" s="1" t="s">
        <v>14</v>
      </c>
      <c r="C12" s="1" t="s">
        <v>6</v>
      </c>
      <c r="D12" s="553">
        <v>210</v>
      </c>
      <c r="E12" s="553">
        <v>164</v>
      </c>
      <c r="F12" s="553">
        <v>319</v>
      </c>
      <c r="G12" s="553">
        <v>331</v>
      </c>
      <c r="H12" s="553">
        <v>358</v>
      </c>
      <c r="I12" s="553">
        <v>272</v>
      </c>
      <c r="J12" s="527">
        <v>335</v>
      </c>
      <c r="K12" s="553">
        <v>315</v>
      </c>
      <c r="L12" s="553">
        <v>266</v>
      </c>
      <c r="M12" s="553">
        <v>321</v>
      </c>
      <c r="N12" s="553">
        <v>303</v>
      </c>
      <c r="O12" s="527">
        <v>346</v>
      </c>
      <c r="P12" s="553">
        <v>346</v>
      </c>
      <c r="Q12" s="553">
        <v>330</v>
      </c>
      <c r="R12" s="553">
        <v>317</v>
      </c>
      <c r="S12" s="527">
        <v>209</v>
      </c>
      <c r="T12" s="553">
        <v>131</v>
      </c>
      <c r="U12" s="553">
        <v>59</v>
      </c>
      <c r="V12" s="553">
        <v>26</v>
      </c>
      <c r="W12" s="527">
        <v>373</v>
      </c>
      <c r="X12" s="527">
        <v>370</v>
      </c>
      <c r="Y12" s="553">
        <v>357</v>
      </c>
      <c r="Z12" s="187">
        <v>317</v>
      </c>
      <c r="AA12" s="527">
        <v>368</v>
      </c>
      <c r="AB12" s="553">
        <v>350</v>
      </c>
      <c r="AC12" s="553">
        <v>305</v>
      </c>
      <c r="AD12" s="553">
        <v>340</v>
      </c>
      <c r="AE12" s="527">
        <v>322</v>
      </c>
      <c r="AF12" s="553">
        <v>342</v>
      </c>
      <c r="AG12" s="553">
        <v>355</v>
      </c>
      <c r="AH12" s="553">
        <v>329</v>
      </c>
      <c r="AI12" s="3">
        <v>9086</v>
      </c>
    </row>
    <row r="13" spans="1:35" ht="15.75" x14ac:dyDescent="0.25">
      <c r="B13" s="1" t="s">
        <v>15</v>
      </c>
      <c r="C13" s="1" t="s">
        <v>6</v>
      </c>
      <c r="D13" s="553">
        <v>208</v>
      </c>
      <c r="E13" s="553">
        <v>161</v>
      </c>
      <c r="F13" s="553">
        <v>317</v>
      </c>
      <c r="G13" s="553">
        <v>329</v>
      </c>
      <c r="H13" s="553">
        <v>355</v>
      </c>
      <c r="I13" s="553">
        <v>270</v>
      </c>
      <c r="J13" s="527">
        <v>328</v>
      </c>
      <c r="K13" s="553">
        <v>314</v>
      </c>
      <c r="L13" s="553">
        <v>265</v>
      </c>
      <c r="M13" s="553">
        <v>320</v>
      </c>
      <c r="N13" s="553">
        <v>299</v>
      </c>
      <c r="O13" s="527">
        <v>346</v>
      </c>
      <c r="P13" s="553">
        <v>343</v>
      </c>
      <c r="Q13" s="553">
        <v>328</v>
      </c>
      <c r="R13" s="553">
        <v>315</v>
      </c>
      <c r="S13" s="527">
        <v>204</v>
      </c>
      <c r="T13" s="553">
        <v>131</v>
      </c>
      <c r="U13" s="553">
        <v>59</v>
      </c>
      <c r="V13" s="553">
        <v>59</v>
      </c>
      <c r="W13" s="527">
        <v>371</v>
      </c>
      <c r="X13" s="527">
        <v>368</v>
      </c>
      <c r="Y13" s="553">
        <v>355</v>
      </c>
      <c r="Z13" s="187">
        <v>306</v>
      </c>
      <c r="AA13" s="527">
        <v>361</v>
      </c>
      <c r="AB13" s="553">
        <v>354</v>
      </c>
      <c r="AC13" s="553">
        <v>308</v>
      </c>
      <c r="AD13" s="553">
        <v>338</v>
      </c>
      <c r="AE13" s="527">
        <v>320</v>
      </c>
      <c r="AF13" s="553">
        <v>339</v>
      </c>
      <c r="AG13" s="553">
        <v>355</v>
      </c>
      <c r="AH13" s="553">
        <v>324</v>
      </c>
      <c r="AI13" s="3">
        <v>9050</v>
      </c>
    </row>
    <row r="14" spans="1:35" ht="15.75" x14ac:dyDescent="0.25">
      <c r="B14" s="1" t="s">
        <v>16</v>
      </c>
      <c r="C14" s="1" t="s">
        <v>6</v>
      </c>
      <c r="D14" s="553">
        <v>206</v>
      </c>
      <c r="E14" s="553">
        <v>158</v>
      </c>
      <c r="F14" s="553">
        <v>312</v>
      </c>
      <c r="G14" s="553">
        <v>324</v>
      </c>
      <c r="H14" s="553">
        <v>349</v>
      </c>
      <c r="I14" s="553">
        <v>266</v>
      </c>
      <c r="J14" s="527">
        <v>323</v>
      </c>
      <c r="K14" s="553">
        <v>310</v>
      </c>
      <c r="L14" s="553">
        <v>262</v>
      </c>
      <c r="M14" s="553">
        <v>315</v>
      </c>
      <c r="N14" s="553">
        <v>295</v>
      </c>
      <c r="O14" s="527">
        <v>334</v>
      </c>
      <c r="P14" s="553">
        <v>337</v>
      </c>
      <c r="Q14" s="553">
        <v>322</v>
      </c>
      <c r="R14" s="553">
        <v>310</v>
      </c>
      <c r="S14" s="527">
        <v>207</v>
      </c>
      <c r="T14" s="553">
        <v>130</v>
      </c>
      <c r="U14" s="553">
        <v>57</v>
      </c>
      <c r="V14" s="553">
        <v>57</v>
      </c>
      <c r="W14" s="527">
        <v>368</v>
      </c>
      <c r="X14" s="527">
        <v>364</v>
      </c>
      <c r="Y14" s="553">
        <v>349</v>
      </c>
      <c r="Z14" s="187">
        <v>298</v>
      </c>
      <c r="AA14" s="527">
        <v>343</v>
      </c>
      <c r="AB14" s="553">
        <v>349</v>
      </c>
      <c r="AC14" s="553">
        <v>308</v>
      </c>
      <c r="AD14" s="553">
        <v>330</v>
      </c>
      <c r="AE14" s="527">
        <v>313</v>
      </c>
      <c r="AF14" s="553">
        <v>322</v>
      </c>
      <c r="AG14" s="553">
        <v>350</v>
      </c>
      <c r="AH14" s="553">
        <v>322</v>
      </c>
      <c r="AI14" s="3">
        <v>8890</v>
      </c>
    </row>
    <row r="15" spans="1:35" ht="15.75" x14ac:dyDescent="0.25">
      <c r="B15" s="1" t="s">
        <v>17</v>
      </c>
      <c r="C15" s="1" t="s">
        <v>6</v>
      </c>
      <c r="D15" s="553">
        <v>208</v>
      </c>
      <c r="E15" s="553">
        <v>158</v>
      </c>
      <c r="F15" s="553">
        <v>316</v>
      </c>
      <c r="G15" s="553">
        <v>327</v>
      </c>
      <c r="H15" s="553">
        <v>353</v>
      </c>
      <c r="I15" s="553">
        <v>269</v>
      </c>
      <c r="J15" s="527">
        <v>326</v>
      </c>
      <c r="K15" s="553">
        <v>314</v>
      </c>
      <c r="L15" s="553">
        <v>266</v>
      </c>
      <c r="M15" s="553">
        <v>320</v>
      </c>
      <c r="N15" s="553">
        <v>299</v>
      </c>
      <c r="O15" s="527">
        <v>339</v>
      </c>
      <c r="P15" s="553">
        <v>341</v>
      </c>
      <c r="Q15" s="553">
        <v>326</v>
      </c>
      <c r="R15" s="553">
        <v>314</v>
      </c>
      <c r="S15" s="527">
        <v>209</v>
      </c>
      <c r="T15" s="553">
        <v>131</v>
      </c>
      <c r="U15" s="553">
        <v>59</v>
      </c>
      <c r="V15" s="553">
        <v>60</v>
      </c>
      <c r="W15" s="527">
        <v>370</v>
      </c>
      <c r="X15" s="527">
        <v>367</v>
      </c>
      <c r="Y15" s="553">
        <v>352</v>
      </c>
      <c r="Z15" s="187">
        <v>303</v>
      </c>
      <c r="AA15" s="527">
        <v>349</v>
      </c>
      <c r="AB15" s="553">
        <v>351</v>
      </c>
      <c r="AC15" s="553">
        <v>310</v>
      </c>
      <c r="AD15" s="553">
        <v>337</v>
      </c>
      <c r="AE15" s="527">
        <v>319</v>
      </c>
      <c r="AF15" s="553">
        <v>346</v>
      </c>
      <c r="AG15" s="553">
        <v>352</v>
      </c>
      <c r="AH15" s="553">
        <v>320</v>
      </c>
      <c r="AI15" s="3">
        <v>9011</v>
      </c>
    </row>
    <row r="16" spans="1:35" ht="15.75" x14ac:dyDescent="0.25">
      <c r="B16" s="1" t="s">
        <v>18</v>
      </c>
      <c r="C16" s="1" t="s">
        <v>6</v>
      </c>
      <c r="D16" s="553">
        <v>210</v>
      </c>
      <c r="E16" s="553">
        <v>158</v>
      </c>
      <c r="F16" s="553">
        <v>317</v>
      </c>
      <c r="G16" s="553">
        <v>331</v>
      </c>
      <c r="H16" s="553">
        <v>352</v>
      </c>
      <c r="I16" s="553">
        <v>272</v>
      </c>
      <c r="J16" s="527">
        <v>328</v>
      </c>
      <c r="K16" s="553">
        <v>315</v>
      </c>
      <c r="L16" s="553">
        <v>270</v>
      </c>
      <c r="M16" s="553">
        <v>321</v>
      </c>
      <c r="N16" s="553">
        <v>302</v>
      </c>
      <c r="O16" s="527">
        <v>340</v>
      </c>
      <c r="P16" s="553">
        <v>342</v>
      </c>
      <c r="Q16" s="553">
        <v>328</v>
      </c>
      <c r="R16" s="553">
        <v>316</v>
      </c>
      <c r="S16" s="527">
        <v>209</v>
      </c>
      <c r="T16" s="553">
        <v>132</v>
      </c>
      <c r="U16" s="553">
        <v>60</v>
      </c>
      <c r="V16" s="553">
        <v>60</v>
      </c>
      <c r="W16" s="527">
        <v>372</v>
      </c>
      <c r="X16" s="527">
        <v>370</v>
      </c>
      <c r="Y16" s="553">
        <v>354</v>
      </c>
      <c r="Z16" s="187">
        <v>304</v>
      </c>
      <c r="AA16" s="527">
        <v>350</v>
      </c>
      <c r="AB16" s="553">
        <v>343</v>
      </c>
      <c r="AC16" s="553">
        <v>312</v>
      </c>
      <c r="AD16" s="553">
        <v>340</v>
      </c>
      <c r="AE16" s="527">
        <v>322</v>
      </c>
      <c r="AF16" s="553">
        <v>349</v>
      </c>
      <c r="AG16" s="553">
        <v>354</v>
      </c>
      <c r="AH16" s="553">
        <v>319</v>
      </c>
      <c r="AI16" s="3">
        <v>9052</v>
      </c>
    </row>
    <row r="17" spans="2:37" ht="15.75" x14ac:dyDescent="0.25">
      <c r="B17" s="1" t="s">
        <v>19</v>
      </c>
      <c r="C17" s="1" t="s">
        <v>6</v>
      </c>
      <c r="D17" s="553">
        <v>0</v>
      </c>
      <c r="E17" s="553">
        <v>0</v>
      </c>
      <c r="F17" s="553">
        <v>0</v>
      </c>
      <c r="G17" s="553">
        <v>0</v>
      </c>
      <c r="H17" s="553">
        <v>0</v>
      </c>
      <c r="I17" s="553">
        <v>0</v>
      </c>
      <c r="J17" s="527">
        <v>0</v>
      </c>
      <c r="K17" s="553">
        <v>0</v>
      </c>
      <c r="L17" s="553">
        <v>0</v>
      </c>
      <c r="M17" s="553">
        <v>0</v>
      </c>
      <c r="N17" s="553">
        <v>0</v>
      </c>
      <c r="O17" s="527">
        <v>0</v>
      </c>
      <c r="P17" s="553">
        <v>0</v>
      </c>
      <c r="Q17" s="553">
        <v>0</v>
      </c>
      <c r="R17" s="553">
        <v>0</v>
      </c>
      <c r="S17" s="527">
        <v>0</v>
      </c>
      <c r="T17" s="553">
        <v>0</v>
      </c>
      <c r="U17" s="553">
        <v>0</v>
      </c>
      <c r="V17" s="553">
        <v>0</v>
      </c>
      <c r="W17" s="527">
        <v>0</v>
      </c>
      <c r="X17" s="527">
        <v>0</v>
      </c>
      <c r="Y17" s="553">
        <v>0</v>
      </c>
      <c r="Z17" s="187">
        <v>0</v>
      </c>
      <c r="AA17" s="527">
        <v>0</v>
      </c>
      <c r="AB17" s="553">
        <v>0</v>
      </c>
      <c r="AC17" s="553">
        <v>0</v>
      </c>
      <c r="AD17" s="553">
        <v>0</v>
      </c>
      <c r="AE17" s="527">
        <v>0</v>
      </c>
      <c r="AF17" s="553">
        <v>0</v>
      </c>
      <c r="AG17" s="553">
        <v>0</v>
      </c>
      <c r="AH17" s="553">
        <v>0</v>
      </c>
      <c r="AI17" s="3">
        <v>0</v>
      </c>
    </row>
    <row r="18" spans="2:37" ht="15.75" x14ac:dyDescent="0.25">
      <c r="B18" s="1" t="s">
        <v>20</v>
      </c>
      <c r="C18" s="1" t="s">
        <v>6</v>
      </c>
      <c r="D18" s="553">
        <v>211</v>
      </c>
      <c r="E18" s="553">
        <v>160</v>
      </c>
      <c r="F18" s="553">
        <v>316</v>
      </c>
      <c r="G18" s="553">
        <v>332</v>
      </c>
      <c r="H18" s="553">
        <v>352</v>
      </c>
      <c r="I18" s="553">
        <v>272</v>
      </c>
      <c r="J18" s="527">
        <v>330</v>
      </c>
      <c r="K18" s="553">
        <v>315</v>
      </c>
      <c r="L18" s="553">
        <v>269</v>
      </c>
      <c r="M18" s="553">
        <v>320</v>
      </c>
      <c r="N18" s="553">
        <v>299</v>
      </c>
      <c r="O18" s="527">
        <v>337</v>
      </c>
      <c r="P18" s="553">
        <v>341</v>
      </c>
      <c r="Q18" s="553">
        <v>329</v>
      </c>
      <c r="R18" s="553">
        <v>317</v>
      </c>
      <c r="S18" s="527">
        <v>209</v>
      </c>
      <c r="T18" s="553">
        <v>130</v>
      </c>
      <c r="U18" s="553">
        <v>60</v>
      </c>
      <c r="V18" s="553">
        <v>60</v>
      </c>
      <c r="W18" s="527">
        <v>374</v>
      </c>
      <c r="X18" s="527">
        <v>372</v>
      </c>
      <c r="Y18" s="553">
        <v>356</v>
      </c>
      <c r="Z18" s="187">
        <v>307</v>
      </c>
      <c r="AA18" s="527">
        <v>353</v>
      </c>
      <c r="AB18" s="553">
        <v>338</v>
      </c>
      <c r="AC18" s="553">
        <v>311</v>
      </c>
      <c r="AD18" s="553">
        <v>340</v>
      </c>
      <c r="AE18" s="527">
        <v>322</v>
      </c>
      <c r="AF18" s="553">
        <v>348</v>
      </c>
      <c r="AG18" s="553">
        <v>355</v>
      </c>
      <c r="AH18" s="553">
        <v>320</v>
      </c>
      <c r="AI18" s="3">
        <v>9055</v>
      </c>
    </row>
    <row r="19" spans="2:37" ht="15.75" x14ac:dyDescent="0.25">
      <c r="B19" s="1" t="s">
        <v>21</v>
      </c>
      <c r="C19" s="1" t="s">
        <v>6</v>
      </c>
      <c r="D19" s="553">
        <v>212</v>
      </c>
      <c r="E19" s="553">
        <v>161</v>
      </c>
      <c r="F19" s="553">
        <v>314</v>
      </c>
      <c r="G19" s="553">
        <v>332</v>
      </c>
      <c r="H19" s="553">
        <v>352</v>
      </c>
      <c r="I19" s="553">
        <v>274</v>
      </c>
      <c r="J19" s="527">
        <v>333</v>
      </c>
      <c r="K19" s="553">
        <v>313</v>
      </c>
      <c r="L19" s="553">
        <v>264</v>
      </c>
      <c r="M19" s="553">
        <v>315</v>
      </c>
      <c r="N19" s="553">
        <v>299</v>
      </c>
      <c r="O19" s="527">
        <v>336</v>
      </c>
      <c r="P19" s="553">
        <v>333</v>
      </c>
      <c r="Q19" s="553">
        <v>331</v>
      </c>
      <c r="R19" s="553">
        <v>320</v>
      </c>
      <c r="S19" s="527">
        <v>211</v>
      </c>
      <c r="T19" s="553">
        <v>130</v>
      </c>
      <c r="U19" s="553">
        <v>60</v>
      </c>
      <c r="V19" s="553">
        <v>60</v>
      </c>
      <c r="W19" s="527">
        <v>375</v>
      </c>
      <c r="X19" s="527">
        <v>373</v>
      </c>
      <c r="Y19" s="553">
        <v>354</v>
      </c>
      <c r="Z19" s="187">
        <v>308</v>
      </c>
      <c r="AA19" s="527">
        <v>355</v>
      </c>
      <c r="AB19" s="553">
        <v>340</v>
      </c>
      <c r="AC19" s="553">
        <v>312</v>
      </c>
      <c r="AD19" s="553">
        <v>337</v>
      </c>
      <c r="AE19" s="527">
        <v>320</v>
      </c>
      <c r="AF19" s="553">
        <v>347</v>
      </c>
      <c r="AG19" s="553">
        <v>356</v>
      </c>
      <c r="AH19" s="553">
        <v>321</v>
      </c>
      <c r="AI19" s="3">
        <v>9048</v>
      </c>
    </row>
    <row r="20" spans="2:37" ht="15.75" x14ac:dyDescent="0.25">
      <c r="B20" s="1" t="s">
        <v>22</v>
      </c>
      <c r="C20" s="1" t="s">
        <v>6</v>
      </c>
      <c r="D20" s="553">
        <v>213</v>
      </c>
      <c r="E20" s="553">
        <v>163</v>
      </c>
      <c r="F20" s="553">
        <v>313</v>
      </c>
      <c r="G20" s="553">
        <v>335</v>
      </c>
      <c r="H20" s="553">
        <v>355</v>
      </c>
      <c r="I20" s="553">
        <v>272</v>
      </c>
      <c r="J20" s="527">
        <v>336</v>
      </c>
      <c r="K20" s="553">
        <v>316</v>
      </c>
      <c r="L20" s="553">
        <v>267</v>
      </c>
      <c r="M20" s="553">
        <v>319</v>
      </c>
      <c r="N20" s="553">
        <v>300</v>
      </c>
      <c r="O20" s="527">
        <v>338</v>
      </c>
      <c r="P20" s="553">
        <v>335</v>
      </c>
      <c r="Q20" s="553">
        <v>332</v>
      </c>
      <c r="R20" s="553">
        <v>322</v>
      </c>
      <c r="S20" s="527">
        <v>212</v>
      </c>
      <c r="T20" s="553">
        <v>130</v>
      </c>
      <c r="U20" s="553">
        <v>60</v>
      </c>
      <c r="V20" s="553">
        <v>60</v>
      </c>
      <c r="W20" s="527">
        <v>379</v>
      </c>
      <c r="X20" s="527">
        <v>377</v>
      </c>
      <c r="Y20" s="553">
        <v>359</v>
      </c>
      <c r="Z20" s="187">
        <v>310</v>
      </c>
      <c r="AA20" s="527">
        <v>358</v>
      </c>
      <c r="AB20" s="553">
        <v>343</v>
      </c>
      <c r="AC20" s="553">
        <v>313</v>
      </c>
      <c r="AD20" s="553">
        <v>336</v>
      </c>
      <c r="AE20" s="527">
        <v>319</v>
      </c>
      <c r="AF20" s="553">
        <v>347</v>
      </c>
      <c r="AG20" s="553">
        <v>357</v>
      </c>
      <c r="AH20" s="553">
        <v>322</v>
      </c>
      <c r="AI20" s="3">
        <v>9098</v>
      </c>
    </row>
    <row r="21" spans="2:37" ht="15.75" x14ac:dyDescent="0.25">
      <c r="B21" s="1" t="s">
        <v>23</v>
      </c>
      <c r="C21" s="1" t="s">
        <v>6</v>
      </c>
      <c r="D21" s="553">
        <v>212</v>
      </c>
      <c r="E21" s="553">
        <v>161</v>
      </c>
      <c r="F21" s="553">
        <v>310</v>
      </c>
      <c r="G21" s="553">
        <v>335</v>
      </c>
      <c r="H21" s="553">
        <v>355</v>
      </c>
      <c r="I21" s="553">
        <v>270</v>
      </c>
      <c r="J21" s="527">
        <v>337</v>
      </c>
      <c r="K21" s="553">
        <v>318</v>
      </c>
      <c r="L21" s="553">
        <v>270</v>
      </c>
      <c r="M21" s="553">
        <v>322</v>
      </c>
      <c r="N21" s="553">
        <v>304</v>
      </c>
      <c r="O21" s="527">
        <v>344</v>
      </c>
      <c r="P21" s="553">
        <v>336</v>
      </c>
      <c r="Q21" s="553">
        <v>331</v>
      </c>
      <c r="R21" s="553">
        <v>323</v>
      </c>
      <c r="S21" s="527">
        <v>213</v>
      </c>
      <c r="T21" s="553">
        <v>131</v>
      </c>
      <c r="U21" s="553">
        <v>60</v>
      </c>
      <c r="V21" s="553">
        <v>60</v>
      </c>
      <c r="W21" s="527">
        <v>379</v>
      </c>
      <c r="X21" s="527">
        <v>377</v>
      </c>
      <c r="Y21" s="553">
        <v>359</v>
      </c>
      <c r="Z21" s="187">
        <v>307</v>
      </c>
      <c r="AA21" s="527">
        <v>357</v>
      </c>
      <c r="AB21" s="553">
        <v>342</v>
      </c>
      <c r="AC21" s="553">
        <v>313</v>
      </c>
      <c r="AD21" s="553">
        <v>341</v>
      </c>
      <c r="AE21" s="527">
        <v>324</v>
      </c>
      <c r="AF21" s="553">
        <v>249</v>
      </c>
      <c r="AG21" s="553">
        <v>357</v>
      </c>
      <c r="AH21" s="553">
        <v>322</v>
      </c>
      <c r="AI21" s="3">
        <v>9019</v>
      </c>
      <c r="AJ21" s="4">
        <v>145861</v>
      </c>
      <c r="AK21">
        <v>140685</v>
      </c>
    </row>
    <row r="22" spans="2:37" ht="15.75" x14ac:dyDescent="0.25">
      <c r="B22" s="1" t="s">
        <v>24</v>
      </c>
      <c r="C22" s="1" t="s">
        <v>6</v>
      </c>
      <c r="D22" s="529">
        <v>3360.0000000002183</v>
      </c>
      <c r="E22" s="553">
        <v>2729.9999999995634</v>
      </c>
      <c r="F22" s="553">
        <v>5040.0000000003274</v>
      </c>
      <c r="G22" s="553">
        <v>5280.0000000001091</v>
      </c>
      <c r="H22" s="8">
        <v>5639.9999999997817</v>
      </c>
      <c r="I22" s="553">
        <v>4350</v>
      </c>
      <c r="J22" s="553">
        <v>5280.0000000001091</v>
      </c>
      <c r="K22" s="553">
        <v>4980.0000000001091</v>
      </c>
      <c r="L22" s="529">
        <v>4259.9999999996726</v>
      </c>
      <c r="M22" s="553">
        <v>5160.0000000002183</v>
      </c>
      <c r="N22" s="187">
        <v>4769.9999999998909</v>
      </c>
      <c r="O22" s="529">
        <v>5430.0000000001091</v>
      </c>
      <c r="P22" s="553">
        <v>5400</v>
      </c>
      <c r="Q22" s="553">
        <v>5189.9999999997817</v>
      </c>
      <c r="R22" s="553">
        <v>4980.0000000001091</v>
      </c>
      <c r="S22" s="529">
        <v>3389.9999999997817</v>
      </c>
      <c r="T22" s="576">
        <v>2160.0000000002183</v>
      </c>
      <c r="U22" s="576">
        <v>989.99999999978172</v>
      </c>
      <c r="V22" s="553">
        <v>960.00000000021828</v>
      </c>
      <c r="W22" s="529">
        <v>5939.9999999997817</v>
      </c>
      <c r="X22" s="529">
        <v>5880.0000000001091</v>
      </c>
      <c r="Y22" s="553">
        <v>5700</v>
      </c>
      <c r="Z22" s="187">
        <v>4950</v>
      </c>
      <c r="AA22" s="553">
        <v>5669.9999999998909</v>
      </c>
      <c r="AB22" s="553">
        <v>5490.0000000003274</v>
      </c>
      <c r="AC22" s="553">
        <v>4889.9999999997817</v>
      </c>
      <c r="AD22" s="553">
        <v>5430.0000000001091</v>
      </c>
      <c r="AE22" s="553">
        <v>5220</v>
      </c>
      <c r="AF22" s="553">
        <v>5490.0000000003274</v>
      </c>
      <c r="AG22" s="553">
        <v>5609.9999999996726</v>
      </c>
      <c r="AH22" s="553">
        <v>5100</v>
      </c>
      <c r="AI22" s="3">
        <v>144719.99999999997</v>
      </c>
      <c r="AJ22" s="4"/>
    </row>
    <row r="23" spans="2:37" ht="18.75" x14ac:dyDescent="0.25">
      <c r="B23" s="1" t="s">
        <v>25</v>
      </c>
      <c r="C23" s="1" t="s">
        <v>26</v>
      </c>
      <c r="D23" s="8">
        <v>4.6571899681512869</v>
      </c>
      <c r="E23" s="556">
        <v>3.7991251442639786</v>
      </c>
      <c r="F23" s="8">
        <v>7</v>
      </c>
      <c r="G23" s="556">
        <v>7.3</v>
      </c>
      <c r="H23" s="556">
        <v>7.8037005741128977</v>
      </c>
      <c r="I23" s="556">
        <v>6.2</v>
      </c>
      <c r="J23" s="554">
        <v>7.33</v>
      </c>
      <c r="K23" s="8">
        <v>6.8614922551737649</v>
      </c>
      <c r="L23" s="8">
        <v>5.92668250245287</v>
      </c>
      <c r="M23" s="8">
        <v>7.3200163322221901</v>
      </c>
      <c r="N23" s="8">
        <v>6.8126630182942396</v>
      </c>
      <c r="O23" s="8">
        <v>7.5446968475858105</v>
      </c>
      <c r="P23" s="8">
        <v>7.3716808743376534</v>
      </c>
      <c r="Q23" s="8">
        <v>7.1984654997613671</v>
      </c>
      <c r="R23" s="8">
        <v>6.8800375045021012</v>
      </c>
      <c r="S23" s="8">
        <v>4.6928899953303711</v>
      </c>
      <c r="T23" s="8">
        <v>3.1173648497631734</v>
      </c>
      <c r="U23" s="8">
        <v>1.3804123521241289</v>
      </c>
      <c r="V23" s="8">
        <v>1.4663136589638739</v>
      </c>
      <c r="W23" s="530">
        <v>7.9409390944418776</v>
      </c>
      <c r="X23" s="530">
        <v>7.9768087986321126</v>
      </c>
      <c r="Y23" s="8">
        <v>7.8166647298080951</v>
      </c>
      <c r="Z23" s="8">
        <v>7.0155864931361478</v>
      </c>
      <c r="AA23" s="8">
        <v>7.6888854275537719</v>
      </c>
      <c r="AB23" s="8">
        <v>7.5966582607046114</v>
      </c>
      <c r="AC23" s="187">
        <v>6.8</v>
      </c>
      <c r="AD23" s="194">
        <v>7.7291925532236991</v>
      </c>
      <c r="AE23" s="574">
        <v>8.3205311872917154</v>
      </c>
      <c r="AF23" s="8">
        <v>7.6728850997635947</v>
      </c>
      <c r="AG23" s="8">
        <v>7.83</v>
      </c>
      <c r="AH23" s="187">
        <v>7.4318174026216806</v>
      </c>
      <c r="AI23" s="13">
        <v>6.4124284972082757</v>
      </c>
    </row>
    <row r="24" spans="2:37" ht="15.75" x14ac:dyDescent="0.25">
      <c r="B24" s="1" t="s">
        <v>27</v>
      </c>
      <c r="C24" s="1" t="s">
        <v>6</v>
      </c>
      <c r="D24" s="554">
        <v>4067.4000000019732</v>
      </c>
      <c r="E24" s="554">
        <v>5203.1999999994587</v>
      </c>
      <c r="F24" s="554">
        <v>3385.7999999995154</v>
      </c>
      <c r="G24" s="554">
        <v>12803.999999999323</v>
      </c>
      <c r="H24" s="554">
        <v>12714.00000000227</v>
      </c>
      <c r="I24" s="575">
        <v>15560.399999999136</v>
      </c>
      <c r="J24" s="554">
        <v>14193.600000001759</v>
      </c>
      <c r="K24" s="554">
        <v>12476.999999997621</v>
      </c>
      <c r="L24" s="554">
        <v>13661.399999999725</v>
      </c>
      <c r="M24" s="554">
        <v>9906.6000000026543</v>
      </c>
      <c r="N24" s="553">
        <v>6357.5999999999694</v>
      </c>
      <c r="O24" s="187">
        <v>6167.999999996704</v>
      </c>
      <c r="P24" s="187">
        <v>7268.4000000025408</v>
      </c>
      <c r="Q24" s="187">
        <v>7783.7999999972672</v>
      </c>
      <c r="R24" s="187">
        <v>1776.0000000035143</v>
      </c>
      <c r="S24" s="187">
        <v>11777.999999998079</v>
      </c>
      <c r="T24" s="187">
        <v>1520.9999999985157</v>
      </c>
      <c r="U24" s="554">
        <v>10488.600000003134</v>
      </c>
      <c r="V24" s="554">
        <v>2209.1999999985419</v>
      </c>
      <c r="W24" s="534">
        <v>11750.400000001406</v>
      </c>
      <c r="X24" s="534">
        <v>6911.3999999967564</v>
      </c>
      <c r="Y24" s="554">
        <v>11796.600000000079</v>
      </c>
      <c r="Z24" s="187">
        <v>2192.4000000008382</v>
      </c>
      <c r="AA24" s="7">
        <v>15202.799999998948</v>
      </c>
      <c r="AB24" s="575">
        <v>1917.0000000003274</v>
      </c>
      <c r="AC24" s="187">
        <v>10241.400000003239</v>
      </c>
      <c r="AD24" s="187">
        <v>1802.9999999991924</v>
      </c>
      <c r="AE24" s="187">
        <v>9960.5999999991618</v>
      </c>
      <c r="AF24" s="187">
        <v>1812.5999999987034</v>
      </c>
      <c r="AG24" s="187">
        <v>7510.800000001349</v>
      </c>
      <c r="AH24" s="187">
        <v>10197.599999999948</v>
      </c>
      <c r="AI24" s="3">
        <v>250620.60000000172</v>
      </c>
    </row>
    <row r="25" spans="2:37" ht="15.75" x14ac:dyDescent="0.25">
      <c r="B25" s="5" t="s">
        <v>28</v>
      </c>
      <c r="C25" s="1" t="s">
        <v>0</v>
      </c>
      <c r="D25" s="547">
        <v>0.14166966004041792</v>
      </c>
      <c r="E25" s="466">
        <v>0.11858985756214555</v>
      </c>
      <c r="F25" s="466">
        <v>0.21286097678706389</v>
      </c>
      <c r="G25" s="547">
        <v>0.22174624231131415</v>
      </c>
      <c r="H25" s="547">
        <v>0.23639934091735521</v>
      </c>
      <c r="I25" s="547">
        <v>0.18957771904496834</v>
      </c>
      <c r="J25" s="547">
        <v>0.22194523915561254</v>
      </c>
      <c r="K25" s="547">
        <v>0.20880581862528622</v>
      </c>
      <c r="L25" s="547">
        <v>0.18020474581001</v>
      </c>
      <c r="M25" s="547">
        <v>0.22006634478299514</v>
      </c>
      <c r="N25" s="547">
        <v>0.20536843438887589</v>
      </c>
      <c r="O25" s="229">
        <v>0.23025001538758605</v>
      </c>
      <c r="P25" s="230">
        <v>0.22802030920684654</v>
      </c>
      <c r="Q25" s="547">
        <v>0.21815351763783752</v>
      </c>
      <c r="R25" s="547">
        <v>0.21273775389920271</v>
      </c>
      <c r="S25" s="547">
        <v>0.14255556188699167</v>
      </c>
      <c r="T25" s="547">
        <v>9.6411642830798325E-2</v>
      </c>
      <c r="U25" s="547">
        <v>4.3761833929521501E-2</v>
      </c>
      <c r="V25" s="547">
        <v>4.6497763214168958E-2</v>
      </c>
      <c r="W25" s="547">
        <v>0.24950693096887575</v>
      </c>
      <c r="X25" s="547">
        <v>0.24683049060789558</v>
      </c>
      <c r="Y25" s="547">
        <v>0.23955892897315109</v>
      </c>
      <c r="Z25" s="547">
        <v>0.21660816296596339</v>
      </c>
      <c r="AA25" s="547">
        <v>0.23662713685269329</v>
      </c>
      <c r="AB25" s="547">
        <v>0.23067950629352729</v>
      </c>
      <c r="AC25" s="547">
        <v>0.20725696483660108</v>
      </c>
      <c r="AD25" s="547">
        <v>0.23169983713536124</v>
      </c>
      <c r="AE25" s="547">
        <v>0.25131657218865566</v>
      </c>
      <c r="AF25" s="547">
        <v>0.23095426617090825</v>
      </c>
      <c r="AG25" s="547">
        <v>0.23550226594456297</v>
      </c>
      <c r="AH25" s="547">
        <v>0.22298433210682661</v>
      </c>
      <c r="AI25" s="49">
        <v>0.19919832814400062</v>
      </c>
    </row>
    <row r="26" spans="2:37" ht="15.75" x14ac:dyDescent="0.25">
      <c r="B26" s="5" t="s">
        <v>35</v>
      </c>
      <c r="C26" s="1" t="s">
        <v>0</v>
      </c>
      <c r="D26" s="547">
        <v>0.14008825560103774</v>
      </c>
      <c r="E26" s="547">
        <v>0.11382170767581758</v>
      </c>
      <c r="F26" s="547">
        <v>0.21013238340155663</v>
      </c>
      <c r="G26" s="547">
        <v>0.22013868737304956</v>
      </c>
      <c r="H26" s="547">
        <v>0.23514814333028897</v>
      </c>
      <c r="I26" s="547">
        <v>0.18136425948347459</v>
      </c>
      <c r="J26" s="547">
        <v>0.22013868737304956</v>
      </c>
      <c r="K26" s="547">
        <v>0.20763080740867201</v>
      </c>
      <c r="L26" s="547">
        <v>0.17761189549414766</v>
      </c>
      <c r="M26" s="547">
        <v>0.2151355353873031</v>
      </c>
      <c r="N26" s="547">
        <v>0.19887529143359861</v>
      </c>
      <c r="O26" s="229">
        <v>0.22639262735523835</v>
      </c>
      <c r="P26" s="547">
        <v>0.22514183935879603</v>
      </c>
      <c r="Q26" s="547">
        <v>0.21638632338372263</v>
      </c>
      <c r="R26" s="547">
        <v>0.20763080740867201</v>
      </c>
      <c r="S26" s="547">
        <v>0.1413390435974573</v>
      </c>
      <c r="T26" s="547">
        <v>9.0056735743527516E-2</v>
      </c>
      <c r="U26" s="547">
        <v>4.1276003882436837E-2</v>
      </c>
      <c r="V26" s="547">
        <v>4.0025215886017283E-2</v>
      </c>
      <c r="W26" s="547">
        <v>0.24765602329466654</v>
      </c>
      <c r="X26" s="547">
        <v>0.24515444730180466</v>
      </c>
      <c r="Y26" s="547">
        <v>0.23764971932317358</v>
      </c>
      <c r="Z26" s="547">
        <v>0.20638001941222969</v>
      </c>
      <c r="AA26" s="547">
        <v>0.23639893132673129</v>
      </c>
      <c r="AB26" s="547">
        <v>0.22889420334812294</v>
      </c>
      <c r="AC26" s="547">
        <v>0.20387844341934508</v>
      </c>
      <c r="AD26" s="547">
        <v>0.22639262735523835</v>
      </c>
      <c r="AE26" s="547">
        <v>0.2176371113801695</v>
      </c>
      <c r="AF26" s="547">
        <v>0.22889420334812294</v>
      </c>
      <c r="AG26" s="547">
        <v>0.23389735533384667</v>
      </c>
      <c r="AH26" s="547">
        <v>0.21263395939441848</v>
      </c>
      <c r="AI26" s="49">
        <v>0.19463875144566883</v>
      </c>
    </row>
    <row r="27" spans="2:37" ht="15.75" x14ac:dyDescent="0.25">
      <c r="B27" s="5" t="s">
        <v>110</v>
      </c>
      <c r="C27" s="1"/>
      <c r="D27" s="541">
        <v>1.5814044393801796E-3</v>
      </c>
      <c r="E27" s="541">
        <v>4.7681498863279687E-3</v>
      </c>
      <c r="F27" s="541">
        <v>2.7285933855072664E-3</v>
      </c>
      <c r="G27" s="541">
        <v>1.6075549382645882E-3</v>
      </c>
      <c r="H27" s="541">
        <v>1.2511975870662384E-3</v>
      </c>
      <c r="I27" s="541">
        <v>8.2134595614937467E-3</v>
      </c>
      <c r="J27" s="541">
        <v>1.8065517825629762E-3</v>
      </c>
      <c r="K27" s="541">
        <v>1.1750112166142024E-3</v>
      </c>
      <c r="L27" s="541">
        <v>2.5928503158623439E-3</v>
      </c>
      <c r="M27" s="541">
        <v>4.9308093956920429E-3</v>
      </c>
      <c r="N27" s="541">
        <v>6.4931429552772812E-3</v>
      </c>
      <c r="O27" s="541">
        <v>3.8573880323476972E-3</v>
      </c>
      <c r="P27" s="541">
        <v>2.8784698480505133E-3</v>
      </c>
      <c r="Q27" s="541">
        <v>1.7671942541148955E-3</v>
      </c>
      <c r="R27" s="541">
        <v>5.1069464905307005E-3</v>
      </c>
      <c r="S27" s="541">
        <v>1.2165182895343685E-3</v>
      </c>
      <c r="T27" s="541">
        <v>6.3549070872708086E-3</v>
      </c>
      <c r="U27" s="541">
        <v>2.4858300470846639E-3</v>
      </c>
      <c r="V27" s="541">
        <v>6.4725473281516746E-3</v>
      </c>
      <c r="W27" s="541">
        <v>1.8509076742092012E-3</v>
      </c>
      <c r="X27" s="541">
        <v>1.6760433060909186E-3</v>
      </c>
      <c r="Y27" s="541">
        <v>1.9092096499775113E-3</v>
      </c>
      <c r="Z27" s="541">
        <v>1.0228143553733693E-2</v>
      </c>
      <c r="AA27" s="541">
        <v>2.2820552596200527E-4</v>
      </c>
      <c r="AB27" s="541">
        <v>1.7853029454043545E-3</v>
      </c>
      <c r="AC27" s="541">
        <v>3.378521417256003E-3</v>
      </c>
      <c r="AD27" s="541">
        <v>5.3072097801228901E-3</v>
      </c>
      <c r="AE27" s="541">
        <v>3.3679460808486161E-2</v>
      </c>
      <c r="AF27" s="541">
        <v>2.0600628227853135E-3</v>
      </c>
      <c r="AG27" s="541">
        <v>1.604910610716298E-3</v>
      </c>
      <c r="AH27" s="541">
        <v>1.0350372712408129E-2</v>
      </c>
      <c r="AI27" s="49">
        <v>4.5595766983318265E-3</v>
      </c>
    </row>
    <row r="28" spans="2:37" ht="15.75" x14ac:dyDescent="0.25">
      <c r="B28" s="5" t="s">
        <v>112</v>
      </c>
      <c r="C28" s="1"/>
      <c r="D28" s="555"/>
      <c r="E28" s="555"/>
      <c r="F28" s="555"/>
      <c r="G28" s="555"/>
      <c r="H28" s="555"/>
      <c r="I28" s="555"/>
      <c r="J28" s="555"/>
      <c r="K28" s="555"/>
      <c r="L28" s="555"/>
      <c r="M28" s="555"/>
      <c r="N28" s="555"/>
      <c r="O28" s="555"/>
      <c r="P28" s="555"/>
      <c r="Q28" s="555"/>
      <c r="R28" s="555"/>
      <c r="S28" s="555"/>
      <c r="T28" s="555"/>
      <c r="U28" s="555"/>
      <c r="V28" s="555"/>
      <c r="W28" s="555"/>
      <c r="X28" s="555"/>
      <c r="Y28" s="555"/>
      <c r="Z28" s="555"/>
      <c r="AA28" s="555"/>
      <c r="AB28" s="555"/>
      <c r="AC28" s="555"/>
      <c r="AD28" s="555"/>
      <c r="AE28" s="555"/>
      <c r="AF28" s="555"/>
      <c r="AG28" s="555"/>
      <c r="AH28" s="555"/>
      <c r="AI28" s="49"/>
    </row>
    <row r="29" spans="2:37" x14ac:dyDescent="0.25">
      <c r="B29" s="5" t="s">
        <v>109</v>
      </c>
      <c r="C29" s="1" t="s">
        <v>59</v>
      </c>
      <c r="D29" s="554">
        <v>3397.929795710219</v>
      </c>
      <c r="E29" s="554">
        <v>2844.3635028451536</v>
      </c>
      <c r="F29" s="554">
        <v>5105.444984920513</v>
      </c>
      <c r="G29" s="554">
        <v>5318.5570122877925</v>
      </c>
      <c r="H29" s="554">
        <v>5670.0098239818544</v>
      </c>
      <c r="I29" s="554">
        <v>4546.9988419672809</v>
      </c>
      <c r="J29" s="554">
        <v>5323.3299277186688</v>
      </c>
      <c r="K29" s="554">
        <v>5008.1825030292548</v>
      </c>
      <c r="L29" s="554">
        <v>4322.1892036835925</v>
      </c>
      <c r="M29" s="554">
        <v>5278.2648716587646</v>
      </c>
      <c r="N29" s="554">
        <v>4925.737254605061</v>
      </c>
      <c r="O29" s="554">
        <v>5522.5189890694055</v>
      </c>
      <c r="P29" s="554">
        <v>5469.0397538891093</v>
      </c>
      <c r="Q29" s="554">
        <v>5232.3859421214165</v>
      </c>
      <c r="R29" s="554">
        <v>5102.4894987419093</v>
      </c>
      <c r="S29" s="554">
        <v>3419.1780451920686</v>
      </c>
      <c r="T29" s="554">
        <v>2312.421683899558</v>
      </c>
      <c r="U29" s="554">
        <v>1049.6223353795017</v>
      </c>
      <c r="V29" s="554">
        <v>1115.2432709602567</v>
      </c>
      <c r="W29" s="554">
        <v>5984.3937984567683</v>
      </c>
      <c r="X29" s="554">
        <v>5920.1996975715028</v>
      </c>
      <c r="Y29" s="554">
        <v>5745.792164349552</v>
      </c>
      <c r="Z29" s="554">
        <v>5195.3207957590766</v>
      </c>
      <c r="AA29" s="554">
        <v>5675.4734821554266</v>
      </c>
      <c r="AB29" s="554">
        <v>5532.8202769094969</v>
      </c>
      <c r="AC29" s="554">
        <v>4971.0334307700959</v>
      </c>
      <c r="AD29" s="554">
        <v>5557.2927897111831</v>
      </c>
      <c r="AE29" s="554">
        <v>6027.7978259562433</v>
      </c>
      <c r="AF29" s="554">
        <v>5539.4103595972938</v>
      </c>
      <c r="AG29" s="554">
        <v>5648.4935884084298</v>
      </c>
      <c r="AH29" s="554">
        <v>5348.2524474623833</v>
      </c>
      <c r="AI29" s="3">
        <v>148110.18789876884</v>
      </c>
    </row>
    <row r="30" spans="2:37" x14ac:dyDescent="0.25">
      <c r="B30" s="5" t="s">
        <v>213</v>
      </c>
      <c r="C30" s="1"/>
      <c r="D30" s="225">
        <v>36.08</v>
      </c>
      <c r="E30" s="225">
        <v>31.2</v>
      </c>
      <c r="F30" s="225">
        <v>35.159999999999997</v>
      </c>
      <c r="G30" s="225">
        <v>35.4</v>
      </c>
      <c r="H30" s="225">
        <v>35.97</v>
      </c>
      <c r="I30" s="225">
        <v>34</v>
      </c>
      <c r="J30" s="225">
        <v>36</v>
      </c>
      <c r="K30" s="225">
        <v>35</v>
      </c>
      <c r="L30" s="225">
        <v>35</v>
      </c>
      <c r="M30" s="225">
        <v>37.32</v>
      </c>
      <c r="N30" s="225">
        <v>36.75</v>
      </c>
      <c r="O30" s="225">
        <v>34.56</v>
      </c>
      <c r="P30" s="225">
        <v>32</v>
      </c>
      <c r="Q30" s="225">
        <v>35.82</v>
      </c>
      <c r="R30" s="225">
        <v>32</v>
      </c>
      <c r="S30" s="225">
        <v>34.869999999999997</v>
      </c>
      <c r="T30" s="225">
        <v>30.75</v>
      </c>
      <c r="U30" s="225">
        <v>23.21</v>
      </c>
      <c r="V30" s="225">
        <v>23.45</v>
      </c>
      <c r="W30" s="225">
        <v>29.071000000000002</v>
      </c>
      <c r="X30" s="225">
        <v>32</v>
      </c>
      <c r="Y30" s="225">
        <v>33.799999999999997</v>
      </c>
      <c r="Z30" s="225">
        <v>32.299999999999997</v>
      </c>
      <c r="AA30" s="225">
        <v>33</v>
      </c>
      <c r="AB30" s="225">
        <v>35.5</v>
      </c>
      <c r="AC30" s="225">
        <v>34.700000000000003</v>
      </c>
      <c r="AD30" s="225">
        <v>37.9</v>
      </c>
      <c r="AE30" s="225">
        <v>36.57</v>
      </c>
      <c r="AF30" s="225">
        <v>37.14</v>
      </c>
      <c r="AG30" s="225">
        <v>37.299999999999997</v>
      </c>
      <c r="AH30" s="225">
        <v>37.700000000000003</v>
      </c>
      <c r="AI30" s="13">
        <v>33.549321428571432</v>
      </c>
    </row>
    <row r="31" spans="2:37" ht="15" customHeight="1" x14ac:dyDescent="0.25">
      <c r="B31" s="219" t="s">
        <v>100</v>
      </c>
      <c r="C31" s="1" t="s">
        <v>59</v>
      </c>
      <c r="D31" s="222"/>
      <c r="E31" s="222">
        <v>41</v>
      </c>
      <c r="F31" s="222"/>
      <c r="G31" s="222"/>
      <c r="H31" s="222"/>
      <c r="I31" s="222"/>
      <c r="J31" s="222"/>
      <c r="K31" s="222"/>
      <c r="L31" s="222"/>
      <c r="M31" s="222">
        <v>60</v>
      </c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>
        <v>80</v>
      </c>
      <c r="AE31" s="222">
        <v>460</v>
      </c>
      <c r="AF31" s="222"/>
      <c r="AG31" s="222"/>
      <c r="AH31" s="222"/>
      <c r="AI31" s="13">
        <v>641</v>
      </c>
      <c r="AJ31" s="417">
        <v>9.5447036394833503E-4</v>
      </c>
    </row>
    <row r="32" spans="2:37" ht="15" customHeight="1" x14ac:dyDescent="0.25">
      <c r="B32" s="219" t="s">
        <v>101</v>
      </c>
      <c r="C32" s="1" t="s">
        <v>59</v>
      </c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13">
        <v>0</v>
      </c>
    </row>
    <row r="33" spans="1:35" ht="15" customHeight="1" x14ac:dyDescent="0.25">
      <c r="B33" s="219" t="s">
        <v>102</v>
      </c>
      <c r="C33" s="1" t="s">
        <v>59</v>
      </c>
      <c r="D33" s="222"/>
      <c r="E33" s="222"/>
      <c r="F33" s="222">
        <v>32</v>
      </c>
      <c r="G33" s="222"/>
      <c r="H33" s="222"/>
      <c r="I33" s="222"/>
      <c r="J33" s="222"/>
      <c r="K33" s="222"/>
      <c r="L33" s="222"/>
      <c r="M33" s="222"/>
      <c r="N33" s="222">
        <v>43</v>
      </c>
      <c r="O33" s="222">
        <v>52</v>
      </c>
      <c r="P33" s="222">
        <v>26</v>
      </c>
      <c r="Q33" s="222"/>
      <c r="R33" s="222">
        <v>90</v>
      </c>
      <c r="S33" s="222"/>
      <c r="T33" s="222"/>
      <c r="U33" s="222">
        <v>14</v>
      </c>
      <c r="V33" s="222">
        <v>70</v>
      </c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13">
        <v>327</v>
      </c>
    </row>
    <row r="34" spans="1:35" ht="15" customHeight="1" x14ac:dyDescent="0.25">
      <c r="B34" s="219" t="s">
        <v>103</v>
      </c>
      <c r="C34" s="1" t="s">
        <v>59</v>
      </c>
      <c r="D34" s="222"/>
      <c r="E34" s="222"/>
      <c r="F34" s="222"/>
      <c r="G34" s="222"/>
      <c r="H34" s="222"/>
      <c r="I34" s="222">
        <v>150</v>
      </c>
      <c r="J34" s="222"/>
      <c r="K34" s="222"/>
      <c r="L34" s="222"/>
      <c r="M34" s="222"/>
      <c r="N34" s="222">
        <v>79</v>
      </c>
      <c r="O34" s="222"/>
      <c r="P34" s="222"/>
      <c r="Q34" s="222"/>
      <c r="R34" s="222"/>
      <c r="S34" s="222"/>
      <c r="T34" s="222">
        <v>105</v>
      </c>
      <c r="U34" s="222">
        <v>24</v>
      </c>
      <c r="V34" s="222">
        <v>50</v>
      </c>
      <c r="W34" s="222"/>
      <c r="X34" s="222"/>
      <c r="Y34" s="222"/>
      <c r="Z34" s="222">
        <v>200</v>
      </c>
      <c r="AA34" s="222"/>
      <c r="AB34" s="222"/>
      <c r="AC34" s="222">
        <v>50</v>
      </c>
      <c r="AD34" s="222"/>
      <c r="AE34" s="222">
        <v>300</v>
      </c>
      <c r="AF34" s="222"/>
      <c r="AG34" s="222"/>
      <c r="AH34" s="222">
        <v>200</v>
      </c>
      <c r="AI34" s="13">
        <v>1158</v>
      </c>
    </row>
    <row r="35" spans="1:35" x14ac:dyDescent="0.25">
      <c r="B35" s="5" t="s">
        <v>218</v>
      </c>
      <c r="C35" s="1" t="s">
        <v>59</v>
      </c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13">
        <v>0</v>
      </c>
    </row>
    <row r="36" spans="1:35" x14ac:dyDescent="0.25">
      <c r="B36" s="220" t="s">
        <v>86</v>
      </c>
      <c r="C36" s="1" t="s">
        <v>59</v>
      </c>
      <c r="D36" s="222">
        <v>0</v>
      </c>
      <c r="E36" s="222">
        <v>41</v>
      </c>
      <c r="F36" s="222">
        <v>32</v>
      </c>
      <c r="G36" s="222">
        <v>0</v>
      </c>
      <c r="H36" s="222">
        <v>0</v>
      </c>
      <c r="I36" s="222">
        <v>150</v>
      </c>
      <c r="J36" s="222">
        <v>0</v>
      </c>
      <c r="K36" s="222">
        <v>0</v>
      </c>
      <c r="L36" s="222">
        <v>0</v>
      </c>
      <c r="M36" s="222">
        <v>60</v>
      </c>
      <c r="N36" s="222">
        <v>122</v>
      </c>
      <c r="O36" s="222">
        <v>52</v>
      </c>
      <c r="P36" s="222">
        <v>26</v>
      </c>
      <c r="Q36" s="222">
        <v>0</v>
      </c>
      <c r="R36" s="222">
        <v>90</v>
      </c>
      <c r="S36" s="222">
        <v>0</v>
      </c>
      <c r="T36" s="222">
        <v>105</v>
      </c>
      <c r="U36" s="222">
        <v>38</v>
      </c>
      <c r="V36" s="222">
        <v>120</v>
      </c>
      <c r="W36" s="222">
        <v>0</v>
      </c>
      <c r="X36" s="222">
        <v>0</v>
      </c>
      <c r="Y36" s="222">
        <v>0</v>
      </c>
      <c r="Z36" s="222">
        <v>200</v>
      </c>
      <c r="AA36" s="222">
        <v>0</v>
      </c>
      <c r="AB36" s="222">
        <v>0</v>
      </c>
      <c r="AC36" s="222">
        <v>50</v>
      </c>
      <c r="AD36" s="222">
        <v>80</v>
      </c>
      <c r="AE36" s="222">
        <v>760</v>
      </c>
      <c r="AF36" s="222">
        <v>0</v>
      </c>
      <c r="AG36" s="222">
        <v>0</v>
      </c>
      <c r="AH36" s="222">
        <v>200</v>
      </c>
      <c r="AI36" s="13">
        <v>2126</v>
      </c>
    </row>
    <row r="37" spans="1:35" x14ac:dyDescent="0.25">
      <c r="B37" s="220" t="s">
        <v>86</v>
      </c>
      <c r="C37" s="1" t="s">
        <v>59</v>
      </c>
      <c r="D37" s="221">
        <v>0</v>
      </c>
      <c r="E37" s="221">
        <v>1.7093589487025549E-3</v>
      </c>
      <c r="F37" s="221">
        <v>1.3341338136215063E-3</v>
      </c>
      <c r="G37" s="221">
        <v>0</v>
      </c>
      <c r="H37" s="221">
        <v>0</v>
      </c>
      <c r="I37" s="221">
        <v>6.2537522513508104E-3</v>
      </c>
      <c r="J37" s="221">
        <v>0</v>
      </c>
      <c r="K37" s="221">
        <v>0</v>
      </c>
      <c r="L37" s="221">
        <v>0</v>
      </c>
      <c r="M37" s="555">
        <v>2.5015009005403244E-3</v>
      </c>
      <c r="N37" s="539">
        <v>5.0863851644319929E-3</v>
      </c>
      <c r="O37" s="221">
        <v>2.1679674471349478E-3</v>
      </c>
      <c r="P37" s="221">
        <v>1.0839837235674739E-3</v>
      </c>
      <c r="Q37" s="221">
        <v>0</v>
      </c>
      <c r="R37" s="221">
        <v>3.7522513508104864E-3</v>
      </c>
      <c r="S37" s="221">
        <v>0</v>
      </c>
      <c r="T37" s="221">
        <v>4.3776265759455672E-3</v>
      </c>
      <c r="U37" s="221">
        <v>1.5842839036755386E-3</v>
      </c>
      <c r="V37" s="221">
        <v>5.0030018010806488E-3</v>
      </c>
      <c r="W37" s="221">
        <v>0</v>
      </c>
      <c r="X37" s="221">
        <v>0</v>
      </c>
      <c r="Y37" s="221">
        <v>0</v>
      </c>
      <c r="Z37" s="221">
        <v>8.3383363351344133E-3</v>
      </c>
      <c r="AA37" s="221">
        <v>0</v>
      </c>
      <c r="AB37" s="221">
        <v>0</v>
      </c>
      <c r="AC37" s="221">
        <v>2.0845840837836033E-3</v>
      </c>
      <c r="AD37" s="221">
        <v>3.3353345340537657E-3</v>
      </c>
      <c r="AE37" s="221">
        <v>3.1685678073510776E-2</v>
      </c>
      <c r="AF37" s="221">
        <v>0</v>
      </c>
      <c r="AG37" s="221">
        <v>0</v>
      </c>
      <c r="AH37" s="221">
        <v>8.3383363351344133E-3</v>
      </c>
      <c r="AI37" s="13">
        <v>2.8592424271767364E-3</v>
      </c>
    </row>
    <row r="38" spans="1:35" x14ac:dyDescent="0.25">
      <c r="B38" s="5" t="s">
        <v>116</v>
      </c>
      <c r="C38" s="1" t="s">
        <v>60</v>
      </c>
      <c r="D38" s="539">
        <v>1.5814044393801796E-3</v>
      </c>
      <c r="E38" s="539">
        <v>3.0587909376254135E-3</v>
      </c>
      <c r="F38" s="539">
        <v>1.3944595718857601E-3</v>
      </c>
      <c r="G38" s="539">
        <v>1.6075549382645882E-3</v>
      </c>
      <c r="H38" s="539">
        <v>1.2511975870662384E-3</v>
      </c>
      <c r="I38" s="539">
        <v>1.9597073101429363E-3</v>
      </c>
      <c r="J38" s="539">
        <v>1.8065517825629762E-3</v>
      </c>
      <c r="K38" s="539">
        <v>1.1750112166142024E-3</v>
      </c>
      <c r="L38" s="539">
        <v>2.5928503158623439E-3</v>
      </c>
      <c r="M38" s="539">
        <v>2.4293084951517185E-3</v>
      </c>
      <c r="N38" s="539">
        <v>1.4067577908452884E-3</v>
      </c>
      <c r="O38" s="539">
        <v>1.6894205852127494E-3</v>
      </c>
      <c r="P38" s="539">
        <v>1.7944861244830394E-3</v>
      </c>
      <c r="Q38" s="539">
        <v>1.7671942541148955E-3</v>
      </c>
      <c r="R38" s="539">
        <v>1.3546951397202141E-3</v>
      </c>
      <c r="S38" s="539">
        <v>1.2165182895343685E-3</v>
      </c>
      <c r="T38" s="539">
        <v>1.9772805113252414E-3</v>
      </c>
      <c r="U38" s="539">
        <v>9.0154614340912532E-4</v>
      </c>
      <c r="V38" s="539">
        <v>1.4695455270710258E-3</v>
      </c>
      <c r="W38" s="539">
        <v>1.8509076742092012E-3</v>
      </c>
      <c r="X38" s="539">
        <v>1.6760433060909186E-3</v>
      </c>
      <c r="Y38" s="539">
        <v>1.9092096499775113E-3</v>
      </c>
      <c r="Z38" s="539">
        <v>1.8898072185992796E-3</v>
      </c>
      <c r="AA38" s="539">
        <v>2.2820552596200527E-4</v>
      </c>
      <c r="AB38" s="539">
        <v>1.7853029454043545E-3</v>
      </c>
      <c r="AC38" s="539">
        <v>1.2939373334723996E-3</v>
      </c>
      <c r="AD38" s="539">
        <v>1.9718752460691244E-3</v>
      </c>
      <c r="AE38" s="539">
        <v>1.9937827349753856E-3</v>
      </c>
      <c r="AF38" s="539">
        <v>2.0600628227853135E-3</v>
      </c>
      <c r="AG38" s="539">
        <v>1.604910610716298E-3</v>
      </c>
      <c r="AH38" s="539">
        <v>2.0120363772737158E-3</v>
      </c>
      <c r="AI38" s="224">
        <v>1.7003342711550903E-3</v>
      </c>
    </row>
    <row r="39" spans="1:35" x14ac:dyDescent="0.25">
      <c r="A39" s="218" t="s">
        <v>30</v>
      </c>
      <c r="B39" s="671" t="s">
        <v>30</v>
      </c>
      <c r="C39" s="671"/>
      <c r="D39" s="671"/>
      <c r="E39" s="671"/>
      <c r="F39" s="671"/>
      <c r="G39" s="671"/>
      <c r="H39" s="671"/>
      <c r="I39" s="671"/>
      <c r="J39" s="671"/>
      <c r="K39" s="671"/>
      <c r="L39" s="671"/>
      <c r="M39" s="671"/>
      <c r="N39" s="671"/>
      <c r="O39" s="671"/>
      <c r="P39" s="671"/>
      <c r="Q39" s="671"/>
      <c r="R39" s="671"/>
      <c r="S39" s="671"/>
      <c r="T39" s="671"/>
      <c r="U39" s="671"/>
      <c r="V39" s="671"/>
      <c r="W39" s="671"/>
      <c r="X39" s="671"/>
      <c r="Y39" s="671"/>
      <c r="Z39" s="671"/>
      <c r="AA39" s="671"/>
      <c r="AB39" s="671"/>
      <c r="AC39" s="671"/>
      <c r="AD39" s="671"/>
      <c r="AE39" s="671"/>
      <c r="AF39" s="671"/>
      <c r="AG39" s="671"/>
      <c r="AH39" s="671"/>
      <c r="AI39" s="671"/>
    </row>
    <row r="40" spans="1:35" x14ac:dyDescent="0.25">
      <c r="B40" s="1" t="s">
        <v>2</v>
      </c>
      <c r="C40" s="1" t="s">
        <v>3</v>
      </c>
      <c r="D40" s="187">
        <v>1</v>
      </c>
      <c r="E40" s="187">
        <v>2</v>
      </c>
      <c r="F40" s="187">
        <v>3</v>
      </c>
      <c r="G40" s="187">
        <v>4</v>
      </c>
      <c r="H40" s="187">
        <v>5</v>
      </c>
      <c r="I40" s="187">
        <v>6</v>
      </c>
      <c r="J40" s="187">
        <v>7</v>
      </c>
      <c r="K40" s="187">
        <v>8</v>
      </c>
      <c r="L40" s="187">
        <v>9</v>
      </c>
      <c r="M40" s="187">
        <v>10</v>
      </c>
      <c r="N40" s="187">
        <v>11</v>
      </c>
      <c r="O40" s="187">
        <v>12</v>
      </c>
      <c r="P40" s="187">
        <v>13</v>
      </c>
      <c r="Q40" s="187">
        <v>14</v>
      </c>
      <c r="R40" s="187">
        <v>15</v>
      </c>
      <c r="S40" s="187">
        <v>16</v>
      </c>
      <c r="T40" s="187">
        <v>17</v>
      </c>
      <c r="U40" s="187">
        <v>18</v>
      </c>
      <c r="V40" s="187">
        <v>19</v>
      </c>
      <c r="W40" s="187">
        <v>20</v>
      </c>
      <c r="X40" s="187">
        <v>21</v>
      </c>
      <c r="Y40" s="187">
        <v>22</v>
      </c>
      <c r="Z40" s="187">
        <v>23</v>
      </c>
      <c r="AA40" s="187">
        <v>24</v>
      </c>
      <c r="AB40" s="187">
        <v>25</v>
      </c>
      <c r="AC40" s="187">
        <v>26</v>
      </c>
      <c r="AD40" s="187">
        <v>27</v>
      </c>
      <c r="AE40" s="187">
        <v>28</v>
      </c>
      <c r="AF40" s="187">
        <v>29</v>
      </c>
      <c r="AG40" s="187">
        <v>30</v>
      </c>
      <c r="AH40" s="187">
        <v>31</v>
      </c>
      <c r="AI40" s="187" t="s">
        <v>4</v>
      </c>
    </row>
    <row r="41" spans="1:35" x14ac:dyDescent="0.25">
      <c r="B41" s="1" t="s">
        <v>5</v>
      </c>
      <c r="C41" s="1" t="s">
        <v>6</v>
      </c>
      <c r="D41" s="553">
        <v>223.8</v>
      </c>
      <c r="E41" s="553">
        <v>194.1</v>
      </c>
      <c r="F41" s="553">
        <v>214</v>
      </c>
      <c r="G41" s="553">
        <v>222.8</v>
      </c>
      <c r="H41" s="553">
        <v>264.89999999999998</v>
      </c>
      <c r="I41" s="553">
        <v>261.89999999999998</v>
      </c>
      <c r="J41" s="553">
        <v>290</v>
      </c>
      <c r="K41" s="553">
        <v>256.39999999999998</v>
      </c>
      <c r="L41" s="553">
        <v>281.60000000000002</v>
      </c>
      <c r="M41" s="553">
        <v>179.2</v>
      </c>
      <c r="N41" s="553">
        <v>185.3</v>
      </c>
      <c r="O41" s="553">
        <v>184.1</v>
      </c>
      <c r="P41" s="553">
        <v>239.5</v>
      </c>
      <c r="Q41" s="553">
        <v>292</v>
      </c>
      <c r="R41" s="553">
        <v>210.1</v>
      </c>
      <c r="S41" s="187">
        <v>303.2</v>
      </c>
      <c r="T41" s="553">
        <v>185.1</v>
      </c>
      <c r="U41" s="553">
        <v>96.3</v>
      </c>
      <c r="V41" s="553">
        <v>60.3</v>
      </c>
      <c r="W41" s="553">
        <v>149.69999999999999</v>
      </c>
      <c r="X41" s="553">
        <v>209.5</v>
      </c>
      <c r="Y41" s="553">
        <v>289.10000000000002</v>
      </c>
      <c r="Z41" s="553">
        <v>290.10000000000002</v>
      </c>
      <c r="AA41" s="553">
        <v>296</v>
      </c>
      <c r="AB41" s="553">
        <v>319.89999999999998</v>
      </c>
      <c r="AC41" s="553">
        <v>216.7</v>
      </c>
      <c r="AD41" s="553">
        <v>285.39999999999998</v>
      </c>
      <c r="AE41" s="553">
        <v>268.5</v>
      </c>
      <c r="AF41" s="553">
        <v>250.6</v>
      </c>
      <c r="AG41" s="553">
        <v>255.2</v>
      </c>
      <c r="AH41" s="553">
        <v>282</v>
      </c>
      <c r="AI41" s="3">
        <v>7257.2999999999993</v>
      </c>
    </row>
    <row r="42" spans="1:35" ht="15.75" x14ac:dyDescent="0.25">
      <c r="B42" s="1" t="s">
        <v>7</v>
      </c>
      <c r="C42" s="1" t="s">
        <v>6</v>
      </c>
      <c r="D42" s="553">
        <v>222.5</v>
      </c>
      <c r="E42" s="553">
        <v>193.6</v>
      </c>
      <c r="F42" s="553">
        <v>203.5</v>
      </c>
      <c r="G42" s="553">
        <v>208.3</v>
      </c>
      <c r="H42" s="553">
        <v>244.8</v>
      </c>
      <c r="I42" s="553">
        <v>255.4</v>
      </c>
      <c r="J42" s="553">
        <v>289.7</v>
      </c>
      <c r="K42" s="553">
        <v>254.1</v>
      </c>
      <c r="L42" s="553">
        <v>280.7</v>
      </c>
      <c r="M42" s="553">
        <v>185.5</v>
      </c>
      <c r="N42" s="553">
        <v>189.2</v>
      </c>
      <c r="O42" s="553">
        <v>183.9</v>
      </c>
      <c r="P42" s="553">
        <v>244.3</v>
      </c>
      <c r="Q42" s="553">
        <v>300</v>
      </c>
      <c r="R42" s="553">
        <v>216</v>
      </c>
      <c r="S42" s="189">
        <v>306</v>
      </c>
      <c r="T42" s="553">
        <v>194.8</v>
      </c>
      <c r="U42" s="553">
        <v>102.2</v>
      </c>
      <c r="V42" s="553">
        <v>64.5</v>
      </c>
      <c r="W42" s="553">
        <v>161.19999999999999</v>
      </c>
      <c r="X42" s="553">
        <v>216.3</v>
      </c>
      <c r="Y42" s="553">
        <v>296.7</v>
      </c>
      <c r="Z42" s="553">
        <v>301.10000000000002</v>
      </c>
      <c r="AA42" s="553">
        <v>307.39999999999998</v>
      </c>
      <c r="AB42" s="553">
        <v>334.3</v>
      </c>
      <c r="AC42" s="553">
        <v>226.4</v>
      </c>
      <c r="AD42" s="553">
        <v>295.60000000000002</v>
      </c>
      <c r="AE42" s="553">
        <v>276.39999999999998</v>
      </c>
      <c r="AF42" s="553">
        <v>255.9</v>
      </c>
      <c r="AG42" s="553">
        <v>251.6</v>
      </c>
      <c r="AH42" s="553">
        <v>287.7</v>
      </c>
      <c r="AI42" s="3">
        <v>7349.5999999999995</v>
      </c>
    </row>
    <row r="43" spans="1:35" ht="15.75" x14ac:dyDescent="0.25">
      <c r="B43" s="1" t="s">
        <v>8</v>
      </c>
      <c r="C43" s="1" t="s">
        <v>6</v>
      </c>
      <c r="D43" s="553">
        <v>223.4</v>
      </c>
      <c r="E43" s="553">
        <v>194.5</v>
      </c>
      <c r="F43" s="553">
        <v>204</v>
      </c>
      <c r="G43" s="553">
        <v>208.5</v>
      </c>
      <c r="H43" s="553">
        <v>244.7</v>
      </c>
      <c r="I43" s="553">
        <v>253.8</v>
      </c>
      <c r="J43" s="553">
        <v>290</v>
      </c>
      <c r="K43" s="553">
        <v>254.6</v>
      </c>
      <c r="L43" s="553">
        <v>281.2</v>
      </c>
      <c r="M43" s="553">
        <v>188.2</v>
      </c>
      <c r="N43" s="553">
        <v>191.2</v>
      </c>
      <c r="O43" s="553">
        <v>185.6</v>
      </c>
      <c r="P43" s="553">
        <v>246.1</v>
      </c>
      <c r="Q43" s="553">
        <v>300.3</v>
      </c>
      <c r="R43" s="553">
        <v>216.8</v>
      </c>
      <c r="S43" s="557">
        <v>306</v>
      </c>
      <c r="T43" s="553">
        <v>195.6</v>
      </c>
      <c r="U43" s="553">
        <v>105.8</v>
      </c>
      <c r="V43" s="553">
        <v>66.7</v>
      </c>
      <c r="W43" s="553">
        <v>163.6</v>
      </c>
      <c r="X43" s="553">
        <v>219.1</v>
      </c>
      <c r="Y43" s="553">
        <v>299.2</v>
      </c>
      <c r="Z43" s="553">
        <v>302.10000000000002</v>
      </c>
      <c r="AA43" s="553">
        <v>309.7</v>
      </c>
      <c r="AB43" s="553">
        <v>335</v>
      </c>
      <c r="AC43" s="553">
        <v>226.2</v>
      </c>
      <c r="AD43" s="553">
        <v>294.60000000000002</v>
      </c>
      <c r="AE43" s="553">
        <v>278</v>
      </c>
      <c r="AF43" s="553">
        <v>257.3</v>
      </c>
      <c r="AG43" s="553">
        <v>253.7</v>
      </c>
      <c r="AH43" s="553">
        <v>290.10000000000002</v>
      </c>
      <c r="AI43" s="3">
        <v>7385.6000000000013</v>
      </c>
    </row>
    <row r="44" spans="1:35" ht="15.75" x14ac:dyDescent="0.25">
      <c r="B44" s="1" t="s">
        <v>9</v>
      </c>
      <c r="C44" s="1" t="s">
        <v>6</v>
      </c>
      <c r="D44" s="553">
        <v>224.1</v>
      </c>
      <c r="E44" s="553">
        <v>193.9</v>
      </c>
      <c r="F44" s="553">
        <v>204.6</v>
      </c>
      <c r="G44" s="553">
        <v>209.5</v>
      </c>
      <c r="H44" s="553">
        <v>242.9</v>
      </c>
      <c r="I44" s="553">
        <v>249.3</v>
      </c>
      <c r="J44" s="553">
        <v>289.2</v>
      </c>
      <c r="K44" s="553">
        <v>252.5</v>
      </c>
      <c r="L44" s="553">
        <v>279</v>
      </c>
      <c r="M44" s="553">
        <v>185.5</v>
      </c>
      <c r="N44" s="553">
        <v>191.1</v>
      </c>
      <c r="O44" s="553">
        <v>186</v>
      </c>
      <c r="P44" s="553">
        <v>243</v>
      </c>
      <c r="Q44" s="553">
        <v>295.7</v>
      </c>
      <c r="R44" s="553">
        <v>220.1</v>
      </c>
      <c r="S44" s="557">
        <v>299.8</v>
      </c>
      <c r="T44" s="553">
        <v>194.6</v>
      </c>
      <c r="U44" s="553">
        <v>108</v>
      </c>
      <c r="V44" s="553">
        <v>67.8</v>
      </c>
      <c r="W44" s="553">
        <v>153.69999999999999</v>
      </c>
      <c r="X44" s="553">
        <v>212.1</v>
      </c>
      <c r="Y44" s="553">
        <v>290.7</v>
      </c>
      <c r="Z44" s="553">
        <v>299</v>
      </c>
      <c r="AA44" s="553">
        <v>303</v>
      </c>
      <c r="AB44" s="553">
        <v>325</v>
      </c>
      <c r="AC44" s="553">
        <v>228.5</v>
      </c>
      <c r="AD44" s="553">
        <v>290.8</v>
      </c>
      <c r="AE44" s="553">
        <v>276</v>
      </c>
      <c r="AF44" s="553">
        <v>257.7</v>
      </c>
      <c r="AG44" s="553">
        <v>251.6</v>
      </c>
      <c r="AH44" s="553">
        <v>290.3</v>
      </c>
      <c r="AI44" s="3">
        <v>7315</v>
      </c>
    </row>
    <row r="45" spans="1:35" ht="15.75" x14ac:dyDescent="0.25">
      <c r="B45" s="1" t="s">
        <v>10</v>
      </c>
      <c r="C45" s="1" t="s">
        <v>6</v>
      </c>
      <c r="D45" s="553">
        <v>226.7</v>
      </c>
      <c r="E45" s="553">
        <v>197.1</v>
      </c>
      <c r="F45" s="553">
        <v>206.6</v>
      </c>
      <c r="G45" s="553">
        <v>211.6</v>
      </c>
      <c r="H45" s="553">
        <v>247.7</v>
      </c>
      <c r="I45" s="553">
        <v>247.9</v>
      </c>
      <c r="J45" s="553">
        <v>294.60000000000002</v>
      </c>
      <c r="K45" s="553">
        <v>258.7</v>
      </c>
      <c r="L45" s="553">
        <v>285.5</v>
      </c>
      <c r="M45" s="553">
        <v>191.5</v>
      </c>
      <c r="N45" s="553">
        <v>194.5</v>
      </c>
      <c r="O45" s="553">
        <v>188.7</v>
      </c>
      <c r="P45" s="553">
        <v>250.1</v>
      </c>
      <c r="Q45" s="553">
        <v>305.2</v>
      </c>
      <c r="R45" s="553">
        <v>222.2</v>
      </c>
      <c r="S45" s="557">
        <v>310</v>
      </c>
      <c r="T45" s="553">
        <v>191.2</v>
      </c>
      <c r="U45" s="553">
        <v>109</v>
      </c>
      <c r="V45" s="553">
        <v>69</v>
      </c>
      <c r="W45" s="553">
        <v>166.2</v>
      </c>
      <c r="X45" s="553">
        <v>222.4</v>
      </c>
      <c r="Y45" s="553">
        <v>303.7</v>
      </c>
      <c r="Z45" s="553">
        <v>307.7</v>
      </c>
      <c r="AA45" s="553">
        <v>315.2</v>
      </c>
      <c r="AB45" s="553">
        <v>318.3</v>
      </c>
      <c r="AC45" s="553">
        <v>208.6</v>
      </c>
      <c r="AD45" s="553">
        <v>297.60000000000002</v>
      </c>
      <c r="AE45" s="553">
        <v>283</v>
      </c>
      <c r="AF45" s="553">
        <v>262.3</v>
      </c>
      <c r="AG45" s="553">
        <v>258.8</v>
      </c>
      <c r="AH45" s="553">
        <v>296.7</v>
      </c>
      <c r="AI45" s="3">
        <v>7448.2999999999993</v>
      </c>
    </row>
    <row r="46" spans="1:35" ht="15.75" x14ac:dyDescent="0.25">
      <c r="B46" s="1" t="s">
        <v>11</v>
      </c>
      <c r="C46" s="1" t="s">
        <v>6</v>
      </c>
      <c r="D46" s="553">
        <v>227</v>
      </c>
      <c r="E46" s="553">
        <v>197.7</v>
      </c>
      <c r="F46" s="553">
        <v>207.4</v>
      </c>
      <c r="G46" s="553">
        <v>211.6</v>
      </c>
      <c r="H46" s="553">
        <v>248.2</v>
      </c>
      <c r="I46" s="553">
        <v>236.9</v>
      </c>
      <c r="J46" s="553">
        <v>293.60000000000002</v>
      </c>
      <c r="K46" s="553">
        <v>257.60000000000002</v>
      </c>
      <c r="L46" s="553">
        <v>284.7</v>
      </c>
      <c r="M46" s="553">
        <v>191.4</v>
      </c>
      <c r="N46" s="553">
        <v>194.5</v>
      </c>
      <c r="O46" s="553">
        <v>188.4</v>
      </c>
      <c r="P46" s="553">
        <v>249.8</v>
      </c>
      <c r="Q46" s="553">
        <v>303.8</v>
      </c>
      <c r="R46" s="553">
        <v>222</v>
      </c>
      <c r="S46" s="557">
        <v>309.39999999999998</v>
      </c>
      <c r="T46" s="553">
        <v>191.3</v>
      </c>
      <c r="U46" s="553">
        <v>108.3</v>
      </c>
      <c r="V46" s="553">
        <v>68.599999999999994</v>
      </c>
      <c r="W46" s="553">
        <v>165.1</v>
      </c>
      <c r="X46" s="553">
        <v>221.1</v>
      </c>
      <c r="Y46" s="553">
        <v>302.10000000000002</v>
      </c>
      <c r="Z46" s="553">
        <v>306.2</v>
      </c>
      <c r="AA46" s="553">
        <v>313.60000000000002</v>
      </c>
      <c r="AB46" s="553">
        <v>334.5</v>
      </c>
      <c r="AC46" s="553">
        <v>225.9</v>
      </c>
      <c r="AD46" s="553">
        <v>288.3</v>
      </c>
      <c r="AE46" s="553">
        <v>280.7</v>
      </c>
      <c r="AF46" s="553">
        <v>260.2</v>
      </c>
      <c r="AG46" s="553">
        <v>258.10000000000002</v>
      </c>
      <c r="AH46" s="553">
        <v>295.3</v>
      </c>
      <c r="AI46" s="3">
        <v>7443.300000000002</v>
      </c>
    </row>
    <row r="47" spans="1:35" ht="15.75" x14ac:dyDescent="0.25">
      <c r="B47" s="1" t="s">
        <v>12</v>
      </c>
      <c r="C47" s="1" t="s">
        <v>6</v>
      </c>
      <c r="D47" s="553">
        <v>226.9</v>
      </c>
      <c r="E47" s="553">
        <v>197.6</v>
      </c>
      <c r="F47" s="553">
        <v>207.3</v>
      </c>
      <c r="G47" s="553">
        <v>211.8</v>
      </c>
      <c r="H47" s="553">
        <v>248.3</v>
      </c>
      <c r="I47" s="553">
        <v>235</v>
      </c>
      <c r="J47" s="553">
        <v>293.89999999999998</v>
      </c>
      <c r="K47" s="553">
        <v>258.2</v>
      </c>
      <c r="L47" s="553">
        <v>285.8</v>
      </c>
      <c r="M47" s="553">
        <v>191.6</v>
      </c>
      <c r="N47" s="553">
        <v>194.9</v>
      </c>
      <c r="O47" s="553">
        <v>188.8</v>
      </c>
      <c r="P47" s="553">
        <v>250.2</v>
      </c>
      <c r="Q47" s="553">
        <v>304.10000000000002</v>
      </c>
      <c r="R47" s="553">
        <v>222.2</v>
      </c>
      <c r="S47" s="557">
        <v>310.10000000000002</v>
      </c>
      <c r="T47" s="553">
        <v>190.8</v>
      </c>
      <c r="U47" s="553">
        <v>109.3</v>
      </c>
      <c r="V47" s="553">
        <v>68.900000000000006</v>
      </c>
      <c r="W47" s="553">
        <v>165.7</v>
      </c>
      <c r="X47" s="553">
        <v>221.5</v>
      </c>
      <c r="Y47" s="553">
        <v>303</v>
      </c>
      <c r="Z47" s="553">
        <v>307</v>
      </c>
      <c r="AA47" s="553">
        <v>315.10000000000002</v>
      </c>
      <c r="AB47" s="553">
        <v>336.7</v>
      </c>
      <c r="AC47" s="553">
        <v>226.9</v>
      </c>
      <c r="AD47" s="553">
        <v>289.2</v>
      </c>
      <c r="AE47" s="553">
        <v>283</v>
      </c>
      <c r="AF47" s="553">
        <v>262.3</v>
      </c>
      <c r="AG47" s="553">
        <v>259.2</v>
      </c>
      <c r="AH47" s="553">
        <v>296.8</v>
      </c>
      <c r="AI47" s="3">
        <v>7462.0999999999985</v>
      </c>
    </row>
    <row r="48" spans="1:35" ht="15.75" x14ac:dyDescent="0.25">
      <c r="B48" s="1" t="s">
        <v>13</v>
      </c>
      <c r="C48" s="1" t="s">
        <v>6</v>
      </c>
      <c r="D48" s="553">
        <v>227.9</v>
      </c>
      <c r="E48" s="553">
        <v>198.7</v>
      </c>
      <c r="F48" s="553">
        <v>208.4</v>
      </c>
      <c r="G48" s="553">
        <v>212.7</v>
      </c>
      <c r="H48" s="553">
        <v>249.8</v>
      </c>
      <c r="I48" s="553">
        <v>235.7</v>
      </c>
      <c r="J48" s="553">
        <v>299.39999999999998</v>
      </c>
      <c r="K48" s="553">
        <v>262.8</v>
      </c>
      <c r="L48" s="553">
        <v>290.89999999999998</v>
      </c>
      <c r="M48" s="553">
        <v>195.3</v>
      </c>
      <c r="N48" s="553">
        <v>197.2</v>
      </c>
      <c r="O48" s="553">
        <v>190.2</v>
      </c>
      <c r="P48" s="553">
        <v>251.9</v>
      </c>
      <c r="Q48" s="553">
        <v>306.3</v>
      </c>
      <c r="R48" s="553">
        <v>223.9</v>
      </c>
      <c r="S48" s="557">
        <v>312.8</v>
      </c>
      <c r="T48" s="553">
        <v>192.4</v>
      </c>
      <c r="U48" s="553">
        <v>110.3</v>
      </c>
      <c r="V48" s="553">
        <v>69.099999999999994</v>
      </c>
      <c r="W48" s="553">
        <v>166.4</v>
      </c>
      <c r="X48" s="553">
        <v>221.8</v>
      </c>
      <c r="Y48" s="553">
        <v>303.3</v>
      </c>
      <c r="Z48" s="553">
        <v>307.39999999999998</v>
      </c>
      <c r="AA48" s="553">
        <v>315.8</v>
      </c>
      <c r="AB48" s="553">
        <v>337</v>
      </c>
      <c r="AC48" s="553">
        <v>228</v>
      </c>
      <c r="AD48" s="553">
        <v>291.2</v>
      </c>
      <c r="AE48" s="553">
        <v>282.39999999999998</v>
      </c>
      <c r="AF48" s="553">
        <v>262.10000000000002</v>
      </c>
      <c r="AG48" s="553">
        <v>259.2</v>
      </c>
      <c r="AH48" s="553">
        <v>296.8</v>
      </c>
      <c r="AI48" s="3">
        <v>7507.1</v>
      </c>
    </row>
    <row r="49" spans="2:38" ht="15.75" x14ac:dyDescent="0.25">
      <c r="B49" s="1" t="s">
        <v>14</v>
      </c>
      <c r="C49" s="1" t="s">
        <v>6</v>
      </c>
      <c r="D49" s="553">
        <v>228.5</v>
      </c>
      <c r="E49" s="553">
        <v>199.2</v>
      </c>
      <c r="F49" s="553">
        <v>208.9</v>
      </c>
      <c r="G49" s="553">
        <v>213.4</v>
      </c>
      <c r="H49" s="553">
        <v>250.3</v>
      </c>
      <c r="I49" s="553">
        <v>237.3</v>
      </c>
      <c r="J49" s="553">
        <v>297.39999999999998</v>
      </c>
      <c r="K49" s="553">
        <v>261</v>
      </c>
      <c r="L49" s="553">
        <v>289.10000000000002</v>
      </c>
      <c r="M49" s="553">
        <v>193.7</v>
      </c>
      <c r="N49" s="553">
        <v>196.6</v>
      </c>
      <c r="O49" s="553">
        <v>189.1</v>
      </c>
      <c r="P49" s="553">
        <v>251</v>
      </c>
      <c r="Q49" s="553">
        <v>306</v>
      </c>
      <c r="R49" s="553">
        <v>223.6</v>
      </c>
      <c r="S49" s="557">
        <v>312</v>
      </c>
      <c r="T49" s="553">
        <v>192.2</v>
      </c>
      <c r="U49" s="553">
        <v>109.2</v>
      </c>
      <c r="V49" s="553">
        <v>69</v>
      </c>
      <c r="W49" s="553">
        <v>165.2</v>
      </c>
      <c r="X49" s="553">
        <v>221.5</v>
      </c>
      <c r="Y49" s="553">
        <v>303.3</v>
      </c>
      <c r="Z49" s="553">
        <v>306.89999999999998</v>
      </c>
      <c r="AA49" s="553">
        <v>315.89999999999998</v>
      </c>
      <c r="AB49" s="553">
        <v>339.5</v>
      </c>
      <c r="AC49" s="553">
        <v>229.5</v>
      </c>
      <c r="AD49" s="553">
        <v>291.89999999999998</v>
      </c>
      <c r="AE49" s="553">
        <v>281.60000000000002</v>
      </c>
      <c r="AF49" s="553">
        <v>261.10000000000002</v>
      </c>
      <c r="AG49" s="553">
        <v>258.2</v>
      </c>
      <c r="AH49" s="553">
        <v>296.10000000000002</v>
      </c>
      <c r="AI49" s="3">
        <v>7498.1999999999989</v>
      </c>
    </row>
    <row r="50" spans="2:38" ht="15.75" x14ac:dyDescent="0.25">
      <c r="B50" s="1" t="s">
        <v>15</v>
      </c>
      <c r="C50" s="1" t="s">
        <v>6</v>
      </c>
      <c r="D50" s="553">
        <v>228.2</v>
      </c>
      <c r="E50" s="553">
        <v>199.5</v>
      </c>
      <c r="F50" s="553">
        <v>209</v>
      </c>
      <c r="G50" s="553">
        <v>213.5</v>
      </c>
      <c r="H50" s="553">
        <v>250.8</v>
      </c>
      <c r="I50" s="553">
        <v>237</v>
      </c>
      <c r="J50" s="553">
        <v>297.60000000000002</v>
      </c>
      <c r="K50" s="553">
        <v>261.3</v>
      </c>
      <c r="L50" s="553">
        <v>289</v>
      </c>
      <c r="M50" s="553">
        <v>194.6</v>
      </c>
      <c r="N50" s="553">
        <v>196.1</v>
      </c>
      <c r="O50" s="553">
        <v>189.4</v>
      </c>
      <c r="P50" s="553">
        <v>250.9</v>
      </c>
      <c r="Q50" s="553">
        <v>304.8</v>
      </c>
      <c r="R50" s="553">
        <v>222.8</v>
      </c>
      <c r="S50" s="557">
        <v>311.2</v>
      </c>
      <c r="T50" s="553">
        <v>191.4</v>
      </c>
      <c r="U50" s="553">
        <v>108.8</v>
      </c>
      <c r="V50" s="553">
        <v>69.099999999999994</v>
      </c>
      <c r="W50" s="553">
        <v>165.9</v>
      </c>
      <c r="X50" s="553">
        <v>221.5</v>
      </c>
      <c r="Y50" s="553">
        <v>303.10000000000002</v>
      </c>
      <c r="Z50" s="553">
        <v>306.5</v>
      </c>
      <c r="AA50" s="553">
        <v>314.89999999999998</v>
      </c>
      <c r="AB50" s="553">
        <v>335.7</v>
      </c>
      <c r="AC50" s="553">
        <v>228.8</v>
      </c>
      <c r="AD50" s="553">
        <v>293.5</v>
      </c>
      <c r="AE50" s="553">
        <v>281.3</v>
      </c>
      <c r="AF50" s="553">
        <v>261.5</v>
      </c>
      <c r="AG50" s="553">
        <v>258.39999999999998</v>
      </c>
      <c r="AH50" s="553">
        <v>295.3</v>
      </c>
      <c r="AI50" s="3">
        <v>7491.4</v>
      </c>
    </row>
    <row r="51" spans="2:38" ht="15.75" x14ac:dyDescent="0.25">
      <c r="B51" s="1" t="s">
        <v>16</v>
      </c>
      <c r="C51" s="1" t="s">
        <v>6</v>
      </c>
      <c r="D51" s="553">
        <v>228.9</v>
      </c>
      <c r="E51" s="553">
        <v>200.2</v>
      </c>
      <c r="F51" s="553">
        <v>209.7</v>
      </c>
      <c r="G51" s="553">
        <v>214.3</v>
      </c>
      <c r="H51" s="553">
        <v>252.1</v>
      </c>
      <c r="I51" s="553">
        <v>238.7</v>
      </c>
      <c r="J51" s="553">
        <v>298.10000000000002</v>
      </c>
      <c r="K51" s="553">
        <v>262</v>
      </c>
      <c r="L51" s="553">
        <v>290.10000000000002</v>
      </c>
      <c r="M51" s="553">
        <v>194.6</v>
      </c>
      <c r="N51" s="553">
        <v>196.4</v>
      </c>
      <c r="O51" s="553">
        <v>189.5</v>
      </c>
      <c r="P51" s="553">
        <v>250.7</v>
      </c>
      <c r="Q51" s="553">
        <v>305.2</v>
      </c>
      <c r="R51" s="553">
        <v>222.9</v>
      </c>
      <c r="S51" s="557">
        <v>311.7</v>
      </c>
      <c r="T51" s="553">
        <v>191.5</v>
      </c>
      <c r="U51" s="553">
        <v>108</v>
      </c>
      <c r="V51" s="553">
        <v>68.900000000000006</v>
      </c>
      <c r="W51" s="553">
        <v>165.4</v>
      </c>
      <c r="X51" s="553">
        <v>221.7</v>
      </c>
      <c r="Y51" s="553">
        <v>303.39999999999998</v>
      </c>
      <c r="Z51" s="553">
        <v>306.7</v>
      </c>
      <c r="AA51" s="553">
        <v>316.60000000000002</v>
      </c>
      <c r="AB51" s="553">
        <v>338.7</v>
      </c>
      <c r="AC51" s="553">
        <v>229.2</v>
      </c>
      <c r="AD51" s="553">
        <v>292.60000000000002</v>
      </c>
      <c r="AE51" s="553">
        <v>280.39999999999998</v>
      </c>
      <c r="AF51" s="553">
        <v>261</v>
      </c>
      <c r="AG51" s="553">
        <v>259.3</v>
      </c>
      <c r="AH51" s="553">
        <v>296.60000000000002</v>
      </c>
      <c r="AI51" s="3">
        <v>7505.0999999999985</v>
      </c>
    </row>
    <row r="52" spans="2:38" ht="15.75" x14ac:dyDescent="0.25">
      <c r="B52" s="1" t="s">
        <v>17</v>
      </c>
      <c r="C52" s="1" t="s">
        <v>6</v>
      </c>
      <c r="D52" s="553">
        <v>227.5</v>
      </c>
      <c r="E52" s="553">
        <v>199.1</v>
      </c>
      <c r="F52" s="553">
        <v>208.6</v>
      </c>
      <c r="G52" s="553">
        <v>213.4</v>
      </c>
      <c r="H52" s="553">
        <v>250.9</v>
      </c>
      <c r="I52" s="553">
        <v>237.7</v>
      </c>
      <c r="J52" s="553">
        <v>297</v>
      </c>
      <c r="K52" s="553">
        <v>261.60000000000002</v>
      </c>
      <c r="L52" s="553">
        <v>289.60000000000002</v>
      </c>
      <c r="M52" s="553">
        <v>194.5</v>
      </c>
      <c r="N52" s="553">
        <v>196.3</v>
      </c>
      <c r="O52" s="553">
        <v>189.4</v>
      </c>
      <c r="P52" s="553">
        <v>251</v>
      </c>
      <c r="Q52" s="553">
        <v>304.89999999999998</v>
      </c>
      <c r="R52" s="553">
        <v>222.7</v>
      </c>
      <c r="S52" s="557">
        <v>311.5</v>
      </c>
      <c r="T52" s="553">
        <v>191.5</v>
      </c>
      <c r="U52" s="553">
        <v>103.6</v>
      </c>
      <c r="V52" s="553">
        <v>69.400000000000006</v>
      </c>
      <c r="W52" s="553">
        <v>166.6</v>
      </c>
      <c r="X52" s="553">
        <v>221.7</v>
      </c>
      <c r="Y52" s="553">
        <v>303.3</v>
      </c>
      <c r="Z52" s="553">
        <v>306.60000000000002</v>
      </c>
      <c r="AA52" s="553">
        <v>315.8</v>
      </c>
      <c r="AB52" s="553">
        <v>338.2</v>
      </c>
      <c r="AC52" s="553">
        <v>227.1</v>
      </c>
      <c r="AD52" s="553">
        <v>289.7</v>
      </c>
      <c r="AE52" s="553">
        <v>273.60000000000002</v>
      </c>
      <c r="AF52" s="553">
        <v>261.7</v>
      </c>
      <c r="AG52" s="553">
        <v>258.8</v>
      </c>
      <c r="AH52" s="553">
        <v>295.89999999999998</v>
      </c>
      <c r="AI52" s="3">
        <v>7479.2000000000007</v>
      </c>
    </row>
    <row r="53" spans="2:38" ht="15.75" x14ac:dyDescent="0.25">
      <c r="B53" s="1" t="s">
        <v>18</v>
      </c>
      <c r="C53" s="1" t="s">
        <v>6</v>
      </c>
      <c r="D53" s="553">
        <v>228</v>
      </c>
      <c r="E53" s="553">
        <v>199.5</v>
      </c>
      <c r="F53" s="553">
        <v>208.6</v>
      </c>
      <c r="G53" s="553">
        <v>213.5</v>
      </c>
      <c r="H53" s="553">
        <v>251.6</v>
      </c>
      <c r="I53" s="553">
        <v>238.7</v>
      </c>
      <c r="J53" s="553">
        <v>293</v>
      </c>
      <c r="K53" s="553">
        <v>262.2</v>
      </c>
      <c r="L53" s="553">
        <v>290.7</v>
      </c>
      <c r="M53" s="553">
        <v>194.6</v>
      </c>
      <c r="N53" s="553">
        <v>196.5</v>
      </c>
      <c r="O53" s="553">
        <v>189.2</v>
      </c>
      <c r="P53" s="553">
        <v>251</v>
      </c>
      <c r="Q53" s="553">
        <v>305.39999999999998</v>
      </c>
      <c r="R53" s="553">
        <v>223</v>
      </c>
      <c r="S53" s="557">
        <v>312.89999999999998</v>
      </c>
      <c r="T53" s="553">
        <v>191.7</v>
      </c>
      <c r="U53" s="553">
        <v>103.3</v>
      </c>
      <c r="V53" s="553">
        <v>68.900000000000006</v>
      </c>
      <c r="W53" s="553">
        <v>166.4</v>
      </c>
      <c r="X53" s="553">
        <v>222</v>
      </c>
      <c r="Y53" s="553">
        <v>304.2</v>
      </c>
      <c r="Z53" s="553">
        <v>307.2</v>
      </c>
      <c r="AA53" s="553">
        <v>316.89999999999998</v>
      </c>
      <c r="AB53" s="553">
        <v>339</v>
      </c>
      <c r="AC53" s="553">
        <v>226.6</v>
      </c>
      <c r="AD53" s="553">
        <v>288.8</v>
      </c>
      <c r="AE53" s="553">
        <v>271.39999999999998</v>
      </c>
      <c r="AF53" s="553">
        <v>261.3</v>
      </c>
      <c r="AG53" s="553">
        <v>259.3</v>
      </c>
      <c r="AH53" s="553">
        <v>296.89999999999998</v>
      </c>
      <c r="AI53" s="3">
        <v>7482.2999999999984</v>
      </c>
    </row>
    <row r="54" spans="2:38" ht="15.75" x14ac:dyDescent="0.25">
      <c r="B54" s="1" t="s">
        <v>19</v>
      </c>
      <c r="C54" s="1" t="s">
        <v>6</v>
      </c>
      <c r="D54" s="553">
        <v>226.1</v>
      </c>
      <c r="E54" s="553">
        <v>197.7</v>
      </c>
      <c r="F54" s="553">
        <v>207.6</v>
      </c>
      <c r="G54" s="553">
        <v>212.9</v>
      </c>
      <c r="H54" s="553">
        <v>249.1</v>
      </c>
      <c r="I54" s="553">
        <v>237.9</v>
      </c>
      <c r="J54" s="553">
        <v>289</v>
      </c>
      <c r="K54" s="553">
        <v>258.8</v>
      </c>
      <c r="L54" s="553">
        <v>287.60000000000002</v>
      </c>
      <c r="M54" s="553">
        <v>191.6</v>
      </c>
      <c r="N54" s="553">
        <v>194.6</v>
      </c>
      <c r="O54" s="553">
        <v>187.7</v>
      </c>
      <c r="P54" s="553">
        <v>247.2</v>
      </c>
      <c r="Q54" s="553">
        <v>301.2</v>
      </c>
      <c r="R54" s="553">
        <v>221.6</v>
      </c>
      <c r="S54" s="557">
        <v>308.89999999999998</v>
      </c>
      <c r="T54" s="553">
        <v>190.6</v>
      </c>
      <c r="U54" s="553">
        <v>102.5</v>
      </c>
      <c r="V54" s="553">
        <v>69.099999999999994</v>
      </c>
      <c r="W54" s="553">
        <v>163.1</v>
      </c>
      <c r="X54" s="553">
        <v>218.9</v>
      </c>
      <c r="Y54" s="553">
        <v>301.5</v>
      </c>
      <c r="Z54" s="553">
        <v>305.10000000000002</v>
      </c>
      <c r="AA54" s="553">
        <v>314.8</v>
      </c>
      <c r="AB54" s="553">
        <v>337.7</v>
      </c>
      <c r="AC54" s="553">
        <v>227.5</v>
      </c>
      <c r="AD54" s="553">
        <v>288.7</v>
      </c>
      <c r="AE54" s="553">
        <v>271</v>
      </c>
      <c r="AF54" s="553">
        <v>261.10000000000002</v>
      </c>
      <c r="AG54" s="553">
        <v>256.89999999999998</v>
      </c>
      <c r="AH54" s="553">
        <v>294.60000000000002</v>
      </c>
      <c r="AI54" s="3">
        <v>7422.5999999999995</v>
      </c>
    </row>
    <row r="55" spans="2:38" ht="15.75" x14ac:dyDescent="0.25">
      <c r="B55" s="1" t="s">
        <v>20</v>
      </c>
      <c r="C55" s="1" t="s">
        <v>6</v>
      </c>
      <c r="D55" s="553">
        <v>240.7</v>
      </c>
      <c r="E55" s="553">
        <v>210.7</v>
      </c>
      <c r="F55" s="553">
        <v>221.3</v>
      </c>
      <c r="G55" s="553">
        <v>226.6</v>
      </c>
      <c r="H55" s="553">
        <v>266</v>
      </c>
      <c r="I55" s="553">
        <v>252.6</v>
      </c>
      <c r="J55" s="553">
        <v>308.39999999999998</v>
      </c>
      <c r="K55" s="553">
        <v>277.39999999999998</v>
      </c>
      <c r="L55" s="553">
        <v>307.3</v>
      </c>
      <c r="M55" s="553">
        <v>205.6</v>
      </c>
      <c r="N55" s="553">
        <v>207.2</v>
      </c>
      <c r="O55" s="553">
        <v>200.1</v>
      </c>
      <c r="P55" s="553">
        <v>264.7</v>
      </c>
      <c r="Q55" s="553">
        <v>322</v>
      </c>
      <c r="R55" s="553">
        <v>235.1</v>
      </c>
      <c r="S55" s="557">
        <v>328.8</v>
      </c>
      <c r="T55" s="553">
        <v>202</v>
      </c>
      <c r="U55" s="553">
        <v>108.6</v>
      </c>
      <c r="V55" s="553">
        <v>73.099999999999994</v>
      </c>
      <c r="W55" s="553">
        <v>174.4</v>
      </c>
      <c r="X55" s="553">
        <v>234.3</v>
      </c>
      <c r="Y55" s="553">
        <v>320.5</v>
      </c>
      <c r="Z55" s="553">
        <v>324.39999999999998</v>
      </c>
      <c r="AA55" s="553">
        <v>333.5</v>
      </c>
      <c r="AB55" s="553">
        <v>356.7</v>
      </c>
      <c r="AC55" s="553">
        <v>240.3</v>
      </c>
      <c r="AD55" s="553">
        <v>306</v>
      </c>
      <c r="AE55" s="553">
        <v>287.2</v>
      </c>
      <c r="AF55" s="553">
        <v>278.2</v>
      </c>
      <c r="AG55" s="553">
        <v>274.39999999999998</v>
      </c>
      <c r="AH55" s="553">
        <v>314</v>
      </c>
      <c r="AI55" s="3">
        <v>7902.0999999999995</v>
      </c>
    </row>
    <row r="56" spans="2:38" ht="15.75" x14ac:dyDescent="0.25">
      <c r="B56" s="1" t="s">
        <v>21</v>
      </c>
      <c r="C56" s="1" t="s">
        <v>6</v>
      </c>
      <c r="D56" s="553">
        <v>237.7</v>
      </c>
      <c r="E56" s="553">
        <v>207.8</v>
      </c>
      <c r="F56" s="553">
        <v>218.6</v>
      </c>
      <c r="G56" s="553">
        <v>223.7</v>
      </c>
      <c r="H56" s="553">
        <v>261.60000000000002</v>
      </c>
      <c r="I56" s="553">
        <v>249.3</v>
      </c>
      <c r="J56" s="553">
        <v>303.2</v>
      </c>
      <c r="K56" s="553">
        <v>273.3</v>
      </c>
      <c r="L56" s="553">
        <v>305</v>
      </c>
      <c r="M56" s="553">
        <v>202.1</v>
      </c>
      <c r="N56" s="553">
        <v>205</v>
      </c>
      <c r="O56" s="553">
        <v>197.8</v>
      </c>
      <c r="P56" s="553">
        <v>260.8</v>
      </c>
      <c r="Q56" s="553">
        <v>318</v>
      </c>
      <c r="R56" s="553">
        <v>233</v>
      </c>
      <c r="S56" s="557">
        <v>324.89999999999998</v>
      </c>
      <c r="T56" s="553">
        <v>200.1</v>
      </c>
      <c r="U56" s="553">
        <v>107.5</v>
      </c>
      <c r="V56" s="553">
        <v>71.7</v>
      </c>
      <c r="W56" s="553">
        <v>171.5</v>
      </c>
      <c r="X56" s="553">
        <v>230.6</v>
      </c>
      <c r="Y56" s="553">
        <v>316.10000000000002</v>
      </c>
      <c r="Z56" s="553">
        <v>321.10000000000002</v>
      </c>
      <c r="AA56" s="553">
        <v>328.5</v>
      </c>
      <c r="AB56" s="553">
        <v>354.3</v>
      </c>
      <c r="AC56" s="553">
        <v>241.9</v>
      </c>
      <c r="AD56" s="553">
        <v>306.3</v>
      </c>
      <c r="AE56" s="553">
        <v>287.7</v>
      </c>
      <c r="AF56" s="553">
        <v>273.5</v>
      </c>
      <c r="AG56" s="553">
        <v>270.2</v>
      </c>
      <c r="AH56" s="553">
        <v>310.39999999999998</v>
      </c>
      <c r="AI56" s="3">
        <v>7813.2000000000007</v>
      </c>
    </row>
    <row r="57" spans="2:38" ht="15.75" x14ac:dyDescent="0.25">
      <c r="B57" s="1" t="s">
        <v>22</v>
      </c>
      <c r="C57" s="1" t="s">
        <v>6</v>
      </c>
      <c r="D57" s="553">
        <v>239.5</v>
      </c>
      <c r="E57" s="553">
        <v>209.5</v>
      </c>
      <c r="F57" s="553">
        <v>220</v>
      </c>
      <c r="G57" s="553">
        <v>225.1</v>
      </c>
      <c r="H57" s="553">
        <v>264.10000000000002</v>
      </c>
      <c r="I57" s="553">
        <v>250.6</v>
      </c>
      <c r="J57" s="553">
        <v>306</v>
      </c>
      <c r="K57" s="553">
        <v>275.2</v>
      </c>
      <c r="L57" s="553">
        <v>306.7</v>
      </c>
      <c r="M57" s="553">
        <v>205.3</v>
      </c>
      <c r="N57" s="553">
        <v>206.4</v>
      </c>
      <c r="O57" s="553">
        <v>199.2</v>
      </c>
      <c r="P57" s="553">
        <v>264</v>
      </c>
      <c r="Q57" s="553">
        <v>320.8</v>
      </c>
      <c r="R57" s="553">
        <v>234.3</v>
      </c>
      <c r="S57" s="557">
        <v>326.5</v>
      </c>
      <c r="T57" s="553">
        <v>201.5</v>
      </c>
      <c r="U57" s="553">
        <v>108.5</v>
      </c>
      <c r="V57" s="553">
        <v>70.5</v>
      </c>
      <c r="W57" s="553">
        <v>174.6</v>
      </c>
      <c r="X57" s="553">
        <v>234.1</v>
      </c>
      <c r="Y57" s="553">
        <v>319.5</v>
      </c>
      <c r="Z57" s="553">
        <v>323.7</v>
      </c>
      <c r="AA57" s="553">
        <v>331.6</v>
      </c>
      <c r="AB57" s="553">
        <v>355.9</v>
      </c>
      <c r="AC57" s="553">
        <v>241.3</v>
      </c>
      <c r="AD57" s="553">
        <v>306.89999999999998</v>
      </c>
      <c r="AE57" s="553">
        <v>288.10000000000002</v>
      </c>
      <c r="AF57" s="553">
        <v>274.5</v>
      </c>
      <c r="AG57" s="553">
        <v>273</v>
      </c>
      <c r="AH57" s="553">
        <v>312.39999999999998</v>
      </c>
      <c r="AI57" s="3">
        <v>7869.3000000000011</v>
      </c>
    </row>
    <row r="58" spans="2:38" ht="15.75" x14ac:dyDescent="0.25">
      <c r="B58" s="1" t="s">
        <v>23</v>
      </c>
      <c r="C58" s="1" t="s">
        <v>6</v>
      </c>
      <c r="D58" s="553">
        <v>246</v>
      </c>
      <c r="E58" s="553">
        <v>214.5</v>
      </c>
      <c r="F58" s="553">
        <v>225.8</v>
      </c>
      <c r="G58" s="553">
        <v>230.7</v>
      </c>
      <c r="H58" s="553">
        <v>270.10000000000002</v>
      </c>
      <c r="I58" s="553">
        <v>256</v>
      </c>
      <c r="J58" s="553">
        <v>313.60000000000002</v>
      </c>
      <c r="K58" s="553">
        <v>282.39999999999998</v>
      </c>
      <c r="L58" s="553">
        <v>313.7</v>
      </c>
      <c r="M58" s="553">
        <v>207.8</v>
      </c>
      <c r="N58" s="553">
        <v>209.6</v>
      </c>
      <c r="O58" s="553">
        <v>202</v>
      </c>
      <c r="P58" s="553">
        <v>267.7</v>
      </c>
      <c r="Q58" s="553">
        <v>327.10000000000002</v>
      </c>
      <c r="R58" s="553">
        <v>238.7</v>
      </c>
      <c r="S58" s="557">
        <v>332.6</v>
      </c>
      <c r="T58" s="553">
        <v>204.8</v>
      </c>
      <c r="U58" s="553">
        <v>109.8</v>
      </c>
      <c r="V58" s="553">
        <v>71.599999999999994</v>
      </c>
      <c r="W58" s="553">
        <v>176.8</v>
      </c>
      <c r="X58" s="553">
        <v>237.3</v>
      </c>
      <c r="Y58" s="553">
        <v>324.39999999999998</v>
      </c>
      <c r="Z58" s="553">
        <v>330</v>
      </c>
      <c r="AA58" s="553">
        <v>335.9</v>
      </c>
      <c r="AB58" s="553">
        <v>361.8</v>
      </c>
      <c r="AC58" s="553">
        <v>246.8</v>
      </c>
      <c r="AD58" s="553">
        <v>312.60000000000002</v>
      </c>
      <c r="AE58" s="553">
        <v>293.8</v>
      </c>
      <c r="AF58" s="553">
        <v>278.39999999999998</v>
      </c>
      <c r="AG58" s="553">
        <v>278.39999999999998</v>
      </c>
      <c r="AH58" s="553">
        <v>319</v>
      </c>
      <c r="AI58" s="3">
        <v>8019.7</v>
      </c>
    </row>
    <row r="59" spans="2:38" x14ac:dyDescent="0.25">
      <c r="B59" s="1" t="s">
        <v>24</v>
      </c>
      <c r="C59" s="1" t="s">
        <v>6</v>
      </c>
      <c r="D59" s="553">
        <v>4121.9999999999854</v>
      </c>
      <c r="E59" s="553">
        <v>3600.0000000000509</v>
      </c>
      <c r="F59" s="553">
        <v>3788.9999999999304</v>
      </c>
      <c r="G59" s="553">
        <v>3879.0000000001046</v>
      </c>
      <c r="H59" s="8">
        <v>4544.9999999999591</v>
      </c>
      <c r="I59" s="553">
        <v>4410.0000000000819</v>
      </c>
      <c r="J59" s="553">
        <v>5319.0000000000737</v>
      </c>
      <c r="K59" s="553">
        <v>4715.9999999997526</v>
      </c>
      <c r="L59" s="553">
        <v>5211.0000000000691</v>
      </c>
      <c r="M59" s="553">
        <v>3501.00000000009</v>
      </c>
      <c r="N59" s="553">
        <v>3546.0000000000491</v>
      </c>
      <c r="O59" s="187">
        <v>3429.0000000000018</v>
      </c>
      <c r="P59" s="187">
        <v>4526.9999999998727</v>
      </c>
      <c r="Q59" s="553">
        <v>5490.0000000001228</v>
      </c>
      <c r="R59" s="553">
        <v>4023.0000000000246</v>
      </c>
      <c r="S59" s="553">
        <v>5615.9999999999573</v>
      </c>
      <c r="T59" s="553">
        <v>3492.0000000000473</v>
      </c>
      <c r="U59" s="553">
        <v>1979.9999999999898</v>
      </c>
      <c r="V59" s="553">
        <v>1233.0000000000041</v>
      </c>
      <c r="W59" s="553">
        <v>2978.9999999999</v>
      </c>
      <c r="X59" s="553">
        <v>4004.9999999999386</v>
      </c>
      <c r="Y59" s="553">
        <v>5462.9999999999936</v>
      </c>
      <c r="Z59" s="553">
        <v>5526.0000000000391</v>
      </c>
      <c r="AA59" s="553">
        <v>5669.9999999999591</v>
      </c>
      <c r="AB59" s="553">
        <v>6066.0000000000591</v>
      </c>
      <c r="AC59" s="553">
        <v>4112.9999999999427</v>
      </c>
      <c r="AD59" s="187">
        <v>5300.9999999999873</v>
      </c>
      <c r="AE59" s="553">
        <v>5030.9999999999773</v>
      </c>
      <c r="AF59" s="553">
        <v>4743.0000000001373</v>
      </c>
      <c r="AG59" s="553">
        <v>4679.9999999998363</v>
      </c>
      <c r="AH59" s="553">
        <v>5364.0000000000327</v>
      </c>
      <c r="AI59" s="3">
        <v>135368.99999999997</v>
      </c>
      <c r="AJ59" s="4">
        <v>135651.40000000002</v>
      </c>
      <c r="AK59" s="4">
        <v>130428.7</v>
      </c>
      <c r="AL59" s="4">
        <v>-5222.7000000000262</v>
      </c>
    </row>
    <row r="60" spans="2:38" x14ac:dyDescent="0.25">
      <c r="B60" s="1" t="s">
        <v>25</v>
      </c>
      <c r="C60" s="1" t="s">
        <v>26</v>
      </c>
      <c r="D60" s="8">
        <v>5.6874765000000007</v>
      </c>
      <c r="E60" s="8">
        <v>4.9630505969127023</v>
      </c>
      <c r="F60" s="8">
        <v>5.2624155377785362</v>
      </c>
      <c r="G60" s="8">
        <v>5.461383017794291</v>
      </c>
      <c r="H60" s="8">
        <v>6.4628427358706801</v>
      </c>
      <c r="I60" s="8">
        <v>6.1822689048528661</v>
      </c>
      <c r="J60" s="8">
        <v>7.1893846832036958</v>
      </c>
      <c r="K60" s="8">
        <v>6.3974510232496256</v>
      </c>
      <c r="L60" s="8">
        <v>7.0815653287092841</v>
      </c>
      <c r="M60" s="8">
        <v>4.7293083433230727</v>
      </c>
      <c r="N60" s="8">
        <v>4.8514917539676041</v>
      </c>
      <c r="O60" s="8">
        <v>4.5732273960828778</v>
      </c>
      <c r="P60" s="8">
        <v>6.1256168516715368</v>
      </c>
      <c r="Q60" s="8">
        <v>7.6544365926424671</v>
      </c>
      <c r="R60" s="8">
        <v>5.4253472806135816</v>
      </c>
      <c r="S60" s="8">
        <v>7.9256876737991977</v>
      </c>
      <c r="T60" s="8">
        <v>4.7523757901906967</v>
      </c>
      <c r="U60" s="8">
        <v>2.6981492542029377</v>
      </c>
      <c r="V60" s="8">
        <v>1.6641584580977755</v>
      </c>
      <c r="W60" s="8">
        <v>3.9589090418577189</v>
      </c>
      <c r="X60" s="8">
        <v>5.3246962411403658</v>
      </c>
      <c r="Y60" s="8">
        <v>7.3929258333333339</v>
      </c>
      <c r="Z60" s="8">
        <v>7.4877810725688922</v>
      </c>
      <c r="AA60" s="8">
        <v>7.7151316732724515</v>
      </c>
      <c r="AB60" s="8">
        <v>8.3611728977998094</v>
      </c>
      <c r="AC60" s="8">
        <v>7.6072506519317633</v>
      </c>
      <c r="AD60" s="8">
        <v>7.3078664951086036</v>
      </c>
      <c r="AE60" s="8">
        <v>6.9116663029909118</v>
      </c>
      <c r="AF60" s="8">
        <v>6.443345745531718</v>
      </c>
      <c r="AG60" s="8">
        <v>7.4024329392592119</v>
      </c>
      <c r="AH60" s="8">
        <v>7.3875571937243141</v>
      </c>
      <c r="AI60" s="13">
        <v>5.9698227833202608</v>
      </c>
    </row>
    <row r="61" spans="2:38" x14ac:dyDescent="0.25">
      <c r="B61" s="1" t="s">
        <v>27</v>
      </c>
      <c r="C61" s="1" t="s">
        <v>6</v>
      </c>
      <c r="D61" s="554">
        <v>26965.384000000045</v>
      </c>
      <c r="E61" s="554">
        <v>3772.0160000000496</v>
      </c>
      <c r="F61" s="187">
        <v>8034.231999999959</v>
      </c>
      <c r="G61" s="187">
        <v>59954.920000000093</v>
      </c>
      <c r="H61" s="27">
        <v>5396.0559999998959</v>
      </c>
      <c r="I61" s="27">
        <v>64442.256000000132</v>
      </c>
      <c r="J61" s="554">
        <v>71889.216000000015</v>
      </c>
      <c r="K61" s="554">
        <v>59666.887999999744</v>
      </c>
      <c r="L61" s="554">
        <v>4115.7520000000504</v>
      </c>
      <c r="M61" s="554">
        <v>46324.696000000178</v>
      </c>
      <c r="N61" s="554">
        <v>6053.2640000000283</v>
      </c>
      <c r="O61" s="554">
        <v>60450.224000000002</v>
      </c>
      <c r="P61" s="187">
        <v>3975.3679999999154</v>
      </c>
      <c r="Q61" s="187">
        <v>51853.720000000096</v>
      </c>
      <c r="R61" s="187">
        <v>4418.1519999999564</v>
      </c>
      <c r="S61" s="187">
        <v>47813.56799999997</v>
      </c>
      <c r="T61" s="187">
        <v>4455.1280000001234</v>
      </c>
      <c r="U61" s="554">
        <v>67961.015999999901</v>
      </c>
      <c r="V61" s="554">
        <v>5892.5600000000477</v>
      </c>
      <c r="W61" s="554">
        <v>49163.679999999957</v>
      </c>
      <c r="X61" s="554">
        <v>5270.9119999999266</v>
      </c>
      <c r="Y61" s="554">
        <v>47054.887999999984</v>
      </c>
      <c r="Z61" s="554">
        <v>4488.00000000007</v>
      </c>
      <c r="AA61" s="554">
        <v>55945.247999999876</v>
      </c>
      <c r="AB61" s="187">
        <v>4629.7920000001168</v>
      </c>
      <c r="AC61" s="554">
        <v>64350.439999999893</v>
      </c>
      <c r="AD61" s="554">
        <v>72051.295999999988</v>
      </c>
      <c r="AE61" s="554">
        <v>76271.328000000038</v>
      </c>
      <c r="AF61" s="554">
        <v>96814.248000000109</v>
      </c>
      <c r="AG61" s="554">
        <v>69888.167999999758</v>
      </c>
      <c r="AH61" s="554">
        <v>100374.2160000001</v>
      </c>
      <c r="AI61" s="3">
        <v>1249736.6320000002</v>
      </c>
    </row>
    <row r="62" spans="2:38" x14ac:dyDescent="0.25">
      <c r="B62" s="5" t="s">
        <v>28</v>
      </c>
      <c r="C62" s="1" t="s">
        <v>0</v>
      </c>
      <c r="D62" s="541">
        <v>0.17483816401450147</v>
      </c>
      <c r="E62" s="541">
        <v>0.15346691232365911</v>
      </c>
      <c r="F62" s="541">
        <v>0.16318609079030966</v>
      </c>
      <c r="G62" s="541">
        <v>0.16852253745033777</v>
      </c>
      <c r="H62" s="541">
        <v>0.20013198816438171</v>
      </c>
      <c r="I62" s="541">
        <v>0.19186232832663505</v>
      </c>
      <c r="J62" s="541">
        <v>0.22397498292026671</v>
      </c>
      <c r="K62" s="541">
        <v>0.19825175016749513</v>
      </c>
      <c r="L62" s="541">
        <v>0.21921197252362368</v>
      </c>
      <c r="M62" s="541">
        <v>0.14842413432770293</v>
      </c>
      <c r="N62" s="541">
        <v>0.15111641175457471</v>
      </c>
      <c r="O62" s="541">
        <v>0.14438743537048493</v>
      </c>
      <c r="P62" s="541">
        <v>0.1910128396461111</v>
      </c>
      <c r="Q62" s="541">
        <v>0.23392407889147612</v>
      </c>
      <c r="R62" s="541">
        <v>0.16863152404843093</v>
      </c>
      <c r="S62" s="541">
        <v>0.24142419143995181</v>
      </c>
      <c r="T62" s="541">
        <v>0.14709886856142557</v>
      </c>
      <c r="U62" s="541">
        <v>8.4642073175154472E-2</v>
      </c>
      <c r="V62" s="541">
        <v>5.3649495913457655E-2</v>
      </c>
      <c r="W62" s="541">
        <v>0.1276876479597773</v>
      </c>
      <c r="X62" s="541">
        <v>0.16964754247704236</v>
      </c>
      <c r="Y62" s="541">
        <v>0.23034649776943028</v>
      </c>
      <c r="Z62" s="541">
        <v>0.23245942532185046</v>
      </c>
      <c r="AA62" s="541">
        <v>0.23987878982015565</v>
      </c>
      <c r="AB62" s="541">
        <v>0.25519212611708564</v>
      </c>
      <c r="AC62" s="541">
        <v>0.23398737397275268</v>
      </c>
      <c r="AD62" s="541">
        <v>0.22621779133027403</v>
      </c>
      <c r="AE62" s="541">
        <v>0.21399477377113219</v>
      </c>
      <c r="AF62" s="541">
        <v>0.20093694265324363</v>
      </c>
      <c r="AG62" s="541">
        <v>0.23023369669970808</v>
      </c>
      <c r="AH62" s="541">
        <v>0.22749723815595976</v>
      </c>
      <c r="AI62" s="14">
        <v>0.18857540728575456</v>
      </c>
      <c r="AK62" s="362"/>
    </row>
    <row r="63" spans="2:38" x14ac:dyDescent="0.25">
      <c r="B63" s="5" t="s">
        <v>35</v>
      </c>
      <c r="C63" s="1" t="s">
        <v>0</v>
      </c>
      <c r="D63" s="541">
        <v>0.17185311186711968</v>
      </c>
      <c r="E63" s="541">
        <v>0.15009005403242159</v>
      </c>
      <c r="F63" s="541">
        <v>0.15796978186911859</v>
      </c>
      <c r="G63" s="541">
        <v>0.16172203321993633</v>
      </c>
      <c r="H63" s="541">
        <v>0.18948869321592787</v>
      </c>
      <c r="I63" s="541">
        <v>0.18386031618971727</v>
      </c>
      <c r="J63" s="541">
        <v>0.22175805483290281</v>
      </c>
      <c r="K63" s="541">
        <v>0.19661797078245918</v>
      </c>
      <c r="L63" s="541">
        <v>0.21725535321193004</v>
      </c>
      <c r="M63" s="541">
        <v>0.14596257754653169</v>
      </c>
      <c r="N63" s="541">
        <v>0.14783870322193521</v>
      </c>
      <c r="O63" s="541">
        <v>0.14296077646587962</v>
      </c>
      <c r="P63" s="541">
        <v>0.18873824294576216</v>
      </c>
      <c r="Q63" s="541">
        <v>0.22888733239944481</v>
      </c>
      <c r="R63" s="541">
        <v>0.16772563538122978</v>
      </c>
      <c r="S63" s="541">
        <v>0.23414048429057258</v>
      </c>
      <c r="T63" s="541">
        <v>0.14558735241144885</v>
      </c>
      <c r="U63" s="541">
        <v>8.2549529717830278E-2</v>
      </c>
      <c r="V63" s="541">
        <v>5.1405843506103839E-2</v>
      </c>
      <c r="W63" s="541">
        <v>0.12419951971182293</v>
      </c>
      <c r="X63" s="547">
        <v>0.1669751851110641</v>
      </c>
      <c r="Y63" s="547">
        <v>0.22776165699419626</v>
      </c>
      <c r="Z63" s="547">
        <v>0.23038823293976551</v>
      </c>
      <c r="AA63" s="547">
        <v>0.23639183510105893</v>
      </c>
      <c r="AB63" s="547">
        <v>0.25290174104462926</v>
      </c>
      <c r="AC63" s="541">
        <v>0.17147788673203684</v>
      </c>
      <c r="AD63" s="547">
        <v>0.22100760456273713</v>
      </c>
      <c r="AE63" s="547">
        <v>0.20975085051030526</v>
      </c>
      <c r="AF63" s="547">
        <v>0.19774364618771836</v>
      </c>
      <c r="AG63" s="547">
        <v>0.19511707024213848</v>
      </c>
      <c r="AH63" s="547">
        <v>0.22363418050830636</v>
      </c>
      <c r="AI63" s="14">
        <v>0.17954522713628168</v>
      </c>
    </row>
    <row r="64" spans="2:38" ht="15.75" x14ac:dyDescent="0.25">
      <c r="B64" s="5" t="s">
        <v>113</v>
      </c>
      <c r="C64" s="1"/>
      <c r="D64" s="541">
        <v>4.0582685923013229E-3</v>
      </c>
      <c r="E64" s="541">
        <v>5.3980095995040112E-3</v>
      </c>
      <c r="F64" s="541">
        <v>5.2163089211910707E-3</v>
      </c>
      <c r="G64" s="541">
        <v>6.8005042304014329E-3</v>
      </c>
      <c r="H64" s="541">
        <v>1.0643294948453841E-2</v>
      </c>
      <c r="I64" s="541">
        <v>8.0020121369177855E-3</v>
      </c>
      <c r="J64" s="541">
        <v>2.2169280873639008E-3</v>
      </c>
      <c r="K64" s="541">
        <v>9.7220892930215408E-3</v>
      </c>
      <c r="L64" s="541">
        <v>1.3513159189341484E-2</v>
      </c>
      <c r="M64" s="541">
        <v>2.4615567811712424E-3</v>
      </c>
      <c r="N64" s="541">
        <v>3.2777085326395061E-3</v>
      </c>
      <c r="O64" s="541">
        <v>1.4266589046053046E-3</v>
      </c>
      <c r="P64" s="541">
        <v>2.2745967003489354E-3</v>
      </c>
      <c r="Q64" s="541">
        <v>5.0367464920313132E-3</v>
      </c>
      <c r="R64" s="541">
        <v>9.0588866720114902E-4</v>
      </c>
      <c r="S64" s="541">
        <v>7.2837071493792316E-3</v>
      </c>
      <c r="T64" s="541">
        <v>1.511516149976716E-3</v>
      </c>
      <c r="U64" s="541">
        <v>2.0925434573241947E-3</v>
      </c>
      <c r="V64" s="541">
        <v>2.2436524073538161E-3</v>
      </c>
      <c r="W64" s="541">
        <v>3.4881282479543724E-3</v>
      </c>
      <c r="X64" s="541">
        <v>2.6723573659782618E-3</v>
      </c>
      <c r="Y64" s="541">
        <v>2.5848407752340208E-3</v>
      </c>
      <c r="Z64" s="541">
        <v>2.0711923820849465E-3</v>
      </c>
      <c r="AA64" s="541">
        <v>3.4869547190967132E-3</v>
      </c>
      <c r="AB64" s="541">
        <v>2.2903850724563801E-3</v>
      </c>
      <c r="AC64" s="541">
        <v>6.2509487240715839E-2</v>
      </c>
      <c r="AD64" s="541">
        <v>5.2101867675369007E-3</v>
      </c>
      <c r="AE64" s="541">
        <v>4.2439232608269262E-3</v>
      </c>
      <c r="AF64" s="541">
        <v>3.1932964655252694E-3</v>
      </c>
      <c r="AG64" s="547">
        <v>3.5116626457569605E-2</v>
      </c>
      <c r="AH64" s="547">
        <v>3.8630576476534062E-3</v>
      </c>
      <c r="AI64" s="49">
        <v>6.5229502168718629E-3</v>
      </c>
    </row>
    <row r="65" spans="1:37" ht="15.75" x14ac:dyDescent="0.25">
      <c r="B65" s="5" t="s">
        <v>29</v>
      </c>
      <c r="C65" s="1"/>
      <c r="D65" s="555"/>
      <c r="E65" s="555"/>
      <c r="F65" s="555"/>
      <c r="G65" s="555"/>
      <c r="H65" s="555"/>
      <c r="I65" s="555"/>
      <c r="J65" s="555"/>
      <c r="K65" s="555"/>
      <c r="L65" s="555"/>
      <c r="M65" s="555">
        <v>0.74072181528669112</v>
      </c>
      <c r="N65" s="555">
        <v>0.73134801773593561</v>
      </c>
      <c r="O65" s="555">
        <v>0.75024885885183112</v>
      </c>
      <c r="P65" s="555">
        <v>0.73947129577035786</v>
      </c>
      <c r="Q65" s="555">
        <v>0.71766169999590756</v>
      </c>
      <c r="R65" s="555">
        <v>0.74196453073770019</v>
      </c>
      <c r="S65" s="555">
        <v>0.70900745200322557</v>
      </c>
      <c r="T65" s="555">
        <v>0.73523151622118788</v>
      </c>
      <c r="U65" s="555">
        <v>0.73427691597927969</v>
      </c>
      <c r="V65" s="555">
        <v>0.74135983754619428</v>
      </c>
      <c r="W65" s="555">
        <v>0.75293179044220082</v>
      </c>
      <c r="X65" s="555">
        <v>0.752607146244889</v>
      </c>
      <c r="Y65" s="555">
        <v>0.73939329178905955</v>
      </c>
      <c r="Z65" s="555">
        <v>0.7384454135298838</v>
      </c>
      <c r="AA65" s="555">
        <v>0.73536062411997472</v>
      </c>
      <c r="AB65" s="555">
        <v>0.72593185899412394</v>
      </c>
      <c r="AC65" s="555">
        <v>0.54099299074939955</v>
      </c>
      <c r="AD65" s="555">
        <v>0.72581820057276014</v>
      </c>
      <c r="AE65" s="555">
        <v>0.72833672685687023</v>
      </c>
      <c r="AF65" s="555">
        <v>0.73655018618182244</v>
      </c>
      <c r="AG65" s="547">
        <v>0.63260413491566858</v>
      </c>
      <c r="AH65" s="547">
        <v>0.72652166222940029</v>
      </c>
      <c r="AI65" s="49">
        <v>0.72532157807513031</v>
      </c>
    </row>
    <row r="66" spans="1:37" x14ac:dyDescent="0.25">
      <c r="B66" s="5" t="s">
        <v>109</v>
      </c>
      <c r="C66" s="1" t="s">
        <v>59</v>
      </c>
      <c r="D66" s="554">
        <v>4193.5982667862263</v>
      </c>
      <c r="E66" s="554">
        <v>3680.9959722303574</v>
      </c>
      <c r="F66" s="554">
        <v>3914.1162992600512</v>
      </c>
      <c r="G66" s="554">
        <v>4042.1141742688214</v>
      </c>
      <c r="H66" s="554">
        <v>4800.2858153155939</v>
      </c>
      <c r="I66" s="554">
        <v>4601.9330623113374</v>
      </c>
      <c r="J66" s="554">
        <v>5372.1743503323487</v>
      </c>
      <c r="K66" s="554">
        <v>4755.1871788174712</v>
      </c>
      <c r="L66" s="554">
        <v>5257.930688162628</v>
      </c>
      <c r="M66" s="554">
        <v>3560.0419163305514</v>
      </c>
      <c r="N66" s="554">
        <v>3624.6178057805273</v>
      </c>
      <c r="O66" s="554">
        <v>3463.2192698223034</v>
      </c>
      <c r="P66" s="554">
        <v>4581.557566615762</v>
      </c>
      <c r="Q66" s="554">
        <v>5610.8093866593899</v>
      </c>
      <c r="R66" s="554">
        <v>4044.7282832160445</v>
      </c>
      <c r="S66" s="554">
        <v>5790.7040862021076</v>
      </c>
      <c r="T66" s="554">
        <v>3528.2546217669292</v>
      </c>
      <c r="U66" s="554">
        <v>2030.1909103499852</v>
      </c>
      <c r="V66" s="554">
        <v>1286.8153491818298</v>
      </c>
      <c r="W66" s="554">
        <v>3062.6648489040344</v>
      </c>
      <c r="X66" s="554">
        <v>4069.0980948373472</v>
      </c>
      <c r="Y66" s="554">
        <v>5524.9989568984474</v>
      </c>
      <c r="Z66" s="554">
        <v>5575.6787919997769</v>
      </c>
      <c r="AA66" s="554">
        <v>5753.6367011103248</v>
      </c>
      <c r="AB66" s="554">
        <v>6120.9362601939692</v>
      </c>
      <c r="AC66" s="554">
        <v>5612.3275571608565</v>
      </c>
      <c r="AD66" s="554">
        <v>5425.9694557314206</v>
      </c>
      <c r="AE66" s="554">
        <v>5132.7930457648681</v>
      </c>
      <c r="AF66" s="554">
        <v>4819.5931317036402</v>
      </c>
      <c r="AG66" s="554">
        <v>5522.2933555605177</v>
      </c>
      <c r="AH66" s="554">
        <v>5456.6577555135882</v>
      </c>
      <c r="AI66" s="3">
        <v>140215.92295878901</v>
      </c>
      <c r="AK66" s="4"/>
    </row>
    <row r="67" spans="1:37" x14ac:dyDescent="0.25">
      <c r="B67" s="5" t="s">
        <v>213</v>
      </c>
      <c r="C67" s="1"/>
      <c r="D67" s="225"/>
      <c r="E67" s="225"/>
      <c r="F67" s="225">
        <v>32.469903859443569</v>
      </c>
      <c r="G67" s="225">
        <v>33.46</v>
      </c>
      <c r="H67" s="225">
        <v>32.75</v>
      </c>
      <c r="I67" s="225">
        <v>32.310573175163469</v>
      </c>
      <c r="J67" s="225">
        <v>31.53674908063898</v>
      </c>
      <c r="K67" s="225">
        <v>32.603242508352622</v>
      </c>
      <c r="L67" s="225">
        <v>32.823037255328636</v>
      </c>
      <c r="M67" s="225">
        <v>30.042453517701102</v>
      </c>
      <c r="N67" s="225">
        <v>31.57</v>
      </c>
      <c r="O67" s="225">
        <v>28.82</v>
      </c>
      <c r="P67" s="225">
        <v>31.348209322742399</v>
      </c>
      <c r="Q67" s="225">
        <v>35.383768410840304</v>
      </c>
      <c r="R67" s="225">
        <v>32</v>
      </c>
      <c r="S67" s="225">
        <v>36.03</v>
      </c>
      <c r="T67" s="225">
        <v>32.839890089954942</v>
      </c>
      <c r="U67" s="225">
        <v>30.129903605252544</v>
      </c>
      <c r="V67" s="225">
        <v>24.5</v>
      </c>
      <c r="W67" s="225">
        <v>24.402507655915315</v>
      </c>
      <c r="X67" s="225">
        <v>26.9503846849714</v>
      </c>
      <c r="Y67" s="225">
        <v>31.51</v>
      </c>
      <c r="Z67" s="225">
        <v>32.24</v>
      </c>
      <c r="AA67" s="225">
        <v>31.936246916250962</v>
      </c>
      <c r="AB67" s="225">
        <v>35.64</v>
      </c>
      <c r="AC67" s="225">
        <v>34.1</v>
      </c>
      <c r="AD67" s="225">
        <v>32.822505911861597</v>
      </c>
      <c r="AE67" s="225">
        <v>32.783542458618015</v>
      </c>
      <c r="AF67" s="225">
        <v>31.331615443407557</v>
      </c>
      <c r="AG67" s="225">
        <v>31.868471577438836</v>
      </c>
      <c r="AH67" s="225">
        <v>33.865264111778743</v>
      </c>
      <c r="AI67" s="13">
        <v>31.653958402039844</v>
      </c>
    </row>
    <row r="68" spans="1:37" ht="15" customHeight="1" x14ac:dyDescent="0.25">
      <c r="B68" s="219" t="s">
        <v>100</v>
      </c>
      <c r="C68" s="1" t="s">
        <v>59</v>
      </c>
      <c r="D68" s="222">
        <v>23</v>
      </c>
      <c r="E68" s="222">
        <v>33</v>
      </c>
      <c r="F68" s="222">
        <v>77</v>
      </c>
      <c r="G68" s="222">
        <v>115</v>
      </c>
      <c r="H68" s="222">
        <v>163</v>
      </c>
      <c r="I68" s="222">
        <v>143</v>
      </c>
      <c r="J68" s="222"/>
      <c r="K68" s="222"/>
      <c r="L68" s="222"/>
      <c r="M68" s="222">
        <v>11</v>
      </c>
      <c r="N68" s="222"/>
      <c r="O68" s="222"/>
      <c r="P68" s="222"/>
      <c r="Q68" s="222">
        <v>73</v>
      </c>
      <c r="R68" s="222"/>
      <c r="S68" s="222">
        <v>126</v>
      </c>
      <c r="T68" s="222"/>
      <c r="U68" s="222"/>
      <c r="V68" s="222"/>
      <c r="W68" s="222">
        <v>36</v>
      </c>
      <c r="X68" s="222">
        <v>16</v>
      </c>
      <c r="Y68" s="222">
        <v>14</v>
      </c>
      <c r="Z68" s="222"/>
      <c r="AA68" s="222">
        <v>36</v>
      </c>
      <c r="AB68" s="222"/>
      <c r="AC68" s="222">
        <v>43</v>
      </c>
      <c r="AD68" s="222">
        <v>76</v>
      </c>
      <c r="AE68" s="222">
        <v>53</v>
      </c>
      <c r="AF68" s="222">
        <v>28</v>
      </c>
      <c r="AG68" s="222">
        <v>94</v>
      </c>
      <c r="AH68" s="222">
        <v>45</v>
      </c>
      <c r="AI68" s="13">
        <v>1205</v>
      </c>
    </row>
    <row r="69" spans="1:37" ht="15" customHeight="1" x14ac:dyDescent="0.25">
      <c r="B69" s="219" t="s">
        <v>101</v>
      </c>
      <c r="C69" s="1" t="s">
        <v>59</v>
      </c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13">
        <v>0</v>
      </c>
    </row>
    <row r="70" spans="1:37" ht="15" customHeight="1" x14ac:dyDescent="0.25">
      <c r="B70" s="219" t="s">
        <v>102</v>
      </c>
      <c r="C70" s="1" t="s">
        <v>59</v>
      </c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13">
        <v>0</v>
      </c>
    </row>
    <row r="71" spans="1:37" ht="15" customHeight="1" x14ac:dyDescent="0.25">
      <c r="B71" s="219" t="s">
        <v>103</v>
      </c>
      <c r="C71" s="1" t="s">
        <v>59</v>
      </c>
      <c r="D71" s="222"/>
      <c r="E71" s="222"/>
      <c r="F71" s="222"/>
      <c r="G71" s="222"/>
      <c r="H71" s="222">
        <v>44</v>
      </c>
      <c r="I71" s="222"/>
      <c r="J71" s="222"/>
      <c r="K71" s="222"/>
      <c r="L71" s="222"/>
      <c r="M71" s="222"/>
      <c r="N71" s="222">
        <v>26</v>
      </c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>
        <v>1408</v>
      </c>
      <c r="AD71" s="222"/>
      <c r="AE71" s="222"/>
      <c r="AF71" s="222"/>
      <c r="AG71" s="222">
        <v>700</v>
      </c>
      <c r="AH71" s="222"/>
      <c r="AI71" s="13">
        <v>2178</v>
      </c>
    </row>
    <row r="72" spans="1:37" x14ac:dyDescent="0.25">
      <c r="B72" s="5" t="s">
        <v>218</v>
      </c>
      <c r="C72" s="1" t="s">
        <v>59</v>
      </c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13">
        <v>0</v>
      </c>
    </row>
    <row r="73" spans="1:37" x14ac:dyDescent="0.25">
      <c r="B73" s="220" t="s">
        <v>86</v>
      </c>
      <c r="C73" s="1" t="s">
        <v>59</v>
      </c>
      <c r="D73" s="222">
        <v>23</v>
      </c>
      <c r="E73" s="222">
        <v>33</v>
      </c>
      <c r="F73" s="222">
        <v>77</v>
      </c>
      <c r="G73" s="222">
        <v>115</v>
      </c>
      <c r="H73" s="222">
        <v>207</v>
      </c>
      <c r="I73" s="222">
        <v>143</v>
      </c>
      <c r="J73" s="222">
        <v>0</v>
      </c>
      <c r="K73" s="222">
        <v>0</v>
      </c>
      <c r="L73" s="222">
        <v>0</v>
      </c>
      <c r="M73" s="222">
        <v>11</v>
      </c>
      <c r="N73" s="222">
        <v>26</v>
      </c>
      <c r="O73" s="222">
        <v>0</v>
      </c>
      <c r="P73" s="222">
        <v>0</v>
      </c>
      <c r="Q73" s="222">
        <v>73</v>
      </c>
      <c r="R73" s="222">
        <v>0</v>
      </c>
      <c r="S73" s="222">
        <v>126</v>
      </c>
      <c r="T73" s="222">
        <v>0</v>
      </c>
      <c r="U73" s="222">
        <v>0</v>
      </c>
      <c r="V73" s="222">
        <v>0</v>
      </c>
      <c r="W73" s="222">
        <v>36</v>
      </c>
      <c r="X73" s="222">
        <v>16</v>
      </c>
      <c r="Y73" s="222">
        <v>14</v>
      </c>
      <c r="Z73" s="222">
        <v>0</v>
      </c>
      <c r="AA73" s="222">
        <v>36</v>
      </c>
      <c r="AB73" s="222">
        <v>0</v>
      </c>
      <c r="AC73" s="222">
        <v>1451</v>
      </c>
      <c r="AD73" s="222">
        <v>76</v>
      </c>
      <c r="AE73" s="222">
        <v>53</v>
      </c>
      <c r="AF73" s="222">
        <v>28</v>
      </c>
      <c r="AG73" s="222">
        <v>794</v>
      </c>
      <c r="AH73" s="222">
        <v>45</v>
      </c>
      <c r="AI73" s="13">
        <v>3383</v>
      </c>
    </row>
    <row r="74" spans="1:37" x14ac:dyDescent="0.25">
      <c r="B74" s="220" t="s">
        <v>86</v>
      </c>
      <c r="C74" s="1" t="s">
        <v>59</v>
      </c>
      <c r="D74" s="555">
        <v>9.5890867854045772E-4</v>
      </c>
      <c r="E74" s="555">
        <v>1.3758254952971783E-3</v>
      </c>
      <c r="F74" s="555">
        <v>3.2102594890267497E-3</v>
      </c>
      <c r="G74" s="555">
        <v>4.7945433927022883E-3</v>
      </c>
      <c r="H74" s="555">
        <v>8.6301781068641188E-3</v>
      </c>
      <c r="I74" s="555">
        <v>5.9619104796211067E-3</v>
      </c>
      <c r="J74" s="555">
        <v>0</v>
      </c>
      <c r="K74" s="555">
        <v>0</v>
      </c>
      <c r="L74" s="555">
        <v>0</v>
      </c>
      <c r="M74" s="555">
        <v>4.5860849843239274E-4</v>
      </c>
      <c r="N74" s="555">
        <v>1.0839837235674739E-3</v>
      </c>
      <c r="O74" s="555">
        <v>0</v>
      </c>
      <c r="P74" s="555">
        <v>0</v>
      </c>
      <c r="Q74" s="555">
        <v>3.0434927623240612E-3</v>
      </c>
      <c r="R74" s="555">
        <v>0</v>
      </c>
      <c r="S74" s="555">
        <v>5.253151891134681E-3</v>
      </c>
      <c r="T74" s="555">
        <v>0</v>
      </c>
      <c r="U74" s="555">
        <v>0</v>
      </c>
      <c r="V74" s="555">
        <v>0</v>
      </c>
      <c r="W74" s="555">
        <v>1.5009005403241946E-3</v>
      </c>
      <c r="X74" s="555">
        <v>6.6706690681075313E-4</v>
      </c>
      <c r="Y74" s="555">
        <v>5.8368354345940897E-4</v>
      </c>
      <c r="Z74" s="555">
        <v>0</v>
      </c>
      <c r="AA74" s="555">
        <v>1.5009005403241946E-3</v>
      </c>
      <c r="AB74" s="555">
        <v>0</v>
      </c>
      <c r="AC74" s="555">
        <v>6.0494630111400181E-2</v>
      </c>
      <c r="AD74" s="555">
        <v>3.1685678073510772E-3</v>
      </c>
      <c r="AE74" s="555">
        <v>2.2096591288106198E-3</v>
      </c>
      <c r="AF74" s="555">
        <v>1.1673670869188179E-3</v>
      </c>
      <c r="AG74" s="555">
        <v>3.3103195250483629E-2</v>
      </c>
      <c r="AH74" s="555">
        <v>1.8761256754052432E-3</v>
      </c>
      <c r="AI74" s="13">
        <v>3.7462953962853901E-3</v>
      </c>
    </row>
    <row r="75" spans="1:37" x14ac:dyDescent="0.25">
      <c r="B75" s="5" t="s">
        <v>116</v>
      </c>
      <c r="C75" s="1" t="s">
        <v>60</v>
      </c>
      <c r="D75" s="539">
        <v>2.0261434688413314E-3</v>
      </c>
      <c r="E75" s="539">
        <v>2.0010327959403386E-3</v>
      </c>
      <c r="F75" s="539">
        <v>2.006049432164321E-3</v>
      </c>
      <c r="G75" s="539">
        <v>2.0059608376991446E-3</v>
      </c>
      <c r="H75" s="539">
        <v>2.0131168415897221E-3</v>
      </c>
      <c r="I75" s="539">
        <v>2.0401016572966788E-3</v>
      </c>
      <c r="J75" s="539">
        <v>2.2169280873639008E-3</v>
      </c>
      <c r="K75" s="539">
        <v>1.6337793850359494E-3</v>
      </c>
      <c r="L75" s="539">
        <v>1.9566193116936359E-3</v>
      </c>
      <c r="M75" s="539">
        <v>2.0029482827388497E-3</v>
      </c>
      <c r="N75" s="539">
        <v>2.1937248090720322E-3</v>
      </c>
      <c r="O75" s="539">
        <v>1.4266589046053046E-3</v>
      </c>
      <c r="P75" s="539">
        <v>2.2745967003489354E-3</v>
      </c>
      <c r="Q75" s="539">
        <v>1.993253729707252E-3</v>
      </c>
      <c r="R75" s="539">
        <v>9.0588866720114902E-4</v>
      </c>
      <c r="S75" s="539">
        <v>2.0305552582445506E-3</v>
      </c>
      <c r="T75" s="539">
        <v>1.511516149976716E-3</v>
      </c>
      <c r="U75" s="539">
        <v>2.0925434573241947E-3</v>
      </c>
      <c r="V75" s="539">
        <v>2.2436524073538161E-3</v>
      </c>
      <c r="W75" s="539">
        <v>1.9872277076301778E-3</v>
      </c>
      <c r="X75" s="539">
        <v>2.0052904591675086E-3</v>
      </c>
      <c r="Y75" s="539">
        <v>2.0011572317746116E-3</v>
      </c>
      <c r="Z75" s="539">
        <v>2.0711923820849465E-3</v>
      </c>
      <c r="AA75" s="539">
        <v>1.9860541787725186E-3</v>
      </c>
      <c r="AB75" s="539">
        <v>2.2903850724563801E-3</v>
      </c>
      <c r="AC75" s="539">
        <v>2.0148571293156572E-3</v>
      </c>
      <c r="AD75" s="539">
        <v>2.0416189601858235E-3</v>
      </c>
      <c r="AE75" s="539">
        <v>2.0342641320163063E-3</v>
      </c>
      <c r="AF75" s="539">
        <v>2.0259293786064514E-3</v>
      </c>
      <c r="AG75" s="539">
        <v>2.0134312070859764E-3</v>
      </c>
      <c r="AH75" s="539">
        <v>1.986931972248163E-3</v>
      </c>
      <c r="AI75" s="224">
        <v>1.964539908485777E-3</v>
      </c>
    </row>
    <row r="76" spans="1:37" x14ac:dyDescent="0.25">
      <c r="A76" s="218" t="s">
        <v>31</v>
      </c>
      <c r="B76" s="649" t="s">
        <v>31</v>
      </c>
      <c r="C76" s="650"/>
      <c r="D76" s="650"/>
      <c r="E76" s="650"/>
      <c r="F76" s="650"/>
      <c r="G76" s="650"/>
      <c r="H76" s="650"/>
      <c r="I76" s="650"/>
      <c r="J76" s="650"/>
      <c r="K76" s="650"/>
      <c r="L76" s="650"/>
      <c r="M76" s="650"/>
      <c r="N76" s="650"/>
      <c r="O76" s="650"/>
      <c r="P76" s="650"/>
      <c r="Q76" s="650"/>
      <c r="R76" s="650"/>
      <c r="S76" s="650"/>
      <c r="T76" s="650"/>
      <c r="U76" s="650"/>
      <c r="V76" s="650"/>
      <c r="W76" s="650"/>
      <c r="X76" s="650"/>
      <c r="Y76" s="650"/>
      <c r="Z76" s="650"/>
      <c r="AA76" s="650"/>
      <c r="AB76" s="650"/>
      <c r="AC76" s="650"/>
      <c r="AD76" s="650"/>
      <c r="AE76" s="650"/>
      <c r="AF76" s="650"/>
      <c r="AG76" s="650"/>
      <c r="AH76" s="650"/>
      <c r="AI76" s="651"/>
    </row>
    <row r="77" spans="1:37" x14ac:dyDescent="0.25">
      <c r="B77" s="1" t="s">
        <v>2</v>
      </c>
      <c r="C77" s="1" t="s">
        <v>3</v>
      </c>
      <c r="D77" s="187">
        <v>1</v>
      </c>
      <c r="E77" s="187">
        <v>2</v>
      </c>
      <c r="F77" s="187">
        <v>3</v>
      </c>
      <c r="G77" s="187">
        <v>4</v>
      </c>
      <c r="H77" s="187">
        <v>5</v>
      </c>
      <c r="I77" s="187">
        <v>6</v>
      </c>
      <c r="J77" s="187">
        <v>7</v>
      </c>
      <c r="K77" s="187">
        <v>8</v>
      </c>
      <c r="L77" s="187">
        <v>9</v>
      </c>
      <c r="M77" s="187">
        <v>10</v>
      </c>
      <c r="N77" s="187">
        <v>11</v>
      </c>
      <c r="O77" s="187">
        <v>12</v>
      </c>
      <c r="P77" s="187">
        <v>13</v>
      </c>
      <c r="Q77" s="187">
        <v>14</v>
      </c>
      <c r="R77" s="187">
        <v>15</v>
      </c>
      <c r="S77" s="187">
        <v>16</v>
      </c>
      <c r="T77" s="187">
        <v>17</v>
      </c>
      <c r="U77" s="187">
        <v>18</v>
      </c>
      <c r="V77" s="187">
        <v>19</v>
      </c>
      <c r="W77" s="187">
        <v>20</v>
      </c>
      <c r="X77" s="187">
        <v>21</v>
      </c>
      <c r="Y77" s="187">
        <v>22</v>
      </c>
      <c r="Z77" s="187">
        <v>23</v>
      </c>
      <c r="AA77" s="187">
        <v>24</v>
      </c>
      <c r="AB77" s="187">
        <v>25</v>
      </c>
      <c r="AC77" s="187">
        <v>26</v>
      </c>
      <c r="AD77" s="187">
        <v>27</v>
      </c>
      <c r="AE77" s="187">
        <v>28</v>
      </c>
      <c r="AF77" s="187">
        <v>29</v>
      </c>
      <c r="AG77" s="187">
        <v>30</v>
      </c>
      <c r="AH77" s="187">
        <v>31</v>
      </c>
      <c r="AI77" s="187" t="s">
        <v>4</v>
      </c>
    </row>
    <row r="78" spans="1:37" x14ac:dyDescent="0.25">
      <c r="B78" s="1" t="s">
        <v>5</v>
      </c>
      <c r="C78" s="1" t="s">
        <v>6</v>
      </c>
      <c r="D78" s="553">
        <v>240.89999</v>
      </c>
      <c r="E78" s="553">
        <v>180.5</v>
      </c>
      <c r="F78" s="553">
        <v>253.60001</v>
      </c>
      <c r="G78" s="553">
        <v>181.39999</v>
      </c>
      <c r="H78" s="553">
        <v>236.60001</v>
      </c>
      <c r="I78" s="553">
        <v>241.3</v>
      </c>
      <c r="J78" s="553">
        <v>294</v>
      </c>
      <c r="K78" s="553">
        <v>290.29998999999998</v>
      </c>
      <c r="L78" s="553">
        <v>269.29998999999998</v>
      </c>
      <c r="M78" s="553">
        <v>224.39999</v>
      </c>
      <c r="N78" s="553">
        <v>263.39999</v>
      </c>
      <c r="O78" s="553">
        <v>233.8</v>
      </c>
      <c r="P78" s="553">
        <v>206.8</v>
      </c>
      <c r="Q78" s="553">
        <v>301.29998999999998</v>
      </c>
      <c r="R78" s="553">
        <v>208.60001</v>
      </c>
      <c r="S78" s="553">
        <v>297.20001000000002</v>
      </c>
      <c r="T78" s="553">
        <v>191.3</v>
      </c>
      <c r="U78" s="553">
        <v>91.7</v>
      </c>
      <c r="V78" s="187">
        <v>86</v>
      </c>
      <c r="W78" s="553">
        <v>233.3</v>
      </c>
      <c r="X78" s="553">
        <v>267</v>
      </c>
      <c r="Y78" s="553">
        <v>275.10001</v>
      </c>
      <c r="Z78" s="553">
        <v>228.2</v>
      </c>
      <c r="AA78" s="553">
        <v>217.10001</v>
      </c>
      <c r="AB78" s="553">
        <v>328.5</v>
      </c>
      <c r="AC78" s="553">
        <v>313.89999</v>
      </c>
      <c r="AD78" s="553">
        <v>298.20001000000002</v>
      </c>
      <c r="AE78" s="553">
        <v>271.20001000000002</v>
      </c>
      <c r="AF78" s="553">
        <v>263.60001</v>
      </c>
      <c r="AG78" s="553">
        <v>272.29998999999998</v>
      </c>
      <c r="AH78" s="553">
        <v>277.60001</v>
      </c>
      <c r="AI78" s="3">
        <v>7538.4000100000012</v>
      </c>
    </row>
    <row r="79" spans="1:37" x14ac:dyDescent="0.25">
      <c r="B79" s="1" t="s">
        <v>7</v>
      </c>
      <c r="C79" s="1" t="s">
        <v>6</v>
      </c>
      <c r="D79" s="553">
        <v>166.2</v>
      </c>
      <c r="E79" s="553">
        <v>182.8</v>
      </c>
      <c r="F79" s="553">
        <v>197</v>
      </c>
      <c r="G79" s="553">
        <v>184.39999</v>
      </c>
      <c r="H79" s="553">
        <v>239.2</v>
      </c>
      <c r="I79" s="553">
        <v>188.5</v>
      </c>
      <c r="J79" s="553">
        <v>230</v>
      </c>
      <c r="K79" s="553">
        <v>292.10001</v>
      </c>
      <c r="L79" s="553">
        <v>271.60001</v>
      </c>
      <c r="M79" s="553">
        <v>214</v>
      </c>
      <c r="N79" s="553">
        <v>267.79998999999998</v>
      </c>
      <c r="O79" s="553">
        <v>236.5</v>
      </c>
      <c r="P79" s="553">
        <v>117.8</v>
      </c>
      <c r="Q79" s="553">
        <v>299.5</v>
      </c>
      <c r="R79" s="553">
        <v>205.8</v>
      </c>
      <c r="S79" s="553">
        <v>301.79998999999998</v>
      </c>
      <c r="T79" s="553">
        <v>127.4</v>
      </c>
      <c r="U79" s="553">
        <v>70.3</v>
      </c>
      <c r="V79" s="187">
        <v>81.099999999999994</v>
      </c>
      <c r="W79" s="553">
        <v>236.7</v>
      </c>
      <c r="X79" s="553">
        <v>269.70001000000002</v>
      </c>
      <c r="Y79" s="553">
        <v>145.19999999999999</v>
      </c>
      <c r="Z79" s="553">
        <v>227.10001</v>
      </c>
      <c r="AA79" s="553">
        <v>211.10001</v>
      </c>
      <c r="AB79" s="553">
        <v>328.39999</v>
      </c>
      <c r="AC79" s="553">
        <v>314.39999</v>
      </c>
      <c r="AD79" s="553">
        <v>296.20001000000002</v>
      </c>
      <c r="AE79" s="553">
        <v>198.10001</v>
      </c>
      <c r="AF79" s="553">
        <v>215.60001</v>
      </c>
      <c r="AG79" s="553">
        <v>270.89999</v>
      </c>
      <c r="AH79" s="553">
        <v>275.89999</v>
      </c>
      <c r="AI79" s="3">
        <v>6863.1000100000001</v>
      </c>
    </row>
    <row r="80" spans="1:37" x14ac:dyDescent="0.25">
      <c r="B80" s="1" t="s">
        <v>8</v>
      </c>
      <c r="C80" s="1" t="s">
        <v>6</v>
      </c>
      <c r="D80" s="553">
        <v>172</v>
      </c>
      <c r="E80" s="553">
        <v>179.89999</v>
      </c>
      <c r="F80" s="553">
        <v>198.3</v>
      </c>
      <c r="G80" s="553">
        <v>181.3</v>
      </c>
      <c r="H80" s="553">
        <v>235.39999</v>
      </c>
      <c r="I80" s="553">
        <v>191.8</v>
      </c>
      <c r="J80" s="553">
        <v>233</v>
      </c>
      <c r="K80" s="553">
        <v>286.79998999999998</v>
      </c>
      <c r="L80" s="553">
        <v>265.5</v>
      </c>
      <c r="M80" s="553">
        <v>214</v>
      </c>
      <c r="N80" s="553">
        <v>261.60001</v>
      </c>
      <c r="O80" s="553">
        <v>231.60001</v>
      </c>
      <c r="P80" s="553">
        <v>125.7</v>
      </c>
      <c r="Q80" s="553">
        <v>295.79998999999998</v>
      </c>
      <c r="R80" s="553">
        <v>200.2</v>
      </c>
      <c r="S80" s="553">
        <v>295.60001</v>
      </c>
      <c r="T80" s="553">
        <v>140.19999999999999</v>
      </c>
      <c r="U80" s="553">
        <v>76.5</v>
      </c>
      <c r="V80" s="187">
        <v>82.3</v>
      </c>
      <c r="W80" s="553">
        <v>232.7</v>
      </c>
      <c r="X80" s="553">
        <v>264.79998999999998</v>
      </c>
      <c r="Y80" s="553">
        <v>148</v>
      </c>
      <c r="Z80" s="553">
        <v>223.8</v>
      </c>
      <c r="AA80" s="553">
        <v>212.7</v>
      </c>
      <c r="AB80" s="553">
        <v>323.70001000000002</v>
      </c>
      <c r="AC80" s="553">
        <v>306.29998999999998</v>
      </c>
      <c r="AD80" s="553">
        <v>289</v>
      </c>
      <c r="AE80" s="553">
        <v>198.39999</v>
      </c>
      <c r="AF80" s="553">
        <v>214.7</v>
      </c>
      <c r="AG80" s="553">
        <v>264.70001000000002</v>
      </c>
      <c r="AH80" s="553">
        <v>271.79998999999998</v>
      </c>
      <c r="AI80" s="3">
        <v>6818.0999699999993</v>
      </c>
    </row>
    <row r="81" spans="2:36" x14ac:dyDescent="0.25">
      <c r="B81" s="1" t="s">
        <v>9</v>
      </c>
      <c r="C81" s="1" t="s">
        <v>6</v>
      </c>
      <c r="D81" s="553">
        <v>166</v>
      </c>
      <c r="E81" s="553">
        <v>178.89999</v>
      </c>
      <c r="F81" s="553">
        <v>197.10001</v>
      </c>
      <c r="G81" s="553">
        <v>180.3</v>
      </c>
      <c r="H81" s="553">
        <v>234</v>
      </c>
      <c r="I81" s="553">
        <v>187.60001</v>
      </c>
      <c r="J81" s="553">
        <v>227.89999</v>
      </c>
      <c r="K81" s="553">
        <v>285.5</v>
      </c>
      <c r="L81" s="553">
        <v>265.39999</v>
      </c>
      <c r="M81" s="553">
        <v>209.89999</v>
      </c>
      <c r="N81" s="553">
        <v>259.39999</v>
      </c>
      <c r="O81" s="553">
        <v>231.10001</v>
      </c>
      <c r="P81" s="553">
        <v>116.8</v>
      </c>
      <c r="Q81" s="553">
        <v>292</v>
      </c>
      <c r="R81" s="553">
        <v>202.10001</v>
      </c>
      <c r="S81" s="553">
        <v>296.20001000000002</v>
      </c>
      <c r="T81" s="553">
        <v>126.6</v>
      </c>
      <c r="U81" s="553">
        <v>69.7</v>
      </c>
      <c r="V81" s="187">
        <v>79.599999999999994</v>
      </c>
      <c r="W81" s="553">
        <v>233.3</v>
      </c>
      <c r="X81" s="553">
        <v>265.60001</v>
      </c>
      <c r="Y81" s="553">
        <v>143.10001</v>
      </c>
      <c r="Z81" s="553">
        <v>229.89999</v>
      </c>
      <c r="AA81" s="553">
        <v>220.89999</v>
      </c>
      <c r="AB81" s="553">
        <v>330.5</v>
      </c>
      <c r="AC81" s="553">
        <v>313.5</v>
      </c>
      <c r="AD81" s="553">
        <v>295.70001000000002</v>
      </c>
      <c r="AE81" s="553">
        <v>203.5</v>
      </c>
      <c r="AF81" s="553">
        <v>214.60001</v>
      </c>
      <c r="AG81" s="553">
        <v>267.70001000000002</v>
      </c>
      <c r="AH81" s="553">
        <v>271.39999</v>
      </c>
      <c r="AI81" s="3">
        <v>6795.8000200000006</v>
      </c>
    </row>
    <row r="82" spans="2:36" x14ac:dyDescent="0.25">
      <c r="B82" s="1" t="s">
        <v>10</v>
      </c>
      <c r="C82" s="1" t="s">
        <v>6</v>
      </c>
      <c r="D82" s="553">
        <v>158.89999</v>
      </c>
      <c r="E82" s="553">
        <v>167.2</v>
      </c>
      <c r="F82" s="553">
        <v>186.5</v>
      </c>
      <c r="G82" s="553">
        <v>168.3</v>
      </c>
      <c r="H82" s="553">
        <v>218.5</v>
      </c>
      <c r="I82" s="553">
        <v>182.2</v>
      </c>
      <c r="J82" s="553">
        <v>216.89999</v>
      </c>
      <c r="K82" s="553">
        <v>265.89999</v>
      </c>
      <c r="L82" s="553">
        <v>246.5</v>
      </c>
      <c r="M82" s="553">
        <v>193.7</v>
      </c>
      <c r="N82" s="553">
        <v>242.3</v>
      </c>
      <c r="O82" s="553">
        <v>215.5</v>
      </c>
      <c r="P82" s="553">
        <v>112.5</v>
      </c>
      <c r="Q82" s="553">
        <v>270.79998999999998</v>
      </c>
      <c r="R82" s="553">
        <v>186</v>
      </c>
      <c r="S82" s="553">
        <v>277</v>
      </c>
      <c r="T82" s="553">
        <v>121.9</v>
      </c>
      <c r="U82" s="553">
        <v>66.5</v>
      </c>
      <c r="V82" s="187">
        <v>75.5</v>
      </c>
      <c r="W82" s="553">
        <v>216.2</v>
      </c>
      <c r="X82" s="553">
        <v>244.39999</v>
      </c>
      <c r="Y82" s="553">
        <v>130.10001</v>
      </c>
      <c r="Z82" s="553">
        <v>205.2</v>
      </c>
      <c r="AA82" s="553">
        <v>194.8</v>
      </c>
      <c r="AB82" s="553">
        <v>301.60001</v>
      </c>
      <c r="AC82" s="553">
        <v>284.29998999999998</v>
      </c>
      <c r="AD82" s="553">
        <v>266.70001000000002</v>
      </c>
      <c r="AE82" s="553">
        <v>185.8</v>
      </c>
      <c r="AF82" s="553">
        <v>203.10001</v>
      </c>
      <c r="AG82" s="553">
        <v>244.89999</v>
      </c>
      <c r="AH82" s="553">
        <v>251</v>
      </c>
      <c r="AI82" s="3">
        <v>6300.6999700000006</v>
      </c>
    </row>
    <row r="83" spans="2:36" x14ac:dyDescent="0.25">
      <c r="B83" s="1" t="s">
        <v>11</v>
      </c>
      <c r="C83" s="1" t="s">
        <v>6</v>
      </c>
      <c r="D83" s="553">
        <v>157.19999999999999</v>
      </c>
      <c r="E83" s="553">
        <v>162.80000000000001</v>
      </c>
      <c r="F83" s="553">
        <v>184.39999</v>
      </c>
      <c r="G83" s="553">
        <v>163.69999999999999</v>
      </c>
      <c r="H83" s="553">
        <v>212.39999</v>
      </c>
      <c r="I83" s="553">
        <v>178.8</v>
      </c>
      <c r="J83" s="553">
        <v>212.39999</v>
      </c>
      <c r="K83" s="553">
        <v>258.70001000000002</v>
      </c>
      <c r="L83" s="553">
        <v>240.3</v>
      </c>
      <c r="M83" s="553">
        <v>188.8</v>
      </c>
      <c r="N83" s="553">
        <v>238.2</v>
      </c>
      <c r="O83" s="553">
        <v>210.5</v>
      </c>
      <c r="P83" s="553">
        <v>112.1</v>
      </c>
      <c r="Q83" s="553">
        <v>266.79998999999998</v>
      </c>
      <c r="R83" s="553">
        <v>183.2</v>
      </c>
      <c r="S83" s="553">
        <v>270.20001000000002</v>
      </c>
      <c r="T83" s="553">
        <v>119.7</v>
      </c>
      <c r="U83" s="553">
        <v>64.7</v>
      </c>
      <c r="V83" s="187">
        <v>73.900000000000006</v>
      </c>
      <c r="W83" s="553">
        <v>210.5</v>
      </c>
      <c r="X83" s="553">
        <v>239.10001</v>
      </c>
      <c r="Y83" s="553">
        <v>136.19999999999999</v>
      </c>
      <c r="Z83" s="553">
        <v>204.39999</v>
      </c>
      <c r="AA83" s="553">
        <v>193.5</v>
      </c>
      <c r="AB83" s="553">
        <v>295.70001000000002</v>
      </c>
      <c r="AC83" s="553">
        <v>279.89999</v>
      </c>
      <c r="AD83" s="553">
        <v>265.89999</v>
      </c>
      <c r="AE83" s="553">
        <v>171.89999</v>
      </c>
      <c r="AF83" s="553">
        <v>201.60001</v>
      </c>
      <c r="AG83" s="553">
        <v>240.2</v>
      </c>
      <c r="AH83" s="553">
        <v>246.39999</v>
      </c>
      <c r="AI83" s="3">
        <v>6184.0999599999986</v>
      </c>
    </row>
    <row r="84" spans="2:36" x14ac:dyDescent="0.25">
      <c r="B84" s="1" t="s">
        <v>12</v>
      </c>
      <c r="C84" s="1" t="s">
        <v>6</v>
      </c>
      <c r="D84" s="553">
        <v>157.89999</v>
      </c>
      <c r="E84" s="553">
        <v>164.10001</v>
      </c>
      <c r="F84" s="553">
        <v>184.10001</v>
      </c>
      <c r="G84" s="553">
        <v>165.5</v>
      </c>
      <c r="H84" s="553">
        <v>215.7</v>
      </c>
      <c r="I84" s="553">
        <v>180.8</v>
      </c>
      <c r="J84" s="553">
        <v>215.5</v>
      </c>
      <c r="K84" s="553">
        <v>262.10001</v>
      </c>
      <c r="L84" s="553">
        <v>242.10001</v>
      </c>
      <c r="M84" s="553">
        <v>191.2</v>
      </c>
      <c r="N84" s="553">
        <v>238.89999</v>
      </c>
      <c r="O84" s="553">
        <v>212.10001</v>
      </c>
      <c r="P84" s="553">
        <v>112.5</v>
      </c>
      <c r="Q84" s="553">
        <v>268.29998999999998</v>
      </c>
      <c r="R84" s="553">
        <v>184.2</v>
      </c>
      <c r="S84" s="553">
        <v>273.5</v>
      </c>
      <c r="T84" s="553">
        <v>120.4</v>
      </c>
      <c r="U84" s="553">
        <v>65.3</v>
      </c>
      <c r="V84" s="187">
        <v>74.5</v>
      </c>
      <c r="W84" s="553">
        <v>211.8</v>
      </c>
      <c r="X84" s="553">
        <v>241.89999</v>
      </c>
      <c r="Y84" s="553">
        <v>136.5</v>
      </c>
      <c r="Z84" s="553">
        <v>203</v>
      </c>
      <c r="AA84" s="553">
        <v>186.39999</v>
      </c>
      <c r="AB84" s="553">
        <v>293.39999</v>
      </c>
      <c r="AC84" s="553">
        <v>276.70001000000002</v>
      </c>
      <c r="AD84" s="553">
        <v>260.20001000000002</v>
      </c>
      <c r="AE84" s="553">
        <v>163.30000000000001</v>
      </c>
      <c r="AF84" s="553">
        <v>200.7</v>
      </c>
      <c r="AG84" s="553">
        <v>240.89999</v>
      </c>
      <c r="AH84" s="553">
        <v>244</v>
      </c>
      <c r="AI84" s="3">
        <v>6187.5</v>
      </c>
    </row>
    <row r="85" spans="2:36" x14ac:dyDescent="0.25">
      <c r="B85" s="1" t="s">
        <v>13</v>
      </c>
      <c r="C85" s="1" t="s">
        <v>6</v>
      </c>
      <c r="D85" s="553">
        <v>162.80000000000001</v>
      </c>
      <c r="E85" s="553">
        <v>162.89999</v>
      </c>
      <c r="F85" s="553">
        <v>184.89999</v>
      </c>
      <c r="G85" s="553">
        <v>164.5</v>
      </c>
      <c r="H85" s="553">
        <v>213.39999</v>
      </c>
      <c r="I85" s="553">
        <v>183.60001</v>
      </c>
      <c r="J85" s="553">
        <v>218.10001</v>
      </c>
      <c r="K85" s="553">
        <v>259.89999</v>
      </c>
      <c r="L85" s="553">
        <v>240.39999</v>
      </c>
      <c r="M85" s="553">
        <v>193.10001</v>
      </c>
      <c r="N85" s="553">
        <v>233.89999</v>
      </c>
      <c r="O85" s="553">
        <v>211.10001</v>
      </c>
      <c r="P85" s="553">
        <v>123.5</v>
      </c>
      <c r="Q85" s="553">
        <v>270.20001000000002</v>
      </c>
      <c r="R85" s="553">
        <v>183.60001</v>
      </c>
      <c r="S85" s="553">
        <v>269.20001000000002</v>
      </c>
      <c r="T85" s="553">
        <v>131.10001</v>
      </c>
      <c r="U85" s="553">
        <v>71.2</v>
      </c>
      <c r="V85" s="187">
        <v>76.3</v>
      </c>
      <c r="W85" s="553">
        <v>211</v>
      </c>
      <c r="X85" s="553">
        <v>240.2</v>
      </c>
      <c r="Y85" s="553">
        <v>138.5</v>
      </c>
      <c r="Z85" s="553">
        <v>201.5</v>
      </c>
      <c r="AA85" s="553">
        <v>187.8</v>
      </c>
      <c r="AB85" s="553">
        <v>290.79998999999998</v>
      </c>
      <c r="AC85" s="553">
        <v>275.60001</v>
      </c>
      <c r="AD85" s="553">
        <v>264.29998999999998</v>
      </c>
      <c r="AE85" s="553">
        <v>164.8</v>
      </c>
      <c r="AF85" s="553">
        <v>203.2</v>
      </c>
      <c r="AG85" s="553">
        <v>241.3</v>
      </c>
      <c r="AH85" s="553">
        <v>244.2</v>
      </c>
      <c r="AI85" s="3">
        <v>6216.9000099999994</v>
      </c>
    </row>
    <row r="86" spans="2:36" x14ac:dyDescent="0.25">
      <c r="B86" s="1" t="s">
        <v>14</v>
      </c>
      <c r="C86" s="1" t="s">
        <v>6</v>
      </c>
      <c r="D86" s="553">
        <v>155.60001</v>
      </c>
      <c r="E86" s="553">
        <v>162.19999999999999</v>
      </c>
      <c r="F86" s="553">
        <v>182</v>
      </c>
      <c r="G86" s="553">
        <v>162.39999</v>
      </c>
      <c r="H86" s="553">
        <v>211.7</v>
      </c>
      <c r="I86" s="553">
        <v>179.10001</v>
      </c>
      <c r="J86" s="553">
        <v>212.2</v>
      </c>
      <c r="K86" s="553">
        <v>257.20001000000002</v>
      </c>
      <c r="L86" s="553">
        <v>237.8</v>
      </c>
      <c r="M86" s="553">
        <v>187.10001</v>
      </c>
      <c r="N86" s="553">
        <v>231.89999</v>
      </c>
      <c r="O86" s="553">
        <v>206</v>
      </c>
      <c r="P86" s="553">
        <v>111.2</v>
      </c>
      <c r="Q86" s="553">
        <v>261.39999</v>
      </c>
      <c r="R86" s="553">
        <v>179.8</v>
      </c>
      <c r="S86" s="553">
        <v>267.70001000000002</v>
      </c>
      <c r="T86" s="553">
        <v>118.7</v>
      </c>
      <c r="U86" s="553">
        <v>64.099999999999994</v>
      </c>
      <c r="V86" s="187">
        <v>72.7</v>
      </c>
      <c r="W86" s="553">
        <v>207.2</v>
      </c>
      <c r="X86" s="553">
        <v>238.2</v>
      </c>
      <c r="Y86" s="553">
        <v>133.69999999999999</v>
      </c>
      <c r="Z86" s="553">
        <v>197.10001</v>
      </c>
      <c r="AA86" s="553">
        <v>179.60001</v>
      </c>
      <c r="AB86" s="553">
        <v>288.79998999999998</v>
      </c>
      <c r="AC86" s="553">
        <v>275.20001000000002</v>
      </c>
      <c r="AD86" s="553">
        <v>259.79998999999998</v>
      </c>
      <c r="AE86" s="553">
        <v>162.19999999999999</v>
      </c>
      <c r="AF86" s="553">
        <v>200.39999</v>
      </c>
      <c r="AG86" s="553">
        <v>237.7</v>
      </c>
      <c r="AH86" s="553">
        <v>241.3</v>
      </c>
      <c r="AI86" s="3">
        <v>6082.0000199999986</v>
      </c>
    </row>
    <row r="87" spans="2:36" x14ac:dyDescent="0.25">
      <c r="B87" s="1" t="s">
        <v>15</v>
      </c>
      <c r="C87" s="1" t="s">
        <v>6</v>
      </c>
      <c r="D87" s="553">
        <v>158.39999</v>
      </c>
      <c r="E87" s="553">
        <v>165.7</v>
      </c>
      <c r="F87" s="553">
        <v>185.39999</v>
      </c>
      <c r="G87" s="553">
        <v>166.7</v>
      </c>
      <c r="H87" s="553">
        <v>217.10001</v>
      </c>
      <c r="I87" s="553">
        <v>181.10001</v>
      </c>
      <c r="J87" s="553">
        <v>216.3</v>
      </c>
      <c r="K87" s="553">
        <v>263.39999</v>
      </c>
      <c r="L87" s="553">
        <v>243.89999</v>
      </c>
      <c r="M87" s="553">
        <v>192.89999</v>
      </c>
      <c r="N87" s="553">
        <v>240.8</v>
      </c>
      <c r="O87" s="553">
        <v>211.7</v>
      </c>
      <c r="P87" s="553">
        <v>113</v>
      </c>
      <c r="Q87" s="553">
        <v>268.20001000000002</v>
      </c>
      <c r="R87" s="553">
        <v>185.3</v>
      </c>
      <c r="S87" s="553">
        <v>273.39999</v>
      </c>
      <c r="T87" s="553">
        <v>119.9</v>
      </c>
      <c r="U87" s="553">
        <v>65.599999999999994</v>
      </c>
      <c r="V87" s="187">
        <v>74.8</v>
      </c>
      <c r="W87" s="553">
        <v>216</v>
      </c>
      <c r="X87" s="553">
        <v>245.89999</v>
      </c>
      <c r="Y87" s="553">
        <v>130.60001</v>
      </c>
      <c r="Z87" s="553">
        <v>206.5</v>
      </c>
      <c r="AA87" s="553">
        <v>186</v>
      </c>
      <c r="AB87" s="553">
        <v>299.29998999999998</v>
      </c>
      <c r="AC87" s="553">
        <v>280</v>
      </c>
      <c r="AD87" s="553">
        <v>268.5</v>
      </c>
      <c r="AE87" s="553">
        <v>167.39999</v>
      </c>
      <c r="AF87" s="553">
        <v>203.8</v>
      </c>
      <c r="AG87" s="553">
        <v>246</v>
      </c>
      <c r="AH87" s="553">
        <v>251.2</v>
      </c>
      <c r="AI87" s="3">
        <v>6244.7999500000005</v>
      </c>
    </row>
    <row r="88" spans="2:36" x14ac:dyDescent="0.25">
      <c r="B88" s="1" t="s">
        <v>16</v>
      </c>
      <c r="C88" s="1" t="s">
        <v>6</v>
      </c>
      <c r="D88" s="553">
        <v>154.30000000000001</v>
      </c>
      <c r="E88" s="553">
        <v>160</v>
      </c>
      <c r="F88" s="553">
        <v>179.89999</v>
      </c>
      <c r="G88" s="553">
        <v>159.89999</v>
      </c>
      <c r="H88" s="553">
        <v>209.3</v>
      </c>
      <c r="I88" s="553">
        <v>177.89999</v>
      </c>
      <c r="J88" s="553">
        <v>209.5</v>
      </c>
      <c r="K88" s="553">
        <v>254.8</v>
      </c>
      <c r="L88" s="553">
        <v>235.60001</v>
      </c>
      <c r="M88" s="553">
        <v>184.7</v>
      </c>
      <c r="N88" s="553">
        <v>234.10001</v>
      </c>
      <c r="O88" s="553">
        <v>206.10001</v>
      </c>
      <c r="P88" s="553">
        <v>109.6</v>
      </c>
      <c r="Q88" s="553">
        <v>260.29998999999998</v>
      </c>
      <c r="R88" s="553">
        <v>178.39999</v>
      </c>
      <c r="S88" s="553">
        <v>265.60001</v>
      </c>
      <c r="T88" s="553">
        <v>118.9</v>
      </c>
      <c r="U88" s="553">
        <v>65.7</v>
      </c>
      <c r="V88" s="187">
        <v>75.099999999999994</v>
      </c>
      <c r="W88" s="553">
        <v>213.39999</v>
      </c>
      <c r="X88" s="553">
        <v>245.39999</v>
      </c>
      <c r="Y88" s="553">
        <v>128.5</v>
      </c>
      <c r="Z88" s="553">
        <v>206.3</v>
      </c>
      <c r="AA88" s="553">
        <v>185.2</v>
      </c>
      <c r="AB88" s="553">
        <v>297.79998999999998</v>
      </c>
      <c r="AC88" s="553">
        <v>279.89999</v>
      </c>
      <c r="AD88" s="553">
        <v>264.60001</v>
      </c>
      <c r="AE88" s="553">
        <v>163.89999</v>
      </c>
      <c r="AF88" s="553">
        <v>203.7</v>
      </c>
      <c r="AG88" s="553">
        <v>247.2</v>
      </c>
      <c r="AH88" s="553">
        <v>255</v>
      </c>
      <c r="AI88" s="3">
        <v>6130.599949999998</v>
      </c>
    </row>
    <row r="89" spans="2:36" x14ac:dyDescent="0.25">
      <c r="B89" s="1" t="s">
        <v>17</v>
      </c>
      <c r="C89" s="1" t="s">
        <v>6</v>
      </c>
      <c r="D89" s="553">
        <v>159</v>
      </c>
      <c r="E89" s="553">
        <v>168.10001</v>
      </c>
      <c r="F89" s="553">
        <v>187.5</v>
      </c>
      <c r="G89" s="553">
        <v>168.8</v>
      </c>
      <c r="H89" s="553">
        <v>219.2</v>
      </c>
      <c r="I89" s="553">
        <v>181.89999</v>
      </c>
      <c r="J89" s="553">
        <v>218.10001</v>
      </c>
      <c r="K89" s="553">
        <v>265.70001000000002</v>
      </c>
      <c r="L89" s="553">
        <v>243.3</v>
      </c>
      <c r="M89" s="553">
        <v>191.8</v>
      </c>
      <c r="N89" s="553">
        <v>239</v>
      </c>
      <c r="O89" s="553">
        <v>212.2</v>
      </c>
      <c r="P89" s="553">
        <v>111.7</v>
      </c>
      <c r="Q89" s="553">
        <v>266.79998999999998</v>
      </c>
      <c r="R89" s="553">
        <v>182.60001</v>
      </c>
      <c r="S89" s="553">
        <v>272.70001000000002</v>
      </c>
      <c r="T89" s="553">
        <v>120.7</v>
      </c>
      <c r="U89" s="553">
        <v>64.900000000000006</v>
      </c>
      <c r="V89" s="187">
        <v>74.599999999999994</v>
      </c>
      <c r="W89" s="553">
        <v>214.5</v>
      </c>
      <c r="X89" s="553">
        <v>245.60001</v>
      </c>
      <c r="Y89" s="553">
        <v>137.10001</v>
      </c>
      <c r="Z89" s="553">
        <v>206.10001</v>
      </c>
      <c r="AA89" s="553">
        <v>182.39999</v>
      </c>
      <c r="AB89" s="553">
        <v>296</v>
      </c>
      <c r="AC89" s="553">
        <v>275.39999</v>
      </c>
      <c r="AD89" s="553">
        <v>262.20001000000002</v>
      </c>
      <c r="AE89" s="553">
        <v>166.5</v>
      </c>
      <c r="AF89" s="553">
        <v>205.60001</v>
      </c>
      <c r="AG89" s="553">
        <v>246.5</v>
      </c>
      <c r="AH89" s="553">
        <v>250</v>
      </c>
      <c r="AI89" s="3">
        <v>6236.5000600000003</v>
      </c>
    </row>
    <row r="90" spans="2:36" x14ac:dyDescent="0.25">
      <c r="B90" s="1" t="s">
        <v>18</v>
      </c>
      <c r="C90" s="1" t="s">
        <v>6</v>
      </c>
      <c r="D90" s="553">
        <v>164.7</v>
      </c>
      <c r="E90" s="553">
        <v>171.89999</v>
      </c>
      <c r="F90" s="553">
        <v>188.89999</v>
      </c>
      <c r="G90" s="553">
        <v>171.8</v>
      </c>
      <c r="H90" s="553">
        <v>221.39999</v>
      </c>
      <c r="I90" s="553">
        <v>186.5</v>
      </c>
      <c r="J90" s="553">
        <v>222.60001</v>
      </c>
      <c r="K90" s="553">
        <v>269.5</v>
      </c>
      <c r="L90" s="553">
        <v>247.89999</v>
      </c>
      <c r="M90" s="553">
        <v>200.3</v>
      </c>
      <c r="N90" s="553">
        <v>249.7</v>
      </c>
      <c r="O90" s="553">
        <v>219.10001</v>
      </c>
      <c r="P90" s="553">
        <v>124.5</v>
      </c>
      <c r="Q90" s="553">
        <v>278.60001</v>
      </c>
      <c r="R90" s="553">
        <v>190.10001</v>
      </c>
      <c r="S90" s="553">
        <v>280.29998999999998</v>
      </c>
      <c r="T90" s="553">
        <v>134.5</v>
      </c>
      <c r="U90" s="553">
        <v>73.7</v>
      </c>
      <c r="V90" s="187">
        <v>80.099999999999994</v>
      </c>
      <c r="W90" s="553">
        <v>220.8</v>
      </c>
      <c r="X90" s="553">
        <v>252.8</v>
      </c>
      <c r="Y90" s="553">
        <v>140.19999999999999</v>
      </c>
      <c r="Z90" s="553">
        <v>213.3</v>
      </c>
      <c r="AA90" s="553">
        <v>189.39999</v>
      </c>
      <c r="AB90" s="553">
        <v>307.60001</v>
      </c>
      <c r="AC90" s="553">
        <v>285</v>
      </c>
      <c r="AD90" s="553">
        <v>272.5</v>
      </c>
      <c r="AE90" s="553">
        <v>167.2</v>
      </c>
      <c r="AF90" s="553">
        <v>207.10001</v>
      </c>
      <c r="AG90" s="553">
        <v>252.2</v>
      </c>
      <c r="AH90" s="553">
        <v>256.39999</v>
      </c>
      <c r="AI90" s="3">
        <v>6440.5999899999997</v>
      </c>
    </row>
    <row r="91" spans="2:36" x14ac:dyDescent="0.25">
      <c r="B91" s="1" t="s">
        <v>19</v>
      </c>
      <c r="C91" s="1" t="s">
        <v>6</v>
      </c>
      <c r="D91" s="553">
        <v>160.80000000000001</v>
      </c>
      <c r="E91" s="553">
        <v>171.89999</v>
      </c>
      <c r="F91" s="553">
        <v>189.3</v>
      </c>
      <c r="G91" s="553">
        <v>172.10001</v>
      </c>
      <c r="H91" s="553">
        <v>222.10001</v>
      </c>
      <c r="I91" s="553">
        <v>183.8</v>
      </c>
      <c r="J91" s="553">
        <v>220.7</v>
      </c>
      <c r="K91" s="553">
        <v>274.39999</v>
      </c>
      <c r="L91" s="553">
        <v>252.39999</v>
      </c>
      <c r="M91" s="553">
        <v>198</v>
      </c>
      <c r="N91" s="553">
        <v>254.60001</v>
      </c>
      <c r="O91" s="553">
        <v>224.2</v>
      </c>
      <c r="P91" s="553">
        <v>114</v>
      </c>
      <c r="Q91" s="553">
        <v>279.70001000000002</v>
      </c>
      <c r="R91" s="553">
        <v>190.7</v>
      </c>
      <c r="S91" s="553">
        <v>283.89999</v>
      </c>
      <c r="T91" s="553">
        <v>123.2</v>
      </c>
      <c r="U91" s="553">
        <v>65.8</v>
      </c>
      <c r="V91" s="187">
        <v>76.8</v>
      </c>
      <c r="W91" s="553">
        <v>222.7</v>
      </c>
      <c r="X91" s="553">
        <v>255.10001</v>
      </c>
      <c r="Y91" s="553">
        <v>139.80000000000001</v>
      </c>
      <c r="Z91" s="553">
        <v>214.8</v>
      </c>
      <c r="AA91" s="553">
        <v>191.39999</v>
      </c>
      <c r="AB91" s="553">
        <v>304.89999</v>
      </c>
      <c r="AC91" s="553">
        <v>284.60001</v>
      </c>
      <c r="AD91" s="553">
        <v>270.79998999999998</v>
      </c>
      <c r="AE91" s="553">
        <v>166.39999</v>
      </c>
      <c r="AF91" s="553">
        <v>206.2</v>
      </c>
      <c r="AG91" s="553">
        <v>251.5</v>
      </c>
      <c r="AH91" s="553">
        <v>257.20001000000002</v>
      </c>
      <c r="AI91" s="3">
        <v>6423.7999899999995</v>
      </c>
    </row>
    <row r="92" spans="2:36" x14ac:dyDescent="0.25">
      <c r="B92" s="1" t="s">
        <v>20</v>
      </c>
      <c r="C92" s="1" t="s">
        <v>6</v>
      </c>
      <c r="D92" s="553">
        <v>162.89999</v>
      </c>
      <c r="E92" s="553">
        <v>174.5</v>
      </c>
      <c r="F92" s="553">
        <v>191.39999</v>
      </c>
      <c r="G92" s="553">
        <v>175.2</v>
      </c>
      <c r="H92" s="553">
        <v>224.3</v>
      </c>
      <c r="I92" s="553">
        <v>185.10001</v>
      </c>
      <c r="J92" s="553">
        <v>223.5</v>
      </c>
      <c r="K92" s="553">
        <v>274.79998999999998</v>
      </c>
      <c r="L92" s="553">
        <v>251.39999</v>
      </c>
      <c r="M92" s="553">
        <v>198.60001</v>
      </c>
      <c r="N92" s="553">
        <v>250.8</v>
      </c>
      <c r="O92" s="553">
        <v>225</v>
      </c>
      <c r="P92" s="553">
        <v>113.2</v>
      </c>
      <c r="Q92" s="553">
        <v>275.70001000000002</v>
      </c>
      <c r="R92" s="553">
        <v>190.2</v>
      </c>
      <c r="S92" s="553">
        <v>282.29998999999998</v>
      </c>
      <c r="T92" s="553">
        <v>122.7</v>
      </c>
      <c r="U92" s="553">
        <v>64.599999999999994</v>
      </c>
      <c r="V92" s="187">
        <v>75.7</v>
      </c>
      <c r="W92" s="553">
        <v>221.7</v>
      </c>
      <c r="X92" s="553">
        <v>253.89999</v>
      </c>
      <c r="Y92" s="553">
        <v>140</v>
      </c>
      <c r="Z92" s="553">
        <v>215.8</v>
      </c>
      <c r="AA92" s="553">
        <v>191.89999</v>
      </c>
      <c r="AB92" s="553">
        <v>301</v>
      </c>
      <c r="AC92" s="553">
        <v>280.20001000000002</v>
      </c>
      <c r="AD92" s="553">
        <v>272.5</v>
      </c>
      <c r="AE92" s="553">
        <v>165.89999</v>
      </c>
      <c r="AF92" s="553">
        <v>206.5</v>
      </c>
      <c r="AG92" s="553">
        <v>246.60001</v>
      </c>
      <c r="AH92" s="553">
        <v>256.70001000000002</v>
      </c>
      <c r="AI92" s="3">
        <v>6414.5999799999991</v>
      </c>
    </row>
    <row r="93" spans="2:36" x14ac:dyDescent="0.25">
      <c r="B93" s="1" t="s">
        <v>21</v>
      </c>
      <c r="C93" s="1" t="s">
        <v>6</v>
      </c>
      <c r="D93" s="553">
        <v>157.69999999999999</v>
      </c>
      <c r="E93" s="553">
        <v>169.3</v>
      </c>
      <c r="F93" s="553">
        <v>184.2</v>
      </c>
      <c r="G93" s="553">
        <v>168.39999</v>
      </c>
      <c r="H93" s="553">
        <v>231.89999</v>
      </c>
      <c r="I93" s="553">
        <v>188.10001</v>
      </c>
      <c r="J93" s="553">
        <v>222.39999</v>
      </c>
      <c r="K93" s="553">
        <v>274.60001</v>
      </c>
      <c r="L93" s="553">
        <v>245</v>
      </c>
      <c r="M93" s="553">
        <v>190.7</v>
      </c>
      <c r="N93" s="553">
        <v>252.89999</v>
      </c>
      <c r="O93" s="553">
        <v>216.5</v>
      </c>
      <c r="P93" s="553">
        <v>110.4</v>
      </c>
      <c r="Q93" s="553">
        <v>271.29998999999998</v>
      </c>
      <c r="R93" s="553">
        <v>184.7</v>
      </c>
      <c r="S93" s="553">
        <v>278.29998999999998</v>
      </c>
      <c r="T93" s="553">
        <v>120.2</v>
      </c>
      <c r="U93" s="553">
        <v>63.5</v>
      </c>
      <c r="V93" s="187">
        <v>73.5</v>
      </c>
      <c r="W93" s="553">
        <v>206.2</v>
      </c>
      <c r="X93" s="553">
        <v>246.5</v>
      </c>
      <c r="Y93" s="553">
        <v>130</v>
      </c>
      <c r="Z93" s="553">
        <v>196.39999</v>
      </c>
      <c r="AA93" s="553">
        <v>155.89999</v>
      </c>
      <c r="AB93" s="553">
        <v>246</v>
      </c>
      <c r="AC93" s="553">
        <v>253.5</v>
      </c>
      <c r="AD93" s="553">
        <v>243.2</v>
      </c>
      <c r="AE93" s="553">
        <v>150.60001</v>
      </c>
      <c r="AF93" s="553">
        <v>195.7</v>
      </c>
      <c r="AG93" s="553">
        <v>231</v>
      </c>
      <c r="AH93" s="553">
        <v>246.10001</v>
      </c>
      <c r="AI93" s="3">
        <v>6104.6999599999999</v>
      </c>
    </row>
    <row r="94" spans="2:36" x14ac:dyDescent="0.25">
      <c r="B94" s="1" t="s">
        <v>22</v>
      </c>
      <c r="C94" s="1" t="s">
        <v>6</v>
      </c>
      <c r="D94" s="553">
        <v>150.19999999999999</v>
      </c>
      <c r="E94" s="553">
        <v>162.10001</v>
      </c>
      <c r="F94" s="553">
        <v>174.10001</v>
      </c>
      <c r="G94" s="553">
        <v>160.19999999999999</v>
      </c>
      <c r="H94" s="553">
        <v>224.2</v>
      </c>
      <c r="I94" s="553">
        <v>185.60001</v>
      </c>
      <c r="J94" s="553">
        <v>214.60001</v>
      </c>
      <c r="K94" s="553">
        <v>264.20001000000002</v>
      </c>
      <c r="L94" s="553">
        <v>237.5</v>
      </c>
      <c r="M94" s="553">
        <v>182.10001</v>
      </c>
      <c r="N94" s="553">
        <v>248.3</v>
      </c>
      <c r="O94" s="553">
        <v>207.5</v>
      </c>
      <c r="P94" s="553">
        <v>108</v>
      </c>
      <c r="Q94" s="553">
        <v>262.70001000000002</v>
      </c>
      <c r="R94" s="553">
        <v>181.2</v>
      </c>
      <c r="S94" s="553">
        <v>269.79998999999998</v>
      </c>
      <c r="T94" s="553">
        <v>118.6</v>
      </c>
      <c r="U94" s="553">
        <v>63.4</v>
      </c>
      <c r="V94" s="187">
        <v>72.3</v>
      </c>
      <c r="W94" s="553">
        <v>200</v>
      </c>
      <c r="X94" s="553">
        <v>235.5</v>
      </c>
      <c r="Y94" s="553">
        <v>121.3</v>
      </c>
      <c r="Z94" s="553">
        <v>184.8</v>
      </c>
      <c r="AA94" s="553">
        <v>140.60001</v>
      </c>
      <c r="AB94" s="553">
        <v>241.60001</v>
      </c>
      <c r="AC94" s="553">
        <v>243.3</v>
      </c>
      <c r="AD94" s="553">
        <v>234.89999</v>
      </c>
      <c r="AE94" s="553">
        <v>145.39999</v>
      </c>
      <c r="AF94" s="553">
        <v>189.8</v>
      </c>
      <c r="AG94" s="553">
        <v>224.89999</v>
      </c>
      <c r="AH94" s="553">
        <v>240.10001</v>
      </c>
      <c r="AI94" s="3">
        <v>5888.8000600000005</v>
      </c>
    </row>
    <row r="95" spans="2:36" x14ac:dyDescent="0.25">
      <c r="B95" s="1" t="s">
        <v>23</v>
      </c>
      <c r="C95" s="1" t="s">
        <v>6</v>
      </c>
      <c r="D95" s="553">
        <v>153.69999999999999</v>
      </c>
      <c r="E95" s="553">
        <v>173.3</v>
      </c>
      <c r="F95" s="553">
        <v>179.5</v>
      </c>
      <c r="G95" s="553">
        <v>170.5</v>
      </c>
      <c r="H95" s="553">
        <v>240</v>
      </c>
      <c r="I95" s="553">
        <v>189.89999</v>
      </c>
      <c r="J95" s="553">
        <v>222.5</v>
      </c>
      <c r="K95" s="553">
        <v>284.39999</v>
      </c>
      <c r="L95" s="553">
        <v>257.20001000000002</v>
      </c>
      <c r="M95" s="553">
        <v>197.3</v>
      </c>
      <c r="N95" s="553">
        <v>268.89999</v>
      </c>
      <c r="O95" s="553">
        <v>224.5</v>
      </c>
      <c r="P95" s="553">
        <v>110.4</v>
      </c>
      <c r="Q95" s="553">
        <v>285.20001000000002</v>
      </c>
      <c r="R95" s="553">
        <v>196.3</v>
      </c>
      <c r="S95" s="553">
        <v>291.79998999999998</v>
      </c>
      <c r="T95" s="553">
        <v>124.9</v>
      </c>
      <c r="U95" s="553">
        <v>69.5</v>
      </c>
      <c r="V95" s="187">
        <v>76.900000000000006</v>
      </c>
      <c r="W95" s="553">
        <v>217.10001</v>
      </c>
      <c r="X95" s="553">
        <v>256.60001</v>
      </c>
      <c r="Y95" s="553">
        <v>122.9</v>
      </c>
      <c r="Z95" s="553">
        <v>196.60001</v>
      </c>
      <c r="AA95" s="553">
        <v>175.3</v>
      </c>
      <c r="AB95" s="553">
        <v>284.79998999999998</v>
      </c>
      <c r="AC95" s="553">
        <v>278.10001</v>
      </c>
      <c r="AD95" s="553">
        <v>261.29998999999998</v>
      </c>
      <c r="AE95" s="553">
        <v>152.60001</v>
      </c>
      <c r="AF95" s="553">
        <v>200.8</v>
      </c>
      <c r="AG95" s="553">
        <v>247.8</v>
      </c>
      <c r="AH95" s="553">
        <v>256.89999</v>
      </c>
      <c r="AI95" s="3">
        <v>6367.5</v>
      </c>
      <c r="AJ95" s="4">
        <v>115238.49991</v>
      </c>
    </row>
    <row r="96" spans="2:36" ht="15.75" x14ac:dyDescent="0.25">
      <c r="B96" s="1" t="s">
        <v>24</v>
      </c>
      <c r="C96" s="1" t="s">
        <v>6</v>
      </c>
      <c r="D96" s="553">
        <v>2983.6000200001017</v>
      </c>
      <c r="E96" s="553">
        <v>3068.3999899999999</v>
      </c>
      <c r="F96" s="553">
        <v>3435.5999900000875</v>
      </c>
      <c r="G96" s="8">
        <v>3076.200009999709</v>
      </c>
      <c r="H96" s="8">
        <v>4015.0000000000291</v>
      </c>
      <c r="I96" s="553">
        <v>3375.4000100002181</v>
      </c>
      <c r="J96" s="553">
        <v>4034.2000200000584</v>
      </c>
      <c r="K96" s="553">
        <v>4860.7000199999566</v>
      </c>
      <c r="L96" s="553">
        <v>4474.4000199997672</v>
      </c>
      <c r="M96" s="553">
        <v>3552.1000300000001</v>
      </c>
      <c r="N96" s="531">
        <v>4451.4000000001743</v>
      </c>
      <c r="O96" s="553">
        <v>3938.2999800000289</v>
      </c>
      <c r="P96" s="553">
        <v>2199.6000000001018</v>
      </c>
      <c r="Q96" s="553">
        <v>4941.7000399999561</v>
      </c>
      <c r="R96" s="553">
        <v>3420.9000200000582</v>
      </c>
      <c r="S96" s="553">
        <v>5011.2999899999122</v>
      </c>
      <c r="T96" s="553">
        <v>2333.1000199998689</v>
      </c>
      <c r="U96" s="553">
        <v>1294.7000000001747</v>
      </c>
      <c r="V96" s="187">
        <v>1438.7999999997526</v>
      </c>
      <c r="W96" s="553">
        <v>3930.8999800000583</v>
      </c>
      <c r="X96" s="534">
        <v>4483.9000000002179</v>
      </c>
      <c r="Y96" s="553">
        <v>2593.3999999997236</v>
      </c>
      <c r="Z96" s="553">
        <v>3771.8999900000435</v>
      </c>
      <c r="AA96" s="553">
        <v>3401.5000100001312</v>
      </c>
      <c r="AB96" s="553">
        <v>5325.3000099997962</v>
      </c>
      <c r="AC96" s="553">
        <v>5062.8999600000725</v>
      </c>
      <c r="AD96" s="553">
        <v>4821.6999800002177</v>
      </c>
      <c r="AE96" s="553">
        <v>3187.1000099998837</v>
      </c>
      <c r="AF96" s="553">
        <v>3747.2999900001164</v>
      </c>
      <c r="AG96" s="553">
        <v>4455.5000099997815</v>
      </c>
      <c r="AH96" s="553">
        <v>4564.1000299998977</v>
      </c>
      <c r="AI96" s="3">
        <v>115250.90012999991</v>
      </c>
      <c r="AJ96" s="180"/>
    </row>
    <row r="97" spans="2:37" x14ac:dyDescent="0.25">
      <c r="B97" s="1" t="s">
        <v>25</v>
      </c>
      <c r="C97" s="1" t="s">
        <v>26</v>
      </c>
      <c r="D97" s="8">
        <v>5.7231157008333335</v>
      </c>
      <c r="E97" s="8">
        <v>4.3230003590000097</v>
      </c>
      <c r="F97" s="8">
        <v>6.1840616688333307</v>
      </c>
      <c r="G97" s="8">
        <v>4.3032369535000035</v>
      </c>
      <c r="H97" s="8">
        <v>5.6529926643333415</v>
      </c>
      <c r="I97" s="8">
        <v>5.6720502823333465</v>
      </c>
      <c r="J97" s="8">
        <v>6.9348873270000118</v>
      </c>
      <c r="K97" s="8">
        <v>6.9696660828333306</v>
      </c>
      <c r="L97" s="8">
        <v>6.2942227328333304</v>
      </c>
      <c r="M97" s="8">
        <v>5.8100343481666705</v>
      </c>
      <c r="N97" s="8">
        <v>6.2993598110000137</v>
      </c>
      <c r="O97" s="8">
        <v>5.5439626171666694</v>
      </c>
      <c r="P97" s="8">
        <v>4.7529858746666731</v>
      </c>
      <c r="Q97" s="8">
        <v>7.0948425178333414</v>
      </c>
      <c r="R97" s="8">
        <v>4.977587761166685</v>
      </c>
      <c r="S97" s="8">
        <v>7.2115340885000059</v>
      </c>
      <c r="T97" s="8">
        <v>4.5651239493333398</v>
      </c>
      <c r="U97" s="8">
        <v>2.3708944198333328</v>
      </c>
      <c r="V97" s="187">
        <v>1.9084771973333257</v>
      </c>
      <c r="W97" s="8">
        <v>5.4488440788333437</v>
      </c>
      <c r="X97" s="8">
        <v>6.2567960253333412</v>
      </c>
      <c r="Y97" s="8">
        <v>7.4157567560544848</v>
      </c>
      <c r="Z97" s="90">
        <v>5.3261965958333368</v>
      </c>
      <c r="AA97" s="8">
        <v>6.1996810096666755</v>
      </c>
      <c r="AB97" s="556">
        <v>7.9775741723333526</v>
      </c>
      <c r="AC97" s="7">
        <v>7.4125379775000084</v>
      </c>
      <c r="AD97" s="7">
        <v>7.1727424474999957</v>
      </c>
      <c r="AE97" s="8">
        <v>6.5485160693333393</v>
      </c>
      <c r="AF97" s="8">
        <v>6.3390110165000042</v>
      </c>
      <c r="AG97" s="8">
        <v>6.4207088884999983</v>
      </c>
      <c r="AH97" s="556">
        <v>6.7399678411666679</v>
      </c>
      <c r="AI97" s="13">
        <v>5.798238624603143</v>
      </c>
    </row>
    <row r="98" spans="2:37" x14ac:dyDescent="0.25">
      <c r="B98" s="1" t="s">
        <v>27</v>
      </c>
      <c r="C98" s="1" t="s">
        <v>6</v>
      </c>
      <c r="D98" s="554">
        <v>663917.29999999085</v>
      </c>
      <c r="E98" s="554">
        <v>157520.00000000116</v>
      </c>
      <c r="F98" s="187">
        <v>98293.000000013824</v>
      </c>
      <c r="G98" s="187">
        <v>157960.00000001368</v>
      </c>
      <c r="H98" s="187">
        <v>133052.00000000841</v>
      </c>
      <c r="I98" s="554">
        <v>63639.300000006508</v>
      </c>
      <c r="J98" s="554">
        <v>15291.900000000052</v>
      </c>
      <c r="K98" s="554">
        <v>143219.99999999133</v>
      </c>
      <c r="L98" s="554">
        <v>156167.99999999348</v>
      </c>
      <c r="M98" s="554">
        <v>109308.09999999744</v>
      </c>
      <c r="N98" s="553">
        <v>157632.00000001088</v>
      </c>
      <c r="O98" s="187">
        <v>158503.99999999863</v>
      </c>
      <c r="P98" s="187">
        <v>58384.900000007547</v>
      </c>
      <c r="Q98" s="187">
        <v>103251.99999999204</v>
      </c>
      <c r="R98" s="187">
        <v>4236.0000000000582</v>
      </c>
      <c r="S98" s="187">
        <v>125728.00000000643</v>
      </c>
      <c r="T98" s="187">
        <v>14006.69999998869</v>
      </c>
      <c r="U98" s="554">
        <v>12190.500000002736</v>
      </c>
      <c r="V98" s="187">
        <v>34447.000000006505</v>
      </c>
      <c r="W98" s="554">
        <v>154463.99999999703</v>
      </c>
      <c r="X98" s="554">
        <v>156171.99999999395</v>
      </c>
      <c r="Y98" s="554">
        <v>67052.299999993673</v>
      </c>
      <c r="Z98" s="554">
        <v>150728.00000000099</v>
      </c>
      <c r="AA98" s="7">
        <v>153524.00000001106</v>
      </c>
      <c r="AB98" s="187">
        <v>155471.99999999793</v>
      </c>
      <c r="AC98" s="187">
        <v>159955.99999999866</v>
      </c>
      <c r="AD98" s="187">
        <v>151193.30000000464</v>
      </c>
      <c r="AE98" s="187">
        <v>3922.5999999998894</v>
      </c>
      <c r="AF98" s="187">
        <v>53281.400000001275</v>
      </c>
      <c r="AG98" s="187">
        <v>138847.99999998976</v>
      </c>
      <c r="AH98" s="187">
        <v>145471.99999998591</v>
      </c>
      <c r="AI98" s="3">
        <v>3856836.3000000059</v>
      </c>
    </row>
    <row r="99" spans="2:37" x14ac:dyDescent="0.25">
      <c r="B99" s="5" t="s">
        <v>28</v>
      </c>
      <c r="C99" s="1" t="s">
        <v>0</v>
      </c>
      <c r="D99" s="547">
        <v>0.17480399865090093</v>
      </c>
      <c r="E99" s="547">
        <v>0.13315917093219989</v>
      </c>
      <c r="F99" s="547">
        <v>0.19018456992829524</v>
      </c>
      <c r="G99" s="547">
        <v>0.13248754027957177</v>
      </c>
      <c r="H99" s="547">
        <v>0.1754029675984782</v>
      </c>
      <c r="I99" s="547">
        <v>0.17829189137476883</v>
      </c>
      <c r="J99" s="547">
        <v>0.21773222945143383</v>
      </c>
      <c r="K99" s="547">
        <v>0.21247836203533643</v>
      </c>
      <c r="L99" s="547">
        <v>0.19294239996232668</v>
      </c>
      <c r="M99" s="547">
        <v>0.18156813483084894</v>
      </c>
      <c r="N99" s="547">
        <v>0.19420609587905088</v>
      </c>
      <c r="O99" s="547">
        <v>0.17199431000873586</v>
      </c>
      <c r="P99" s="547">
        <v>0.15070460830738444</v>
      </c>
      <c r="Q99" s="547">
        <v>0.21675167012940408</v>
      </c>
      <c r="R99" s="547">
        <v>0.15445394838018278</v>
      </c>
      <c r="S99" s="547">
        <v>0.2202159544208972</v>
      </c>
      <c r="T99" s="547">
        <v>0.13983340586913084</v>
      </c>
      <c r="U99" s="547">
        <v>7.4705118035397367E-2</v>
      </c>
      <c r="V99" s="547">
        <v>6.207035428570884E-2</v>
      </c>
      <c r="W99" s="547">
        <v>0.17114015482244752</v>
      </c>
      <c r="X99" s="547">
        <v>0.19660825486864789</v>
      </c>
      <c r="Y99" s="547">
        <v>0.23286482800538916</v>
      </c>
      <c r="Z99" s="539">
        <v>0.16558321128372086</v>
      </c>
      <c r="AA99" s="547">
        <v>0.18978655004307465</v>
      </c>
      <c r="AB99" s="547">
        <v>0.24263680246038391</v>
      </c>
      <c r="AC99" s="547">
        <v>0.22823837065216529</v>
      </c>
      <c r="AD99" s="547">
        <v>0.21741439732275225</v>
      </c>
      <c r="AE99" s="547">
        <v>0.20034994147584903</v>
      </c>
      <c r="AF99" s="547">
        <v>0.19555142301583991</v>
      </c>
      <c r="AG99" s="547">
        <v>0.19706356690881702</v>
      </c>
      <c r="AH99" s="547">
        <v>0.20417611308033659</v>
      </c>
      <c r="AI99" s="14">
        <v>0.17923604433194584</v>
      </c>
    </row>
    <row r="100" spans="2:37" x14ac:dyDescent="0.25">
      <c r="B100" s="5" t="s">
        <v>35</v>
      </c>
      <c r="C100" s="1" t="s">
        <v>0</v>
      </c>
      <c r="D100" s="547">
        <v>0.12439130228137307</v>
      </c>
      <c r="E100" s="547">
        <v>0.12792675563671538</v>
      </c>
      <c r="F100" s="547">
        <v>0.14323594114802579</v>
      </c>
      <c r="G100" s="547">
        <v>0.1282519515876071</v>
      </c>
      <c r="H100" s="547">
        <v>0.16739210192782458</v>
      </c>
      <c r="I100" s="547">
        <v>0.14072610274498942</v>
      </c>
      <c r="J100" s="547">
        <v>0.16819258304983234</v>
      </c>
      <c r="K100" s="547">
        <v>0.20265075795477105</v>
      </c>
      <c r="L100" s="547">
        <v>0.18654526132345106</v>
      </c>
      <c r="M100" s="547">
        <v>0.14809302373090522</v>
      </c>
      <c r="N100" s="547">
        <v>0.18558635181109392</v>
      </c>
      <c r="O100" s="547">
        <v>0.1641943491094669</v>
      </c>
      <c r="P100" s="547">
        <v>9.1705023013812531E-2</v>
      </c>
      <c r="Q100" s="547">
        <v>0.20602778500433411</v>
      </c>
      <c r="R100" s="547">
        <v>0.14262307467814264</v>
      </c>
      <c r="S100" s="547">
        <v>0.20892952396437497</v>
      </c>
      <c r="T100" s="547">
        <v>9.7270863351338679E-2</v>
      </c>
      <c r="U100" s="547">
        <v>5.3978220265499914E-2</v>
      </c>
      <c r="V100" s="547">
        <v>5.9985991594946664E-2</v>
      </c>
      <c r="W100" s="547">
        <v>0.16388583066506815</v>
      </c>
      <c r="X100" s="547">
        <v>0.18694133146555508</v>
      </c>
      <c r="Y100" s="547">
        <v>0.10812320725767643</v>
      </c>
      <c r="Z100" s="539">
        <v>0.15725685369555248</v>
      </c>
      <c r="AA100" s="547">
        <v>0.14181425563672084</v>
      </c>
      <c r="AB100" s="547">
        <v>0.22202071284436481</v>
      </c>
      <c r="AC100" s="547">
        <v>0.2110808134880959</v>
      </c>
      <c r="AD100" s="547">
        <v>0.20102478070176347</v>
      </c>
      <c r="AE100" s="547">
        <v>0.13287555908544643</v>
      </c>
      <c r="AF100" s="547">
        <v>0.15623123832633398</v>
      </c>
      <c r="AG100" s="547">
        <v>0.18575728812286463</v>
      </c>
      <c r="AH100" s="547">
        <v>0.1902850055866811</v>
      </c>
      <c r="AI100" s="14">
        <v>0.15259751103638391</v>
      </c>
    </row>
    <row r="101" spans="2:37" ht="15.75" x14ac:dyDescent="0.25">
      <c r="B101" s="5" t="s">
        <v>113</v>
      </c>
      <c r="C101" s="1"/>
      <c r="D101" s="541">
        <v>5.041269636952786E-2</v>
      </c>
      <c r="E101" s="541">
        <v>5.232415295484516E-3</v>
      </c>
      <c r="F101" s="541">
        <v>4.6948628780269452E-2</v>
      </c>
      <c r="G101" s="541">
        <v>4.2355886919646646E-3</v>
      </c>
      <c r="H101" s="541">
        <v>8.0108656706536219E-3</v>
      </c>
      <c r="I101" s="541">
        <v>3.7565788629779412E-2</v>
      </c>
      <c r="J101" s="541">
        <v>4.9539646401601495E-2</v>
      </c>
      <c r="K101" s="541">
        <v>9.8276040805653775E-3</v>
      </c>
      <c r="L101" s="541">
        <v>6.3971386388756157E-3</v>
      </c>
      <c r="M101" s="541">
        <v>3.3475111099943722E-2</v>
      </c>
      <c r="N101" s="541">
        <v>8.6197440679569581E-3</v>
      </c>
      <c r="O101" s="541">
        <v>7.7999608992689595E-3</v>
      </c>
      <c r="P101" s="541">
        <v>5.899958529357191E-2</v>
      </c>
      <c r="Q101" s="541">
        <v>1.0723885125069971E-2</v>
      </c>
      <c r="R101" s="541">
        <v>1.183087370204014E-2</v>
      </c>
      <c r="S101" s="541">
        <v>1.1286430456522223E-2</v>
      </c>
      <c r="T101" s="541">
        <v>4.2562542517792165E-2</v>
      </c>
      <c r="U101" s="541">
        <v>2.0726897769897452E-2</v>
      </c>
      <c r="V101" s="541">
        <v>2.084362690762176E-3</v>
      </c>
      <c r="W101" s="541">
        <v>7.254324157379366E-3</v>
      </c>
      <c r="X101" s="541">
        <v>9.6669234030928031E-3</v>
      </c>
      <c r="Y101" s="541">
        <v>0.12474162074771272</v>
      </c>
      <c r="Z101" s="541">
        <v>8.3263575881683816E-3</v>
      </c>
      <c r="AA101" s="541">
        <v>4.797229440635381E-2</v>
      </c>
      <c r="AB101" s="541">
        <v>2.0616089616019101E-2</v>
      </c>
      <c r="AC101" s="541">
        <v>1.7157557164069387E-2</v>
      </c>
      <c r="AD101" s="541">
        <v>1.6389616620988784E-2</v>
      </c>
      <c r="AE101" s="541">
        <v>6.7474382390402599E-2</v>
      </c>
      <c r="AF101" s="541">
        <v>3.9320184689505933E-2</v>
      </c>
      <c r="AG101" s="541">
        <v>1.1306278785952389E-2</v>
      </c>
      <c r="AH101" s="541">
        <v>1.3891107493655491E-2</v>
      </c>
      <c r="AI101" s="49">
        <v>2.6638533295561956E-2</v>
      </c>
    </row>
    <row r="102" spans="2:37" ht="15.75" x14ac:dyDescent="0.25">
      <c r="B102" s="1" t="s">
        <v>111</v>
      </c>
      <c r="C102" s="1"/>
      <c r="D102" s="555">
        <v>0.52163741060105695</v>
      </c>
      <c r="E102" s="555">
        <v>0.71021093692237691</v>
      </c>
      <c r="F102" s="555">
        <v>0.55589073519073751</v>
      </c>
      <c r="G102" s="555">
        <v>0.71528639286271833</v>
      </c>
      <c r="H102" s="555">
        <v>0.7106696726523285</v>
      </c>
      <c r="I102" s="555">
        <v>0.59545072729685899</v>
      </c>
      <c r="J102" s="555">
        <v>0.58207463263028858</v>
      </c>
      <c r="K102" s="555">
        <v>0.69782657204968013</v>
      </c>
      <c r="L102" s="555">
        <v>0.71130089636142801</v>
      </c>
      <c r="M102" s="555">
        <v>0.61174037132211556</v>
      </c>
      <c r="N102" s="555">
        <v>0.70706747623599819</v>
      </c>
      <c r="O102" s="555">
        <v>0.71080284099050151</v>
      </c>
      <c r="P102" s="555">
        <v>0.4630606129217355</v>
      </c>
      <c r="Q102" s="555">
        <v>0.69693820936480011</v>
      </c>
      <c r="R102" s="555">
        <v>0.68767321773411094</v>
      </c>
      <c r="S102" s="555">
        <v>0.69531787739049189</v>
      </c>
      <c r="T102" s="555">
        <v>0.51137729146939004</v>
      </c>
      <c r="U102" s="555">
        <v>0.54640867831772377</v>
      </c>
      <c r="V102" s="541">
        <v>0.75435210873377545</v>
      </c>
      <c r="W102" s="555">
        <v>0.72185217250771272</v>
      </c>
      <c r="X102" s="555">
        <v>0.71707499125869156</v>
      </c>
      <c r="Y102" s="555">
        <v>0.34992476958816371</v>
      </c>
      <c r="Z102" s="555">
        <v>0.70860405183799902</v>
      </c>
      <c r="AA102" s="555">
        <v>0.54898665430921756</v>
      </c>
      <c r="AB102" s="555"/>
      <c r="AC102" s="555"/>
      <c r="AD102" s="555"/>
      <c r="AE102" s="555" t="e">
        <v>#REF!</v>
      </c>
      <c r="AF102" s="555" t="e">
        <v>#REF!</v>
      </c>
      <c r="AG102" s="555" t="e">
        <v>#REF!</v>
      </c>
      <c r="AH102" s="555" t="e">
        <v>#REF!</v>
      </c>
      <c r="AI102" s="49">
        <v>0.63464705418957923</v>
      </c>
      <c r="AK102" s="19"/>
    </row>
    <row r="103" spans="2:37" x14ac:dyDescent="0.25">
      <c r="B103" s="5" t="s">
        <v>109</v>
      </c>
      <c r="C103" s="1" t="s">
        <v>59</v>
      </c>
      <c r="D103" s="554">
        <v>4192.7787900410494</v>
      </c>
      <c r="E103" s="554">
        <v>3193.9026103113738</v>
      </c>
      <c r="F103" s="554">
        <v>4561.6910204721189</v>
      </c>
      <c r="G103" s="554">
        <v>3177.7931461296967</v>
      </c>
      <c r="H103" s="554">
        <v>4207.1454196300583</v>
      </c>
      <c r="I103" s="554">
        <v>4276.437989758655</v>
      </c>
      <c r="J103" s="554">
        <v>5222.438162730311</v>
      </c>
      <c r="K103" s="554">
        <v>5096.421000434766</v>
      </c>
      <c r="L103" s="554">
        <v>4627.8392285363825</v>
      </c>
      <c r="M103" s="554">
        <v>4355.02065479881</v>
      </c>
      <c r="N103" s="554">
        <v>4658.1497333165626</v>
      </c>
      <c r="O103" s="554">
        <v>4125.3867221455348</v>
      </c>
      <c r="P103" s="554">
        <v>3614.7404530176</v>
      </c>
      <c r="Q103" s="554">
        <v>5198.9188590558342</v>
      </c>
      <c r="R103" s="554">
        <v>3704.6706242677119</v>
      </c>
      <c r="S103" s="554">
        <v>5282.0117963578723</v>
      </c>
      <c r="T103" s="554">
        <v>3353.9881398146244</v>
      </c>
      <c r="U103" s="554">
        <v>1791.8470791498271</v>
      </c>
      <c r="V103" s="554">
        <v>1488.7946897552979</v>
      </c>
      <c r="W103" s="554">
        <v>4104.899297509297</v>
      </c>
      <c r="X103" s="554">
        <v>4715.7669579774411</v>
      </c>
      <c r="Y103" s="554">
        <v>5585.4026186060619</v>
      </c>
      <c r="Z103" s="554">
        <v>3971.612672566815</v>
      </c>
      <c r="AA103" s="554">
        <v>4552.1442747131714</v>
      </c>
      <c r="AB103" s="554">
        <v>5819.7892890937846</v>
      </c>
      <c r="AC103" s="554">
        <v>5474.4342631145755</v>
      </c>
      <c r="AD103" s="554">
        <v>5214.814768424606</v>
      </c>
      <c r="AE103" s="554">
        <v>4805.513556263124</v>
      </c>
      <c r="AF103" s="554">
        <v>4690.4182118887293</v>
      </c>
      <c r="AG103" s="554">
        <v>4726.6878904481209</v>
      </c>
      <c r="AH103" s="554">
        <v>4897.2865778997211</v>
      </c>
      <c r="AI103" s="3">
        <v>134688.74649822951</v>
      </c>
    </row>
    <row r="104" spans="2:37" x14ac:dyDescent="0.25">
      <c r="B104" s="5" t="s">
        <v>213</v>
      </c>
      <c r="C104" s="1"/>
      <c r="D104" s="225">
        <v>36.305419642857125</v>
      </c>
      <c r="E104" s="225">
        <v>34.625218749999988</v>
      </c>
      <c r="F104" s="225">
        <v>34.939861607142859</v>
      </c>
      <c r="G104" s="225">
        <v>34.72</v>
      </c>
      <c r="H104" s="225">
        <v>33.159999999999997</v>
      </c>
      <c r="I104" s="225">
        <v>30.532044642857112</v>
      </c>
      <c r="J104" s="225">
        <v>30.770540178571412</v>
      </c>
      <c r="K104" s="225">
        <v>36.677428571428599</v>
      </c>
      <c r="L104" s="225">
        <v>35.589281249999999</v>
      </c>
      <c r="M104" s="225">
        <v>31.716852678571399</v>
      </c>
      <c r="N104" s="225">
        <v>34.450000000000003</v>
      </c>
      <c r="O104" s="225">
        <v>33.19</v>
      </c>
      <c r="P104" s="225">
        <v>28.7548125</v>
      </c>
      <c r="Q104" s="225">
        <v>36.259397321428601</v>
      </c>
      <c r="R104" s="225">
        <v>33.15</v>
      </c>
      <c r="S104" s="225">
        <v>36.35</v>
      </c>
      <c r="T104" s="225">
        <v>35.73905803571423</v>
      </c>
      <c r="U104" s="225">
        <v>30.04</v>
      </c>
      <c r="V104" s="225">
        <v>23.46</v>
      </c>
      <c r="W104" s="225">
        <v>30.6935</v>
      </c>
      <c r="X104" s="225">
        <v>30.5986026785714</v>
      </c>
      <c r="Y104" s="225">
        <v>30.74</v>
      </c>
      <c r="Z104" s="225">
        <v>32.769999999999996</v>
      </c>
      <c r="AA104" s="225">
        <v>35.859031250000001</v>
      </c>
      <c r="AB104" s="225">
        <v>37.14</v>
      </c>
      <c r="AC104" s="225">
        <v>34.700705357142901</v>
      </c>
      <c r="AD104" s="225">
        <v>37.812535714285723</v>
      </c>
      <c r="AE104" s="225">
        <v>35.973214285714299</v>
      </c>
      <c r="AF104" s="225">
        <v>34.324218749999964</v>
      </c>
      <c r="AG104" s="225">
        <v>35.342866071428602</v>
      </c>
      <c r="AH104" s="225">
        <v>37.928397321428598</v>
      </c>
      <c r="AI104" s="13">
        <v>33.454196588010198</v>
      </c>
    </row>
    <row r="105" spans="2:37" ht="15" customHeight="1" x14ac:dyDescent="0.25">
      <c r="B105" s="219" t="s">
        <v>100</v>
      </c>
      <c r="C105" s="1" t="s">
        <v>59</v>
      </c>
      <c r="D105" s="222">
        <v>116</v>
      </c>
      <c r="E105" s="222">
        <v>78</v>
      </c>
      <c r="F105" s="222">
        <v>119</v>
      </c>
      <c r="G105" s="222">
        <v>54</v>
      </c>
      <c r="H105" s="222">
        <v>144</v>
      </c>
      <c r="I105" s="222">
        <v>105</v>
      </c>
      <c r="J105" s="222">
        <v>110</v>
      </c>
      <c r="K105" s="222">
        <v>188</v>
      </c>
      <c r="L105" s="222">
        <v>105</v>
      </c>
      <c r="M105" s="222">
        <v>161</v>
      </c>
      <c r="N105" s="222">
        <v>159</v>
      </c>
      <c r="O105" s="222">
        <v>139</v>
      </c>
      <c r="P105" s="222">
        <v>128</v>
      </c>
      <c r="Q105" s="222">
        <v>209</v>
      </c>
      <c r="R105" s="222">
        <v>165</v>
      </c>
      <c r="S105" s="222">
        <v>223</v>
      </c>
      <c r="T105" s="222">
        <v>165</v>
      </c>
      <c r="U105" s="222">
        <v>67</v>
      </c>
      <c r="V105" s="222"/>
      <c r="W105" s="222">
        <v>126</v>
      </c>
      <c r="X105" s="222">
        <v>184</v>
      </c>
      <c r="Y105" s="222">
        <v>111</v>
      </c>
      <c r="Z105" s="222">
        <v>152</v>
      </c>
      <c r="AA105" s="222">
        <v>465</v>
      </c>
      <c r="AB105" s="222">
        <v>447</v>
      </c>
      <c r="AC105" s="222">
        <v>364</v>
      </c>
      <c r="AD105" s="222">
        <v>345</v>
      </c>
      <c r="AE105" s="222">
        <v>468</v>
      </c>
      <c r="AF105" s="222">
        <v>91</v>
      </c>
      <c r="AG105" s="222">
        <v>223</v>
      </c>
      <c r="AH105" s="222">
        <v>285</v>
      </c>
      <c r="AI105" s="13">
        <v>5696</v>
      </c>
    </row>
    <row r="106" spans="2:37" ht="15" customHeight="1" x14ac:dyDescent="0.25">
      <c r="B106" s="219" t="s">
        <v>101</v>
      </c>
      <c r="C106" s="1" t="s">
        <v>59</v>
      </c>
      <c r="D106" s="222">
        <v>1045</v>
      </c>
      <c r="E106" s="222"/>
      <c r="F106" s="222">
        <v>959</v>
      </c>
      <c r="G106" s="222"/>
      <c r="H106" s="222"/>
      <c r="I106" s="222">
        <v>748</v>
      </c>
      <c r="J106" s="222">
        <v>1030</v>
      </c>
      <c r="K106" s="222"/>
      <c r="L106" s="222"/>
      <c r="M106" s="222">
        <v>594</v>
      </c>
      <c r="N106" s="222"/>
      <c r="O106" s="222"/>
      <c r="P106" s="222">
        <v>1239</v>
      </c>
      <c r="Q106" s="222"/>
      <c r="R106" s="222"/>
      <c r="S106" s="222"/>
      <c r="T106" s="222">
        <v>808</v>
      </c>
      <c r="U106" s="222">
        <v>382</v>
      </c>
      <c r="V106" s="222"/>
      <c r="W106" s="222"/>
      <c r="X106" s="222"/>
      <c r="Y106" s="222">
        <v>2454</v>
      </c>
      <c r="Z106" s="222"/>
      <c r="AA106" s="222"/>
      <c r="AB106" s="222"/>
      <c r="AC106" s="222"/>
      <c r="AD106" s="222"/>
      <c r="AE106" s="222">
        <v>1102</v>
      </c>
      <c r="AF106" s="222">
        <v>804</v>
      </c>
      <c r="AG106" s="222"/>
      <c r="AH106" s="222"/>
      <c r="AI106" s="13">
        <v>11165</v>
      </c>
      <c r="AJ106" s="301">
        <v>13445</v>
      </c>
    </row>
    <row r="107" spans="2:37" ht="15" customHeight="1" x14ac:dyDescent="0.25">
      <c r="B107" s="219" t="s">
        <v>102</v>
      </c>
      <c r="C107" s="1" t="s">
        <v>59</v>
      </c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>
        <v>476</v>
      </c>
      <c r="AB107" s="222"/>
      <c r="AC107" s="222"/>
      <c r="AD107" s="222"/>
      <c r="AE107" s="222"/>
      <c r="AF107" s="222"/>
      <c r="AG107" s="222"/>
      <c r="AH107" s="222"/>
      <c r="AI107" s="13">
        <v>476</v>
      </c>
    </row>
    <row r="108" spans="2:37" ht="15" customHeight="1" x14ac:dyDescent="0.25">
      <c r="B108" s="219" t="s">
        <v>103</v>
      </c>
      <c r="C108" s="1" t="s">
        <v>59</v>
      </c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>
        <v>71</v>
      </c>
      <c r="S108" s="222"/>
      <c r="T108" s="222"/>
      <c r="U108" s="222"/>
      <c r="V108" s="222"/>
      <c r="W108" s="222"/>
      <c r="X108" s="222"/>
      <c r="Y108" s="222">
        <v>379</v>
      </c>
      <c r="Z108" s="222"/>
      <c r="AA108" s="222">
        <v>161</v>
      </c>
      <c r="AB108" s="222"/>
      <c r="AC108" s="222"/>
      <c r="AD108" s="222"/>
      <c r="AE108" s="222"/>
      <c r="AF108" s="222"/>
      <c r="AG108" s="222"/>
      <c r="AH108" s="222"/>
      <c r="AI108" s="13">
        <v>611</v>
      </c>
      <c r="AJ108" s="301"/>
    </row>
    <row r="109" spans="2:37" x14ac:dyDescent="0.25">
      <c r="B109" s="5" t="s">
        <v>218</v>
      </c>
      <c r="C109" s="1" t="s">
        <v>59</v>
      </c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13">
        <v>0</v>
      </c>
    </row>
    <row r="110" spans="2:37" x14ac:dyDescent="0.25">
      <c r="B110" s="220" t="s">
        <v>86</v>
      </c>
      <c r="C110" s="1" t="s">
        <v>59</v>
      </c>
      <c r="D110" s="222">
        <v>1161</v>
      </c>
      <c r="E110" s="222">
        <v>78</v>
      </c>
      <c r="F110" s="222">
        <v>1078</v>
      </c>
      <c r="G110" s="222">
        <v>54</v>
      </c>
      <c r="H110" s="222">
        <v>144</v>
      </c>
      <c r="I110" s="222">
        <v>853</v>
      </c>
      <c r="J110" s="222">
        <v>1140</v>
      </c>
      <c r="K110" s="222">
        <v>188</v>
      </c>
      <c r="L110" s="222">
        <v>105</v>
      </c>
      <c r="M110" s="222">
        <v>755</v>
      </c>
      <c r="N110" s="222">
        <v>159</v>
      </c>
      <c r="O110" s="222">
        <v>139</v>
      </c>
      <c r="P110" s="222">
        <v>1367</v>
      </c>
      <c r="Q110" s="222">
        <v>209</v>
      </c>
      <c r="R110" s="222">
        <v>236</v>
      </c>
      <c r="S110" s="222">
        <v>223</v>
      </c>
      <c r="T110" s="222">
        <v>973</v>
      </c>
      <c r="U110" s="222">
        <v>449</v>
      </c>
      <c r="V110" s="222">
        <v>0</v>
      </c>
      <c r="W110" s="222">
        <v>126</v>
      </c>
      <c r="X110" s="222">
        <v>184</v>
      </c>
      <c r="Y110" s="222">
        <v>2944</v>
      </c>
      <c r="Z110" s="222">
        <v>152</v>
      </c>
      <c r="AA110" s="222">
        <v>1102</v>
      </c>
      <c r="AB110" s="222">
        <v>447</v>
      </c>
      <c r="AC110" s="222">
        <v>364</v>
      </c>
      <c r="AD110" s="222">
        <v>345</v>
      </c>
      <c r="AE110" s="222">
        <v>1570</v>
      </c>
      <c r="AF110" s="222">
        <v>895</v>
      </c>
      <c r="AG110" s="222">
        <v>223</v>
      </c>
      <c r="AH110" s="222">
        <v>285</v>
      </c>
      <c r="AI110" s="13">
        <v>17948</v>
      </c>
    </row>
    <row r="111" spans="2:37" x14ac:dyDescent="0.25">
      <c r="B111" s="220" t="s">
        <v>86</v>
      </c>
      <c r="C111" s="1" t="s">
        <v>59</v>
      </c>
      <c r="D111" s="539">
        <v>4.840404242545527E-2</v>
      </c>
      <c r="E111" s="539">
        <v>3.2519511707024217E-3</v>
      </c>
      <c r="F111" s="539">
        <v>4.4943632846374489E-2</v>
      </c>
      <c r="G111" s="539">
        <v>2.2513508104862918E-3</v>
      </c>
      <c r="H111" s="539">
        <v>6.0036021612967783E-3</v>
      </c>
      <c r="I111" s="539">
        <v>3.5563004469348278E-2</v>
      </c>
      <c r="J111" s="539">
        <v>4.7528517110266157E-2</v>
      </c>
      <c r="K111" s="539">
        <v>7.838036155026349E-3</v>
      </c>
      <c r="L111" s="539">
        <v>4.3776265759455672E-3</v>
      </c>
      <c r="M111" s="539">
        <v>3.1477219665132415E-2</v>
      </c>
      <c r="N111" s="539">
        <v>6.628977386431859E-3</v>
      </c>
      <c r="O111" s="539">
        <v>5.7951437529184177E-3</v>
      </c>
      <c r="P111" s="539">
        <v>5.6992528850643716E-2</v>
      </c>
      <c r="Q111" s="539">
        <v>8.7135614702154637E-3</v>
      </c>
      <c r="R111" s="539">
        <v>9.8392368754586079E-3</v>
      </c>
      <c r="S111" s="539">
        <v>9.2972450136748711E-3</v>
      </c>
      <c r="T111" s="539">
        <v>4.0566006270428924E-2</v>
      </c>
      <c r="U111" s="539">
        <v>1.8719565072376761E-2</v>
      </c>
      <c r="V111" s="539">
        <v>0</v>
      </c>
      <c r="W111" s="539">
        <v>5.253151891134681E-3</v>
      </c>
      <c r="X111" s="539">
        <v>7.6712694283236618E-3</v>
      </c>
      <c r="Y111" s="539">
        <v>0.12274031085317859</v>
      </c>
      <c r="Z111" s="539">
        <v>6.3371356147021544E-3</v>
      </c>
      <c r="AA111" s="539">
        <v>4.5944233206590628E-2</v>
      </c>
      <c r="AB111" s="539">
        <v>1.8636181709025416E-2</v>
      </c>
      <c r="AC111" s="539">
        <v>1.5175772129944634E-2</v>
      </c>
      <c r="AD111" s="539">
        <v>1.4383630178106864E-2</v>
      </c>
      <c r="AE111" s="539">
        <v>6.5455940230805157E-2</v>
      </c>
      <c r="AF111" s="539">
        <v>3.7314055099726504E-2</v>
      </c>
      <c r="AG111" s="539">
        <v>9.2972450136748711E-3</v>
      </c>
      <c r="AH111" s="539">
        <v>1.1882129277566539E-2</v>
      </c>
      <c r="AI111" s="13">
        <v>2.413813879725684E-2</v>
      </c>
    </row>
    <row r="112" spans="2:37" x14ac:dyDescent="0.25">
      <c r="B112" s="5" t="s">
        <v>116</v>
      </c>
      <c r="C112" s="1" t="s">
        <v>60</v>
      </c>
      <c r="D112" s="539">
        <v>2.0086539440725901E-3</v>
      </c>
      <c r="E112" s="539">
        <v>1.9804641247820943E-3</v>
      </c>
      <c r="F112" s="539">
        <v>2.0049959338949638E-3</v>
      </c>
      <c r="G112" s="539">
        <v>1.9842378814783727E-3</v>
      </c>
      <c r="H112" s="539">
        <v>2.0072635093568436E-3</v>
      </c>
      <c r="I112" s="539">
        <v>2.0027841604311342E-3</v>
      </c>
      <c r="J112" s="539">
        <v>2.0111292913353382E-3</v>
      </c>
      <c r="K112" s="539">
        <v>1.9895679255390285E-3</v>
      </c>
      <c r="L112" s="539">
        <v>2.0195120629300485E-3</v>
      </c>
      <c r="M112" s="539">
        <v>1.9978914348113067E-3</v>
      </c>
      <c r="N112" s="539">
        <v>1.9907666815250991E-3</v>
      </c>
      <c r="O112" s="539">
        <v>2.0048171463505418E-3</v>
      </c>
      <c r="P112" s="539">
        <v>2.0070564429281942E-3</v>
      </c>
      <c r="Q112" s="539">
        <v>2.0103236548545071E-3</v>
      </c>
      <c r="R112" s="539">
        <v>1.9916368265815321E-3</v>
      </c>
      <c r="S112" s="539">
        <v>1.9891854428473518E-3</v>
      </c>
      <c r="T112" s="539">
        <v>1.9965362473632411E-3</v>
      </c>
      <c r="U112" s="539">
        <v>2.0073326975206911E-3</v>
      </c>
      <c r="V112" s="539">
        <v>2.084362690762176E-3</v>
      </c>
      <c r="W112" s="539">
        <v>2.001172266244685E-3</v>
      </c>
      <c r="X112" s="539">
        <v>1.9956539747691413E-3</v>
      </c>
      <c r="Y112" s="539">
        <v>2.001309894534134E-3</v>
      </c>
      <c r="Z112" s="539">
        <v>1.9892219734662271E-3</v>
      </c>
      <c r="AA112" s="539">
        <v>2.0280611997631828E-3</v>
      </c>
      <c r="AB112" s="539">
        <v>1.9799079069936845E-3</v>
      </c>
      <c r="AC112" s="539">
        <v>1.9817850341247532E-3</v>
      </c>
      <c r="AD112" s="539">
        <v>2.0059864428819199E-3</v>
      </c>
      <c r="AE112" s="539">
        <v>2.0184421595974417E-3</v>
      </c>
      <c r="AF112" s="539">
        <v>2.006129589779429E-3</v>
      </c>
      <c r="AG112" s="539">
        <v>2.0090337722775183E-3</v>
      </c>
      <c r="AH112" s="539">
        <v>2.0089782160889521E-3</v>
      </c>
      <c r="AI112" s="224">
        <v>2.0032163911335795E-3</v>
      </c>
    </row>
    <row r="113" spans="1:35" x14ac:dyDescent="0.25">
      <c r="A113" s="218" t="s">
        <v>228</v>
      </c>
      <c r="B113" s="672" t="s">
        <v>36</v>
      </c>
      <c r="C113" s="673"/>
      <c r="D113" s="673"/>
      <c r="E113" s="673"/>
      <c r="F113" s="673"/>
      <c r="G113" s="673"/>
      <c r="H113" s="673"/>
      <c r="I113" s="673"/>
      <c r="J113" s="673"/>
      <c r="K113" s="673"/>
      <c r="L113" s="673"/>
      <c r="M113" s="673"/>
      <c r="N113" s="673"/>
      <c r="O113" s="673"/>
      <c r="P113" s="673"/>
      <c r="Q113" s="673"/>
      <c r="R113" s="673"/>
      <c r="S113" s="673"/>
      <c r="T113" s="673"/>
      <c r="U113" s="673"/>
      <c r="V113" s="673"/>
      <c r="W113" s="673"/>
      <c r="X113" s="673"/>
      <c r="Y113" s="673"/>
      <c r="Z113" s="673"/>
      <c r="AA113" s="673"/>
      <c r="AB113" s="673"/>
      <c r="AC113" s="673"/>
      <c r="AD113" s="673"/>
      <c r="AE113" s="673"/>
      <c r="AF113" s="673"/>
      <c r="AG113" s="673"/>
      <c r="AH113" s="673"/>
      <c r="AI113" s="674"/>
    </row>
    <row r="114" spans="1:35" x14ac:dyDescent="0.25">
      <c r="B114" s="1" t="s">
        <v>2</v>
      </c>
      <c r="C114" s="1" t="s">
        <v>3</v>
      </c>
      <c r="D114" s="187">
        <v>1</v>
      </c>
      <c r="E114" s="187">
        <v>2</v>
      </c>
      <c r="F114" s="187">
        <v>3</v>
      </c>
      <c r="G114" s="187">
        <v>4</v>
      </c>
      <c r="H114" s="187">
        <v>5</v>
      </c>
      <c r="I114" s="187">
        <v>6</v>
      </c>
      <c r="J114" s="187">
        <v>7</v>
      </c>
      <c r="K114" s="187">
        <v>8</v>
      </c>
      <c r="L114" s="187">
        <v>9</v>
      </c>
      <c r="M114" s="187">
        <v>10</v>
      </c>
      <c r="N114" s="187">
        <v>11</v>
      </c>
      <c r="O114" s="187">
        <v>12</v>
      </c>
      <c r="P114" s="187">
        <v>13</v>
      </c>
      <c r="Q114" s="187">
        <v>14</v>
      </c>
      <c r="R114" s="187">
        <v>15</v>
      </c>
      <c r="S114" s="187">
        <v>16</v>
      </c>
      <c r="T114" s="187">
        <v>17</v>
      </c>
      <c r="U114" s="187">
        <v>18</v>
      </c>
      <c r="V114" s="187">
        <v>19</v>
      </c>
      <c r="W114" s="187">
        <v>20</v>
      </c>
      <c r="X114" s="187">
        <v>21</v>
      </c>
      <c r="Y114" s="187">
        <v>22</v>
      </c>
      <c r="Z114" s="187">
        <v>23</v>
      </c>
      <c r="AA114" s="187">
        <v>24</v>
      </c>
      <c r="AB114" s="187">
        <v>25</v>
      </c>
      <c r="AC114" s="187">
        <v>26</v>
      </c>
      <c r="AD114" s="187">
        <v>27</v>
      </c>
      <c r="AE114" s="187">
        <v>28</v>
      </c>
      <c r="AF114" s="187">
        <v>29</v>
      </c>
      <c r="AG114" s="187">
        <v>30</v>
      </c>
      <c r="AH114" s="187">
        <v>31</v>
      </c>
      <c r="AI114" s="187" t="s">
        <v>4</v>
      </c>
    </row>
    <row r="115" spans="1:35" x14ac:dyDescent="0.25">
      <c r="B115" s="1" t="s">
        <v>5</v>
      </c>
      <c r="C115" s="1" t="s">
        <v>6</v>
      </c>
      <c r="D115" s="553">
        <v>504.39999389648437</v>
      </c>
      <c r="E115" s="553">
        <v>335.5</v>
      </c>
      <c r="F115" s="553">
        <v>425.10000610351562</v>
      </c>
      <c r="G115" s="553">
        <v>415.60000610351562</v>
      </c>
      <c r="H115" s="553">
        <v>297</v>
      </c>
      <c r="I115" s="553">
        <v>424</v>
      </c>
      <c r="J115" s="553">
        <v>442.89999389648437</v>
      </c>
      <c r="K115" s="553">
        <v>509.29998779296875</v>
      </c>
      <c r="L115" s="553">
        <v>365.20001220703125</v>
      </c>
      <c r="M115" s="553">
        <v>505.39999389648438</v>
      </c>
      <c r="N115" s="553">
        <v>430.70001220703125</v>
      </c>
      <c r="O115" s="553">
        <v>484</v>
      </c>
      <c r="P115" s="553">
        <v>380.89999389648437</v>
      </c>
      <c r="Q115" s="553">
        <v>510</v>
      </c>
      <c r="R115" s="553">
        <v>439.20001220703125</v>
      </c>
      <c r="S115" s="553">
        <v>462.20001220703125</v>
      </c>
      <c r="T115" s="553">
        <v>440.39999389648437</v>
      </c>
      <c r="U115" s="553">
        <v>479</v>
      </c>
      <c r="V115" s="553">
        <v>368</v>
      </c>
      <c r="W115" s="553">
        <v>384.29998779296875</v>
      </c>
      <c r="X115" s="553">
        <v>458</v>
      </c>
      <c r="Y115" s="553">
        <v>530.29998779296875</v>
      </c>
      <c r="Z115" s="553">
        <v>530.70001220703125</v>
      </c>
      <c r="AA115" s="553">
        <v>561.70001220703125</v>
      </c>
      <c r="AB115" s="553">
        <v>222.5</v>
      </c>
      <c r="AC115" s="553">
        <v>22.200000762939453</v>
      </c>
      <c r="AD115" s="553">
        <v>80.400001525878906</v>
      </c>
      <c r="AE115" s="553">
        <v>448.60000610351562</v>
      </c>
      <c r="AF115" s="553">
        <v>406.20001220703125</v>
      </c>
      <c r="AG115" s="553">
        <v>472.10000610351562</v>
      </c>
      <c r="AH115" s="553">
        <v>419.10000610351562</v>
      </c>
      <c r="AI115" s="3">
        <v>12754.900051116943</v>
      </c>
    </row>
    <row r="116" spans="1:35" x14ac:dyDescent="0.25">
      <c r="B116" s="1" t="s">
        <v>7</v>
      </c>
      <c r="C116" s="1" t="s">
        <v>6</v>
      </c>
      <c r="D116" s="553">
        <v>476.70001220703125</v>
      </c>
      <c r="E116" s="553">
        <v>317.29998779296875</v>
      </c>
      <c r="F116" s="553">
        <v>403.60000610351562</v>
      </c>
      <c r="G116" s="553">
        <v>392.29998779296875</v>
      </c>
      <c r="H116" s="553">
        <v>282</v>
      </c>
      <c r="I116" s="553">
        <v>409</v>
      </c>
      <c r="J116" s="553">
        <v>423.20001220703125</v>
      </c>
      <c r="K116" s="553">
        <v>482.10000610351562</v>
      </c>
      <c r="L116" s="553">
        <v>348</v>
      </c>
      <c r="M116" s="553">
        <v>480.70001220703125</v>
      </c>
      <c r="N116" s="553">
        <v>404.5</v>
      </c>
      <c r="O116" s="553">
        <v>461.39999389648438</v>
      </c>
      <c r="P116" s="553">
        <v>357.60000610351562</v>
      </c>
      <c r="Q116" s="553">
        <v>486.89999389648438</v>
      </c>
      <c r="R116" s="553">
        <v>425.39999389648437</v>
      </c>
      <c r="S116" s="553">
        <v>441.39999389648438</v>
      </c>
      <c r="T116" s="553">
        <v>416.39999389648437</v>
      </c>
      <c r="U116" s="553">
        <v>444.89999389648437</v>
      </c>
      <c r="V116" s="553">
        <v>366.29998779296875</v>
      </c>
      <c r="W116" s="553">
        <v>374.39999389648437</v>
      </c>
      <c r="X116" s="553">
        <v>446.29998779296875</v>
      </c>
      <c r="Y116" s="553">
        <v>508.5</v>
      </c>
      <c r="Z116" s="553">
        <v>510.79998779296875</v>
      </c>
      <c r="AA116" s="553">
        <v>549.4000244140625</v>
      </c>
      <c r="AB116" s="553">
        <v>226.39999389648437</v>
      </c>
      <c r="AC116" s="553">
        <v>22.100000381469727</v>
      </c>
      <c r="AD116" s="553">
        <v>78.900001525878906</v>
      </c>
      <c r="AE116" s="553">
        <v>441.70001220703125</v>
      </c>
      <c r="AF116" s="553">
        <v>405.10000610351562</v>
      </c>
      <c r="AG116" s="553">
        <v>464.70001220703125</v>
      </c>
      <c r="AH116" s="553">
        <v>412.10000610351562</v>
      </c>
      <c r="AI116" s="3">
        <v>12260.100008010864</v>
      </c>
    </row>
    <row r="117" spans="1:35" x14ac:dyDescent="0.25">
      <c r="B117" s="1" t="s">
        <v>8</v>
      </c>
      <c r="C117" s="1" t="s">
        <v>6</v>
      </c>
      <c r="D117" s="553">
        <v>489.60000610351562</v>
      </c>
      <c r="E117" s="553">
        <v>326.10000610351562</v>
      </c>
      <c r="F117" s="553">
        <v>415</v>
      </c>
      <c r="G117" s="553">
        <v>405.10000610351562</v>
      </c>
      <c r="H117" s="553">
        <v>290</v>
      </c>
      <c r="I117" s="553">
        <v>413</v>
      </c>
      <c r="J117" s="553">
        <v>431.20001220703125</v>
      </c>
      <c r="K117" s="553">
        <v>492.20001220703125</v>
      </c>
      <c r="L117" s="553">
        <v>356.89999389648437</v>
      </c>
      <c r="M117" s="553">
        <v>488.29998779296875</v>
      </c>
      <c r="N117" s="553">
        <v>413.20001220703125</v>
      </c>
      <c r="O117" s="553">
        <v>467.20001220703125</v>
      </c>
      <c r="P117" s="553">
        <v>362.89999389648437</v>
      </c>
      <c r="Q117" s="553">
        <v>505.5</v>
      </c>
      <c r="R117" s="553">
        <v>441.20001220703125</v>
      </c>
      <c r="S117" s="553">
        <v>459.70001220703125</v>
      </c>
      <c r="T117" s="553">
        <v>435.29998779296875</v>
      </c>
      <c r="U117" s="553">
        <v>471.89999389648437</v>
      </c>
      <c r="V117" s="553">
        <v>347.39999389648437</v>
      </c>
      <c r="W117" s="553">
        <v>391.79998779296875</v>
      </c>
      <c r="X117" s="553">
        <v>468.5</v>
      </c>
      <c r="Y117" s="553">
        <v>533.4000244140625</v>
      </c>
      <c r="Z117" s="553">
        <v>534.20001220703125</v>
      </c>
      <c r="AA117" s="553">
        <v>564.20001220703125</v>
      </c>
      <c r="AB117" s="553">
        <v>225.60000610351562</v>
      </c>
      <c r="AC117" s="553">
        <v>22.399999618530273</v>
      </c>
      <c r="AD117" s="553">
        <v>75.099998474121094</v>
      </c>
      <c r="AE117" s="553">
        <v>450.79998779296875</v>
      </c>
      <c r="AF117" s="553">
        <v>409.89999389648437</v>
      </c>
      <c r="AG117" s="553">
        <v>475.29998779296875</v>
      </c>
      <c r="AH117" s="553">
        <v>421</v>
      </c>
      <c r="AI117" s="3">
        <v>12583.900053024292</v>
      </c>
    </row>
    <row r="118" spans="1:35" x14ac:dyDescent="0.25">
      <c r="B118" s="1" t="s">
        <v>9</v>
      </c>
      <c r="C118" s="1" t="s">
        <v>6</v>
      </c>
      <c r="D118" s="553">
        <v>491.89999389648437</v>
      </c>
      <c r="E118" s="553">
        <v>328.39999389648437</v>
      </c>
      <c r="F118" s="553">
        <v>418</v>
      </c>
      <c r="G118" s="553">
        <v>404.5</v>
      </c>
      <c r="H118" s="553">
        <v>288</v>
      </c>
      <c r="I118" s="553">
        <v>415</v>
      </c>
      <c r="J118" s="553">
        <v>435.60000610351562</v>
      </c>
      <c r="K118" s="553">
        <v>495.60000610351562</v>
      </c>
      <c r="L118" s="553">
        <v>359.5</v>
      </c>
      <c r="M118" s="553">
        <v>492.20001220703125</v>
      </c>
      <c r="N118" s="553">
        <v>415</v>
      </c>
      <c r="O118" s="553">
        <v>471.10000610351562</v>
      </c>
      <c r="P118" s="553">
        <v>365.79998779296875</v>
      </c>
      <c r="Q118" s="553">
        <v>507.60000610351562</v>
      </c>
      <c r="R118" s="553">
        <v>442.39999389648437</v>
      </c>
      <c r="S118" s="553">
        <v>459.29998779296875</v>
      </c>
      <c r="T118" s="553">
        <v>433.20001220703125</v>
      </c>
      <c r="U118" s="553">
        <v>465.70001220703125</v>
      </c>
      <c r="V118" s="553">
        <v>350.5</v>
      </c>
      <c r="W118" s="553">
        <v>374.60000610351562</v>
      </c>
      <c r="X118" s="553">
        <v>458.39999389648438</v>
      </c>
      <c r="Y118" s="553">
        <v>520.79998779296875</v>
      </c>
      <c r="Z118" s="553">
        <v>521.79998779296875</v>
      </c>
      <c r="AA118" s="553">
        <v>549.79998779296875</v>
      </c>
      <c r="AB118" s="553">
        <v>224.39999389648437</v>
      </c>
      <c r="AC118" s="553">
        <v>22.100000381469727</v>
      </c>
      <c r="AD118" s="553">
        <v>77.900001525878906</v>
      </c>
      <c r="AE118" s="553">
        <v>450.60000610351562</v>
      </c>
      <c r="AF118" s="553">
        <v>408.20001220703125</v>
      </c>
      <c r="AG118" s="553">
        <v>475.5</v>
      </c>
      <c r="AH118" s="553">
        <v>419.70001220703125</v>
      </c>
      <c r="AI118" s="3">
        <v>12543.100008010864</v>
      </c>
    </row>
    <row r="119" spans="1:35" x14ac:dyDescent="0.25">
      <c r="B119" s="1" t="s">
        <v>10</v>
      </c>
      <c r="C119" s="1" t="s">
        <v>6</v>
      </c>
      <c r="D119" s="553">
        <v>497.60000610351562</v>
      </c>
      <c r="E119" s="553">
        <v>331.20001220703125</v>
      </c>
      <c r="F119" s="553">
        <v>422.89999389648437</v>
      </c>
      <c r="G119" s="553">
        <v>412.20001220703125</v>
      </c>
      <c r="H119" s="553">
        <v>296</v>
      </c>
      <c r="I119" s="553">
        <v>424</v>
      </c>
      <c r="J119" s="553">
        <v>442.39999389648437</v>
      </c>
      <c r="K119" s="553">
        <v>510.5</v>
      </c>
      <c r="L119" s="553">
        <v>366.89999389648437</v>
      </c>
      <c r="M119" s="553">
        <v>505.70001220703125</v>
      </c>
      <c r="N119" s="553">
        <v>432.29998779296875</v>
      </c>
      <c r="O119" s="553">
        <v>481.70001220703125</v>
      </c>
      <c r="P119" s="553">
        <v>373.79998779296875</v>
      </c>
      <c r="Q119" s="553">
        <v>519.70001220703125</v>
      </c>
      <c r="R119" s="553">
        <v>452.39999389648437</v>
      </c>
      <c r="S119" s="553">
        <v>478.89999389648437</v>
      </c>
      <c r="T119" s="553">
        <v>453.10000610351562</v>
      </c>
      <c r="U119" s="553">
        <v>494.10000610351562</v>
      </c>
      <c r="V119" s="553">
        <v>387.60000610351562</v>
      </c>
      <c r="W119" s="553">
        <v>402.79998779296875</v>
      </c>
      <c r="X119" s="553">
        <v>463.5</v>
      </c>
      <c r="Y119" s="553">
        <v>535.20001220703125</v>
      </c>
      <c r="Z119" s="553">
        <v>534.70001220703125</v>
      </c>
      <c r="AA119" s="553">
        <v>571.4000244140625</v>
      </c>
      <c r="AB119" s="553">
        <v>226.30000305175781</v>
      </c>
      <c r="AC119" s="553">
        <v>22.299999237060547</v>
      </c>
      <c r="AD119" s="553">
        <v>81.099998474121094</v>
      </c>
      <c r="AE119" s="553">
        <v>451</v>
      </c>
      <c r="AF119" s="553">
        <v>408.5</v>
      </c>
      <c r="AG119" s="553">
        <v>476.70001220703125</v>
      </c>
      <c r="AH119" s="553">
        <v>422.60000610351562</v>
      </c>
      <c r="AI119" s="3">
        <v>12879.100086212158</v>
      </c>
    </row>
    <row r="120" spans="1:35" x14ac:dyDescent="0.25">
      <c r="B120" s="1" t="s">
        <v>11</v>
      </c>
      <c r="C120" s="1" t="s">
        <v>6</v>
      </c>
      <c r="D120" s="553">
        <v>478.20001220703125</v>
      </c>
      <c r="E120" s="553">
        <v>318</v>
      </c>
      <c r="F120" s="553">
        <v>406.29998779296875</v>
      </c>
      <c r="G120" s="553">
        <v>392.79998779296875</v>
      </c>
      <c r="H120" s="553">
        <v>284</v>
      </c>
      <c r="I120" s="553">
        <v>406</v>
      </c>
      <c r="J120" s="553">
        <v>426.39999389648437</v>
      </c>
      <c r="K120" s="553">
        <v>486.70001220703125</v>
      </c>
      <c r="L120" s="553">
        <v>351</v>
      </c>
      <c r="M120" s="553">
        <v>481.60000610351562</v>
      </c>
      <c r="N120" s="553">
        <v>410.39999389648438</v>
      </c>
      <c r="O120" s="553">
        <v>459.89999389648437</v>
      </c>
      <c r="P120" s="553">
        <v>358.20001220703125</v>
      </c>
      <c r="Q120" s="553">
        <v>495.79998779296875</v>
      </c>
      <c r="R120" s="553">
        <v>433</v>
      </c>
      <c r="S120" s="553">
        <v>457.79998779296875</v>
      </c>
      <c r="T120" s="553">
        <v>428.39999389648437</v>
      </c>
      <c r="U120" s="553">
        <v>466.60000610351562</v>
      </c>
      <c r="V120" s="553">
        <v>370.20001220703125</v>
      </c>
      <c r="W120" s="553">
        <v>393.89999389648437</v>
      </c>
      <c r="X120" s="553">
        <v>462.79998779296875</v>
      </c>
      <c r="Y120" s="553">
        <v>535</v>
      </c>
      <c r="Z120" s="553">
        <v>535.5999755859375</v>
      </c>
      <c r="AA120" s="553">
        <v>571</v>
      </c>
      <c r="AB120" s="553">
        <v>225.39999389648437</v>
      </c>
      <c r="AC120" s="553">
        <v>22.399999618530273</v>
      </c>
      <c r="AD120" s="553">
        <v>81.199996948242188</v>
      </c>
      <c r="AE120" s="553">
        <v>451.70001220703125</v>
      </c>
      <c r="AF120" s="553">
        <v>409.5</v>
      </c>
      <c r="AG120" s="553">
        <v>476.29998779296875</v>
      </c>
      <c r="AH120" s="553">
        <v>421.29998779296875</v>
      </c>
      <c r="AI120" s="3">
        <v>12497.399923324585</v>
      </c>
    </row>
    <row r="121" spans="1:35" x14ac:dyDescent="0.25">
      <c r="B121" s="1" t="s">
        <v>12</v>
      </c>
      <c r="C121" s="1" t="s">
        <v>6</v>
      </c>
      <c r="D121" s="553">
        <v>472.89999389648438</v>
      </c>
      <c r="E121" s="553">
        <v>314.5</v>
      </c>
      <c r="F121" s="553">
        <v>401.20001220703125</v>
      </c>
      <c r="G121" s="553">
        <v>388.60000610351562</v>
      </c>
      <c r="H121" s="553">
        <v>283</v>
      </c>
      <c r="I121" s="553">
        <v>404</v>
      </c>
      <c r="J121" s="553">
        <v>425.29998779296875</v>
      </c>
      <c r="K121" s="553">
        <v>485.60000610351562</v>
      </c>
      <c r="L121" s="553">
        <v>352.20001220703125</v>
      </c>
      <c r="M121" s="553">
        <v>480.79998779296875</v>
      </c>
      <c r="N121" s="553">
        <v>405.70001220703125</v>
      </c>
      <c r="O121" s="553">
        <v>457.89999389648437</v>
      </c>
      <c r="P121" s="553">
        <v>357.29998779296875</v>
      </c>
      <c r="Q121" s="553">
        <v>494.10000610351562</v>
      </c>
      <c r="R121" s="553">
        <v>433</v>
      </c>
      <c r="S121" s="553">
        <v>454.29998779296875</v>
      </c>
      <c r="T121" s="553">
        <v>424.5</v>
      </c>
      <c r="U121" s="553">
        <v>451.39999389648437</v>
      </c>
      <c r="V121" s="553">
        <v>363</v>
      </c>
      <c r="W121" s="553">
        <v>397.20001220703125</v>
      </c>
      <c r="X121" s="553">
        <v>463.20001220703125</v>
      </c>
      <c r="Y121" s="553">
        <v>528.5</v>
      </c>
      <c r="Z121" s="553">
        <v>529.5999755859375</v>
      </c>
      <c r="AA121" s="553">
        <v>562.5</v>
      </c>
      <c r="AB121" s="553">
        <v>223.80000305175781</v>
      </c>
      <c r="AC121" s="553">
        <v>22.100000381469727</v>
      </c>
      <c r="AD121" s="553">
        <v>74.800003051757813</v>
      </c>
      <c r="AE121" s="553">
        <v>446.29998779296875</v>
      </c>
      <c r="AF121" s="553">
        <v>405</v>
      </c>
      <c r="AG121" s="553">
        <v>471.60000610351562</v>
      </c>
      <c r="AH121" s="553">
        <v>418.10000610351562</v>
      </c>
      <c r="AI121" s="3">
        <v>12391.999994277954</v>
      </c>
    </row>
    <row r="122" spans="1:35" x14ac:dyDescent="0.25">
      <c r="B122" s="1" t="s">
        <v>13</v>
      </c>
      <c r="C122" s="1" t="s">
        <v>6</v>
      </c>
      <c r="D122" s="553">
        <v>476.60000610351562</v>
      </c>
      <c r="E122" s="553">
        <v>317.10000610351562</v>
      </c>
      <c r="F122" s="553">
        <v>402.10000610351562</v>
      </c>
      <c r="G122" s="553">
        <v>390.60000610351562</v>
      </c>
      <c r="H122" s="553">
        <v>284</v>
      </c>
      <c r="I122" s="553">
        <v>409</v>
      </c>
      <c r="J122" s="553">
        <v>396.60000610351562</v>
      </c>
      <c r="K122" s="553">
        <v>483.39999389648437</v>
      </c>
      <c r="L122" s="553">
        <v>351.29998779296875</v>
      </c>
      <c r="M122" s="553">
        <v>479.10000610351562</v>
      </c>
      <c r="N122" s="553">
        <v>396.60000610351562</v>
      </c>
      <c r="O122" s="553">
        <v>451.10000610351562</v>
      </c>
      <c r="P122" s="553">
        <v>355.10000610351562</v>
      </c>
      <c r="Q122" s="553">
        <v>491.5</v>
      </c>
      <c r="R122" s="553">
        <v>430</v>
      </c>
      <c r="S122" s="553">
        <v>448.39999389648437</v>
      </c>
      <c r="T122" s="553">
        <v>418.20001220703125</v>
      </c>
      <c r="U122" s="553">
        <v>444</v>
      </c>
      <c r="V122" s="553">
        <v>352.10000610351562</v>
      </c>
      <c r="W122" s="553">
        <v>391.10000610351562</v>
      </c>
      <c r="X122" s="553">
        <v>458.20001220703125</v>
      </c>
      <c r="Y122" s="553">
        <v>521.0999755859375</v>
      </c>
      <c r="Z122" s="553">
        <v>521.0999755859375</v>
      </c>
      <c r="AA122" s="553">
        <v>552.29998779296875</v>
      </c>
      <c r="AB122" s="553">
        <v>220.69999694824219</v>
      </c>
      <c r="AC122" s="553">
        <v>22</v>
      </c>
      <c r="AD122" s="553">
        <v>74.599998474121094</v>
      </c>
      <c r="AE122" s="553">
        <v>441</v>
      </c>
      <c r="AF122" s="553">
        <v>398.89999389648438</v>
      </c>
      <c r="AG122" s="553">
        <v>466.20001220703125</v>
      </c>
      <c r="AH122" s="553">
        <v>414.39999389648437</v>
      </c>
      <c r="AI122" s="3">
        <v>12258.400001525879</v>
      </c>
    </row>
    <row r="123" spans="1:35" x14ac:dyDescent="0.25">
      <c r="B123" s="1" t="s">
        <v>14</v>
      </c>
      <c r="C123" s="1" t="s">
        <v>6</v>
      </c>
      <c r="D123" s="553">
        <v>473.70001220703125</v>
      </c>
      <c r="E123" s="553">
        <v>318.20001220703125</v>
      </c>
      <c r="F123" s="553">
        <v>404.20001220703125</v>
      </c>
      <c r="G123" s="553">
        <v>391.29998779296875</v>
      </c>
      <c r="H123" s="553">
        <v>282</v>
      </c>
      <c r="I123" s="553">
        <v>410</v>
      </c>
      <c r="J123" s="553">
        <v>421.5</v>
      </c>
      <c r="K123" s="553">
        <v>485.39999389648437</v>
      </c>
      <c r="L123" s="553">
        <v>349.5</v>
      </c>
      <c r="M123" s="553">
        <v>477.70001220703125</v>
      </c>
      <c r="N123" s="553">
        <v>407.70001220703125</v>
      </c>
      <c r="O123" s="553">
        <v>456.89999389648437</v>
      </c>
      <c r="P123" s="553">
        <v>354.10000610351562</v>
      </c>
      <c r="Q123" s="553">
        <v>493.79998779296875</v>
      </c>
      <c r="R123" s="553">
        <v>427.79998779296875</v>
      </c>
      <c r="S123" s="553">
        <v>452.5</v>
      </c>
      <c r="T123" s="553">
        <v>429</v>
      </c>
      <c r="U123" s="553">
        <v>466</v>
      </c>
      <c r="V123" s="553">
        <v>366.89999389648437</v>
      </c>
      <c r="W123" s="553">
        <v>383.60000610351562</v>
      </c>
      <c r="X123" s="553">
        <v>441.29998779296875</v>
      </c>
      <c r="Y123" s="553">
        <v>538.70001220703125</v>
      </c>
      <c r="Z123" s="553">
        <v>536</v>
      </c>
      <c r="AA123" s="553">
        <v>573.79998779296875</v>
      </c>
      <c r="AB123" s="553">
        <v>227.30000305175781</v>
      </c>
      <c r="AC123" s="553">
        <v>21.5</v>
      </c>
      <c r="AD123" s="553">
        <v>26.299999237060547</v>
      </c>
      <c r="AE123" s="553">
        <v>422.39999389648437</v>
      </c>
      <c r="AF123" s="553">
        <v>406.5</v>
      </c>
      <c r="AG123" s="553">
        <v>476.29998779296875</v>
      </c>
      <c r="AH123" s="553">
        <v>420.10000610351562</v>
      </c>
      <c r="AI123" s="3">
        <v>12341.999996185303</v>
      </c>
    </row>
    <row r="124" spans="1:35" x14ac:dyDescent="0.25">
      <c r="B124" s="1" t="s">
        <v>15</v>
      </c>
      <c r="C124" s="1" t="s">
        <v>6</v>
      </c>
      <c r="D124" s="553">
        <v>478.39999389648438</v>
      </c>
      <c r="E124" s="553">
        <v>320.70001220703125</v>
      </c>
      <c r="F124" s="553">
        <v>408.60000610351562</v>
      </c>
      <c r="G124" s="553">
        <v>395.5</v>
      </c>
      <c r="H124" s="553">
        <v>287</v>
      </c>
      <c r="I124" s="553">
        <v>410</v>
      </c>
      <c r="J124" s="553">
        <v>426.10000610351562</v>
      </c>
      <c r="K124" s="553">
        <v>488.70001220703125</v>
      </c>
      <c r="L124" s="553">
        <v>352.89999389648437</v>
      </c>
      <c r="M124" s="553">
        <v>483.79998779296875</v>
      </c>
      <c r="N124" s="553">
        <v>407.70001220703125</v>
      </c>
      <c r="O124" s="553">
        <v>457.20001220703125</v>
      </c>
      <c r="P124" s="553">
        <v>357.70001220703125</v>
      </c>
      <c r="Q124" s="553">
        <v>498.39999389648438</v>
      </c>
      <c r="R124" s="553">
        <v>432.89999389648438</v>
      </c>
      <c r="S124" s="553">
        <v>454.5</v>
      </c>
      <c r="T124" s="553">
        <v>431.89999389648437</v>
      </c>
      <c r="U124" s="553">
        <v>471.60000610351562</v>
      </c>
      <c r="V124" s="553">
        <v>370.89999389648437</v>
      </c>
      <c r="W124" s="553">
        <v>389.79998779296875</v>
      </c>
      <c r="X124" s="553">
        <v>448.20001220703125</v>
      </c>
      <c r="Y124" s="553">
        <v>522</v>
      </c>
      <c r="Z124" s="553">
        <v>521.5</v>
      </c>
      <c r="AA124" s="553">
        <v>557.79998779296875</v>
      </c>
      <c r="AB124" s="553">
        <v>220.39999389648437</v>
      </c>
      <c r="AC124" s="553">
        <v>22</v>
      </c>
      <c r="AD124" s="553">
        <v>81.099998474121094</v>
      </c>
      <c r="AE124" s="553">
        <v>440.79998779296875</v>
      </c>
      <c r="AF124" s="553">
        <v>400.79998779296875</v>
      </c>
      <c r="AG124" s="553">
        <v>467.79998779296875</v>
      </c>
      <c r="AH124" s="553">
        <v>414.60000610351562</v>
      </c>
      <c r="AI124" s="3">
        <v>12421.299980163574</v>
      </c>
    </row>
    <row r="125" spans="1:35" x14ac:dyDescent="0.25">
      <c r="B125" s="1" t="s">
        <v>16</v>
      </c>
      <c r="C125" s="1" t="s">
        <v>6</v>
      </c>
      <c r="D125" s="553">
        <v>425.70001220703125</v>
      </c>
      <c r="E125" s="553">
        <v>287.60000610351562</v>
      </c>
      <c r="F125" s="553">
        <v>363.39999389648437</v>
      </c>
      <c r="G125" s="553">
        <v>352.70001220703125</v>
      </c>
      <c r="H125" s="553">
        <v>258</v>
      </c>
      <c r="I125" s="553">
        <v>371</v>
      </c>
      <c r="J125" s="553">
        <v>382.39999389648437</v>
      </c>
      <c r="K125" s="553">
        <v>436.89999389648437</v>
      </c>
      <c r="L125" s="553">
        <v>315</v>
      </c>
      <c r="M125" s="553">
        <v>435.10000610351562</v>
      </c>
      <c r="N125" s="553">
        <v>360.5</v>
      </c>
      <c r="O125" s="553">
        <v>401.89999389648438</v>
      </c>
      <c r="P125" s="553">
        <v>319.39999389648438</v>
      </c>
      <c r="Q125" s="553">
        <v>442.89999389648437</v>
      </c>
      <c r="R125" s="553">
        <v>387</v>
      </c>
      <c r="S125" s="553">
        <v>404.89999389648437</v>
      </c>
      <c r="T125" s="553">
        <v>382.29998779296875</v>
      </c>
      <c r="U125" s="553">
        <v>455.60000610351562</v>
      </c>
      <c r="V125" s="553">
        <v>373.29998779296875</v>
      </c>
      <c r="W125" s="553">
        <v>388.10000610351562</v>
      </c>
      <c r="X125" s="553">
        <v>435.39999389648437</v>
      </c>
      <c r="Y125" s="553">
        <v>497.29998779296875</v>
      </c>
      <c r="Z125" s="553">
        <v>498.10000610351562</v>
      </c>
      <c r="AA125" s="553">
        <v>532.70001220703125</v>
      </c>
      <c r="AB125" s="553">
        <v>209.89999389648437</v>
      </c>
      <c r="AC125" s="553">
        <v>20.5</v>
      </c>
      <c r="AD125" s="553">
        <v>67.599998474121094</v>
      </c>
      <c r="AE125" s="553">
        <v>418.10000610351562</v>
      </c>
      <c r="AF125" s="553">
        <v>379.29998779296875</v>
      </c>
      <c r="AG125" s="553">
        <v>443.70001220703125</v>
      </c>
      <c r="AH125" s="553">
        <v>391.10000610351562</v>
      </c>
      <c r="AI125" s="3">
        <v>11437.39998626709</v>
      </c>
    </row>
    <row r="126" spans="1:35" x14ac:dyDescent="0.25">
      <c r="B126" s="1" t="s">
        <v>17</v>
      </c>
      <c r="C126" s="1" t="s">
        <v>6</v>
      </c>
      <c r="D126" s="553">
        <v>453.29998779296875</v>
      </c>
      <c r="E126" s="553">
        <v>305.5</v>
      </c>
      <c r="F126" s="553">
        <v>387</v>
      </c>
      <c r="G126" s="553">
        <v>377.79998779296875</v>
      </c>
      <c r="H126" s="553">
        <v>258</v>
      </c>
      <c r="I126" s="553">
        <v>394</v>
      </c>
      <c r="J126" s="553">
        <v>407</v>
      </c>
      <c r="K126" s="553">
        <v>468.29998779296875</v>
      </c>
      <c r="L126" s="553">
        <v>337.39999389648437</v>
      </c>
      <c r="M126" s="553">
        <v>464.20001220703125</v>
      </c>
      <c r="N126" s="553">
        <v>386.10000610351562</v>
      </c>
      <c r="O126" s="553">
        <v>426.5</v>
      </c>
      <c r="P126" s="553">
        <v>343.20001220703125</v>
      </c>
      <c r="Q126" s="553">
        <v>474.29998779296875</v>
      </c>
      <c r="R126" s="553">
        <v>410.89999389648437</v>
      </c>
      <c r="S126" s="553">
        <v>428.39999389648437</v>
      </c>
      <c r="T126" s="553">
        <v>402.79998779296875</v>
      </c>
      <c r="U126" s="553">
        <v>443.20001220703125</v>
      </c>
      <c r="V126" s="553">
        <v>349.79998779296875</v>
      </c>
      <c r="W126" s="553">
        <v>366.70001220703125</v>
      </c>
      <c r="X126" s="553">
        <v>427.29998779296875</v>
      </c>
      <c r="Y126" s="553">
        <v>488.29998779296875</v>
      </c>
      <c r="Z126" s="553">
        <v>489.10000610351562</v>
      </c>
      <c r="AA126" s="553">
        <v>521.70001220703125</v>
      </c>
      <c r="AB126" s="553">
        <v>205.10000610351562</v>
      </c>
      <c r="AC126" s="553">
        <v>20.299999237060547</v>
      </c>
      <c r="AD126" s="553">
        <v>65.699996948242188</v>
      </c>
      <c r="AE126" s="553">
        <v>413.10000610351562</v>
      </c>
      <c r="AF126" s="553">
        <v>372.79998779296875</v>
      </c>
      <c r="AG126" s="553">
        <v>438.60000610351562</v>
      </c>
      <c r="AH126" s="553">
        <v>385.70001220703125</v>
      </c>
      <c r="AI126" s="3">
        <v>11712.09997177124</v>
      </c>
    </row>
    <row r="127" spans="1:35" x14ac:dyDescent="0.25">
      <c r="B127" s="1" t="s">
        <v>18</v>
      </c>
      <c r="C127" s="1" t="s">
        <v>6</v>
      </c>
      <c r="D127" s="553">
        <v>479.89999389648437</v>
      </c>
      <c r="E127" s="553">
        <v>318.70001220703125</v>
      </c>
      <c r="F127" s="553">
        <v>409.89999389648437</v>
      </c>
      <c r="G127" s="553">
        <v>393.60000610351562</v>
      </c>
      <c r="H127" s="553">
        <v>284</v>
      </c>
      <c r="I127" s="553">
        <v>407</v>
      </c>
      <c r="J127" s="553">
        <v>422.60000610351562</v>
      </c>
      <c r="K127" s="553">
        <v>485</v>
      </c>
      <c r="L127" s="553">
        <v>350.60000610351562</v>
      </c>
      <c r="M127" s="553">
        <v>479.79998779296875</v>
      </c>
      <c r="N127" s="553">
        <v>407.20001220703125</v>
      </c>
      <c r="O127" s="553">
        <v>455.70001220703125</v>
      </c>
      <c r="P127" s="553">
        <v>354.70001220703125</v>
      </c>
      <c r="Q127" s="553">
        <v>495.70001220703125</v>
      </c>
      <c r="R127" s="553">
        <v>430.29998779296875</v>
      </c>
      <c r="S127" s="553">
        <v>448.89999389648437</v>
      </c>
      <c r="T127" s="553">
        <v>428.29998779296875</v>
      </c>
      <c r="U127" s="553">
        <v>468.79998779296875</v>
      </c>
      <c r="V127" s="553">
        <v>373.70001220703125</v>
      </c>
      <c r="W127" s="553">
        <v>393.60000610351562</v>
      </c>
      <c r="X127" s="553">
        <v>445.5</v>
      </c>
      <c r="Y127" s="553">
        <v>513.5999755859375</v>
      </c>
      <c r="Z127" s="553">
        <v>508.79998779296875</v>
      </c>
      <c r="AA127" s="553">
        <v>552.79998779296875</v>
      </c>
      <c r="AB127" s="553">
        <v>225.89999389648437</v>
      </c>
      <c r="AC127" s="553">
        <v>22.200000762939453</v>
      </c>
      <c r="AD127" s="553">
        <v>82.699996948242188</v>
      </c>
      <c r="AE127" s="553">
        <v>445.20001220703125</v>
      </c>
      <c r="AF127" s="553">
        <v>403.5</v>
      </c>
      <c r="AG127" s="553">
        <v>471.60000610351562</v>
      </c>
      <c r="AH127" s="553">
        <v>417.5</v>
      </c>
      <c r="AI127" s="3">
        <v>12377.299991607666</v>
      </c>
    </row>
    <row r="128" spans="1:35" x14ac:dyDescent="0.25">
      <c r="B128" s="1" t="s">
        <v>19</v>
      </c>
      <c r="C128" s="1" t="s">
        <v>6</v>
      </c>
      <c r="D128" s="553">
        <v>449.20001220703125</v>
      </c>
      <c r="E128" s="553">
        <v>298.60000610351562</v>
      </c>
      <c r="F128" s="553">
        <v>383.10000610351562</v>
      </c>
      <c r="G128" s="553">
        <v>369.39999389648437</v>
      </c>
      <c r="H128" s="553">
        <v>267</v>
      </c>
      <c r="I128" s="553">
        <v>383</v>
      </c>
      <c r="J128" s="553">
        <v>395.29998779296875</v>
      </c>
      <c r="K128" s="553">
        <v>453.39999389648437</v>
      </c>
      <c r="L128" s="553">
        <v>328.60000610351562</v>
      </c>
      <c r="M128" s="553">
        <v>449.5</v>
      </c>
      <c r="N128" s="553">
        <v>379.79998779296875</v>
      </c>
      <c r="O128" s="553">
        <v>424.20001220703125</v>
      </c>
      <c r="P128" s="553">
        <v>332.60000610351562</v>
      </c>
      <c r="Q128" s="553">
        <v>462.29998779296875</v>
      </c>
      <c r="R128" s="553">
        <v>404.39999389648438</v>
      </c>
      <c r="S128" s="553">
        <v>421.29998779296875</v>
      </c>
      <c r="T128" s="553">
        <v>399.60000610351562</v>
      </c>
      <c r="U128" s="553">
        <v>436</v>
      </c>
      <c r="V128" s="553">
        <v>349.29998779296875</v>
      </c>
      <c r="W128" s="553">
        <v>367.29998779296875</v>
      </c>
      <c r="X128" s="553">
        <v>417.60000610351562</v>
      </c>
      <c r="Y128" s="553">
        <v>478.10000610351562</v>
      </c>
      <c r="Z128" s="553">
        <v>477</v>
      </c>
      <c r="AA128" s="553">
        <v>509.89999389648437</v>
      </c>
      <c r="AB128" s="553">
        <v>200.80000305175781</v>
      </c>
      <c r="AC128" s="553">
        <v>19.899999618530273</v>
      </c>
      <c r="AD128" s="553">
        <v>74.300003051757813</v>
      </c>
      <c r="AE128" s="553">
        <v>402.79998779296875</v>
      </c>
      <c r="AF128" s="553">
        <v>365.89999389648437</v>
      </c>
      <c r="AG128" s="553">
        <v>427.5</v>
      </c>
      <c r="AH128" s="553">
        <v>377.39999389648437</v>
      </c>
      <c r="AI128" s="3">
        <v>11505.099950790405</v>
      </c>
    </row>
    <row r="129" spans="2:38" x14ac:dyDescent="0.25">
      <c r="B129" s="1" t="s">
        <v>20</v>
      </c>
      <c r="C129" s="1" t="s">
        <v>6</v>
      </c>
      <c r="D129" s="553">
        <v>464.60000610351562</v>
      </c>
      <c r="E129" s="553">
        <v>311</v>
      </c>
      <c r="F129" s="553">
        <v>394.60000610351562</v>
      </c>
      <c r="G129" s="553">
        <v>382.89999389648437</v>
      </c>
      <c r="H129" s="553">
        <v>276</v>
      </c>
      <c r="I129" s="553">
        <v>396</v>
      </c>
      <c r="J129" s="553">
        <v>407.70001220703125</v>
      </c>
      <c r="K129" s="553">
        <v>467.5</v>
      </c>
      <c r="L129" s="553">
        <v>339.39999389648438</v>
      </c>
      <c r="M129" s="553">
        <v>463</v>
      </c>
      <c r="N129" s="553">
        <v>390.39999389648438</v>
      </c>
      <c r="O129" s="553">
        <v>433.20001220703125</v>
      </c>
      <c r="P129" s="553">
        <v>343.39999389648437</v>
      </c>
      <c r="Q129" s="553">
        <v>476.10000610351562</v>
      </c>
      <c r="R129" s="553">
        <v>415.29998779296875</v>
      </c>
      <c r="S129" s="553">
        <v>432.39999389648437</v>
      </c>
      <c r="T129" s="553">
        <v>408.89999389648437</v>
      </c>
      <c r="U129" s="553">
        <v>445</v>
      </c>
      <c r="V129" s="553">
        <v>355.39999389648437</v>
      </c>
      <c r="W129" s="553">
        <v>373.5</v>
      </c>
      <c r="X129" s="553">
        <v>427.79998779296875</v>
      </c>
      <c r="Y129" s="553">
        <v>490.5</v>
      </c>
      <c r="Z129" s="553">
        <v>490.79998779296875</v>
      </c>
      <c r="AA129" s="553">
        <v>525.0999755859375</v>
      </c>
      <c r="AB129" s="553">
        <v>207.10000610351562</v>
      </c>
      <c r="AC129" s="553">
        <v>20.299999237060547</v>
      </c>
      <c r="AD129" s="553">
        <v>66.300003051757813</v>
      </c>
      <c r="AE129" s="553">
        <v>413.29998779296875</v>
      </c>
      <c r="AF129" s="553">
        <v>374.10000610351562</v>
      </c>
      <c r="AG129" s="553">
        <v>440.39999389648437</v>
      </c>
      <c r="AH129" s="553">
        <v>388</v>
      </c>
      <c r="AI129" s="3">
        <v>11819.999935150146</v>
      </c>
    </row>
    <row r="130" spans="2:38" x14ac:dyDescent="0.25">
      <c r="B130" s="1" t="s">
        <v>21</v>
      </c>
      <c r="C130" s="1" t="s">
        <v>6</v>
      </c>
      <c r="D130" s="553">
        <v>442.70001220703125</v>
      </c>
      <c r="E130" s="553">
        <v>296.89999389648437</v>
      </c>
      <c r="F130" s="553">
        <v>377.29998779296875</v>
      </c>
      <c r="G130" s="553">
        <v>367.10000610351562</v>
      </c>
      <c r="H130" s="553">
        <v>266</v>
      </c>
      <c r="I130" s="553">
        <v>383</v>
      </c>
      <c r="J130" s="553">
        <v>396.29998779296875</v>
      </c>
      <c r="K130" s="553">
        <v>455.20001220703125</v>
      </c>
      <c r="L130" s="553">
        <v>330.29998779296875</v>
      </c>
      <c r="M130" s="553">
        <v>450.89999389648437</v>
      </c>
      <c r="N130" s="553">
        <v>376.10000610351562</v>
      </c>
      <c r="O130" s="553">
        <v>418.5</v>
      </c>
      <c r="P130" s="553">
        <v>334</v>
      </c>
      <c r="Q130" s="553">
        <v>462.5</v>
      </c>
      <c r="R130" s="553">
        <v>403.5</v>
      </c>
      <c r="S130" s="553">
        <v>421.89999389648437</v>
      </c>
      <c r="T130" s="553">
        <v>397.10000610351562</v>
      </c>
      <c r="U130" s="553">
        <v>436.60000610351562</v>
      </c>
      <c r="V130" s="553">
        <v>346.5</v>
      </c>
      <c r="W130" s="553">
        <v>365.79998779296875</v>
      </c>
      <c r="X130" s="553">
        <v>420.20001220703125</v>
      </c>
      <c r="Y130" s="553">
        <v>479.79998779296875</v>
      </c>
      <c r="Z130" s="553">
        <v>479.89999389648437</v>
      </c>
      <c r="AA130" s="553">
        <v>512.70001220703125</v>
      </c>
      <c r="AB130" s="553">
        <v>202</v>
      </c>
      <c r="AC130" s="553">
        <v>20.100000381469727</v>
      </c>
      <c r="AD130" s="553">
        <v>66.699996948242187</v>
      </c>
      <c r="AE130" s="553">
        <v>405.60000610351562</v>
      </c>
      <c r="AF130" s="553">
        <v>368.79998779296875</v>
      </c>
      <c r="AG130" s="553">
        <v>432.60000610351562</v>
      </c>
      <c r="AH130" s="553">
        <v>380.60000610351562</v>
      </c>
      <c r="AI130" s="3">
        <v>11497.199991226196</v>
      </c>
    </row>
    <row r="131" spans="2:38" x14ac:dyDescent="0.25">
      <c r="B131" s="1" t="s">
        <v>22</v>
      </c>
      <c r="C131" s="1" t="s">
        <v>6</v>
      </c>
      <c r="D131" s="553">
        <v>434.79998779296875</v>
      </c>
      <c r="E131" s="553">
        <v>287.60000610351562</v>
      </c>
      <c r="F131" s="553">
        <v>371.39999389648437</v>
      </c>
      <c r="G131" s="553">
        <v>356.29998779296875</v>
      </c>
      <c r="H131" s="553">
        <v>260</v>
      </c>
      <c r="I131" s="553">
        <v>371</v>
      </c>
      <c r="J131" s="553">
        <v>383</v>
      </c>
      <c r="K131" s="553">
        <v>439.10000610351562</v>
      </c>
      <c r="L131" s="553">
        <v>316.60000610351562</v>
      </c>
      <c r="M131" s="553">
        <v>434.39999389648437</v>
      </c>
      <c r="N131" s="553">
        <v>364.89999389648438</v>
      </c>
      <c r="O131" s="553">
        <v>410.89999389648437</v>
      </c>
      <c r="P131" s="553">
        <v>320.89999389648437</v>
      </c>
      <c r="Q131" s="553">
        <v>445.89999389648437</v>
      </c>
      <c r="R131" s="553">
        <v>390.10000610351562</v>
      </c>
      <c r="S131" s="553">
        <v>409.20001220703125</v>
      </c>
      <c r="T131" s="553">
        <v>389</v>
      </c>
      <c r="U131" s="553">
        <v>427.70001220703125</v>
      </c>
      <c r="V131" s="553">
        <v>373.20001220703125</v>
      </c>
      <c r="W131" s="553">
        <v>388.29998779296875</v>
      </c>
      <c r="X131" s="553">
        <v>432.79998779296875</v>
      </c>
      <c r="Y131" s="553">
        <v>496.29998779296875</v>
      </c>
      <c r="Z131" s="553">
        <v>491.10000610351562</v>
      </c>
      <c r="AA131" s="553">
        <v>527.4000244140625</v>
      </c>
      <c r="AB131" s="553">
        <v>209</v>
      </c>
      <c r="AC131" s="553">
        <v>20.399999618530273</v>
      </c>
      <c r="AD131" s="553">
        <v>78.300003051757812</v>
      </c>
      <c r="AE131" s="553">
        <v>413.60000610351562</v>
      </c>
      <c r="AF131" s="553">
        <v>375.39999389648437</v>
      </c>
      <c r="AG131" s="553">
        <v>439.60000610351562</v>
      </c>
      <c r="AH131" s="553">
        <v>388.29998779296875</v>
      </c>
      <c r="AI131" s="3">
        <v>11446.499990463257</v>
      </c>
    </row>
    <row r="132" spans="2:38" x14ac:dyDescent="0.25">
      <c r="B132" s="1" t="s">
        <v>23</v>
      </c>
      <c r="C132" s="1" t="s">
        <v>6</v>
      </c>
      <c r="D132" s="553">
        <v>436.60000610351562</v>
      </c>
      <c r="E132" s="553">
        <v>288.5</v>
      </c>
      <c r="F132" s="553">
        <v>371.20001220703125</v>
      </c>
      <c r="G132" s="553">
        <v>358.5</v>
      </c>
      <c r="H132" s="553">
        <v>260</v>
      </c>
      <c r="I132" s="553">
        <v>383</v>
      </c>
      <c r="J132" s="553">
        <v>393.39999389648438</v>
      </c>
      <c r="K132" s="553">
        <v>452.70001220703125</v>
      </c>
      <c r="L132" s="553">
        <v>326.20001220703125</v>
      </c>
      <c r="M132" s="553">
        <v>447.89999389648437</v>
      </c>
      <c r="N132" s="553">
        <v>377.20001220703125</v>
      </c>
      <c r="O132" s="553">
        <v>422.5</v>
      </c>
      <c r="P132" s="553">
        <v>331.5</v>
      </c>
      <c r="Q132" s="553">
        <v>460.79998779296875</v>
      </c>
      <c r="R132" s="553">
        <v>401.20001220703125</v>
      </c>
      <c r="S132" s="553">
        <v>422.29998779296875</v>
      </c>
      <c r="T132" s="553">
        <v>400.79998779296875</v>
      </c>
      <c r="U132" s="553">
        <v>431.79998779296875</v>
      </c>
      <c r="V132" s="553">
        <v>344.29998779296875</v>
      </c>
      <c r="W132" s="553">
        <v>364.39999389648437</v>
      </c>
      <c r="X132" s="553">
        <v>415.39999389648437</v>
      </c>
      <c r="Y132" s="553">
        <v>477.65643598391188</v>
      </c>
      <c r="Z132" s="553">
        <v>472.60000610351562</v>
      </c>
      <c r="AA132" s="553">
        <v>507.89999389648437</v>
      </c>
      <c r="AB132" s="553">
        <v>209.60000610351562</v>
      </c>
      <c r="AC132" s="553">
        <v>20.399999618530273</v>
      </c>
      <c r="AD132" s="553">
        <v>78.199996948242188</v>
      </c>
      <c r="AE132" s="553">
        <v>412.5</v>
      </c>
      <c r="AF132" s="553">
        <v>374.70001220703125</v>
      </c>
      <c r="AG132" s="553">
        <v>438.79998779296875</v>
      </c>
      <c r="AH132" s="553">
        <v>387.5</v>
      </c>
      <c r="AI132" s="3">
        <v>11470.056420343653</v>
      </c>
    </row>
    <row r="133" spans="2:38" x14ac:dyDescent="0.25">
      <c r="B133" s="1" t="s">
        <v>37</v>
      </c>
      <c r="C133" s="1" t="s">
        <v>6</v>
      </c>
      <c r="D133" s="553">
        <v>448.39999389648437</v>
      </c>
      <c r="E133" s="553">
        <v>297.39999389648437</v>
      </c>
      <c r="F133" s="553">
        <v>379.5</v>
      </c>
      <c r="G133" s="553">
        <v>368.10000610351562</v>
      </c>
      <c r="H133" s="553">
        <v>261</v>
      </c>
      <c r="I133" s="553">
        <v>392</v>
      </c>
      <c r="J133" s="553">
        <v>400.60000610351562</v>
      </c>
      <c r="K133" s="553">
        <v>462.70001220703125</v>
      </c>
      <c r="L133" s="553">
        <v>334.89999389648437</v>
      </c>
      <c r="M133" s="553">
        <v>457.89999389648437</v>
      </c>
      <c r="N133" s="553">
        <v>385.70001220703125</v>
      </c>
      <c r="O133" s="553">
        <v>429.79998779296875</v>
      </c>
      <c r="P133" s="553">
        <v>338.79998779296875</v>
      </c>
      <c r="Q133" s="553">
        <v>471.29998779296875</v>
      </c>
      <c r="R133" s="553">
        <v>409.5</v>
      </c>
      <c r="S133" s="553">
        <v>432.29998779296875</v>
      </c>
      <c r="T133" s="553">
        <v>410.89999389648437</v>
      </c>
      <c r="U133" s="553">
        <v>443.5</v>
      </c>
      <c r="V133" s="553">
        <v>352.5</v>
      </c>
      <c r="W133" s="553">
        <v>375.70001220703125</v>
      </c>
      <c r="X133" s="553">
        <v>425.60000610351562</v>
      </c>
      <c r="Y133" s="553">
        <v>488.20001220703125</v>
      </c>
      <c r="Z133" s="553">
        <v>486.5</v>
      </c>
      <c r="AA133" s="553">
        <v>521.5999755859375</v>
      </c>
      <c r="AB133" s="553">
        <v>205.10000610351562</v>
      </c>
      <c r="AC133" s="553">
        <v>20.200000762939453</v>
      </c>
      <c r="AD133" s="553">
        <v>78.5</v>
      </c>
      <c r="AE133" s="553">
        <v>411</v>
      </c>
      <c r="AF133" s="553">
        <v>371.10000610351562</v>
      </c>
      <c r="AG133" s="553">
        <v>437.89999389648437</v>
      </c>
      <c r="AH133" s="553">
        <v>384.89999389648438</v>
      </c>
      <c r="AI133" s="3">
        <v>11683.099964141846</v>
      </c>
    </row>
    <row r="134" spans="2:38" x14ac:dyDescent="0.25">
      <c r="B134" s="1" t="s">
        <v>38</v>
      </c>
      <c r="C134" s="1" t="s">
        <v>6</v>
      </c>
      <c r="D134" s="8">
        <v>452.70001220703125</v>
      </c>
      <c r="E134" s="8">
        <v>300.70001220703125</v>
      </c>
      <c r="F134" s="8">
        <v>383.89999389648437</v>
      </c>
      <c r="G134" s="8">
        <v>373.20001220703125</v>
      </c>
      <c r="H134" s="8">
        <v>268</v>
      </c>
      <c r="I134" s="8">
        <v>388</v>
      </c>
      <c r="J134" s="8">
        <v>399.5</v>
      </c>
      <c r="K134" s="8">
        <v>458.70001220703125</v>
      </c>
      <c r="L134" s="8">
        <v>331.79998779296875</v>
      </c>
      <c r="M134" s="8">
        <v>452.70001220703125</v>
      </c>
      <c r="N134" s="553">
        <v>381.5</v>
      </c>
      <c r="O134" s="8">
        <v>425.89999389648437</v>
      </c>
      <c r="P134" s="8">
        <v>336.70001220703125</v>
      </c>
      <c r="Q134" s="8">
        <v>465.29998779296875</v>
      </c>
      <c r="R134" s="553">
        <v>405</v>
      </c>
      <c r="S134" s="553">
        <v>426.79998779296875</v>
      </c>
      <c r="T134" s="553">
        <v>402.29998779296875</v>
      </c>
      <c r="U134" s="553">
        <v>438.79998779296875</v>
      </c>
      <c r="V134" s="553">
        <v>347.39999389648437</v>
      </c>
      <c r="W134" s="554">
        <v>371.39999389648437</v>
      </c>
      <c r="X134" s="8">
        <v>422.5</v>
      </c>
      <c r="Y134" s="8">
        <v>481.10000610351562</v>
      </c>
      <c r="Z134" s="8">
        <v>480.29998779296875</v>
      </c>
      <c r="AA134" s="8">
        <v>514.20001220703125</v>
      </c>
      <c r="AB134" s="553">
        <v>201.80000305175781</v>
      </c>
      <c r="AC134" s="553">
        <v>20</v>
      </c>
      <c r="AD134" s="7">
        <v>80.5</v>
      </c>
      <c r="AE134" s="553">
        <v>409.60000610351562</v>
      </c>
      <c r="AF134" s="553">
        <v>372.89999389648437</v>
      </c>
      <c r="AG134" s="553">
        <v>437.29998779296875</v>
      </c>
      <c r="AH134" s="553">
        <v>383.89999389648437</v>
      </c>
      <c r="AI134" s="3">
        <v>11614.399978637695</v>
      </c>
    </row>
    <row r="135" spans="2:38" x14ac:dyDescent="0.25">
      <c r="B135" s="1" t="s">
        <v>39</v>
      </c>
      <c r="C135" s="1" t="s">
        <v>6</v>
      </c>
      <c r="D135" s="554">
        <v>458.60000610351562</v>
      </c>
      <c r="E135" s="554">
        <v>304.5</v>
      </c>
      <c r="F135" s="554">
        <v>387.29998779296875</v>
      </c>
      <c r="G135" s="554">
        <v>376.5</v>
      </c>
      <c r="H135" s="554">
        <v>270</v>
      </c>
      <c r="I135" s="554">
        <v>390</v>
      </c>
      <c r="J135" s="554">
        <v>401.70001220703125</v>
      </c>
      <c r="K135" s="554">
        <v>461.70001220703125</v>
      </c>
      <c r="L135" s="554">
        <v>333.5</v>
      </c>
      <c r="M135" s="554">
        <v>456.29998779296875</v>
      </c>
      <c r="N135" s="553">
        <v>384.5</v>
      </c>
      <c r="O135" s="187">
        <v>428.10000610351562</v>
      </c>
      <c r="P135" s="187">
        <v>337.79998779296875</v>
      </c>
      <c r="Q135" s="554">
        <v>468.39999389648437</v>
      </c>
      <c r="R135" s="553">
        <v>407.39999389648438</v>
      </c>
      <c r="S135" s="187">
        <v>428</v>
      </c>
      <c r="T135" s="553">
        <v>405.39999389648437</v>
      </c>
      <c r="U135" s="554">
        <v>440</v>
      </c>
      <c r="V135" s="554">
        <v>348.89999389648437</v>
      </c>
      <c r="W135" s="554">
        <v>371.29998779296875</v>
      </c>
      <c r="X135" s="554">
        <v>423</v>
      </c>
      <c r="Y135" s="554">
        <v>484.29998779296875</v>
      </c>
      <c r="Z135" s="554">
        <v>482</v>
      </c>
      <c r="AA135" s="7">
        <v>517.0999755859375</v>
      </c>
      <c r="AB135" s="553">
        <v>203.10000610351562</v>
      </c>
      <c r="AC135" s="553">
        <v>20.100000381469727</v>
      </c>
      <c r="AD135" s="187">
        <v>77.900001525878906</v>
      </c>
      <c r="AE135" s="553">
        <v>410.10000610351562</v>
      </c>
      <c r="AF135" s="553">
        <v>372</v>
      </c>
      <c r="AG135" s="553">
        <v>436.89999389648437</v>
      </c>
      <c r="AH135" s="553">
        <v>384.89999389648438</v>
      </c>
      <c r="AI135" s="3">
        <v>11671.299928665161</v>
      </c>
      <c r="AJ135" s="4">
        <v>253166.65621091679</v>
      </c>
      <c r="AK135">
        <v>244023.85619260624</v>
      </c>
      <c r="AL135" s="4">
        <v>9142.8000183105469</v>
      </c>
    </row>
    <row r="136" spans="2:38" x14ac:dyDescent="0.25">
      <c r="B136" s="1" t="s">
        <v>24</v>
      </c>
      <c r="C136" s="1" t="s">
        <v>6</v>
      </c>
      <c r="D136" s="531">
        <v>9640</v>
      </c>
      <c r="E136" s="531">
        <v>6430</v>
      </c>
      <c r="F136" s="531">
        <v>8200</v>
      </c>
      <c r="G136" s="531">
        <v>7950</v>
      </c>
      <c r="H136" s="531">
        <v>5850</v>
      </c>
      <c r="I136" s="531">
        <v>8180</v>
      </c>
      <c r="J136" s="531">
        <v>8520</v>
      </c>
      <c r="K136" s="531">
        <v>9810</v>
      </c>
      <c r="L136" s="531">
        <v>7100</v>
      </c>
      <c r="M136" s="531">
        <v>9710</v>
      </c>
      <c r="N136" s="531">
        <v>8200</v>
      </c>
      <c r="O136" s="531">
        <v>9190</v>
      </c>
      <c r="P136" s="531">
        <v>7220</v>
      </c>
      <c r="Q136" s="531">
        <v>9960</v>
      </c>
      <c r="R136" s="531">
        <v>8700</v>
      </c>
      <c r="S136" s="531">
        <v>9100</v>
      </c>
      <c r="T136" s="531">
        <v>8600</v>
      </c>
      <c r="U136" s="531">
        <v>9380</v>
      </c>
      <c r="V136" s="531">
        <v>7470</v>
      </c>
      <c r="W136" s="531">
        <v>7890</v>
      </c>
      <c r="X136" s="531">
        <v>9110</v>
      </c>
      <c r="Y136" s="531">
        <v>10480</v>
      </c>
      <c r="Z136" s="531">
        <v>10460</v>
      </c>
      <c r="AA136" s="531">
        <v>11170</v>
      </c>
      <c r="AB136" s="531">
        <v>4480</v>
      </c>
      <c r="AC136" s="531">
        <v>470</v>
      </c>
      <c r="AD136" s="531">
        <v>1540</v>
      </c>
      <c r="AE136" s="531">
        <v>8870</v>
      </c>
      <c r="AF136" s="531">
        <v>8070</v>
      </c>
      <c r="AG136" s="531">
        <v>9430</v>
      </c>
      <c r="AH136" s="531">
        <v>8320</v>
      </c>
      <c r="AI136" s="3">
        <v>249500</v>
      </c>
    </row>
    <row r="137" spans="2:38" x14ac:dyDescent="0.25">
      <c r="B137" s="1" t="s">
        <v>25</v>
      </c>
      <c r="C137" s="1" t="s">
        <v>26</v>
      </c>
      <c r="D137" s="236">
        <v>6.7158689395391651</v>
      </c>
      <c r="E137" s="236">
        <v>4.7076325680139668</v>
      </c>
      <c r="F137" s="236">
        <v>5.7743697355602279</v>
      </c>
      <c r="G137" s="237">
        <v>5.5151991461976282</v>
      </c>
      <c r="H137" s="237">
        <v>3.9950000000000001</v>
      </c>
      <c r="I137" s="237">
        <v>5.8</v>
      </c>
      <c r="J137" s="237">
        <v>6.1651991461976277</v>
      </c>
      <c r="K137" s="237">
        <v>6.8685166666666664</v>
      </c>
      <c r="L137" s="237">
        <v>5.3014166666666673</v>
      </c>
      <c r="M137" s="559">
        <v>6.8101715479817519</v>
      </c>
      <c r="N137" s="559">
        <v>5.7790333333333326</v>
      </c>
      <c r="O137" s="559">
        <v>6.4499109132552466</v>
      </c>
      <c r="P137" s="559">
        <v>4.9733097652942151</v>
      </c>
      <c r="Q137" s="559">
        <v>7.0783120668079942</v>
      </c>
      <c r="R137" s="559">
        <v>6.18</v>
      </c>
      <c r="S137" s="559">
        <v>6.45</v>
      </c>
      <c r="T137" s="212">
        <v>6.5689288357195039</v>
      </c>
      <c r="U137" s="559">
        <v>6.4367833333333326</v>
      </c>
      <c r="V137" s="559">
        <v>5.3253324455138866</v>
      </c>
      <c r="W137" s="559">
        <v>5.4850444453260359</v>
      </c>
      <c r="X137" s="559">
        <v>6.4188666666666663</v>
      </c>
      <c r="Y137" s="559">
        <v>7.3</v>
      </c>
      <c r="Z137" s="559">
        <v>7.3</v>
      </c>
      <c r="AA137" s="559">
        <v>7.6978166666666672</v>
      </c>
      <c r="AB137" s="559">
        <v>3.0620833333333337</v>
      </c>
      <c r="AC137" s="559">
        <v>0.4008000000000001</v>
      </c>
      <c r="AD137" s="559">
        <v>1.3430833333333334</v>
      </c>
      <c r="AE137" s="559">
        <v>6.1618055996581669</v>
      </c>
      <c r="AF137" s="559">
        <v>5.92035</v>
      </c>
      <c r="AG137" s="559">
        <v>6.3946166666666668</v>
      </c>
      <c r="AH137" s="559">
        <v>5.6873105047659731</v>
      </c>
      <c r="AI137" s="234">
        <v>5.6451601841094803</v>
      </c>
    </row>
    <row r="138" spans="2:38" x14ac:dyDescent="0.25">
      <c r="B138" s="1" t="s">
        <v>27</v>
      </c>
      <c r="C138" s="1" t="s">
        <v>6</v>
      </c>
      <c r="D138" s="553">
        <v>178210</v>
      </c>
      <c r="E138" s="553">
        <v>21600</v>
      </c>
      <c r="F138" s="553">
        <v>21270</v>
      </c>
      <c r="G138" s="553">
        <v>144420</v>
      </c>
      <c r="H138" s="553">
        <v>187320</v>
      </c>
      <c r="I138" s="553">
        <v>19270</v>
      </c>
      <c r="J138" s="553">
        <v>20980</v>
      </c>
      <c r="K138" s="187">
        <v>159490</v>
      </c>
      <c r="L138" s="553">
        <v>98870</v>
      </c>
      <c r="M138" s="553">
        <v>18470</v>
      </c>
      <c r="N138" s="553">
        <v>147570</v>
      </c>
      <c r="O138" s="553">
        <v>194160</v>
      </c>
      <c r="P138" s="553">
        <v>19490</v>
      </c>
      <c r="Q138" s="553">
        <v>22230</v>
      </c>
      <c r="R138" s="553">
        <v>183470</v>
      </c>
      <c r="S138" s="553">
        <v>23370</v>
      </c>
      <c r="T138" s="553">
        <v>23370</v>
      </c>
      <c r="U138" s="187">
        <v>249740</v>
      </c>
      <c r="V138" s="553">
        <v>228340</v>
      </c>
      <c r="W138" s="553">
        <v>72160</v>
      </c>
      <c r="X138" s="553">
        <v>19380</v>
      </c>
      <c r="Y138" s="553">
        <v>183650</v>
      </c>
      <c r="Z138" s="553">
        <v>264720</v>
      </c>
      <c r="AA138" s="553">
        <v>22440</v>
      </c>
      <c r="AB138" s="553">
        <v>171170</v>
      </c>
      <c r="AC138" s="553">
        <v>53070</v>
      </c>
      <c r="AD138" s="553">
        <v>12730</v>
      </c>
      <c r="AE138" s="553">
        <v>18540</v>
      </c>
      <c r="AF138" s="553">
        <v>149870</v>
      </c>
      <c r="AG138" s="553">
        <v>265500</v>
      </c>
      <c r="AH138" s="553">
        <v>76100</v>
      </c>
      <c r="AI138" s="3">
        <v>3270970</v>
      </c>
    </row>
    <row r="139" spans="2:38" x14ac:dyDescent="0.25">
      <c r="B139" s="1" t="s">
        <v>28</v>
      </c>
      <c r="C139" s="1" t="s">
        <v>0</v>
      </c>
      <c r="D139" s="539">
        <v>0.20914245451294172</v>
      </c>
      <c r="E139" s="539">
        <v>0.14703080990331543</v>
      </c>
      <c r="F139" s="539">
        <v>0.17957941987941747</v>
      </c>
      <c r="G139" s="539">
        <v>0.17357307726599705</v>
      </c>
      <c r="H139" s="539">
        <v>0.12823595626258419</v>
      </c>
      <c r="I139" s="539">
        <v>0.18206244270789473</v>
      </c>
      <c r="J139" s="539">
        <v>0.19152158033476083</v>
      </c>
      <c r="K139" s="539">
        <v>0.21389613875167229</v>
      </c>
      <c r="L139" s="539">
        <v>0.16684496430867496</v>
      </c>
      <c r="M139" s="539">
        <v>0.21075321447351059</v>
      </c>
      <c r="N139" s="539">
        <v>0.18051352650452576</v>
      </c>
      <c r="O139" s="539">
        <v>0.20047483801931629</v>
      </c>
      <c r="P139" s="539">
        <v>0.15841230713060217</v>
      </c>
      <c r="Q139" s="539">
        <v>0.21564251798890408</v>
      </c>
      <c r="R139" s="539">
        <v>0.18970408288207893</v>
      </c>
      <c r="S139" s="539">
        <v>0.19749502900657892</v>
      </c>
      <c r="T139" s="539">
        <v>0.20113655673683348</v>
      </c>
      <c r="U139" s="539">
        <v>0.20006680921181402</v>
      </c>
      <c r="V139" s="539">
        <v>0.16716259194170083</v>
      </c>
      <c r="W139" s="539">
        <v>0.17175323582630442</v>
      </c>
      <c r="X139" s="555">
        <v>0.2014887146120026</v>
      </c>
      <c r="Y139" s="555">
        <v>0.22689713659973679</v>
      </c>
      <c r="Z139" s="555">
        <v>0.2262220104192631</v>
      </c>
      <c r="AA139" s="555">
        <v>0.239261994484438</v>
      </c>
      <c r="AB139" s="555">
        <v>9.6591014176539466E-2</v>
      </c>
      <c r="AC139" s="555">
        <v>1.2766478601637895E-2</v>
      </c>
      <c r="AD139" s="555">
        <v>4.2987571199599339E-2</v>
      </c>
      <c r="AE139" s="555">
        <v>0.19057023557732389</v>
      </c>
      <c r="AF139" s="555">
        <v>0.18310257861150314</v>
      </c>
      <c r="AG139" s="555">
        <v>0.2026988171905964</v>
      </c>
      <c r="AH139" s="555">
        <v>0.17852511085102807</v>
      </c>
      <c r="AI139" s="14">
        <v>0.17577809676142744</v>
      </c>
    </row>
    <row r="140" spans="2:38" x14ac:dyDescent="0.25">
      <c r="B140" s="5" t="s">
        <v>35</v>
      </c>
      <c r="C140" s="1" t="s">
        <v>0</v>
      </c>
      <c r="D140" s="541">
        <v>0.2009539056767394</v>
      </c>
      <c r="E140" s="539">
        <v>0.1340387565872857</v>
      </c>
      <c r="F140" s="541">
        <v>0.17093589487025548</v>
      </c>
      <c r="G140" s="541">
        <v>0.16572443466079648</v>
      </c>
      <c r="H140" s="541">
        <v>0.12194816890134082</v>
      </c>
      <c r="I140" s="541">
        <v>0.17051897805349878</v>
      </c>
      <c r="J140" s="541">
        <v>0.17760656393836302</v>
      </c>
      <c r="K140" s="541">
        <v>0.20449769861917153</v>
      </c>
      <c r="L140" s="541">
        <v>0.14800546994863586</v>
      </c>
      <c r="M140" s="541">
        <v>0.20241311453538791</v>
      </c>
      <c r="N140" s="541">
        <v>0.17093589487025548</v>
      </c>
      <c r="O140" s="541">
        <v>0.19157327729971318</v>
      </c>
      <c r="P140" s="541">
        <v>0.15050697084917619</v>
      </c>
      <c r="Q140" s="541">
        <v>0.20762457474484691</v>
      </c>
      <c r="R140" s="541">
        <v>0.18135881528917353</v>
      </c>
      <c r="S140" s="541">
        <v>0.18969715162430792</v>
      </c>
      <c r="T140" s="541">
        <v>0.17927423120538991</v>
      </c>
      <c r="U140" s="541">
        <v>0.19553398705890201</v>
      </c>
      <c r="V140" s="541">
        <v>0.1557184310586352</v>
      </c>
      <c r="W140" s="541">
        <v>0.16447368421052633</v>
      </c>
      <c r="X140" s="547">
        <v>0.1899056100326863</v>
      </c>
      <c r="Y140" s="547">
        <v>0.21846441198052166</v>
      </c>
      <c r="Z140" s="547">
        <v>0.21804749516376493</v>
      </c>
      <c r="AA140" s="547">
        <v>0.23284804215862853</v>
      </c>
      <c r="AB140" s="547">
        <v>9.3389366953505443E-2</v>
      </c>
      <c r="AC140" s="547">
        <v>9.7975451937829371E-3</v>
      </c>
      <c r="AD140" s="547">
        <v>3.2102594890267497E-2</v>
      </c>
      <c r="AE140" s="547">
        <v>0.18490260823160565</v>
      </c>
      <c r="AF140" s="547">
        <v>0.1682259355613368</v>
      </c>
      <c r="AG140" s="547">
        <v>0.19657627910079381</v>
      </c>
      <c r="AH140" s="547">
        <v>0.17343739577079581</v>
      </c>
      <c r="AI140" s="14">
        <v>0.16652848852168445</v>
      </c>
    </row>
    <row r="141" spans="2:38" ht="15.75" x14ac:dyDescent="0.25">
      <c r="B141" s="5" t="s">
        <v>113</v>
      </c>
      <c r="C141" s="1"/>
      <c r="D141" s="541">
        <v>8.1885488362023195E-3</v>
      </c>
      <c r="E141" s="541">
        <v>1.2992053316029734E-2</v>
      </c>
      <c r="F141" s="541">
        <v>8.6435250091619897E-3</v>
      </c>
      <c r="G141" s="541">
        <v>7.8486426052005731E-3</v>
      </c>
      <c r="H141" s="541">
        <v>6.2877873612433716E-3</v>
      </c>
      <c r="I141" s="541">
        <v>1.1543464654395957E-2</v>
      </c>
      <c r="J141" s="541">
        <v>1.3915016396397806E-2</v>
      </c>
      <c r="K141" s="541">
        <v>9.3984401325007683E-3</v>
      </c>
      <c r="L141" s="541">
        <v>1.8839494360039094E-2</v>
      </c>
      <c r="M141" s="541">
        <v>8.3400999381226804E-3</v>
      </c>
      <c r="N141" s="541">
        <v>9.5776316342702783E-3</v>
      </c>
      <c r="O141" s="541">
        <v>8.9015607196031021E-3</v>
      </c>
      <c r="P141" s="541">
        <v>7.9053362814259787E-3</v>
      </c>
      <c r="Q141" s="541">
        <v>8.017943244057163E-3</v>
      </c>
      <c r="R141" s="541">
        <v>8.3452675929054088E-3</v>
      </c>
      <c r="S141" s="541">
        <v>7.7978773822710012E-3</v>
      </c>
      <c r="T141" s="541">
        <v>2.1862325531443572E-2</v>
      </c>
      <c r="U141" s="541">
        <v>4.5328221529120083E-3</v>
      </c>
      <c r="V141" s="541">
        <v>1.1444160883065629E-2</v>
      </c>
      <c r="W141" s="541">
        <v>7.2795516157780904E-3</v>
      </c>
      <c r="X141" s="541">
        <v>1.15831045793163E-2</v>
      </c>
      <c r="Y141" s="541">
        <v>8.4327246192151262E-3</v>
      </c>
      <c r="Z141" s="541">
        <v>8.1745152554981715E-3</v>
      </c>
      <c r="AA141" s="541">
        <v>6.4139523258094633E-3</v>
      </c>
      <c r="AB141" s="541">
        <v>3.2016472230340237E-3</v>
      </c>
      <c r="AC141" s="541">
        <v>2.9689334078549581E-3</v>
      </c>
      <c r="AD141" s="541">
        <v>1.0884976309331842E-2</v>
      </c>
      <c r="AE141" s="541">
        <v>5.6676273457182402E-3</v>
      </c>
      <c r="AF141" s="547">
        <v>1.4876643050166338E-2</v>
      </c>
      <c r="AG141" s="547">
        <v>6.1225380898025927E-3</v>
      </c>
      <c r="AH141" s="547">
        <v>5.0877150802322579E-3</v>
      </c>
      <c r="AI141" s="49">
        <v>9.2496082397430235E-3</v>
      </c>
    </row>
    <row r="142" spans="2:38" ht="15.75" x14ac:dyDescent="0.25">
      <c r="B142" s="5" t="s">
        <v>112</v>
      </c>
      <c r="C142" s="1"/>
      <c r="D142" s="555">
        <v>0.71813398677977869</v>
      </c>
      <c r="E142" s="555">
        <v>0.68334350899692231</v>
      </c>
      <c r="F142" s="555">
        <v>0.71046047703215043</v>
      </c>
      <c r="G142" s="555">
        <v>0.72116823462327106</v>
      </c>
      <c r="H142" s="555">
        <v>0.73260476936975705</v>
      </c>
      <c r="I142" s="555">
        <v>0.70559577125585704</v>
      </c>
      <c r="J142" s="555">
        <v>0.69139008058638873</v>
      </c>
      <c r="K142" s="555">
        <v>0.71455672382345281</v>
      </c>
      <c r="L142" s="555">
        <v>0.67003435159166758</v>
      </c>
      <c r="M142" s="555">
        <v>0.71333221411859904</v>
      </c>
      <c r="N142" s="555">
        <v>0.70988714552366872</v>
      </c>
      <c r="O142" s="555">
        <v>0.71284064493731802</v>
      </c>
      <c r="P142" s="555">
        <v>0.72631053983152338</v>
      </c>
      <c r="Q142" s="555">
        <v>0.70397995268431757</v>
      </c>
      <c r="R142" s="555">
        <v>0.70430607879290685</v>
      </c>
      <c r="S142" s="555">
        <v>0.70584986650905268</v>
      </c>
      <c r="T142" s="555">
        <v>0.65498982505845493</v>
      </c>
      <c r="U142" s="555">
        <v>0.72906224217794835</v>
      </c>
      <c r="V142" s="555">
        <v>0.70178573519021048</v>
      </c>
      <c r="W142" s="555">
        <v>0.71966024348559254</v>
      </c>
      <c r="X142" s="555">
        <v>0.71005286095953668</v>
      </c>
      <c r="Y142" s="555">
        <v>0.71823916267568766</v>
      </c>
      <c r="Z142" s="555">
        <v>0.71686847725073399</v>
      </c>
      <c r="AA142" s="555">
        <v>0.72596597889969894</v>
      </c>
      <c r="AB142" s="555">
        <v>0.73196727942875395</v>
      </c>
      <c r="AC142" s="555">
        <v>0.58667935292113382</v>
      </c>
      <c r="AD142" s="555">
        <v>0.57365187866209832</v>
      </c>
      <c r="AE142" s="555">
        <v>0.72018867291183608</v>
      </c>
      <c r="AF142" s="547">
        <v>0.68195671767244903</v>
      </c>
      <c r="AG142" s="547">
        <v>0.73778162857075891</v>
      </c>
      <c r="AH142" s="547">
        <v>0.73189207710936866</v>
      </c>
      <c r="AI142" s="49">
        <v>0.70046093057422543</v>
      </c>
    </row>
    <row r="143" spans="2:38" x14ac:dyDescent="0.25">
      <c r="B143" s="5" t="s">
        <v>109</v>
      </c>
      <c r="C143" s="1" t="s">
        <v>59</v>
      </c>
      <c r="D143" s="554">
        <v>10032.814513931229</v>
      </c>
      <c r="E143" s="554">
        <v>7053.2443880339251</v>
      </c>
      <c r="F143" s="554">
        <v>8614.6402669195122</v>
      </c>
      <c r="G143" s="554">
        <v>8326.508804142597</v>
      </c>
      <c r="H143" s="554">
        <v>6151.6327050636783</v>
      </c>
      <c r="I143" s="554">
        <v>8733.7538516289605</v>
      </c>
      <c r="J143" s="554">
        <v>9187.5200345548783</v>
      </c>
      <c r="K143" s="554">
        <v>10260.854451284222</v>
      </c>
      <c r="L143" s="554">
        <v>8003.7531518443084</v>
      </c>
      <c r="M143" s="554">
        <v>10110.08460215167</v>
      </c>
      <c r="N143" s="554">
        <v>8659.4504826539051</v>
      </c>
      <c r="O143" s="554">
        <v>9617.0185495922251</v>
      </c>
      <c r="P143" s="554">
        <v>7599.2284678235428</v>
      </c>
      <c r="Q143" s="554">
        <v>10344.630358949315</v>
      </c>
      <c r="R143" s="554">
        <v>9100.3325007527856</v>
      </c>
      <c r="S143" s="554">
        <v>9474.0735354803983</v>
      </c>
      <c r="T143" s="554">
        <v>9648.7619905339852</v>
      </c>
      <c r="U143" s="554">
        <v>9597.4449180617739</v>
      </c>
      <c r="V143" s="554">
        <v>8018.9901305537187</v>
      </c>
      <c r="W143" s="554">
        <v>8239.2088264708145</v>
      </c>
      <c r="X143" s="554">
        <v>9665.6554263952985</v>
      </c>
      <c r="Y143" s="554">
        <v>10884.527919253293</v>
      </c>
      <c r="Z143" s="554">
        <v>10852.141306224554</v>
      </c>
      <c r="AA143" s="554">
        <v>11477.684989811871</v>
      </c>
      <c r="AB143" s="554">
        <v>4633.5868592656097</v>
      </c>
      <c r="AC143" s="554">
        <v>612.42329829489177</v>
      </c>
      <c r="AD143" s="554">
        <v>2062.16537553022</v>
      </c>
      <c r="AE143" s="554">
        <v>9141.8828849269194</v>
      </c>
      <c r="AF143" s="554">
        <v>8783.6504190881387</v>
      </c>
      <c r="AG143" s="554">
        <v>9723.7054992135381</v>
      </c>
      <c r="AH143" s="554">
        <v>8564.0637976568378</v>
      </c>
      <c r="AI143" s="3">
        <v>263175.4343060886</v>
      </c>
    </row>
    <row r="144" spans="2:38" x14ac:dyDescent="0.25">
      <c r="B144" s="5" t="s">
        <v>213</v>
      </c>
      <c r="C144" s="1"/>
      <c r="D144" s="235">
        <v>31.612468322226437</v>
      </c>
      <c r="E144" s="235">
        <v>31.02275107903424</v>
      </c>
      <c r="F144" s="235">
        <v>31.885829916381706</v>
      </c>
      <c r="G144" s="235">
        <v>29.47</v>
      </c>
      <c r="H144" s="235">
        <v>25.4</v>
      </c>
      <c r="I144" s="235">
        <v>30</v>
      </c>
      <c r="J144" s="235">
        <v>32.109338399527203</v>
      </c>
      <c r="K144" s="235">
        <v>31.612468322226437</v>
      </c>
      <c r="L144" s="235">
        <v>29.47</v>
      </c>
      <c r="M144" s="226">
        <v>32.875644999999999</v>
      </c>
      <c r="N144" s="225">
        <v>31</v>
      </c>
      <c r="O144" s="225">
        <v>32</v>
      </c>
      <c r="P144" s="225">
        <v>27</v>
      </c>
      <c r="Q144" s="225">
        <v>36</v>
      </c>
      <c r="R144" s="226">
        <v>34.5</v>
      </c>
      <c r="S144" s="226">
        <v>35</v>
      </c>
      <c r="T144" s="227">
        <v>35</v>
      </c>
      <c r="U144" s="228">
        <v>32</v>
      </c>
      <c r="V144" s="228">
        <v>30</v>
      </c>
      <c r="W144" s="228">
        <v>30.5</v>
      </c>
      <c r="X144" s="228">
        <v>30</v>
      </c>
      <c r="Y144" s="228">
        <v>32</v>
      </c>
      <c r="Z144" s="228">
        <v>32.6</v>
      </c>
      <c r="AA144" s="228">
        <v>32</v>
      </c>
      <c r="AB144" s="225">
        <v>29</v>
      </c>
      <c r="AC144" s="225">
        <v>27</v>
      </c>
      <c r="AD144" s="226">
        <v>26</v>
      </c>
      <c r="AE144" s="226">
        <v>33</v>
      </c>
      <c r="AF144" s="226">
        <v>33</v>
      </c>
      <c r="AG144" s="226">
        <v>32</v>
      </c>
      <c r="AH144" s="226">
        <v>30</v>
      </c>
      <c r="AI144" s="13">
        <v>31.073517894264143</v>
      </c>
    </row>
    <row r="145" spans="1:36" ht="15" customHeight="1" x14ac:dyDescent="0.25">
      <c r="B145" s="219" t="s">
        <v>100</v>
      </c>
      <c r="C145" s="1" t="s">
        <v>59</v>
      </c>
      <c r="D145" s="222">
        <v>297</v>
      </c>
      <c r="E145" s="222">
        <v>161</v>
      </c>
      <c r="F145" s="222">
        <v>319</v>
      </c>
      <c r="G145" s="222">
        <v>281</v>
      </c>
      <c r="H145" s="222">
        <v>117</v>
      </c>
      <c r="I145" s="222">
        <v>317</v>
      </c>
      <c r="J145" s="222">
        <v>256</v>
      </c>
      <c r="K145" s="222">
        <v>229</v>
      </c>
      <c r="L145" s="222">
        <v>159</v>
      </c>
      <c r="M145" s="222">
        <v>304</v>
      </c>
      <c r="N145" s="222">
        <v>364</v>
      </c>
      <c r="O145" s="222">
        <v>331</v>
      </c>
      <c r="P145" s="222">
        <v>283</v>
      </c>
      <c r="Q145" s="222">
        <v>289</v>
      </c>
      <c r="R145" s="222">
        <v>304</v>
      </c>
      <c r="S145" s="222">
        <v>278</v>
      </c>
      <c r="T145" s="222">
        <v>239</v>
      </c>
      <c r="U145" s="222">
        <v>122</v>
      </c>
      <c r="V145" s="222">
        <v>204</v>
      </c>
      <c r="W145" s="222">
        <v>253</v>
      </c>
      <c r="X145" s="222">
        <v>244</v>
      </c>
      <c r="Y145" s="222">
        <v>309</v>
      </c>
      <c r="Z145" s="222">
        <v>296</v>
      </c>
      <c r="AA145" s="222">
        <v>212</v>
      </c>
      <c r="AB145" s="222">
        <v>58</v>
      </c>
      <c r="AC145" s="222"/>
      <c r="AD145" s="222"/>
      <c r="AE145" s="222">
        <v>156</v>
      </c>
      <c r="AF145" s="222">
        <v>158</v>
      </c>
      <c r="AG145" s="222">
        <v>198</v>
      </c>
      <c r="AH145" s="222">
        <v>148</v>
      </c>
      <c r="AI145" s="13">
        <v>6886</v>
      </c>
    </row>
    <row r="146" spans="1:36" ht="15" customHeight="1" x14ac:dyDescent="0.25">
      <c r="B146" s="219" t="s">
        <v>101</v>
      </c>
      <c r="C146" s="1" t="s">
        <v>59</v>
      </c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  <c r="AF146" s="222"/>
      <c r="AG146" s="222"/>
      <c r="AH146" s="222"/>
      <c r="AI146" s="13">
        <v>0</v>
      </c>
    </row>
    <row r="147" spans="1:36" ht="15" customHeight="1" x14ac:dyDescent="0.25">
      <c r="B147" s="219" t="s">
        <v>102</v>
      </c>
      <c r="C147" s="1" t="s">
        <v>59</v>
      </c>
      <c r="D147" s="222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>
        <v>48</v>
      </c>
      <c r="AE147" s="222">
        <v>20</v>
      </c>
      <c r="AF147" s="222"/>
      <c r="AG147" s="222"/>
      <c r="AH147" s="222"/>
      <c r="AI147" s="13">
        <v>68</v>
      </c>
    </row>
    <row r="148" spans="1:36" ht="15" customHeight="1" x14ac:dyDescent="0.25">
      <c r="B148" s="219" t="s">
        <v>103</v>
      </c>
      <c r="C148" s="1" t="s">
        <v>59</v>
      </c>
      <c r="D148" s="222"/>
      <c r="E148" s="222"/>
      <c r="F148" s="222"/>
      <c r="G148" s="222"/>
      <c r="H148" s="222"/>
      <c r="I148" s="222">
        <v>141</v>
      </c>
      <c r="J148" s="222"/>
      <c r="K148" s="222">
        <v>126</v>
      </c>
      <c r="L148" s="222">
        <v>94</v>
      </c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  <c r="AF148" s="222">
        <v>317</v>
      </c>
      <c r="AG148" s="222"/>
      <c r="AH148" s="222"/>
      <c r="AI148" s="13">
        <v>678</v>
      </c>
      <c r="AJ148" s="301">
        <v>3707</v>
      </c>
    </row>
    <row r="149" spans="1:36" x14ac:dyDescent="0.25">
      <c r="B149" s="5" t="s">
        <v>218</v>
      </c>
      <c r="C149" s="1" t="s">
        <v>59</v>
      </c>
      <c r="D149" s="222"/>
      <c r="E149" s="222">
        <v>365</v>
      </c>
      <c r="F149" s="222"/>
      <c r="G149" s="222"/>
      <c r="H149" s="222">
        <v>89</v>
      </c>
      <c r="I149" s="222"/>
      <c r="J149" s="222">
        <v>315</v>
      </c>
      <c r="K149" s="222"/>
      <c r="L149" s="222">
        <v>555</v>
      </c>
      <c r="M149" s="222"/>
      <c r="N149" s="222"/>
      <c r="O149" s="222"/>
      <c r="P149" s="222"/>
      <c r="Q149" s="222"/>
      <c r="R149" s="222"/>
      <c r="S149" s="222"/>
      <c r="T149" s="222">
        <v>714</v>
      </c>
      <c r="U149" s="222"/>
      <c r="V149" s="222">
        <v>249</v>
      </c>
      <c r="W149" s="222"/>
      <c r="X149" s="222">
        <v>216</v>
      </c>
      <c r="Y149" s="222"/>
      <c r="Z149" s="222"/>
      <c r="AA149" s="222"/>
      <c r="AB149" s="222"/>
      <c r="AC149" s="222"/>
      <c r="AD149" s="222">
        <v>383</v>
      </c>
      <c r="AE149" s="222"/>
      <c r="AF149" s="222">
        <v>143</v>
      </c>
      <c r="AG149" s="222"/>
      <c r="AH149" s="222"/>
      <c r="AI149" s="13">
        <v>3029</v>
      </c>
    </row>
    <row r="150" spans="1:36" x14ac:dyDescent="0.25">
      <c r="B150" s="220" t="s">
        <v>86</v>
      </c>
      <c r="C150" s="1" t="s">
        <v>59</v>
      </c>
      <c r="D150" s="222">
        <v>297</v>
      </c>
      <c r="E150" s="222">
        <v>526</v>
      </c>
      <c r="F150" s="222">
        <v>319</v>
      </c>
      <c r="G150" s="222">
        <v>281</v>
      </c>
      <c r="H150" s="222">
        <v>206</v>
      </c>
      <c r="I150" s="222">
        <v>458</v>
      </c>
      <c r="J150" s="222">
        <v>571</v>
      </c>
      <c r="K150" s="222">
        <v>355</v>
      </c>
      <c r="L150" s="222">
        <v>808</v>
      </c>
      <c r="M150" s="222">
        <v>304</v>
      </c>
      <c r="N150" s="222">
        <v>364</v>
      </c>
      <c r="O150" s="222">
        <v>331</v>
      </c>
      <c r="P150" s="222">
        <v>283</v>
      </c>
      <c r="Q150" s="222">
        <v>289</v>
      </c>
      <c r="R150" s="222">
        <v>304</v>
      </c>
      <c r="S150" s="222">
        <v>278</v>
      </c>
      <c r="T150" s="222">
        <v>953</v>
      </c>
      <c r="U150" s="222">
        <v>122</v>
      </c>
      <c r="V150" s="222">
        <v>453</v>
      </c>
      <c r="W150" s="222">
        <v>253</v>
      </c>
      <c r="X150" s="222">
        <v>460</v>
      </c>
      <c r="Y150" s="222">
        <v>309</v>
      </c>
      <c r="Z150" s="222">
        <v>296</v>
      </c>
      <c r="AA150" s="222">
        <v>212</v>
      </c>
      <c r="AB150" s="222">
        <v>58</v>
      </c>
      <c r="AC150" s="222">
        <v>0</v>
      </c>
      <c r="AD150" s="222">
        <v>431</v>
      </c>
      <c r="AE150" s="222">
        <v>176</v>
      </c>
      <c r="AF150" s="222">
        <v>618</v>
      </c>
      <c r="AG150" s="222">
        <v>198</v>
      </c>
      <c r="AH150" s="222">
        <v>148</v>
      </c>
      <c r="AI150" s="13">
        <v>10661</v>
      </c>
    </row>
    <row r="151" spans="1:36" x14ac:dyDescent="0.25">
      <c r="B151" s="220" t="s">
        <v>86</v>
      </c>
      <c r="C151" s="1" t="s">
        <v>59</v>
      </c>
      <c r="D151" s="539">
        <v>6.1881188118811875E-3</v>
      </c>
      <c r="E151" s="539">
        <v>1.095942927626096E-2</v>
      </c>
      <c r="F151" s="539">
        <v>6.6464979831316467E-3</v>
      </c>
      <c r="G151" s="539">
        <v>5.8547521418808547E-3</v>
      </c>
      <c r="H151" s="539">
        <v>4.2920958762542923E-3</v>
      </c>
      <c r="I151" s="539">
        <v>9.5426209287595432E-3</v>
      </c>
      <c r="J151" s="539">
        <v>1.1897023035636898E-2</v>
      </c>
      <c r="K151" s="539">
        <v>7.396572990632397E-3</v>
      </c>
      <c r="L151" s="539">
        <v>1.6835016835016835E-2</v>
      </c>
      <c r="M151" s="539">
        <v>6.3339667300063339E-3</v>
      </c>
      <c r="N151" s="539">
        <v>7.5840917425075843E-3</v>
      </c>
      <c r="O151" s="539">
        <v>6.8965229856318968E-3</v>
      </c>
      <c r="P151" s="539">
        <v>5.8964229756308965E-3</v>
      </c>
      <c r="Q151" s="539">
        <v>6.021435476881022E-3</v>
      </c>
      <c r="R151" s="539">
        <v>6.3339667300063339E-3</v>
      </c>
      <c r="S151" s="539">
        <v>5.7922458912557928E-3</v>
      </c>
      <c r="T151" s="539">
        <v>1.9856152281894857E-2</v>
      </c>
      <c r="U151" s="539">
        <v>2.5419208587525422E-3</v>
      </c>
      <c r="V151" s="539">
        <v>9.4384438443844386E-3</v>
      </c>
      <c r="W151" s="539">
        <v>5.2713604693802709E-3</v>
      </c>
      <c r="X151" s="539">
        <v>9.584291762509585E-3</v>
      </c>
      <c r="Y151" s="539">
        <v>6.4381438143814385E-3</v>
      </c>
      <c r="Z151" s="539">
        <v>6.1672833950061666E-3</v>
      </c>
      <c r="AA151" s="539">
        <v>4.4171083775044169E-3</v>
      </c>
      <c r="AB151" s="539">
        <v>1.2084541787512084E-3</v>
      </c>
      <c r="AC151" s="539">
        <v>0</v>
      </c>
      <c r="AD151" s="539">
        <v>8.9800646731339803E-3</v>
      </c>
      <c r="AE151" s="539">
        <v>3.6670333700036671E-3</v>
      </c>
      <c r="AF151" s="539">
        <v>1.2876287628762877E-2</v>
      </c>
      <c r="AG151" s="539">
        <v>4.1254125412541259E-3</v>
      </c>
      <c r="AH151" s="539">
        <v>3.0836416975030833E-3</v>
      </c>
      <c r="AI151" s="13">
        <v>7.215751337038466E-3</v>
      </c>
    </row>
    <row r="152" spans="1:36" x14ac:dyDescent="0.25">
      <c r="B152" s="5" t="s">
        <v>116</v>
      </c>
      <c r="C152" s="1" t="s">
        <v>60</v>
      </c>
      <c r="D152" s="539">
        <v>2.000430024321132E-3</v>
      </c>
      <c r="E152" s="539">
        <v>2.0326240397687736E-3</v>
      </c>
      <c r="F152" s="539">
        <v>1.997027026030343E-3</v>
      </c>
      <c r="G152" s="539">
        <v>1.9938904633197184E-3</v>
      </c>
      <c r="H152" s="539">
        <v>1.9956914849890792E-3</v>
      </c>
      <c r="I152" s="539">
        <v>2.0008437256364142E-3</v>
      </c>
      <c r="J152" s="539">
        <v>2.0179933607609082E-3</v>
      </c>
      <c r="K152" s="539">
        <v>2.0018671418683713E-3</v>
      </c>
      <c r="L152" s="539">
        <v>2.0044775250222593E-3</v>
      </c>
      <c r="M152" s="539">
        <v>2.0061332081163464E-3</v>
      </c>
      <c r="N152" s="539">
        <v>1.993539891762694E-3</v>
      </c>
      <c r="O152" s="539">
        <v>2.0050377339712053E-3</v>
      </c>
      <c r="P152" s="539">
        <v>2.0089133057950822E-3</v>
      </c>
      <c r="Q152" s="539">
        <v>1.996507767176141E-3</v>
      </c>
      <c r="R152" s="539">
        <v>2.0113008628990748E-3</v>
      </c>
      <c r="S152" s="539">
        <v>2.0056314910152084E-3</v>
      </c>
      <c r="T152" s="539">
        <v>2.006173249548715E-3</v>
      </c>
      <c r="U152" s="539">
        <v>1.9909012941594661E-3</v>
      </c>
      <c r="V152" s="539">
        <v>2.0057170386811908E-3</v>
      </c>
      <c r="W152" s="539">
        <v>2.0081911463978195E-3</v>
      </c>
      <c r="X152" s="539">
        <v>1.9988128168067151E-3</v>
      </c>
      <c r="Y152" s="539">
        <v>1.9945808048336877E-3</v>
      </c>
      <c r="Z152" s="539">
        <v>2.0072318604920049E-3</v>
      </c>
      <c r="AA152" s="539">
        <v>1.9968439483050463E-3</v>
      </c>
      <c r="AB152" s="539">
        <v>1.9931930442828151E-3</v>
      </c>
      <c r="AC152" s="539">
        <v>2.9689334078549581E-3</v>
      </c>
      <c r="AD152" s="539">
        <v>1.9049116361978622E-3</v>
      </c>
      <c r="AE152" s="539">
        <v>2.0005939757145731E-3</v>
      </c>
      <c r="AF152" s="539">
        <v>2.0003554214034613E-3</v>
      </c>
      <c r="AG152" s="539">
        <v>1.9971255485484668E-3</v>
      </c>
      <c r="AH152" s="539">
        <v>2.0040733827291746E-3</v>
      </c>
      <c r="AI152" s="224">
        <v>2.0338569027045566E-3</v>
      </c>
    </row>
    <row r="153" spans="1:36" x14ac:dyDescent="0.25">
      <c r="A153" t="s">
        <v>229</v>
      </c>
      <c r="B153" s="652" t="s">
        <v>227</v>
      </c>
      <c r="C153" s="653"/>
      <c r="D153" s="653"/>
      <c r="E153" s="653"/>
      <c r="F153" s="653"/>
      <c r="G153" s="653"/>
      <c r="H153" s="653"/>
      <c r="I153" s="653"/>
      <c r="J153" s="653"/>
      <c r="K153" s="653"/>
      <c r="L153" s="653"/>
      <c r="M153" s="653"/>
      <c r="N153" s="653"/>
      <c r="O153" s="653"/>
      <c r="P153" s="653"/>
      <c r="Q153" s="653"/>
      <c r="R153" s="653"/>
      <c r="S153" s="653"/>
      <c r="T153" s="653"/>
      <c r="U153" s="653"/>
      <c r="V153" s="653"/>
      <c r="W153" s="653"/>
      <c r="X153" s="653"/>
      <c r="Y153" s="653"/>
      <c r="Z153" s="653"/>
      <c r="AA153" s="653"/>
      <c r="AB153" s="653"/>
      <c r="AC153" s="653"/>
      <c r="AD153" s="653"/>
      <c r="AE153" s="653"/>
      <c r="AF153" s="653"/>
      <c r="AG153" s="653"/>
      <c r="AH153" s="653"/>
      <c r="AI153" s="654"/>
    </row>
    <row r="154" spans="1:36" x14ac:dyDescent="0.25">
      <c r="B154" s="1" t="s">
        <v>2</v>
      </c>
      <c r="C154" s="1" t="s">
        <v>3</v>
      </c>
      <c r="D154" s="187">
        <v>1</v>
      </c>
      <c r="E154" s="187">
        <v>2</v>
      </c>
      <c r="F154" s="187">
        <v>3</v>
      </c>
      <c r="G154" s="187">
        <v>4</v>
      </c>
      <c r="H154" s="187">
        <v>5</v>
      </c>
      <c r="I154" s="187">
        <v>6</v>
      </c>
      <c r="J154" s="187">
        <v>7</v>
      </c>
      <c r="K154" s="187">
        <v>8</v>
      </c>
      <c r="L154" s="187">
        <v>9</v>
      </c>
      <c r="M154" s="187">
        <v>10</v>
      </c>
      <c r="N154" s="187">
        <v>11</v>
      </c>
      <c r="O154" s="187">
        <v>12</v>
      </c>
      <c r="P154" s="187">
        <v>13</v>
      </c>
      <c r="Q154" s="187">
        <v>14</v>
      </c>
      <c r="R154" s="187">
        <v>15</v>
      </c>
      <c r="S154" s="187">
        <v>16</v>
      </c>
      <c r="T154" s="187">
        <v>17</v>
      </c>
      <c r="U154" s="187">
        <v>18</v>
      </c>
      <c r="V154" s="187">
        <v>19</v>
      </c>
      <c r="W154" s="187">
        <v>20</v>
      </c>
      <c r="X154" s="187">
        <v>21</v>
      </c>
      <c r="Y154" s="187">
        <v>22</v>
      </c>
      <c r="Z154" s="187">
        <v>23</v>
      </c>
      <c r="AA154" s="187">
        <v>24</v>
      </c>
      <c r="AB154" s="187">
        <v>25</v>
      </c>
      <c r="AC154" s="187">
        <v>26</v>
      </c>
      <c r="AD154" s="187">
        <v>27</v>
      </c>
      <c r="AE154" s="187">
        <v>28</v>
      </c>
      <c r="AF154" s="187">
        <v>29</v>
      </c>
      <c r="AG154" s="187">
        <v>30</v>
      </c>
      <c r="AH154" s="187">
        <v>31</v>
      </c>
      <c r="AI154" s="187" t="s">
        <v>4</v>
      </c>
    </row>
    <row r="155" spans="1:36" x14ac:dyDescent="0.25">
      <c r="B155" s="1" t="s">
        <v>5</v>
      </c>
      <c r="C155" s="1" t="s">
        <v>6</v>
      </c>
      <c r="D155" s="553">
        <v>179.3</v>
      </c>
      <c r="E155" s="553">
        <v>188.60001</v>
      </c>
      <c r="F155" s="553">
        <v>261.20001000000002</v>
      </c>
      <c r="G155" s="553">
        <v>190.89999</v>
      </c>
      <c r="H155" s="553">
        <v>245</v>
      </c>
      <c r="I155" s="553">
        <v>253.7</v>
      </c>
      <c r="J155" s="553">
        <v>307.89999</v>
      </c>
      <c r="K155" s="553">
        <v>304.39999</v>
      </c>
      <c r="L155" s="553">
        <v>277.79998999999998</v>
      </c>
      <c r="M155" s="553">
        <v>223.89999</v>
      </c>
      <c r="N155" s="553">
        <v>271.89999</v>
      </c>
      <c r="O155" s="553">
        <v>240.8</v>
      </c>
      <c r="P155" s="553">
        <v>200.8</v>
      </c>
      <c r="Q155" s="553">
        <v>308.89999</v>
      </c>
      <c r="R155" s="553">
        <v>215.3</v>
      </c>
      <c r="S155" s="553">
        <v>304.89999</v>
      </c>
      <c r="T155" s="553">
        <v>196.89999</v>
      </c>
      <c r="U155" s="553">
        <v>94</v>
      </c>
      <c r="V155" s="553">
        <v>90.7</v>
      </c>
      <c r="W155" s="90">
        <v>235.7</v>
      </c>
      <c r="X155" s="553">
        <v>277.29998999999998</v>
      </c>
      <c r="Y155" s="553">
        <v>262.20001000000002</v>
      </c>
      <c r="Z155" s="553">
        <v>232.10001</v>
      </c>
      <c r="AA155" s="553">
        <v>226.7</v>
      </c>
      <c r="AB155" s="553">
        <v>339.79998999999998</v>
      </c>
      <c r="AC155" s="553">
        <v>327.70001000000002</v>
      </c>
      <c r="AD155" s="553">
        <v>308.10001</v>
      </c>
      <c r="AE155" s="553">
        <v>278.39999</v>
      </c>
      <c r="AF155" s="553">
        <v>272.60001</v>
      </c>
      <c r="AG155" s="553">
        <v>282</v>
      </c>
      <c r="AH155" s="553">
        <v>292.39999</v>
      </c>
      <c r="AI155" s="3">
        <v>7691.8999400000012</v>
      </c>
    </row>
    <row r="156" spans="1:36" x14ac:dyDescent="0.25">
      <c r="B156" s="1" t="s">
        <v>7</v>
      </c>
      <c r="C156" s="1" t="s">
        <v>6</v>
      </c>
      <c r="D156" s="553">
        <v>168.39999</v>
      </c>
      <c r="E156" s="553">
        <v>179.10001</v>
      </c>
      <c r="F156" s="553">
        <v>198.10001</v>
      </c>
      <c r="G156" s="553">
        <v>181.8</v>
      </c>
      <c r="H156" s="553">
        <v>126.1</v>
      </c>
      <c r="I156" s="553">
        <v>238.89999</v>
      </c>
      <c r="J156" s="553">
        <v>217.39999</v>
      </c>
      <c r="K156" s="553">
        <v>288</v>
      </c>
      <c r="L156" s="553">
        <v>261.60001</v>
      </c>
      <c r="M156" s="553">
        <v>206.89999</v>
      </c>
      <c r="N156" s="553">
        <v>252</v>
      </c>
      <c r="O156" s="553">
        <v>227.60001</v>
      </c>
      <c r="P156" s="553">
        <v>130</v>
      </c>
      <c r="Q156" s="553">
        <v>291.29998999999998</v>
      </c>
      <c r="R156" s="553">
        <v>199.39999</v>
      </c>
      <c r="S156" s="553">
        <v>287.20001000000002</v>
      </c>
      <c r="T156" s="553">
        <v>137.39999</v>
      </c>
      <c r="U156" s="553">
        <v>73.5</v>
      </c>
      <c r="V156" s="553">
        <v>84.4</v>
      </c>
      <c r="W156" s="553">
        <v>222.10001</v>
      </c>
      <c r="X156" s="553">
        <v>262.60001</v>
      </c>
      <c r="Y156" s="553">
        <v>147.89999</v>
      </c>
      <c r="Z156" s="553">
        <v>206</v>
      </c>
      <c r="AA156" s="553">
        <v>205.2</v>
      </c>
      <c r="AB156" s="553">
        <v>316</v>
      </c>
      <c r="AC156" s="553">
        <v>305.60001</v>
      </c>
      <c r="AD156" s="553">
        <v>235.39999</v>
      </c>
      <c r="AE156" s="553">
        <v>106.9</v>
      </c>
      <c r="AF156" s="553">
        <v>110.1</v>
      </c>
      <c r="AG156" s="553">
        <v>259</v>
      </c>
      <c r="AH156" s="553">
        <v>194.8</v>
      </c>
      <c r="AI156" s="3">
        <v>6320.6999900000001</v>
      </c>
    </row>
    <row r="157" spans="1:36" x14ac:dyDescent="0.25">
      <c r="B157" s="1" t="s">
        <v>8</v>
      </c>
      <c r="C157" s="1" t="s">
        <v>6</v>
      </c>
      <c r="D157" s="553">
        <v>178.8</v>
      </c>
      <c r="E157" s="553">
        <v>191.5</v>
      </c>
      <c r="F157" s="553">
        <v>207.7</v>
      </c>
      <c r="G157" s="553">
        <v>194.8</v>
      </c>
      <c r="H157" s="553">
        <v>250.5</v>
      </c>
      <c r="I157" s="553">
        <v>196.60001</v>
      </c>
      <c r="J157" s="553">
        <v>246.8</v>
      </c>
      <c r="K157" s="553">
        <v>310.89999</v>
      </c>
      <c r="L157" s="553">
        <v>283.39999</v>
      </c>
      <c r="M157" s="553">
        <v>222.89999</v>
      </c>
      <c r="N157" s="553">
        <v>275.70001000000002</v>
      </c>
      <c r="O157" s="553">
        <v>245.10001</v>
      </c>
      <c r="P157" s="553">
        <v>131.19999999999999</v>
      </c>
      <c r="Q157" s="553">
        <v>317.29998999999998</v>
      </c>
      <c r="R157" s="553">
        <v>213.5</v>
      </c>
      <c r="S157" s="553">
        <v>312</v>
      </c>
      <c r="T157" s="553">
        <v>142.30000000000001</v>
      </c>
      <c r="U157" s="553">
        <v>77</v>
      </c>
      <c r="V157" s="553">
        <v>86.2</v>
      </c>
      <c r="W157" s="553">
        <v>239.2</v>
      </c>
      <c r="X157" s="553">
        <v>282.5</v>
      </c>
      <c r="Y157" s="553">
        <v>159.19999999999999</v>
      </c>
      <c r="Z157" s="553">
        <v>237.10001</v>
      </c>
      <c r="AA157" s="553">
        <v>232.2</v>
      </c>
      <c r="AB157" s="553">
        <v>346.79998999999998</v>
      </c>
      <c r="AC157" s="553">
        <v>335.20001000000002</v>
      </c>
      <c r="AD157" s="553">
        <v>319.10001</v>
      </c>
      <c r="AE157" s="553">
        <v>193.3</v>
      </c>
      <c r="AF157" s="553">
        <v>224.39999</v>
      </c>
      <c r="AG157" s="553">
        <v>287.79998999999998</v>
      </c>
      <c r="AH157" s="553">
        <v>298.39999</v>
      </c>
      <c r="AI157" s="3">
        <v>7239.3999800000001</v>
      </c>
    </row>
    <row r="158" spans="1:36" x14ac:dyDescent="0.25">
      <c r="B158" s="1" t="s">
        <v>9</v>
      </c>
      <c r="C158" s="1" t="s">
        <v>6</v>
      </c>
      <c r="D158" s="553">
        <v>177.89999</v>
      </c>
      <c r="E158" s="553">
        <v>172.39999</v>
      </c>
      <c r="F158" s="553">
        <v>201.39999</v>
      </c>
      <c r="G158" s="553">
        <v>176.3</v>
      </c>
      <c r="H158" s="553">
        <v>231.8</v>
      </c>
      <c r="I158" s="553">
        <v>195.39999</v>
      </c>
      <c r="J158" s="553">
        <v>229.7</v>
      </c>
      <c r="K158" s="553">
        <v>284</v>
      </c>
      <c r="L158" s="553">
        <v>258.79998999999998</v>
      </c>
      <c r="M158" s="553">
        <v>194.2</v>
      </c>
      <c r="N158" s="553">
        <v>257</v>
      </c>
      <c r="O158" s="553">
        <v>216.2</v>
      </c>
      <c r="P158" s="553">
        <v>126.4</v>
      </c>
      <c r="Q158" s="553">
        <v>288.79998999999998</v>
      </c>
      <c r="R158" s="553">
        <v>186.89999</v>
      </c>
      <c r="S158" s="553">
        <v>280.60001</v>
      </c>
      <c r="T158" s="553">
        <v>134.30000000000001</v>
      </c>
      <c r="U158" s="553">
        <v>68.8</v>
      </c>
      <c r="V158" s="553">
        <v>71.900000000000006</v>
      </c>
      <c r="W158" s="553">
        <v>208.10001</v>
      </c>
      <c r="X158" s="553">
        <v>253.7</v>
      </c>
      <c r="Y158" s="553">
        <v>141.30000000000001</v>
      </c>
      <c r="Z158" s="553">
        <v>204.89999</v>
      </c>
      <c r="AA158" s="553">
        <v>190.39999</v>
      </c>
      <c r="AB158" s="553">
        <v>296.10001</v>
      </c>
      <c r="AC158" s="553">
        <v>288.60001</v>
      </c>
      <c r="AD158" s="553">
        <v>275.70001000000002</v>
      </c>
      <c r="AE158" s="553">
        <v>162.30000000000001</v>
      </c>
      <c r="AF158" s="553">
        <v>217.60001</v>
      </c>
      <c r="AG158" s="553">
        <v>255.7</v>
      </c>
      <c r="AH158" s="553">
        <v>262.29998999999998</v>
      </c>
      <c r="AI158" s="3">
        <v>6509.499960000001</v>
      </c>
    </row>
    <row r="159" spans="1:36" x14ac:dyDescent="0.25">
      <c r="A159" s="345"/>
      <c r="B159" s="1" t="s">
        <v>24</v>
      </c>
      <c r="C159" s="1" t="s">
        <v>6</v>
      </c>
      <c r="D159" s="216">
        <v>704.39998000000003</v>
      </c>
      <c r="E159" s="216">
        <v>731.60001</v>
      </c>
      <c r="F159" s="216">
        <v>868.40000999999995</v>
      </c>
      <c r="G159" s="216">
        <v>743.79998999999998</v>
      </c>
      <c r="H159" s="216">
        <v>853.40000000000009</v>
      </c>
      <c r="I159" s="216">
        <v>884.59999000000005</v>
      </c>
      <c r="J159" s="216">
        <v>1001.79998</v>
      </c>
      <c r="K159" s="216">
        <v>1187.29998</v>
      </c>
      <c r="L159" s="216">
        <v>1081.59998</v>
      </c>
      <c r="M159" s="216">
        <v>847.89996999999994</v>
      </c>
      <c r="N159" s="216">
        <v>1056.5999999999999</v>
      </c>
      <c r="O159" s="216">
        <v>929.70001999999999</v>
      </c>
      <c r="P159" s="216">
        <v>588.4</v>
      </c>
      <c r="Q159" s="216">
        <v>1206.2999599999998</v>
      </c>
      <c r="R159" s="216">
        <v>815.09998000000007</v>
      </c>
      <c r="S159" s="216">
        <v>1184.70001</v>
      </c>
      <c r="T159" s="216">
        <v>610.89998000000003</v>
      </c>
      <c r="U159" s="216">
        <v>313.3</v>
      </c>
      <c r="V159" s="216">
        <v>333.20000000000005</v>
      </c>
      <c r="W159" s="216">
        <v>905.10001999999997</v>
      </c>
      <c r="X159" s="216">
        <v>1076.0999999999999</v>
      </c>
      <c r="Y159" s="216">
        <v>710.59999999999991</v>
      </c>
      <c r="Z159" s="216">
        <v>880.10001</v>
      </c>
      <c r="AA159" s="216">
        <v>854.49998999999991</v>
      </c>
      <c r="AB159" s="216">
        <v>1298.6999900000001</v>
      </c>
      <c r="AC159" s="216">
        <v>1257.10004</v>
      </c>
      <c r="AD159" s="216">
        <v>1138.3000200000001</v>
      </c>
      <c r="AE159" s="216">
        <v>740.89998999999989</v>
      </c>
      <c r="AF159" s="216">
        <v>824.70001000000002</v>
      </c>
      <c r="AG159" s="216">
        <v>1084.49999</v>
      </c>
      <c r="AH159" s="216">
        <v>1047.8999699999999</v>
      </c>
      <c r="AI159" s="3">
        <v>27761.499869999996</v>
      </c>
    </row>
    <row r="160" spans="1:36" x14ac:dyDescent="0.25">
      <c r="B160" s="1" t="s">
        <v>25</v>
      </c>
      <c r="C160" s="1" t="s">
        <v>26</v>
      </c>
      <c r="D160" s="90">
        <v>5.549033333333333</v>
      </c>
      <c r="E160" s="90">
        <v>4.2249499999999998</v>
      </c>
      <c r="F160" s="90">
        <v>5.9131469872795206</v>
      </c>
      <c r="G160" s="90">
        <v>4.3022833333333335</v>
      </c>
      <c r="H160" s="90">
        <v>5.5159666666666674</v>
      </c>
      <c r="I160" s="90">
        <v>5.6080166666666669</v>
      </c>
      <c r="J160" s="90">
        <v>6.8872357513850879</v>
      </c>
      <c r="K160" s="90">
        <v>6.9291999999999989</v>
      </c>
      <c r="L160" s="90">
        <v>6.2298666666666671</v>
      </c>
      <c r="M160" s="90">
        <v>5.0007833941055129</v>
      </c>
      <c r="N160" s="90">
        <v>6.1065166666666668</v>
      </c>
      <c r="O160" s="90">
        <v>5.3715333333333328</v>
      </c>
      <c r="P160" s="90">
        <v>4.432588502745757</v>
      </c>
      <c r="Q160" s="90">
        <v>7.0082082375870298</v>
      </c>
      <c r="R160" s="90">
        <v>4.8863833333333337</v>
      </c>
      <c r="S160" s="90">
        <v>6.8565166666666677</v>
      </c>
      <c r="T160" s="90">
        <v>4.4738835224441118</v>
      </c>
      <c r="U160" s="90">
        <v>2.14175</v>
      </c>
      <c r="V160" s="90">
        <v>1.9109666666666667</v>
      </c>
      <c r="W160" s="90">
        <v>5.1146833333333328</v>
      </c>
      <c r="X160" s="90">
        <v>6.1118999999999994</v>
      </c>
      <c r="Y160" s="206">
        <v>6.7900684306803782</v>
      </c>
      <c r="Z160" s="206">
        <v>5.2261965958333407</v>
      </c>
      <c r="AA160" s="232">
        <v>6.1996810096666755</v>
      </c>
      <c r="AB160" s="206">
        <v>7.72757417233335</v>
      </c>
      <c r="AC160" s="206">
        <v>7.3</v>
      </c>
      <c r="AD160" s="206">
        <v>7.1727424474999957</v>
      </c>
      <c r="AE160" s="206">
        <v>6.34851606933334</v>
      </c>
      <c r="AF160" s="206">
        <v>6.1390110164999996</v>
      </c>
      <c r="AG160" s="206">
        <v>6.4207088885000001</v>
      </c>
      <c r="AH160" s="206">
        <v>6.6560327139318236</v>
      </c>
      <c r="AI160" s="3">
        <v>5.6953530453707293</v>
      </c>
    </row>
    <row r="161" spans="2:35" x14ac:dyDescent="0.25">
      <c r="B161" s="1" t="s">
        <v>27</v>
      </c>
      <c r="C161" s="1" t="s">
        <v>6</v>
      </c>
      <c r="D161" s="553"/>
      <c r="E161" s="553"/>
      <c r="F161" s="553"/>
      <c r="G161" s="553"/>
      <c r="H161" s="553"/>
      <c r="I161" s="553"/>
      <c r="J161" s="553"/>
      <c r="K161" s="553"/>
      <c r="L161" s="553"/>
      <c r="M161" s="553"/>
      <c r="N161" s="553"/>
      <c r="O161" s="553"/>
      <c r="P161" s="553"/>
      <c r="Q161" s="553"/>
      <c r="R161" s="553"/>
      <c r="S161" s="553"/>
      <c r="T161" s="553"/>
      <c r="U161" s="553"/>
      <c r="V161" s="553"/>
      <c r="W161" s="553"/>
      <c r="X161" s="553"/>
      <c r="Y161" s="187"/>
      <c r="Z161" s="187"/>
      <c r="AA161" s="187"/>
      <c r="AB161" s="187"/>
      <c r="AC161" s="187"/>
      <c r="AD161" s="187"/>
      <c r="AE161" s="187"/>
      <c r="AF161" s="187"/>
      <c r="AG161" s="187"/>
      <c r="AH161" s="187"/>
      <c r="AI161" s="187"/>
    </row>
    <row r="162" spans="2:35" x14ac:dyDescent="0.25">
      <c r="B162" s="5" t="s">
        <v>28</v>
      </c>
      <c r="C162" s="1" t="s">
        <v>0</v>
      </c>
      <c r="D162" s="547">
        <v>0.16739928756119934</v>
      </c>
      <c r="E162" s="547">
        <v>0.12853601140886481</v>
      </c>
      <c r="F162" s="547">
        <v>0.17961292124242012</v>
      </c>
      <c r="G162" s="547">
        <v>0.13082664951438208</v>
      </c>
      <c r="H162" s="547">
        <v>0.16904315221970337</v>
      </c>
      <c r="I162" s="547">
        <v>0.17410780896626463</v>
      </c>
      <c r="J162" s="547">
        <v>0.21357267833165636</v>
      </c>
      <c r="K162" s="547">
        <v>0.20864273623159277</v>
      </c>
      <c r="L162" s="547">
        <v>0.18861740070126251</v>
      </c>
      <c r="M162" s="547">
        <v>0.15435347481058898</v>
      </c>
      <c r="N162" s="547">
        <v>0.18594196823819942</v>
      </c>
      <c r="O162" s="547">
        <v>0.16459229322520291</v>
      </c>
      <c r="P162" s="547">
        <v>0.13881450833676348</v>
      </c>
      <c r="Q162" s="547">
        <v>0.21146774046394856</v>
      </c>
      <c r="R162" s="547">
        <v>0.1497562848748116</v>
      </c>
      <c r="S162" s="547">
        <v>0.20679597896352878</v>
      </c>
      <c r="T162" s="547">
        <v>0.13535068863072366</v>
      </c>
      <c r="U162" s="547">
        <v>6.6653713741361156E-2</v>
      </c>
      <c r="V162" s="547">
        <v>6.1385782350410756E-2</v>
      </c>
      <c r="W162" s="547">
        <v>0.15866594581767146</v>
      </c>
      <c r="X162" s="547">
        <v>0.18968955857008152</v>
      </c>
      <c r="Y162" s="547">
        <v>0.21059109712930155</v>
      </c>
      <c r="Z162" s="539">
        <v>0.16047311598756253</v>
      </c>
      <c r="AA162" s="547">
        <v>0.1874488869005817</v>
      </c>
      <c r="AB162" s="547">
        <v>0.23213810785933228</v>
      </c>
      <c r="AC162" s="547">
        <v>0.22200462472757315</v>
      </c>
      <c r="AD162" s="547">
        <v>0.21473643292984154</v>
      </c>
      <c r="AE162" s="547">
        <v>0.19183859285224378</v>
      </c>
      <c r="AF162" s="547">
        <v>0.18704897017300001</v>
      </c>
      <c r="AG162" s="547">
        <v>0.19463627036442871</v>
      </c>
      <c r="AH162" s="547">
        <v>0.19914985289103787</v>
      </c>
      <c r="AI162" s="14">
        <v>0.1720726349227612</v>
      </c>
    </row>
    <row r="163" spans="2:35" x14ac:dyDescent="0.25">
      <c r="B163" s="5" t="s">
        <v>35</v>
      </c>
      <c r="C163" s="1" t="s">
        <v>0</v>
      </c>
      <c r="D163" s="547">
        <v>0.11834677083333334</v>
      </c>
      <c r="E163" s="547">
        <v>0.1229166683467742</v>
      </c>
      <c r="F163" s="547">
        <v>0.14590053931451613</v>
      </c>
      <c r="G163" s="547">
        <v>0.12496639616935483</v>
      </c>
      <c r="H163" s="547">
        <v>0.14338037634408604</v>
      </c>
      <c r="I163" s="547">
        <v>0.14862231014784946</v>
      </c>
      <c r="J163" s="547">
        <v>0.16831316868279569</v>
      </c>
      <c r="K163" s="547">
        <v>0.1994791633064516</v>
      </c>
      <c r="L163" s="547">
        <v>0.18172042674731181</v>
      </c>
      <c r="M163" s="547">
        <v>0.14245631216397847</v>
      </c>
      <c r="N163" s="547">
        <v>0.17752016129032255</v>
      </c>
      <c r="O163" s="547">
        <v>0.15619960013440859</v>
      </c>
      <c r="P163" s="547">
        <v>9.885752688172042E-2</v>
      </c>
      <c r="Q163" s="547">
        <v>0.2026713642473118</v>
      </c>
      <c r="R163" s="547">
        <v>0.136945561155914</v>
      </c>
      <c r="S163" s="547">
        <v>0.19904234038978494</v>
      </c>
      <c r="T163" s="547">
        <v>0.10263776545698926</v>
      </c>
      <c r="U163" s="547">
        <v>5.2637768817204306E-2</v>
      </c>
      <c r="V163" s="547">
        <v>5.5981182795698935E-2</v>
      </c>
      <c r="W163" s="547">
        <v>0.15206653561827957</v>
      </c>
      <c r="X163" s="547">
        <v>0.18079637096774193</v>
      </c>
      <c r="Y163" s="547">
        <v>0.11938844086021504</v>
      </c>
      <c r="Z163" s="547">
        <v>0.14786626512096773</v>
      </c>
      <c r="AA163" s="547">
        <v>0.14356518649193548</v>
      </c>
      <c r="AB163" s="547">
        <v>0.21819556283602151</v>
      </c>
      <c r="AC163" s="547">
        <v>0.21120632392473118</v>
      </c>
      <c r="AD163" s="547">
        <v>0.19124664314516132</v>
      </c>
      <c r="AE163" s="547">
        <v>0.12447916498655912</v>
      </c>
      <c r="AF163" s="547">
        <v>0.138558469422043</v>
      </c>
      <c r="AG163" s="547">
        <v>0.18220765961021507</v>
      </c>
      <c r="AH163" s="547">
        <v>0.17605846270161291</v>
      </c>
      <c r="AI163" s="14">
        <v>0.14883592489919356</v>
      </c>
    </row>
    <row r="164" spans="2:35" ht="15.75" x14ac:dyDescent="0.25">
      <c r="B164" s="5" t="s">
        <v>113</v>
      </c>
      <c r="C164" s="1"/>
      <c r="D164" s="541">
        <v>4.9052516727866008E-2</v>
      </c>
      <c r="E164" s="541">
        <v>5.6193430620906093E-3</v>
      </c>
      <c r="F164" s="541">
        <v>3.3712381927903989E-2</v>
      </c>
      <c r="G164" s="541">
        <v>5.8602533450272526E-3</v>
      </c>
      <c r="H164" s="541">
        <v>2.5662775875617327E-2</v>
      </c>
      <c r="I164" s="541">
        <v>2.5485498818415164E-2</v>
      </c>
      <c r="J164" s="541">
        <v>4.5259509648860663E-2</v>
      </c>
      <c r="K164" s="541">
        <v>9.1635729251411668E-3</v>
      </c>
      <c r="L164" s="541">
        <v>6.8969739539506969E-3</v>
      </c>
      <c r="M164" s="541">
        <v>1.1897162646610504E-2</v>
      </c>
      <c r="N164" s="541">
        <v>8.4218069478768642E-3</v>
      </c>
      <c r="O164" s="541">
        <v>8.3926930907943231E-3</v>
      </c>
      <c r="P164" s="541">
        <v>3.9956981455043061E-2</v>
      </c>
      <c r="Q164" s="541">
        <v>8.7963762166367587E-3</v>
      </c>
      <c r="R164" s="541">
        <v>1.2810723718897604E-2</v>
      </c>
      <c r="S164" s="541">
        <v>7.7536385737438374E-3</v>
      </c>
      <c r="T164" s="541">
        <v>3.2712923173734407E-2</v>
      </c>
      <c r="U164" s="541">
        <v>1.4015944924156851E-2</v>
      </c>
      <c r="V164" s="541">
        <v>5.4045995547118211E-3</v>
      </c>
      <c r="W164" s="541">
        <v>6.5994101993918919E-3</v>
      </c>
      <c r="X164" s="541">
        <v>8.8931876023395917E-3</v>
      </c>
      <c r="Y164" s="541">
        <v>9.120265626908651E-2</v>
      </c>
      <c r="Z164" s="541">
        <v>1.2606850866594799E-2</v>
      </c>
      <c r="AA164" s="541">
        <v>4.3883700408646226E-2</v>
      </c>
      <c r="AB164" s="541">
        <v>1.3942545023310771E-2</v>
      </c>
      <c r="AC164" s="541">
        <v>1.079830080284197E-2</v>
      </c>
      <c r="AD164" s="541">
        <v>2.3489789784680221E-2</v>
      </c>
      <c r="AE164" s="541">
        <v>6.7359427865684662E-2</v>
      </c>
      <c r="AF164" s="541">
        <v>4.8490500750957011E-2</v>
      </c>
      <c r="AG164" s="541">
        <v>1.2428610754213643E-2</v>
      </c>
      <c r="AH164" s="541">
        <v>2.3091390189424965E-2</v>
      </c>
      <c r="AI164" s="49">
        <v>2.27018409074877E-2</v>
      </c>
    </row>
    <row r="165" spans="2:35" ht="15.75" x14ac:dyDescent="0.25">
      <c r="B165" s="1" t="s">
        <v>111</v>
      </c>
      <c r="C165" s="1"/>
      <c r="D165" s="555">
        <v>0.12701723550484492</v>
      </c>
      <c r="E165" s="555">
        <v>0.17326577439735952</v>
      </c>
      <c r="F165" s="555">
        <v>0.14694736401563019</v>
      </c>
      <c r="G165" s="555">
        <v>0.17298873185697991</v>
      </c>
      <c r="H165" s="555">
        <v>0.15480737992285035</v>
      </c>
      <c r="I165" s="555">
        <v>0.15783317369620004</v>
      </c>
      <c r="J165" s="555">
        <v>0.14554481028922514</v>
      </c>
      <c r="K165" s="555">
        <v>0.17145020892348375</v>
      </c>
      <c r="L165" s="555">
        <v>0.17371950115536317</v>
      </c>
      <c r="M165" s="555">
        <v>0.16965522170171896</v>
      </c>
      <c r="N165" s="555">
        <v>0.17313214690388615</v>
      </c>
      <c r="O165" s="555">
        <v>0.17318298466699944</v>
      </c>
      <c r="P165" s="555">
        <v>0.13282380071745184</v>
      </c>
      <c r="Q165" s="555">
        <v>0.17223006702784399</v>
      </c>
      <c r="R165" s="555">
        <v>0.16691063266290884</v>
      </c>
      <c r="S165" s="555">
        <v>0.17288826300342774</v>
      </c>
      <c r="T165" s="555">
        <v>0.13663000768291961</v>
      </c>
      <c r="U165" s="555">
        <v>0.14637006786773127</v>
      </c>
      <c r="V165" s="555">
        <v>0.17446669575119805</v>
      </c>
      <c r="W165" s="555">
        <v>0.17706734650440259</v>
      </c>
      <c r="X165" s="555">
        <v>0.17617206558166482</v>
      </c>
      <c r="Y165" s="555">
        <v>0.10471567749698443</v>
      </c>
      <c r="Z165" s="555">
        <v>0.16850272868309485</v>
      </c>
      <c r="AA165" s="555">
        <v>0.13791241782690505</v>
      </c>
      <c r="AB165" s="555">
        <v>0.16816139823790327</v>
      </c>
      <c r="AC165" s="555">
        <v>0.17230887025365904</v>
      </c>
      <c r="AD165" s="555">
        <v>0.15879329536543052</v>
      </c>
      <c r="AE165" s="555">
        <v>0.11677450112463457</v>
      </c>
      <c r="AF165" s="555">
        <v>0.13441825154871764</v>
      </c>
      <c r="AG165" s="555">
        <v>0.16900798642218168</v>
      </c>
      <c r="AH165" s="555">
        <v>0.15753063912348003</v>
      </c>
      <c r="AI165" s="49">
        <v>0.15793829888652505</v>
      </c>
    </row>
    <row r="166" spans="2:35" x14ac:dyDescent="0.25">
      <c r="B166" s="5" t="s">
        <v>109</v>
      </c>
      <c r="C166" s="1" t="s">
        <v>59</v>
      </c>
      <c r="D166" s="554">
        <v>4015.1723517279033</v>
      </c>
      <c r="E166" s="554">
        <v>3083.0133552484676</v>
      </c>
      <c r="F166" s="554">
        <v>4308.1236837521919</v>
      </c>
      <c r="G166" s="554">
        <v>3137.9556845921629</v>
      </c>
      <c r="H166" s="554">
        <v>4054.6014318809171</v>
      </c>
      <c r="I166" s="554">
        <v>1036.289678967207</v>
      </c>
      <c r="J166" s="554">
        <v>1271.1845814300186</v>
      </c>
      <c r="K166" s="554">
        <v>1241.8415660504402</v>
      </c>
      <c r="L166" s="554">
        <v>1122.6507689739146</v>
      </c>
      <c r="M166" s="554">
        <v>918.71188207262571</v>
      </c>
      <c r="N166" s="554">
        <v>1106.726594953763</v>
      </c>
      <c r="O166" s="554">
        <v>979.6533292764077</v>
      </c>
      <c r="P166" s="554">
        <v>826.22395362041618</v>
      </c>
      <c r="Q166" s="554">
        <v>1258.6559912414218</v>
      </c>
      <c r="R166" s="554">
        <v>891.34940757487857</v>
      </c>
      <c r="S166" s="554">
        <v>1230.8496667909233</v>
      </c>
      <c r="T166" s="554">
        <v>805.60729873006721</v>
      </c>
      <c r="U166" s="554">
        <v>1598.729316314792</v>
      </c>
      <c r="V166" s="554">
        <v>1472.374821144012</v>
      </c>
      <c r="W166" s="554">
        <v>3805.6979100043409</v>
      </c>
      <c r="X166" s="554">
        <v>4549.8178760385472</v>
      </c>
      <c r="Y166" s="554">
        <v>5051.1538193045744</v>
      </c>
      <c r="Z166" s="554">
        <v>3849.0439708312797</v>
      </c>
      <c r="AA166" s="554">
        <v>4496.0740216425929</v>
      </c>
      <c r="AB166" s="554">
        <v>5567.9717998708002</v>
      </c>
      <c r="AC166" s="554">
        <v>5324.9141268656786</v>
      </c>
      <c r="AD166" s="554">
        <v>5150.5821856820075</v>
      </c>
      <c r="AE166" s="554">
        <v>4601.3637527167784</v>
      </c>
      <c r="AF166" s="554">
        <v>4486.4817789815088</v>
      </c>
      <c r="AG166" s="554">
        <v>4668.4677264530419</v>
      </c>
      <c r="AH166" s="554">
        <v>4776.7287115032777</v>
      </c>
      <c r="AI166" s="3">
        <v>2741.2976724035402</v>
      </c>
    </row>
    <row r="167" spans="2:35" x14ac:dyDescent="0.25">
      <c r="B167" s="5" t="s">
        <v>213</v>
      </c>
      <c r="C167" s="1"/>
      <c r="D167" s="554">
        <v>36.305419642857125</v>
      </c>
      <c r="E167" s="554">
        <v>34.625218749999988</v>
      </c>
      <c r="F167" s="554">
        <v>34.939861607142859</v>
      </c>
      <c r="G167" s="554">
        <v>34.72</v>
      </c>
      <c r="H167" s="554">
        <v>33.159999999999997</v>
      </c>
      <c r="I167" s="554">
        <v>30.532044642857112</v>
      </c>
      <c r="J167" s="554">
        <v>30.770540178571412</v>
      </c>
      <c r="K167" s="554">
        <v>36.677428571428599</v>
      </c>
      <c r="L167" s="554">
        <v>35.589281249999999</v>
      </c>
      <c r="M167" s="554">
        <v>31.716852678571399</v>
      </c>
      <c r="N167" s="554">
        <v>34.450000000000003</v>
      </c>
      <c r="O167" s="554">
        <v>33.19</v>
      </c>
      <c r="P167" s="554">
        <v>28.7548125</v>
      </c>
      <c r="Q167" s="554">
        <v>36.259397321428601</v>
      </c>
      <c r="R167" s="554">
        <v>33.15</v>
      </c>
      <c r="S167" s="554">
        <v>36.35</v>
      </c>
      <c r="T167" s="554">
        <v>35.73905803571423</v>
      </c>
      <c r="U167" s="554">
        <v>30.04</v>
      </c>
      <c r="V167" s="554">
        <v>23.46</v>
      </c>
      <c r="W167" s="554">
        <v>30.6935</v>
      </c>
      <c r="X167" s="554">
        <v>30.5986026785714</v>
      </c>
      <c r="Y167" s="554">
        <v>30.74</v>
      </c>
      <c r="Z167" s="554">
        <v>32.769999999999996</v>
      </c>
      <c r="AA167" s="554">
        <v>35.859031250000001</v>
      </c>
      <c r="AB167" s="554">
        <v>37.14</v>
      </c>
      <c r="AC167" s="554">
        <v>34.700705357142901</v>
      </c>
      <c r="AD167" s="554">
        <v>37.812535714285723</v>
      </c>
      <c r="AE167" s="554">
        <v>35.973214285714299</v>
      </c>
      <c r="AF167" s="554">
        <v>34.324218749999964</v>
      </c>
      <c r="AG167" s="554">
        <v>35.342866071428602</v>
      </c>
      <c r="AH167" s="554">
        <v>37.928397321428598</v>
      </c>
      <c r="AI167" s="13">
        <v>33.484197352216739</v>
      </c>
    </row>
    <row r="168" spans="2:35" ht="15.75" x14ac:dyDescent="0.25">
      <c r="B168" s="388" t="s">
        <v>100</v>
      </c>
      <c r="C168" s="1" t="s">
        <v>59</v>
      </c>
      <c r="D168" s="222">
        <v>22</v>
      </c>
      <c r="E168" s="222">
        <v>21</v>
      </c>
      <c r="F168" s="222">
        <v>11</v>
      </c>
      <c r="G168" s="222">
        <v>23</v>
      </c>
      <c r="H168" s="222">
        <v>28</v>
      </c>
      <c r="I168" s="222"/>
      <c r="J168" s="222">
        <v>18</v>
      </c>
      <c r="K168" s="222">
        <v>43</v>
      </c>
      <c r="L168" s="222">
        <v>30</v>
      </c>
      <c r="M168" s="222">
        <v>39</v>
      </c>
      <c r="N168" s="222">
        <v>37</v>
      </c>
      <c r="O168" s="222">
        <v>38</v>
      </c>
      <c r="P168" s="222"/>
      <c r="Q168" s="222">
        <v>40</v>
      </c>
      <c r="R168" s="222">
        <v>47</v>
      </c>
      <c r="S168" s="222">
        <v>34</v>
      </c>
      <c r="T168" s="222"/>
      <c r="U168" s="222">
        <v>9</v>
      </c>
      <c r="V168" s="222">
        <v>20</v>
      </c>
      <c r="W168" s="222">
        <v>27</v>
      </c>
      <c r="X168" s="222">
        <v>41</v>
      </c>
      <c r="Y168" s="222">
        <v>25</v>
      </c>
      <c r="Z168" s="222">
        <v>58</v>
      </c>
      <c r="AA168" s="222">
        <v>62</v>
      </c>
      <c r="AB168" s="222">
        <v>71</v>
      </c>
      <c r="AC168" s="222">
        <v>52</v>
      </c>
      <c r="AD168" s="222">
        <v>55</v>
      </c>
      <c r="AE168" s="222">
        <v>31</v>
      </c>
      <c r="AF168" s="222">
        <v>31</v>
      </c>
      <c r="AG168" s="222">
        <v>32</v>
      </c>
      <c r="AH168" s="222">
        <v>28</v>
      </c>
      <c r="AI168" s="13">
        <v>973</v>
      </c>
    </row>
    <row r="169" spans="2:35" ht="15.75" x14ac:dyDescent="0.25">
      <c r="B169" s="388" t="s">
        <v>101</v>
      </c>
      <c r="C169" s="1" t="s">
        <v>59</v>
      </c>
      <c r="D169" s="222">
        <v>258</v>
      </c>
      <c r="E169" s="222"/>
      <c r="F169" s="222">
        <v>178</v>
      </c>
      <c r="G169" s="222"/>
      <c r="H169" s="222"/>
      <c r="I169" s="222">
        <v>139</v>
      </c>
      <c r="J169" s="222">
        <v>239</v>
      </c>
      <c r="K169" s="222"/>
      <c r="L169" s="222"/>
      <c r="M169" s="222">
        <v>20</v>
      </c>
      <c r="N169" s="222"/>
      <c r="O169" s="222"/>
      <c r="P169" s="222">
        <v>225</v>
      </c>
      <c r="Q169" s="222"/>
      <c r="R169" s="222"/>
      <c r="S169" s="222"/>
      <c r="T169" s="222">
        <v>186</v>
      </c>
      <c r="U169" s="222">
        <v>62</v>
      </c>
      <c r="V169" s="222"/>
      <c r="W169" s="222"/>
      <c r="X169" s="222"/>
      <c r="Y169" s="222">
        <v>370</v>
      </c>
      <c r="Z169" s="222"/>
      <c r="AA169" s="222"/>
      <c r="AB169" s="222"/>
      <c r="AC169" s="222"/>
      <c r="AD169" s="222"/>
      <c r="AE169" s="222">
        <v>358</v>
      </c>
      <c r="AF169" s="222">
        <v>245</v>
      </c>
      <c r="AG169" s="222"/>
      <c r="AH169" s="222"/>
      <c r="AI169" s="13">
        <v>2280</v>
      </c>
    </row>
    <row r="170" spans="2:35" ht="15.75" x14ac:dyDescent="0.25">
      <c r="B170" s="388" t="s">
        <v>102</v>
      </c>
      <c r="C170" s="1" t="s">
        <v>59</v>
      </c>
      <c r="D170" s="222"/>
      <c r="E170" s="222"/>
      <c r="F170" s="222"/>
      <c r="G170" s="222"/>
      <c r="H170" s="222">
        <v>118</v>
      </c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>
        <v>146</v>
      </c>
      <c r="AB170" s="222"/>
      <c r="AC170" s="222"/>
      <c r="AD170" s="222">
        <v>73</v>
      </c>
      <c r="AE170" s="222"/>
      <c r="AF170" s="222"/>
      <c r="AG170" s="222">
        <v>30</v>
      </c>
      <c r="AH170" s="222">
        <v>97</v>
      </c>
      <c r="AI170" s="13">
        <v>464</v>
      </c>
    </row>
    <row r="171" spans="2:35" ht="15.75" x14ac:dyDescent="0.25">
      <c r="B171" s="388" t="s">
        <v>103</v>
      </c>
      <c r="C171" s="1" t="s">
        <v>59</v>
      </c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>
        <v>17</v>
      </c>
      <c r="S171" s="222"/>
      <c r="T171" s="222"/>
      <c r="U171" s="222"/>
      <c r="V171" s="222"/>
      <c r="W171" s="222"/>
      <c r="X171" s="222"/>
      <c r="Y171" s="222">
        <v>135</v>
      </c>
      <c r="Z171" s="222"/>
      <c r="AA171" s="222">
        <v>41</v>
      </c>
      <c r="AB171" s="222"/>
      <c r="AC171" s="222"/>
      <c r="AD171" s="222"/>
      <c r="AE171" s="222"/>
      <c r="AF171" s="222"/>
      <c r="AG171" s="222"/>
      <c r="AH171" s="222"/>
      <c r="AI171" s="13">
        <v>193</v>
      </c>
    </row>
    <row r="172" spans="2:35" x14ac:dyDescent="0.25">
      <c r="B172" s="5" t="s">
        <v>218</v>
      </c>
      <c r="C172" s="1" t="s">
        <v>59</v>
      </c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  <c r="AF172" s="222"/>
      <c r="AG172" s="222"/>
      <c r="AH172" s="222"/>
      <c r="AI172" s="13">
        <v>0</v>
      </c>
    </row>
    <row r="173" spans="2:35" x14ac:dyDescent="0.25">
      <c r="B173" s="5" t="s">
        <v>86</v>
      </c>
      <c r="C173" s="1" t="s">
        <v>59</v>
      </c>
      <c r="D173" s="222">
        <v>280</v>
      </c>
      <c r="E173" s="222">
        <v>21</v>
      </c>
      <c r="F173" s="222">
        <v>189</v>
      </c>
      <c r="G173" s="222">
        <v>23</v>
      </c>
      <c r="H173" s="222">
        <v>146</v>
      </c>
      <c r="I173" s="222">
        <v>139</v>
      </c>
      <c r="J173" s="222">
        <v>257</v>
      </c>
      <c r="K173" s="222">
        <v>43</v>
      </c>
      <c r="L173" s="222">
        <v>30</v>
      </c>
      <c r="M173" s="222">
        <v>59</v>
      </c>
      <c r="N173" s="222">
        <v>37</v>
      </c>
      <c r="O173" s="222">
        <v>38</v>
      </c>
      <c r="P173" s="222">
        <v>225</v>
      </c>
      <c r="Q173" s="222">
        <v>40</v>
      </c>
      <c r="R173" s="222">
        <v>64</v>
      </c>
      <c r="S173" s="222">
        <v>34</v>
      </c>
      <c r="T173" s="222">
        <v>186</v>
      </c>
      <c r="U173" s="222">
        <v>71</v>
      </c>
      <c r="V173" s="222">
        <v>20</v>
      </c>
      <c r="W173" s="222">
        <v>27</v>
      </c>
      <c r="X173" s="222">
        <v>41</v>
      </c>
      <c r="Y173" s="222">
        <v>530</v>
      </c>
      <c r="Z173" s="222">
        <v>58</v>
      </c>
      <c r="AA173" s="222">
        <v>249</v>
      </c>
      <c r="AB173" s="222">
        <v>71</v>
      </c>
      <c r="AC173" s="222">
        <v>52</v>
      </c>
      <c r="AD173" s="222">
        <v>128</v>
      </c>
      <c r="AE173" s="222">
        <v>389</v>
      </c>
      <c r="AF173" s="222">
        <v>276</v>
      </c>
      <c r="AG173" s="222">
        <v>62</v>
      </c>
      <c r="AH173" s="222">
        <v>125</v>
      </c>
      <c r="AI173" s="13">
        <v>3910</v>
      </c>
    </row>
    <row r="174" spans="2:35" x14ac:dyDescent="0.25">
      <c r="B174" s="5" t="s">
        <v>86</v>
      </c>
      <c r="C174" s="1" t="s">
        <v>59</v>
      </c>
      <c r="D174" s="221">
        <v>4.7043010752688179E-2</v>
      </c>
      <c r="E174" s="221">
        <v>3.5282258064516128E-3</v>
      </c>
      <c r="F174" s="221">
        <v>3.1754032258064516E-2</v>
      </c>
      <c r="G174" s="221">
        <v>3.864247311827957E-3</v>
      </c>
      <c r="H174" s="221">
        <v>2.4529569892473121E-2</v>
      </c>
      <c r="I174" s="221">
        <v>2.3353494623655911E-2</v>
      </c>
      <c r="J174" s="221">
        <v>4.3178763440860218E-2</v>
      </c>
      <c r="K174" s="221">
        <v>7.2244623655913984E-3</v>
      </c>
      <c r="L174" s="221">
        <v>5.0403225806451612E-3</v>
      </c>
      <c r="M174" s="221">
        <v>9.9126344086021504E-3</v>
      </c>
      <c r="N174" s="221">
        <v>6.2163978494623661E-3</v>
      </c>
      <c r="O174" s="221">
        <v>6.384408602150538E-3</v>
      </c>
      <c r="P174" s="221">
        <v>3.7802419354838711E-2</v>
      </c>
      <c r="Q174" s="221">
        <v>6.7204301075268818E-3</v>
      </c>
      <c r="R174" s="221">
        <v>1.075268817204301E-2</v>
      </c>
      <c r="S174" s="221">
        <v>5.7123655913978487E-3</v>
      </c>
      <c r="T174" s="221">
        <v>3.125E-2</v>
      </c>
      <c r="U174" s="221">
        <v>1.1928763440860217E-2</v>
      </c>
      <c r="V174" s="221">
        <v>3.3602150537634409E-3</v>
      </c>
      <c r="W174" s="221">
        <v>4.5362903225806455E-3</v>
      </c>
      <c r="X174" s="221">
        <v>6.8884408602150537E-3</v>
      </c>
      <c r="Y174" s="555">
        <v>8.9045698924731187E-2</v>
      </c>
      <c r="Z174" s="221">
        <v>9.7446236559139785E-3</v>
      </c>
      <c r="AA174" s="221">
        <v>4.1834677419354843E-2</v>
      </c>
      <c r="AB174" s="221">
        <v>1.1928763440860217E-2</v>
      </c>
      <c r="AC174" s="221">
        <v>8.7365591397849472E-3</v>
      </c>
      <c r="AD174" s="221">
        <v>2.150537634408602E-2</v>
      </c>
      <c r="AE174" s="221">
        <v>6.5356182795698922E-2</v>
      </c>
      <c r="AF174" s="221">
        <v>4.6370967741935477E-2</v>
      </c>
      <c r="AG174" s="221">
        <v>1.0416666666666666E-2</v>
      </c>
      <c r="AH174" s="221">
        <v>2.1001344086021504E-2</v>
      </c>
      <c r="AI174" s="13">
        <v>2.0683323732718892E-2</v>
      </c>
    </row>
    <row r="175" spans="2:35" x14ac:dyDescent="0.25">
      <c r="B175" s="5" t="s">
        <v>116</v>
      </c>
      <c r="C175" s="1" t="s">
        <v>60</v>
      </c>
      <c r="D175" s="539">
        <v>2.0095059751778291E-3</v>
      </c>
      <c r="E175" s="539">
        <v>2.0911172556389965E-3</v>
      </c>
      <c r="F175" s="539">
        <v>1.9583496698394737E-3</v>
      </c>
      <c r="G175" s="539">
        <v>1.9960060331992956E-3</v>
      </c>
      <c r="H175" s="539">
        <v>1.1332059831442066E-3</v>
      </c>
      <c r="I175" s="539">
        <v>2.1320041947592537E-3</v>
      </c>
      <c r="J175" s="539">
        <v>2.0807462080004446E-3</v>
      </c>
      <c r="K175" s="539">
        <v>1.9391105595497685E-3</v>
      </c>
      <c r="L175" s="539">
        <v>1.8566513733055358E-3</v>
      </c>
      <c r="M175" s="539">
        <v>1.9845282380083536E-3</v>
      </c>
      <c r="N175" s="539">
        <v>2.2054090984144981E-3</v>
      </c>
      <c r="O175" s="539">
        <v>2.0082844886437851E-3</v>
      </c>
      <c r="P175" s="539">
        <v>2.1545621002043505E-3</v>
      </c>
      <c r="Q175" s="539">
        <v>2.0759461091098769E-3</v>
      </c>
      <c r="R175" s="539">
        <v>2.0580355468545943E-3</v>
      </c>
      <c r="S175" s="539">
        <v>2.0412729823459886E-3</v>
      </c>
      <c r="T175" s="539">
        <v>1.4629231737344067E-3</v>
      </c>
      <c r="U175" s="539">
        <v>2.0871814832966341E-3</v>
      </c>
      <c r="V175" s="539">
        <v>2.0443845009483802E-3</v>
      </c>
      <c r="W175" s="539">
        <v>2.0631198768112464E-3</v>
      </c>
      <c r="X175" s="539">
        <v>2.004746742124538E-3</v>
      </c>
      <c r="Y175" s="539">
        <v>2.156957344355323E-3</v>
      </c>
      <c r="Z175" s="539">
        <v>2.8622272106808202E-3</v>
      </c>
      <c r="AA175" s="539">
        <v>2.0490229892913825E-3</v>
      </c>
      <c r="AB175" s="539">
        <v>2.013781582450554E-3</v>
      </c>
      <c r="AC175" s="539">
        <v>2.0617416630570231E-3</v>
      </c>
      <c r="AD175" s="539">
        <v>1.9844134405942009E-3</v>
      </c>
      <c r="AE175" s="539">
        <v>2.0032450699857401E-3</v>
      </c>
      <c r="AF175" s="539">
        <v>2.1195330090215334E-3</v>
      </c>
      <c r="AG175" s="539">
        <v>2.0119440875469765E-3</v>
      </c>
      <c r="AH175" s="539">
        <v>2.0900461034034611E-3</v>
      </c>
      <c r="AI175" s="224">
        <v>2.0185171747688037E-3</v>
      </c>
    </row>
    <row r="177" spans="1:36" x14ac:dyDescent="0.25">
      <c r="B177" s="1"/>
      <c r="C177" s="1"/>
      <c r="D177" s="187">
        <v>1</v>
      </c>
      <c r="E177" s="187">
        <v>2</v>
      </c>
      <c r="F177" s="187">
        <v>3</v>
      </c>
      <c r="G177" s="187">
        <v>4</v>
      </c>
      <c r="H177" s="558">
        <v>5</v>
      </c>
      <c r="I177" s="558">
        <v>6</v>
      </c>
      <c r="J177" s="558">
        <v>7</v>
      </c>
      <c r="K177" s="187">
        <v>8</v>
      </c>
      <c r="L177" s="187">
        <v>9</v>
      </c>
      <c r="M177" s="187">
        <v>10</v>
      </c>
      <c r="N177" s="187">
        <v>11</v>
      </c>
      <c r="O177" s="187">
        <v>12</v>
      </c>
      <c r="P177" s="558">
        <v>13</v>
      </c>
      <c r="Q177" s="558">
        <v>14</v>
      </c>
      <c r="R177" s="187">
        <v>15</v>
      </c>
      <c r="S177" s="187">
        <v>16</v>
      </c>
      <c r="T177" s="187">
        <v>17</v>
      </c>
      <c r="U177" s="187">
        <v>18</v>
      </c>
      <c r="V177" s="187">
        <v>19</v>
      </c>
      <c r="W177" s="558">
        <v>20</v>
      </c>
      <c r="X177" s="558">
        <v>21</v>
      </c>
      <c r="Y177" s="187">
        <v>22</v>
      </c>
      <c r="Z177" s="187">
        <v>23</v>
      </c>
      <c r="AA177" s="187">
        <v>24</v>
      </c>
      <c r="AB177" s="187">
        <v>25</v>
      </c>
      <c r="AC177" s="558">
        <v>26</v>
      </c>
      <c r="AD177" s="558">
        <v>27</v>
      </c>
      <c r="AE177" s="187">
        <v>28</v>
      </c>
      <c r="AF177" s="187">
        <v>29</v>
      </c>
      <c r="AG177" s="558">
        <v>30</v>
      </c>
      <c r="AH177" s="187">
        <v>31</v>
      </c>
      <c r="AI177" s="187"/>
      <c r="AJ177" s="575"/>
    </row>
    <row r="178" spans="1:36" ht="15.75" x14ac:dyDescent="0.25">
      <c r="A178" t="s">
        <v>41</v>
      </c>
      <c r="B178" s="280" t="s">
        <v>265</v>
      </c>
      <c r="C178" s="1" t="s">
        <v>6</v>
      </c>
      <c r="D178" s="553">
        <v>53.09</v>
      </c>
      <c r="E178" s="553">
        <v>57.46</v>
      </c>
      <c r="F178" s="553">
        <v>83.05</v>
      </c>
      <c r="G178" s="553">
        <v>95.59</v>
      </c>
      <c r="H178" s="553">
        <v>101.36</v>
      </c>
      <c r="I178" s="553">
        <v>79</v>
      </c>
      <c r="J178" s="553">
        <v>92.99</v>
      </c>
      <c r="K178" s="553">
        <v>95.82</v>
      </c>
      <c r="L178" s="553">
        <v>80.819999999999993</v>
      </c>
      <c r="M178" s="553">
        <v>99.11</v>
      </c>
      <c r="N178" s="553">
        <v>91.44</v>
      </c>
      <c r="O178" s="553">
        <v>98.07</v>
      </c>
      <c r="P178" s="553">
        <v>104.25</v>
      </c>
      <c r="Q178" s="553">
        <v>94.4</v>
      </c>
      <c r="R178" s="553">
        <v>89.84</v>
      </c>
      <c r="S178" s="553">
        <v>54.75</v>
      </c>
      <c r="T178" s="553">
        <v>44.64</v>
      </c>
      <c r="U178" s="553">
        <v>15.97</v>
      </c>
      <c r="V178" s="553">
        <v>16.78</v>
      </c>
      <c r="W178" s="553">
        <v>84</v>
      </c>
      <c r="X178" s="553">
        <v>105</v>
      </c>
      <c r="Y178" s="553">
        <v>100.35</v>
      </c>
      <c r="Z178" s="553">
        <v>93.51</v>
      </c>
      <c r="AA178" s="553">
        <v>104.06</v>
      </c>
      <c r="AB178" s="553">
        <v>97.54</v>
      </c>
      <c r="AC178" s="553">
        <v>89.8</v>
      </c>
      <c r="AD178" s="557">
        <v>99.57</v>
      </c>
      <c r="AE178" s="553">
        <v>98.75</v>
      </c>
      <c r="AF178" s="553">
        <v>96.18</v>
      </c>
      <c r="AG178" s="553">
        <v>98.78</v>
      </c>
      <c r="AH178" s="553">
        <v>96.12</v>
      </c>
      <c r="AI178" s="3">
        <v>2612.09</v>
      </c>
      <c r="AJ178" s="575"/>
    </row>
    <row r="179" spans="1:36" ht="15.75" x14ac:dyDescent="0.25">
      <c r="B179" s="280" t="s">
        <v>266</v>
      </c>
      <c r="C179" s="1" t="s">
        <v>6</v>
      </c>
      <c r="D179" s="553">
        <v>72.27</v>
      </c>
      <c r="E179" s="553">
        <v>77.95</v>
      </c>
      <c r="F179" s="553">
        <v>121.48</v>
      </c>
      <c r="G179" s="553">
        <v>142.19999999999999</v>
      </c>
      <c r="H179" s="553">
        <v>149.63</v>
      </c>
      <c r="I179" s="553">
        <v>113.57</v>
      </c>
      <c r="J179" s="553">
        <v>134.1</v>
      </c>
      <c r="K179" s="553">
        <v>141.25</v>
      </c>
      <c r="L179" s="553">
        <v>110.25</v>
      </c>
      <c r="M179" s="553">
        <v>150.36000000000001</v>
      </c>
      <c r="N179" s="553">
        <v>130.53</v>
      </c>
      <c r="O179" s="553">
        <v>136.78</v>
      </c>
      <c r="P179" s="553">
        <v>144.16</v>
      </c>
      <c r="Q179" s="553">
        <v>128.94999999999999</v>
      </c>
      <c r="R179" s="553">
        <v>122.27</v>
      </c>
      <c r="S179" s="553">
        <v>72.13</v>
      </c>
      <c r="T179" s="553">
        <v>49.8</v>
      </c>
      <c r="U179" s="553">
        <v>17.13</v>
      </c>
      <c r="V179" s="553">
        <v>15.81</v>
      </c>
      <c r="W179" s="553">
        <v>151</v>
      </c>
      <c r="X179" s="553">
        <v>153</v>
      </c>
      <c r="Y179" s="553">
        <v>144.29</v>
      </c>
      <c r="Z179" s="553">
        <v>123.96</v>
      </c>
      <c r="AA179" s="553">
        <v>151.88999999999999</v>
      </c>
      <c r="AB179" s="553">
        <v>141.83000000000001</v>
      </c>
      <c r="AC179" s="553">
        <v>126.21000000000001</v>
      </c>
      <c r="AD179" s="557">
        <v>144.66</v>
      </c>
      <c r="AE179" s="553">
        <v>145.51</v>
      </c>
      <c r="AF179" s="553">
        <v>139.05000000000001</v>
      </c>
      <c r="AG179" s="553">
        <v>144.78</v>
      </c>
      <c r="AH179" s="553">
        <v>142.04</v>
      </c>
      <c r="AI179" s="3">
        <v>3738.8399999999997</v>
      </c>
      <c r="AJ179" s="575"/>
    </row>
    <row r="180" spans="1:36" ht="15.75" x14ac:dyDescent="0.25">
      <c r="B180" s="280" t="s">
        <v>267</v>
      </c>
      <c r="C180" s="1" t="s">
        <v>6</v>
      </c>
      <c r="D180" s="553">
        <v>63.16</v>
      </c>
      <c r="E180" s="553">
        <v>66.77</v>
      </c>
      <c r="F180" s="553">
        <v>106.3</v>
      </c>
      <c r="G180" s="553">
        <v>124.32</v>
      </c>
      <c r="H180" s="553">
        <v>129.93</v>
      </c>
      <c r="I180" s="553">
        <v>99.57</v>
      </c>
      <c r="J180" s="553">
        <v>115.93</v>
      </c>
      <c r="K180" s="553">
        <v>122.4</v>
      </c>
      <c r="L180" s="553">
        <v>93.76</v>
      </c>
      <c r="M180" s="553">
        <v>130.63</v>
      </c>
      <c r="N180" s="553">
        <v>112.6</v>
      </c>
      <c r="O180" s="553">
        <v>116.29</v>
      </c>
      <c r="P180" s="553">
        <v>122.49</v>
      </c>
      <c r="Q180" s="553">
        <v>111.77</v>
      </c>
      <c r="R180" s="553">
        <v>105.83</v>
      </c>
      <c r="S180" s="553">
        <v>63</v>
      </c>
      <c r="T180" s="553">
        <v>42</v>
      </c>
      <c r="U180" s="553">
        <v>14.73</v>
      </c>
      <c r="V180" s="553">
        <v>12.41</v>
      </c>
      <c r="W180" s="553">
        <v>117</v>
      </c>
      <c r="X180" s="553">
        <v>123</v>
      </c>
      <c r="Y180" s="553">
        <v>114.75</v>
      </c>
      <c r="Z180" s="553">
        <v>100.53</v>
      </c>
      <c r="AA180" s="553">
        <v>122.2</v>
      </c>
      <c r="AB180" s="553">
        <v>114.01</v>
      </c>
      <c r="AC180" s="553">
        <v>103.33</v>
      </c>
      <c r="AD180" s="557">
        <v>115.89</v>
      </c>
      <c r="AE180" s="553">
        <v>117.35</v>
      </c>
      <c r="AF180" s="553">
        <v>111.66</v>
      </c>
      <c r="AG180" s="553">
        <v>116.27</v>
      </c>
      <c r="AH180" s="553">
        <v>113.55</v>
      </c>
      <c r="AI180" s="3">
        <v>3123.43</v>
      </c>
      <c r="AJ180" s="575"/>
    </row>
    <row r="181" spans="1:36" x14ac:dyDescent="0.25">
      <c r="B181" s="280" t="s">
        <v>24</v>
      </c>
      <c r="C181" s="1" t="s">
        <v>6</v>
      </c>
      <c r="D181" s="554">
        <v>198</v>
      </c>
      <c r="E181" s="554">
        <v>208</v>
      </c>
      <c r="F181" s="554">
        <v>316</v>
      </c>
      <c r="G181" s="554">
        <v>372</v>
      </c>
      <c r="H181" s="554">
        <v>390</v>
      </c>
      <c r="I181" s="554">
        <v>298</v>
      </c>
      <c r="J181" s="554">
        <v>353</v>
      </c>
      <c r="K181" s="554">
        <v>368</v>
      </c>
      <c r="L181" s="554">
        <v>295</v>
      </c>
      <c r="M181" s="554">
        <v>388</v>
      </c>
      <c r="N181" s="554">
        <v>344</v>
      </c>
      <c r="O181" s="554">
        <v>360</v>
      </c>
      <c r="P181" s="554">
        <v>381</v>
      </c>
      <c r="Q181" s="554">
        <v>346</v>
      </c>
      <c r="R181" s="554">
        <v>329</v>
      </c>
      <c r="S181" s="554">
        <v>197</v>
      </c>
      <c r="T181" s="554">
        <v>145</v>
      </c>
      <c r="U181" s="554">
        <v>57</v>
      </c>
      <c r="V181" s="554">
        <v>54</v>
      </c>
      <c r="W181" s="554">
        <v>364</v>
      </c>
      <c r="X181" s="554">
        <v>397</v>
      </c>
      <c r="Y181" s="554">
        <v>375</v>
      </c>
      <c r="Z181" s="554">
        <v>326</v>
      </c>
      <c r="AA181" s="554">
        <v>385</v>
      </c>
      <c r="AB181" s="554">
        <v>369</v>
      </c>
      <c r="AC181" s="554">
        <v>331</v>
      </c>
      <c r="AD181" s="554">
        <v>379</v>
      </c>
      <c r="AE181" s="554">
        <v>376</v>
      </c>
      <c r="AF181" s="554">
        <v>363</v>
      </c>
      <c r="AG181" s="554">
        <v>369</v>
      </c>
      <c r="AH181" s="554">
        <v>360</v>
      </c>
      <c r="AI181" s="3">
        <v>9793</v>
      </c>
      <c r="AJ181" s="303">
        <v>157.95161290322579</v>
      </c>
    </row>
    <row r="182" spans="1:36" x14ac:dyDescent="0.25">
      <c r="B182" s="280" t="s">
        <v>268</v>
      </c>
      <c r="C182" s="1" t="s">
        <v>26</v>
      </c>
      <c r="D182" s="8">
        <v>3.9826599998692398</v>
      </c>
      <c r="E182" s="8">
        <v>4.1339662486261224</v>
      </c>
      <c r="F182" s="556">
        <v>6.2738132766546917</v>
      </c>
      <c r="G182" s="556">
        <v>7.4211327776641118</v>
      </c>
      <c r="H182" s="556">
        <v>7.7715350000163888</v>
      </c>
      <c r="I182" s="556">
        <v>5.9729022223174102</v>
      </c>
      <c r="J182" s="556">
        <v>6.9985536111103137</v>
      </c>
      <c r="K182" s="556">
        <v>7.3034597221708975</v>
      </c>
      <c r="L182" s="556">
        <v>5.8659949999074454</v>
      </c>
      <c r="M182" s="556">
        <v>7.7884961110769071</v>
      </c>
      <c r="N182" s="556">
        <v>6.8260577776314459</v>
      </c>
      <c r="O182" s="556">
        <v>7.1827552776958914</v>
      </c>
      <c r="P182" s="556">
        <v>7.6343805555436415</v>
      </c>
      <c r="Q182" s="556">
        <v>6.9210499999116291</v>
      </c>
      <c r="R182" s="556">
        <v>6.5175236109631367</v>
      </c>
      <c r="S182" s="556">
        <v>3.9386144930526497</v>
      </c>
      <c r="T182" s="556">
        <v>2.8928359124921843</v>
      </c>
      <c r="U182" s="556">
        <v>1.1766455555510473</v>
      </c>
      <c r="V182" s="556">
        <v>1.1013994444679702</v>
      </c>
      <c r="W182" s="556">
        <v>7.66</v>
      </c>
      <c r="X182" s="556">
        <v>7.86</v>
      </c>
      <c r="Y182" s="556">
        <v>7.330623888863542</v>
      </c>
      <c r="Z182" s="556">
        <v>6.3149136471427045</v>
      </c>
      <c r="AA182" s="556">
        <v>7.5474099569428947</v>
      </c>
      <c r="AB182" s="556">
        <v>7.2791944444140535</v>
      </c>
      <c r="AC182" s="556">
        <v>6.510509126379155</v>
      </c>
      <c r="AD182" s="556">
        <v>7.5127022027711501</v>
      </c>
      <c r="AE182" s="556">
        <v>7.4824688888956441</v>
      </c>
      <c r="AF182" s="556">
        <v>7.2793194444645781</v>
      </c>
      <c r="AG182" s="556">
        <v>7.4012660513879966</v>
      </c>
      <c r="AH182" s="556">
        <v>7.2177620055639418</v>
      </c>
      <c r="AI182" s="234">
        <v>6.2935466533402851</v>
      </c>
      <c r="AJ182" s="575"/>
    </row>
    <row r="183" spans="1:36" x14ac:dyDescent="0.25">
      <c r="B183" s="280" t="s">
        <v>28</v>
      </c>
      <c r="C183" s="1" t="s">
        <v>6</v>
      </c>
      <c r="D183" s="555">
        <v>0.13608272906194047</v>
      </c>
      <c r="E183" s="555">
        <v>0.14301057857694061</v>
      </c>
      <c r="F183" s="555">
        <v>0.21584235376279254</v>
      </c>
      <c r="G183" s="555">
        <v>0.25312041653074008</v>
      </c>
      <c r="H183" s="555">
        <v>0.26551258303775177</v>
      </c>
      <c r="I183" s="555">
        <v>0.20321611265182066</v>
      </c>
      <c r="J183" s="555">
        <v>0.24012421051561689</v>
      </c>
      <c r="K183" s="555">
        <v>0.25058570631434585</v>
      </c>
      <c r="L183" s="555">
        <v>0.20126550377569569</v>
      </c>
      <c r="M183" s="555">
        <v>0.2642310715695349</v>
      </c>
      <c r="N183" s="555">
        <v>0.23420578391878538</v>
      </c>
      <c r="O183" s="555">
        <v>0.24525162380792959</v>
      </c>
      <c r="P183" s="555">
        <v>0.25912624769052955</v>
      </c>
      <c r="Q183" s="555">
        <v>0.23576925946471</v>
      </c>
      <c r="R183" s="555">
        <v>0.22361980754350866</v>
      </c>
      <c r="S183" s="555">
        <v>0.135207800390542</v>
      </c>
      <c r="T183" s="555">
        <v>0.10077194275246792</v>
      </c>
      <c r="U183" s="555">
        <v>4.1324397183313342E-2</v>
      </c>
      <c r="V183" s="539">
        <v>3.9703165438976229E-2</v>
      </c>
      <c r="W183" s="555">
        <v>0.27600000000000002</v>
      </c>
      <c r="X183" s="555">
        <v>0.27</v>
      </c>
      <c r="Y183" s="555">
        <v>0.2542786882904608</v>
      </c>
      <c r="Z183" s="555">
        <v>0.22185973871706496</v>
      </c>
      <c r="AA183" s="555">
        <v>0.26197108260375701</v>
      </c>
      <c r="AB183" s="555">
        <v>0.25118732949739536</v>
      </c>
      <c r="AC183" s="555">
        <v>0.22565983587910046</v>
      </c>
      <c r="AD183" s="555">
        <v>0.25743025356791965</v>
      </c>
      <c r="AE183" s="555">
        <v>0.25501550428968123</v>
      </c>
      <c r="AF183" s="555">
        <v>0.24676521850296976</v>
      </c>
      <c r="AG183" s="555">
        <v>0.25059940752023424</v>
      </c>
      <c r="AH183" s="555">
        <v>0.24488306773655555</v>
      </c>
      <c r="AI183" s="281">
        <v>0.21624585227719614</v>
      </c>
      <c r="AJ183" s="575"/>
    </row>
    <row r="184" spans="1:36" x14ac:dyDescent="0.25">
      <c r="B184" s="282" t="s">
        <v>35</v>
      </c>
      <c r="C184" s="1" t="s">
        <v>0</v>
      </c>
      <c r="D184" s="555">
        <v>0.13306451612903225</v>
      </c>
      <c r="E184" s="555">
        <v>0.13978494623655913</v>
      </c>
      <c r="F184" s="555">
        <v>0.21236559139784947</v>
      </c>
      <c r="G184" s="555">
        <v>0.25</v>
      </c>
      <c r="H184" s="547">
        <v>0.26209677419354838</v>
      </c>
      <c r="I184" s="547">
        <v>0.20026881720430106</v>
      </c>
      <c r="J184" s="547">
        <v>0.23723118279569894</v>
      </c>
      <c r="K184" s="555">
        <v>0.24731182795698925</v>
      </c>
      <c r="L184" s="555">
        <v>0.198252688172043</v>
      </c>
      <c r="M184" s="555">
        <v>0.260752688172043</v>
      </c>
      <c r="N184" s="555">
        <v>0.23118279569892472</v>
      </c>
      <c r="O184" s="555">
        <v>0.24193548387096775</v>
      </c>
      <c r="P184" s="547">
        <v>0.25604838709677419</v>
      </c>
      <c r="Q184" s="547">
        <v>0.2325268817204301</v>
      </c>
      <c r="R184" s="555">
        <v>0.22110215053763441</v>
      </c>
      <c r="S184" s="555">
        <v>0.13239247311827956</v>
      </c>
      <c r="T184" s="555">
        <v>9.7446236559139782E-2</v>
      </c>
      <c r="U184" s="555">
        <v>3.8306451612903226E-2</v>
      </c>
      <c r="V184" s="555">
        <v>3.6290322580645164E-2</v>
      </c>
      <c r="W184" s="547">
        <v>0.245</v>
      </c>
      <c r="X184" s="547">
        <v>0.26700000000000002</v>
      </c>
      <c r="Y184" s="555">
        <v>0.25201612903225806</v>
      </c>
      <c r="Z184" s="555">
        <v>0.21908602150537634</v>
      </c>
      <c r="AA184" s="555">
        <v>0.25873655913978494</v>
      </c>
      <c r="AB184" s="555">
        <v>0.24798387096774194</v>
      </c>
      <c r="AC184" s="547">
        <v>0.22244623655913978</v>
      </c>
      <c r="AD184" s="555">
        <v>0.25470430107526881</v>
      </c>
      <c r="AE184" s="555">
        <v>0.25268817204301075</v>
      </c>
      <c r="AF184" s="555">
        <v>0.24395161290322581</v>
      </c>
      <c r="AG184" s="547">
        <v>0.24798387096774194</v>
      </c>
      <c r="AH184" s="555">
        <v>0.24193548387096775</v>
      </c>
      <c r="AI184" s="281">
        <v>0.21231911203607357</v>
      </c>
      <c r="AJ184" s="575"/>
    </row>
    <row r="185" spans="1:36" x14ac:dyDescent="0.25">
      <c r="B185" s="5" t="s">
        <v>113</v>
      </c>
      <c r="C185" s="1" t="s">
        <v>0</v>
      </c>
      <c r="D185" s="541">
        <v>3.0182129329082152E-3</v>
      </c>
      <c r="E185" s="541">
        <v>3.2256323403814791E-3</v>
      </c>
      <c r="F185" s="541">
        <v>3.4767623649430701E-3</v>
      </c>
      <c r="G185" s="541">
        <v>3.1204165307400777E-3</v>
      </c>
      <c r="H185" s="547">
        <v>3.415808844203394E-3</v>
      </c>
      <c r="I185" s="547">
        <v>2.9472954475195934E-3</v>
      </c>
      <c r="J185" s="547">
        <v>2.893027719917951E-3</v>
      </c>
      <c r="K185" s="541">
        <v>3.2738783573565966E-3</v>
      </c>
      <c r="L185" s="541">
        <v>3.0128156036526854E-3</v>
      </c>
      <c r="M185" s="541">
        <v>3.4783833974919021E-3</v>
      </c>
      <c r="N185" s="541">
        <v>3.0229882198606617E-3</v>
      </c>
      <c r="O185" s="541">
        <v>3.3161399369618372E-3</v>
      </c>
      <c r="P185" s="547">
        <v>3.077860593755366E-3</v>
      </c>
      <c r="Q185" s="547">
        <v>3.2423777442799062E-3</v>
      </c>
      <c r="R185" s="541">
        <v>2.517657005874252E-3</v>
      </c>
      <c r="S185" s="541">
        <v>2.8153272722624412E-3</v>
      </c>
      <c r="T185" s="541">
        <v>3.3257061933281429E-3</v>
      </c>
      <c r="U185" s="541">
        <v>3.017945570410116E-3</v>
      </c>
      <c r="V185" s="541">
        <v>3.4128428583310652E-3</v>
      </c>
      <c r="W185" s="547">
        <v>3.2000000000000001E-2</v>
      </c>
      <c r="X185" s="547">
        <v>3.0000000000000001E-3</v>
      </c>
      <c r="Y185" s="541">
        <v>2.2625592582027343E-3</v>
      </c>
      <c r="Z185" s="541">
        <v>2.77371721168862E-3</v>
      </c>
      <c r="AA185" s="541">
        <v>3.2345234639720721E-3</v>
      </c>
      <c r="AB185" s="541">
        <v>3.2034585296534246E-3</v>
      </c>
      <c r="AC185" s="547">
        <v>3.2135993199606805E-3</v>
      </c>
      <c r="AD185" s="555">
        <v>2.7259524926508405E-3</v>
      </c>
      <c r="AE185" s="541">
        <v>2.3273322466704771E-3</v>
      </c>
      <c r="AF185" s="541">
        <v>2.8136055997439458E-3</v>
      </c>
      <c r="AG185" s="547">
        <v>2.6155365524923035E-3</v>
      </c>
      <c r="AH185" s="541">
        <v>2.9475838655877995E-3</v>
      </c>
      <c r="AI185" s="281">
        <v>3.9589983056387626E-3</v>
      </c>
      <c r="AJ185" s="575"/>
    </row>
    <row r="186" spans="1:36" x14ac:dyDescent="0.25">
      <c r="B186" s="1" t="s">
        <v>111</v>
      </c>
      <c r="C186" s="1"/>
      <c r="D186" s="555">
        <v>0.80186317365821491</v>
      </c>
      <c r="E186" s="555">
        <v>0.81153026123335237</v>
      </c>
      <c r="F186" s="555">
        <v>0.8123885695664308</v>
      </c>
      <c r="G186" s="555">
        <v>0.80850190661708787</v>
      </c>
      <c r="H186" s="547">
        <v>0.80940542384894321</v>
      </c>
      <c r="I186" s="547">
        <v>0.80470957568067858</v>
      </c>
      <c r="J186" s="547">
        <v>0.81353215299489545</v>
      </c>
      <c r="K186" s="555">
        <v>0.81269481817631828</v>
      </c>
      <c r="L186" s="555">
        <v>0.8111265891300804</v>
      </c>
      <c r="M186" s="555">
        <v>0.80350101314536526</v>
      </c>
      <c r="N186" s="555">
        <v>0.81282451416627355</v>
      </c>
      <c r="O186" s="555">
        <v>0.80838778274036349</v>
      </c>
      <c r="P186" s="547">
        <v>0.80493253455387714</v>
      </c>
      <c r="Q186" s="547">
        <v>0.80632926526489168</v>
      </c>
      <c r="R186" s="555">
        <v>0.81418218477601456</v>
      </c>
      <c r="S186" s="555">
        <v>0.80673530259013226</v>
      </c>
      <c r="T186" s="555">
        <v>0.80844878457159075</v>
      </c>
      <c r="U186" s="555">
        <v>0.78133541096759984</v>
      </c>
      <c r="V186" s="555">
        <v>0.79078280483081587</v>
      </c>
      <c r="W186" s="547">
        <v>0.76600000000000001</v>
      </c>
      <c r="X186" s="547">
        <v>0.81399999999999995</v>
      </c>
      <c r="Y186" s="555">
        <v>0.82508490252278766</v>
      </c>
      <c r="Z186" s="555">
        <v>0.83264234634596113</v>
      </c>
      <c r="AA186" s="555">
        <v>0.82275607854619448</v>
      </c>
      <c r="AB186" s="555">
        <v>0.81761971721925719</v>
      </c>
      <c r="AC186" s="547">
        <v>0.82001416076479705</v>
      </c>
      <c r="AD186" s="555">
        <v>0.81367570027621139</v>
      </c>
      <c r="AE186" s="555">
        <v>0.81049667149733184</v>
      </c>
      <c r="AF186" s="555">
        <v>0.80431127584730766</v>
      </c>
      <c r="AG186" s="547">
        <v>0.80413443617658775</v>
      </c>
      <c r="AH186" s="555">
        <v>0.80446703679439946</v>
      </c>
      <c r="AI186" s="281">
        <v>0.80833594820979882</v>
      </c>
      <c r="AJ186" s="575"/>
    </row>
    <row r="187" spans="1:36" x14ac:dyDescent="0.25">
      <c r="B187" s="5" t="s">
        <v>109</v>
      </c>
      <c r="C187" s="1" t="s">
        <v>59</v>
      </c>
      <c r="D187" s="554">
        <v>202.49110084416742</v>
      </c>
      <c r="E187" s="554">
        <v>212.79974092248762</v>
      </c>
      <c r="F187" s="554">
        <v>321.1734223990353</v>
      </c>
      <c r="G187" s="554">
        <v>376.64317979774125</v>
      </c>
      <c r="H187" s="553">
        <v>395.0827235601746</v>
      </c>
      <c r="I187" s="553">
        <v>302.38557562590915</v>
      </c>
      <c r="J187" s="553">
        <v>357.30482524723789</v>
      </c>
      <c r="K187" s="554">
        <v>372.87153099574664</v>
      </c>
      <c r="L187" s="554">
        <v>299.48306961823516</v>
      </c>
      <c r="M187" s="554">
        <v>393.17583449546794</v>
      </c>
      <c r="N187" s="554">
        <v>348.49820647115268</v>
      </c>
      <c r="O187" s="554">
        <v>364.93441622619923</v>
      </c>
      <c r="P187" s="553">
        <v>385.57985656350797</v>
      </c>
      <c r="Q187" s="553">
        <v>350.82465808348849</v>
      </c>
      <c r="R187" s="554">
        <v>332.74627362474087</v>
      </c>
      <c r="S187" s="554">
        <v>201.18920698112652</v>
      </c>
      <c r="T187" s="554">
        <v>149.94865081567227</v>
      </c>
      <c r="U187" s="554">
        <v>61.490703008770254</v>
      </c>
      <c r="V187" s="554">
        <v>59.078310173196634</v>
      </c>
      <c r="W187" s="553">
        <v>411</v>
      </c>
      <c r="X187" s="553">
        <v>402</v>
      </c>
      <c r="Y187" s="554">
        <v>378.36668817620568</v>
      </c>
      <c r="Z187" s="554">
        <v>330.12729121099267</v>
      </c>
      <c r="AA187" s="554">
        <v>389.81297091439041</v>
      </c>
      <c r="AB187" s="554">
        <v>373.76674629212431</v>
      </c>
      <c r="AC187" s="553">
        <v>335.78183578810149</v>
      </c>
      <c r="AD187" s="553">
        <v>383.05621730906444</v>
      </c>
      <c r="AE187" s="554">
        <v>379.46307038304565</v>
      </c>
      <c r="AF187" s="554">
        <v>367.18664513241902</v>
      </c>
      <c r="AG187" s="553">
        <v>372.89191839010857</v>
      </c>
      <c r="AH187" s="554">
        <v>364.38600479199465</v>
      </c>
      <c r="AI187" s="3">
        <v>9975.5406738425063</v>
      </c>
      <c r="AJ187" s="575"/>
    </row>
    <row r="188" spans="1:36" x14ac:dyDescent="0.25">
      <c r="B188" s="5" t="s">
        <v>213</v>
      </c>
      <c r="C188" s="409" t="s">
        <v>148</v>
      </c>
      <c r="D188" s="187">
        <v>33.700000000000003</v>
      </c>
      <c r="E188" s="187">
        <v>31.6</v>
      </c>
      <c r="F188" s="187">
        <v>32.54</v>
      </c>
      <c r="G188" s="187">
        <v>34</v>
      </c>
      <c r="H188" s="559">
        <v>33.72</v>
      </c>
      <c r="I188" s="559">
        <v>34.42</v>
      </c>
      <c r="J188" s="553">
        <v>33</v>
      </c>
      <c r="K188" s="187">
        <v>33</v>
      </c>
      <c r="L188" s="187">
        <v>33</v>
      </c>
      <c r="M188" s="187">
        <v>34.9</v>
      </c>
      <c r="N188" s="187">
        <v>33</v>
      </c>
      <c r="O188" s="187">
        <v>33.82</v>
      </c>
      <c r="P188" s="559">
        <v>34.82</v>
      </c>
      <c r="Q188" s="559">
        <v>34.21</v>
      </c>
      <c r="R188" s="187">
        <v>33</v>
      </c>
      <c r="S188" s="187">
        <v>32.909999999999997</v>
      </c>
      <c r="T188" s="187">
        <v>30.41</v>
      </c>
      <c r="U188" s="187">
        <v>29</v>
      </c>
      <c r="V188" s="187">
        <v>24.42</v>
      </c>
      <c r="W188" s="559">
        <v>24</v>
      </c>
      <c r="X188" s="559">
        <v>33</v>
      </c>
      <c r="Y188" s="187">
        <v>31.14</v>
      </c>
      <c r="Z188" s="187">
        <v>28.94</v>
      </c>
      <c r="AA188" s="187">
        <v>31.027000000000001</v>
      </c>
      <c r="AB188" s="187">
        <v>32.027000000000001</v>
      </c>
      <c r="AC188" s="559">
        <v>31.27</v>
      </c>
      <c r="AD188" s="559">
        <v>33.22</v>
      </c>
      <c r="AE188" s="556">
        <v>34.130000000000003</v>
      </c>
      <c r="AF188" s="187">
        <v>35.03</v>
      </c>
      <c r="AG188" s="559">
        <v>35.229999999999997</v>
      </c>
      <c r="AH188" s="187">
        <v>34.89</v>
      </c>
      <c r="AI188" s="234">
        <v>32.366903225806453</v>
      </c>
      <c r="AJ188" s="575"/>
    </row>
    <row r="189" spans="1:36" ht="15.75" x14ac:dyDescent="0.25">
      <c r="B189" s="388" t="s">
        <v>100</v>
      </c>
      <c r="C189" s="1" t="s">
        <v>59</v>
      </c>
      <c r="D189" s="222"/>
      <c r="E189" s="222"/>
      <c r="F189" s="222"/>
      <c r="G189" s="222"/>
      <c r="H189" s="222"/>
      <c r="I189" s="480"/>
      <c r="J189" s="222"/>
      <c r="K189" s="222"/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  <c r="AF189" s="222"/>
      <c r="AG189" s="222"/>
      <c r="AH189" s="222"/>
      <c r="AI189" s="13">
        <v>0</v>
      </c>
      <c r="AJ189" s="575"/>
    </row>
    <row r="190" spans="1:36" ht="15.75" x14ac:dyDescent="0.25">
      <c r="B190" s="388" t="s">
        <v>101</v>
      </c>
      <c r="C190" s="1" t="s">
        <v>59</v>
      </c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  <c r="AF190" s="222"/>
      <c r="AG190" s="222"/>
      <c r="AH190" s="222"/>
      <c r="AI190" s="13">
        <v>0</v>
      </c>
      <c r="AJ190" s="575"/>
    </row>
    <row r="191" spans="1:36" ht="15.75" x14ac:dyDescent="0.25">
      <c r="B191" s="388" t="s">
        <v>102</v>
      </c>
      <c r="C191" s="1" t="s">
        <v>59</v>
      </c>
      <c r="D191" s="222"/>
      <c r="E191" s="222"/>
      <c r="F191" s="222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>
        <v>28</v>
      </c>
      <c r="X191" s="222"/>
      <c r="Y191" s="222"/>
      <c r="Z191" s="222"/>
      <c r="AA191" s="222"/>
      <c r="AB191" s="222"/>
      <c r="AC191" s="222"/>
      <c r="AD191" s="222"/>
      <c r="AE191" s="222"/>
      <c r="AF191" s="222"/>
      <c r="AG191" s="222"/>
      <c r="AH191" s="222"/>
      <c r="AI191" s="13">
        <v>28</v>
      </c>
      <c r="AJ191" s="575"/>
    </row>
    <row r="192" spans="1:36" ht="15.75" x14ac:dyDescent="0.25">
      <c r="B192" s="388" t="s">
        <v>103</v>
      </c>
      <c r="C192" s="1" t="s">
        <v>59</v>
      </c>
      <c r="D192" s="222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  <c r="AF192" s="222"/>
      <c r="AG192" s="222"/>
      <c r="AH192" s="222"/>
      <c r="AI192" s="13">
        <v>0</v>
      </c>
      <c r="AJ192" s="575"/>
    </row>
    <row r="193" spans="1:36" x14ac:dyDescent="0.25">
      <c r="B193" s="5" t="s">
        <v>218</v>
      </c>
      <c r="C193" s="1" t="s">
        <v>59</v>
      </c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>
        <v>15</v>
      </c>
      <c r="X193" s="222"/>
      <c r="Y193" s="222"/>
      <c r="Z193" s="222"/>
      <c r="AA193" s="222"/>
      <c r="AB193" s="222"/>
      <c r="AC193" s="222"/>
      <c r="AD193" s="222"/>
      <c r="AE193" s="222"/>
      <c r="AF193" s="222"/>
      <c r="AG193" s="222"/>
      <c r="AH193" s="222"/>
      <c r="AI193" s="13">
        <v>15</v>
      </c>
      <c r="AJ193" s="575"/>
    </row>
    <row r="194" spans="1:36" x14ac:dyDescent="0.25">
      <c r="B194" s="5" t="s">
        <v>86</v>
      </c>
      <c r="C194" s="1" t="s">
        <v>59</v>
      </c>
      <c r="D194" s="222">
        <v>0</v>
      </c>
      <c r="E194" s="222">
        <v>0</v>
      </c>
      <c r="F194" s="222">
        <v>0</v>
      </c>
      <c r="G194" s="222">
        <v>0</v>
      </c>
      <c r="H194" s="222">
        <v>0</v>
      </c>
      <c r="I194" s="222">
        <v>0</v>
      </c>
      <c r="J194" s="222">
        <v>0</v>
      </c>
      <c r="K194" s="222">
        <v>0</v>
      </c>
      <c r="L194" s="222">
        <v>0</v>
      </c>
      <c r="M194" s="222">
        <v>0</v>
      </c>
      <c r="N194" s="222">
        <v>0</v>
      </c>
      <c r="O194" s="222">
        <v>0</v>
      </c>
      <c r="P194" s="222">
        <v>0</v>
      </c>
      <c r="Q194" s="222">
        <v>0</v>
      </c>
      <c r="R194" s="222">
        <v>0</v>
      </c>
      <c r="S194" s="222">
        <v>0</v>
      </c>
      <c r="T194" s="222">
        <v>0</v>
      </c>
      <c r="U194" s="222">
        <v>0</v>
      </c>
      <c r="V194" s="222">
        <v>0</v>
      </c>
      <c r="W194" s="222">
        <v>43</v>
      </c>
      <c r="X194" s="222">
        <v>0</v>
      </c>
      <c r="Y194" s="222">
        <v>0</v>
      </c>
      <c r="Z194" s="222">
        <v>0</v>
      </c>
      <c r="AA194" s="222">
        <v>0</v>
      </c>
      <c r="AB194" s="222">
        <v>0</v>
      </c>
      <c r="AC194" s="222">
        <v>0</v>
      </c>
      <c r="AD194" s="222">
        <v>0</v>
      </c>
      <c r="AE194" s="222">
        <v>0</v>
      </c>
      <c r="AF194" s="222">
        <v>0</v>
      </c>
      <c r="AG194" s="222">
        <v>0</v>
      </c>
      <c r="AH194" s="222">
        <v>0</v>
      </c>
      <c r="AI194" s="13">
        <v>43</v>
      </c>
      <c r="AJ194" s="575"/>
    </row>
    <row r="195" spans="1:36" x14ac:dyDescent="0.25">
      <c r="B195" s="5" t="s">
        <v>86</v>
      </c>
      <c r="C195" s="1" t="s">
        <v>59</v>
      </c>
      <c r="D195" s="221">
        <v>0</v>
      </c>
      <c r="E195" s="221">
        <v>0</v>
      </c>
      <c r="F195" s="221">
        <v>0</v>
      </c>
      <c r="G195" s="221">
        <v>0</v>
      </c>
      <c r="H195" s="221">
        <v>0</v>
      </c>
      <c r="I195" s="221">
        <v>0</v>
      </c>
      <c r="J195" s="221">
        <v>0</v>
      </c>
      <c r="K195" s="221">
        <v>0</v>
      </c>
      <c r="L195" s="221">
        <v>0</v>
      </c>
      <c r="M195" s="221">
        <v>0</v>
      </c>
      <c r="N195" s="221">
        <v>0</v>
      </c>
      <c r="O195" s="221">
        <v>0</v>
      </c>
      <c r="P195" s="221">
        <v>0</v>
      </c>
      <c r="Q195" s="221">
        <v>0</v>
      </c>
      <c r="R195" s="221">
        <v>0</v>
      </c>
      <c r="S195" s="221">
        <v>0</v>
      </c>
      <c r="T195" s="221">
        <v>0</v>
      </c>
      <c r="U195" s="221">
        <v>0</v>
      </c>
      <c r="V195" s="221">
        <v>0</v>
      </c>
      <c r="W195" s="221">
        <v>2.8897849462365593E-2</v>
      </c>
      <c r="X195" s="221">
        <v>0</v>
      </c>
      <c r="Y195" s="221">
        <v>0</v>
      </c>
      <c r="Z195" s="221">
        <v>0</v>
      </c>
      <c r="AA195" s="221">
        <v>0</v>
      </c>
      <c r="AB195" s="221">
        <v>0</v>
      </c>
      <c r="AC195" s="221">
        <v>0</v>
      </c>
      <c r="AD195" s="221">
        <v>0</v>
      </c>
      <c r="AE195" s="221">
        <v>0</v>
      </c>
      <c r="AF195" s="221">
        <v>0</v>
      </c>
      <c r="AG195" s="221">
        <v>0</v>
      </c>
      <c r="AH195" s="221">
        <v>0</v>
      </c>
      <c r="AI195" s="13">
        <v>1.0320660522273426E-3</v>
      </c>
      <c r="AJ195" s="575"/>
    </row>
    <row r="196" spans="1:36" ht="15.75" x14ac:dyDescent="0.25">
      <c r="B196" s="5" t="s">
        <v>116</v>
      </c>
      <c r="C196" s="1" t="s">
        <v>60</v>
      </c>
      <c r="D196" s="539">
        <v>3.0182129329082152E-3</v>
      </c>
      <c r="E196" s="539">
        <v>3.2256323403814791E-3</v>
      </c>
      <c r="F196" s="539">
        <v>3.4767623649430701E-3</v>
      </c>
      <c r="G196" s="539">
        <v>3.1204165307400777E-3</v>
      </c>
      <c r="H196" s="539">
        <v>3.415808844203394E-3</v>
      </c>
      <c r="I196" s="539">
        <v>2.9472954475195934E-3</v>
      </c>
      <c r="J196" s="539">
        <v>2.893027719917951E-3</v>
      </c>
      <c r="K196" s="539">
        <v>3.2738783573565966E-3</v>
      </c>
      <c r="L196" s="539">
        <v>3.0128156036526854E-3</v>
      </c>
      <c r="M196" s="539">
        <v>3.4783833974919021E-3</v>
      </c>
      <c r="N196" s="539">
        <v>3.0229882198606617E-3</v>
      </c>
      <c r="O196" s="539">
        <v>3.3161399369618372E-3</v>
      </c>
      <c r="P196" s="539">
        <v>3.077860593755366E-3</v>
      </c>
      <c r="Q196" s="539">
        <v>3.2423777442799062E-3</v>
      </c>
      <c r="R196" s="539">
        <v>2.517657005874252E-3</v>
      </c>
      <c r="S196" s="539">
        <v>2.8153272722624412E-3</v>
      </c>
      <c r="T196" s="539">
        <v>3.3257061933281429E-3</v>
      </c>
      <c r="U196" s="539">
        <v>3.017945570410116E-3</v>
      </c>
      <c r="V196" s="539">
        <v>3.4128428583310652E-3</v>
      </c>
      <c r="W196" s="539">
        <v>2.102150537634434E-3</v>
      </c>
      <c r="X196" s="539">
        <v>3.0000000000000027E-3</v>
      </c>
      <c r="Y196" s="539">
        <v>2.2625592582027343E-3</v>
      </c>
      <c r="Z196" s="539">
        <v>2.77371721168862E-3</v>
      </c>
      <c r="AA196" s="539">
        <v>3.2345234639720721E-3</v>
      </c>
      <c r="AB196" s="539">
        <v>3.2034585296534246E-3</v>
      </c>
      <c r="AC196" s="539">
        <v>3.2135993199606805E-3</v>
      </c>
      <c r="AD196" s="539">
        <v>2.7259524926508405E-3</v>
      </c>
      <c r="AE196" s="539">
        <v>2.3273322466704771E-3</v>
      </c>
      <c r="AF196" s="539">
        <v>2.8136055997439458E-3</v>
      </c>
      <c r="AG196" s="539">
        <v>2.6155365524923035E-3</v>
      </c>
      <c r="AH196" s="539">
        <v>2.9475838655877995E-3</v>
      </c>
      <c r="AI196" s="49">
        <v>3.0162275712361441E-3</v>
      </c>
      <c r="AJ196" s="575"/>
    </row>
    <row r="198" spans="1:36" x14ac:dyDescent="0.25">
      <c r="B198" s="126" t="s">
        <v>292</v>
      </c>
      <c r="C198" s="306" t="s">
        <v>122</v>
      </c>
      <c r="D198" s="308">
        <v>1</v>
      </c>
      <c r="E198" s="308">
        <v>1</v>
      </c>
      <c r="F198" s="308">
        <v>1</v>
      </c>
      <c r="G198" s="308">
        <v>1</v>
      </c>
      <c r="H198" s="308">
        <v>1</v>
      </c>
      <c r="I198" s="308">
        <v>1</v>
      </c>
      <c r="J198" s="308">
        <v>1</v>
      </c>
      <c r="K198" s="308">
        <v>1</v>
      </c>
      <c r="L198" s="308">
        <v>1</v>
      </c>
      <c r="M198" s="308">
        <v>1</v>
      </c>
      <c r="N198" s="308">
        <v>1</v>
      </c>
      <c r="O198" s="308">
        <v>1</v>
      </c>
      <c r="P198" s="308">
        <v>1</v>
      </c>
      <c r="Q198" s="308">
        <v>1</v>
      </c>
      <c r="R198" s="308">
        <v>1</v>
      </c>
      <c r="S198" s="308">
        <v>1</v>
      </c>
      <c r="T198" s="308">
        <v>1</v>
      </c>
      <c r="U198" s="308">
        <v>1</v>
      </c>
      <c r="V198" s="308">
        <v>1</v>
      </c>
      <c r="W198" s="308">
        <v>1</v>
      </c>
      <c r="X198" s="308">
        <v>1</v>
      </c>
      <c r="Y198" s="308">
        <v>1</v>
      </c>
      <c r="Z198" s="308">
        <v>1</v>
      </c>
      <c r="AA198" s="308">
        <v>1</v>
      </c>
      <c r="AB198" s="308">
        <v>1</v>
      </c>
      <c r="AC198" s="308">
        <v>1</v>
      </c>
      <c r="AD198" s="308">
        <v>1</v>
      </c>
      <c r="AE198" s="308">
        <v>1</v>
      </c>
      <c r="AF198" s="308">
        <v>1</v>
      </c>
      <c r="AG198" s="308">
        <v>1</v>
      </c>
      <c r="AH198" s="308">
        <v>1</v>
      </c>
      <c r="AI198" s="314">
        <v>31</v>
      </c>
    </row>
    <row r="200" spans="1:36" x14ac:dyDescent="0.25">
      <c r="AI200" s="346">
        <v>143012.39999999991</v>
      </c>
    </row>
    <row r="202" spans="1:36" x14ac:dyDescent="0.25">
      <c r="A202" t="s">
        <v>31</v>
      </c>
      <c r="D202" s="187">
        <v>1</v>
      </c>
      <c r="E202" s="187">
        <v>2</v>
      </c>
      <c r="F202" s="187">
        <v>3</v>
      </c>
      <c r="G202" s="187">
        <v>4</v>
      </c>
      <c r="H202" s="187">
        <v>5</v>
      </c>
      <c r="I202" s="187">
        <v>6</v>
      </c>
      <c r="J202" s="187">
        <v>7</v>
      </c>
      <c r="K202" s="187">
        <v>8</v>
      </c>
      <c r="L202" s="187">
        <v>9</v>
      </c>
      <c r="M202" s="187">
        <v>10</v>
      </c>
      <c r="N202" s="187">
        <v>11</v>
      </c>
      <c r="O202" s="187">
        <v>12</v>
      </c>
      <c r="P202" s="187">
        <v>13</v>
      </c>
      <c r="Q202" s="187">
        <v>14</v>
      </c>
      <c r="R202" s="187">
        <v>15</v>
      </c>
      <c r="S202" s="187">
        <v>16</v>
      </c>
      <c r="T202" s="187">
        <v>17</v>
      </c>
      <c r="U202" s="187">
        <v>18</v>
      </c>
      <c r="V202" s="187">
        <v>19</v>
      </c>
      <c r="W202" s="187">
        <v>20</v>
      </c>
      <c r="X202" s="187">
        <v>21</v>
      </c>
      <c r="Y202" s="187">
        <v>22</v>
      </c>
      <c r="Z202" s="187">
        <v>23</v>
      </c>
      <c r="AA202" s="187">
        <v>24</v>
      </c>
      <c r="AB202" s="187">
        <v>25</v>
      </c>
      <c r="AC202" s="187">
        <v>26</v>
      </c>
      <c r="AD202" s="187">
        <v>27</v>
      </c>
      <c r="AE202" s="187">
        <v>28</v>
      </c>
      <c r="AF202" s="187">
        <v>29</v>
      </c>
      <c r="AG202" s="187">
        <v>30</v>
      </c>
      <c r="AH202" s="187">
        <v>31</v>
      </c>
      <c r="AI202" s="187"/>
      <c r="AJ202" s="575"/>
    </row>
    <row r="203" spans="1:36" x14ac:dyDescent="0.25">
      <c r="B203" s="21" t="s">
        <v>5</v>
      </c>
      <c r="C203" s="1" t="s">
        <v>6</v>
      </c>
      <c r="D203" s="553">
        <v>240.89999</v>
      </c>
      <c r="E203" s="553">
        <v>180.5</v>
      </c>
      <c r="F203" s="553">
        <v>253.60001</v>
      </c>
      <c r="G203" s="553">
        <v>181.39999</v>
      </c>
      <c r="H203" s="553">
        <v>236.60001</v>
      </c>
      <c r="I203" s="553">
        <v>241.3</v>
      </c>
      <c r="J203" s="553">
        <v>294</v>
      </c>
      <c r="K203" s="553">
        <v>290.29998999999998</v>
      </c>
      <c r="L203" s="553">
        <v>269.29998999999998</v>
      </c>
      <c r="M203" s="553">
        <v>224.39999</v>
      </c>
      <c r="N203" s="553">
        <v>263.39999</v>
      </c>
      <c r="O203" s="553">
        <v>233.8</v>
      </c>
      <c r="P203" s="553">
        <v>206.8</v>
      </c>
      <c r="Q203" s="553">
        <v>301.29998999999998</v>
      </c>
      <c r="R203" s="553">
        <v>208.60001</v>
      </c>
      <c r="S203" s="553">
        <v>297.20001000000002</v>
      </c>
      <c r="T203" s="553">
        <v>191.3</v>
      </c>
      <c r="U203" s="553">
        <v>91.7</v>
      </c>
      <c r="V203" s="553">
        <v>86</v>
      </c>
      <c r="W203" s="553">
        <v>233.3</v>
      </c>
      <c r="X203" s="553">
        <v>267</v>
      </c>
      <c r="Y203" s="553">
        <v>275.10001</v>
      </c>
      <c r="Z203" s="553">
        <v>228.2</v>
      </c>
      <c r="AA203" s="553">
        <v>217.10001</v>
      </c>
      <c r="AB203" s="553">
        <v>328.5</v>
      </c>
      <c r="AC203" s="553">
        <v>313.89999</v>
      </c>
      <c r="AD203" s="553">
        <v>298.20001000000002</v>
      </c>
      <c r="AE203" s="553">
        <v>271.20001000000002</v>
      </c>
      <c r="AF203" s="553">
        <v>263.60001</v>
      </c>
      <c r="AG203" s="553">
        <v>272.29998999999998</v>
      </c>
      <c r="AH203" s="553">
        <v>277.60001</v>
      </c>
      <c r="AI203" s="554">
        <v>7538.4000100000012</v>
      </c>
    </row>
    <row r="204" spans="1:36" x14ac:dyDescent="0.25">
      <c r="B204" s="21" t="s">
        <v>7</v>
      </c>
      <c r="C204" s="1" t="s">
        <v>6</v>
      </c>
      <c r="D204" s="553">
        <v>166.2</v>
      </c>
      <c r="E204" s="553">
        <v>182.8</v>
      </c>
      <c r="F204" s="553">
        <v>197</v>
      </c>
      <c r="G204" s="553">
        <v>184.39999</v>
      </c>
      <c r="H204" s="553">
        <v>239.2</v>
      </c>
      <c r="I204" s="553">
        <v>188.5</v>
      </c>
      <c r="J204" s="553">
        <v>230</v>
      </c>
      <c r="K204" s="553">
        <v>292.10001</v>
      </c>
      <c r="L204" s="553">
        <v>271.60001</v>
      </c>
      <c r="M204" s="553">
        <v>214</v>
      </c>
      <c r="N204" s="553">
        <v>267.79998999999998</v>
      </c>
      <c r="O204" s="553">
        <v>236.5</v>
      </c>
      <c r="P204" s="553">
        <v>117.8</v>
      </c>
      <c r="Q204" s="553">
        <v>299.5</v>
      </c>
      <c r="R204" s="553">
        <v>205.8</v>
      </c>
      <c r="S204" s="553">
        <v>301.79998999999998</v>
      </c>
      <c r="T204" s="553">
        <v>127.4</v>
      </c>
      <c r="U204" s="553">
        <v>70.3</v>
      </c>
      <c r="V204" s="553">
        <v>81.099999999999994</v>
      </c>
      <c r="W204" s="553">
        <v>236.7</v>
      </c>
      <c r="X204" s="553">
        <v>269.70001000000002</v>
      </c>
      <c r="Y204" s="553">
        <v>145.19999999999999</v>
      </c>
      <c r="Z204" s="553">
        <v>227.10001</v>
      </c>
      <c r="AA204" s="553">
        <v>211.10001</v>
      </c>
      <c r="AB204" s="553">
        <v>328.39999</v>
      </c>
      <c r="AC204" s="553">
        <v>314.39999</v>
      </c>
      <c r="AD204" s="553">
        <v>296.20001000000002</v>
      </c>
      <c r="AE204" s="553">
        <v>198.10001</v>
      </c>
      <c r="AF204" s="553">
        <v>215.60001</v>
      </c>
      <c r="AG204" s="553">
        <v>270.89999</v>
      </c>
      <c r="AH204" s="553">
        <v>275.89999</v>
      </c>
      <c r="AI204" s="554">
        <v>6863.1000100000001</v>
      </c>
    </row>
    <row r="205" spans="1:36" x14ac:dyDescent="0.25">
      <c r="B205" s="21" t="s">
        <v>8</v>
      </c>
      <c r="C205" s="1" t="s">
        <v>6</v>
      </c>
      <c r="D205" s="553">
        <v>172</v>
      </c>
      <c r="E205" s="553">
        <v>179.89999</v>
      </c>
      <c r="F205" s="553">
        <v>198.3</v>
      </c>
      <c r="G205" s="553">
        <v>181.3</v>
      </c>
      <c r="H205" s="553">
        <v>235.39999</v>
      </c>
      <c r="I205" s="553">
        <v>191.8</v>
      </c>
      <c r="J205" s="553">
        <v>233</v>
      </c>
      <c r="K205" s="553">
        <v>286.79998999999998</v>
      </c>
      <c r="L205" s="553">
        <v>265.5</v>
      </c>
      <c r="M205" s="553">
        <v>214</v>
      </c>
      <c r="N205" s="553">
        <v>261.60001</v>
      </c>
      <c r="O205" s="553">
        <v>231.60001</v>
      </c>
      <c r="P205" s="553">
        <v>125.7</v>
      </c>
      <c r="Q205" s="553">
        <v>295.79998999999998</v>
      </c>
      <c r="R205" s="553">
        <v>200.2</v>
      </c>
      <c r="S205" s="553">
        <v>295.60001</v>
      </c>
      <c r="T205" s="553">
        <v>140.19999999999999</v>
      </c>
      <c r="U205" s="553">
        <v>76.5</v>
      </c>
      <c r="V205" s="553">
        <v>82.3</v>
      </c>
      <c r="W205" s="553">
        <v>232.7</v>
      </c>
      <c r="X205" s="553">
        <v>264.79998999999998</v>
      </c>
      <c r="Y205" s="553">
        <v>148</v>
      </c>
      <c r="Z205" s="553">
        <v>223.8</v>
      </c>
      <c r="AA205" s="553">
        <v>212.7</v>
      </c>
      <c r="AB205" s="553">
        <v>323.70001000000002</v>
      </c>
      <c r="AC205" s="553">
        <v>306.29998999999998</v>
      </c>
      <c r="AD205" s="553">
        <v>289</v>
      </c>
      <c r="AE205" s="553">
        <v>198.39999</v>
      </c>
      <c r="AF205" s="553">
        <v>214.7</v>
      </c>
      <c r="AG205" s="553">
        <v>264.70001000000002</v>
      </c>
      <c r="AH205" s="553">
        <v>271.79998999999998</v>
      </c>
      <c r="AI205" s="554">
        <v>6818.0999699999993</v>
      </c>
    </row>
    <row r="206" spans="1:36" x14ac:dyDescent="0.25">
      <c r="B206" s="21" t="s">
        <v>9</v>
      </c>
      <c r="C206" s="1" t="s">
        <v>6</v>
      </c>
      <c r="D206" s="553">
        <v>166</v>
      </c>
      <c r="E206" s="553">
        <v>178.89999</v>
      </c>
      <c r="F206" s="553">
        <v>197.10001</v>
      </c>
      <c r="G206" s="553">
        <v>180.3</v>
      </c>
      <c r="H206" s="553">
        <v>234</v>
      </c>
      <c r="I206" s="553">
        <v>187.60001</v>
      </c>
      <c r="J206" s="553">
        <v>227.89999</v>
      </c>
      <c r="K206" s="553">
        <v>285.5</v>
      </c>
      <c r="L206" s="553">
        <v>265.39999</v>
      </c>
      <c r="M206" s="553">
        <v>209.89999</v>
      </c>
      <c r="N206" s="553">
        <v>259.39999</v>
      </c>
      <c r="O206" s="553">
        <v>231.10001</v>
      </c>
      <c r="P206" s="553">
        <v>116.8</v>
      </c>
      <c r="Q206" s="553">
        <v>292</v>
      </c>
      <c r="R206" s="553">
        <v>202.10001</v>
      </c>
      <c r="S206" s="553">
        <v>296.20001000000002</v>
      </c>
      <c r="T206" s="553">
        <v>126.6</v>
      </c>
      <c r="U206" s="553">
        <v>69.7</v>
      </c>
      <c r="V206" s="553">
        <v>79.599999999999994</v>
      </c>
      <c r="W206" s="553">
        <v>233.3</v>
      </c>
      <c r="X206" s="553">
        <v>265.60001</v>
      </c>
      <c r="Y206" s="553">
        <v>143.10001</v>
      </c>
      <c r="Z206" s="553">
        <v>229.89999</v>
      </c>
      <c r="AA206" s="553">
        <v>220.89999</v>
      </c>
      <c r="AB206" s="553">
        <v>330.5</v>
      </c>
      <c r="AC206" s="553">
        <v>313.5</v>
      </c>
      <c r="AD206" s="553">
        <v>295.70001000000002</v>
      </c>
      <c r="AE206" s="553">
        <v>203.5</v>
      </c>
      <c r="AF206" s="553">
        <v>214.60001</v>
      </c>
      <c r="AG206" s="553">
        <v>267.70001000000002</v>
      </c>
      <c r="AH206" s="553">
        <v>271.39999</v>
      </c>
      <c r="AI206" s="554">
        <v>6795.8000200000006</v>
      </c>
    </row>
    <row r="207" spans="1:36" x14ac:dyDescent="0.25">
      <c r="B207" s="21" t="s">
        <v>10</v>
      </c>
      <c r="C207" s="1" t="s">
        <v>6</v>
      </c>
      <c r="D207" s="553">
        <v>158.89999</v>
      </c>
      <c r="E207" s="553">
        <v>167.2</v>
      </c>
      <c r="F207" s="553">
        <v>186.5</v>
      </c>
      <c r="G207" s="553">
        <v>168.3</v>
      </c>
      <c r="H207" s="553">
        <v>218.5</v>
      </c>
      <c r="I207" s="553">
        <v>182.2</v>
      </c>
      <c r="J207" s="553">
        <v>216.89999</v>
      </c>
      <c r="K207" s="553">
        <v>265.89999</v>
      </c>
      <c r="L207" s="553">
        <v>246.5</v>
      </c>
      <c r="M207" s="553">
        <v>193.7</v>
      </c>
      <c r="N207" s="553">
        <v>242.3</v>
      </c>
      <c r="O207" s="553">
        <v>215.5</v>
      </c>
      <c r="P207" s="553">
        <v>112.5</v>
      </c>
      <c r="Q207" s="553">
        <v>270.79998999999998</v>
      </c>
      <c r="R207" s="553">
        <v>186</v>
      </c>
      <c r="S207" s="553">
        <v>277</v>
      </c>
      <c r="T207" s="553">
        <v>121.9</v>
      </c>
      <c r="U207" s="553">
        <v>66.5</v>
      </c>
      <c r="V207" s="553">
        <v>75.5</v>
      </c>
      <c r="W207" s="553">
        <v>216.2</v>
      </c>
      <c r="X207" s="553">
        <v>244.39999</v>
      </c>
      <c r="Y207" s="553">
        <v>130.10001</v>
      </c>
      <c r="Z207" s="553">
        <v>205.2</v>
      </c>
      <c r="AA207" s="553">
        <v>194.8</v>
      </c>
      <c r="AB207" s="553">
        <v>301.60001</v>
      </c>
      <c r="AC207" s="553">
        <v>284.29998999999998</v>
      </c>
      <c r="AD207" s="553">
        <v>266.70001000000002</v>
      </c>
      <c r="AE207" s="553">
        <v>185.8</v>
      </c>
      <c r="AF207" s="553">
        <v>203.10001</v>
      </c>
      <c r="AG207" s="553">
        <v>244.89999</v>
      </c>
      <c r="AH207" s="553">
        <v>251</v>
      </c>
      <c r="AI207" s="554">
        <v>6300.6999700000006</v>
      </c>
    </row>
    <row r="208" spans="1:36" x14ac:dyDescent="0.25">
      <c r="B208" s="21" t="s">
        <v>11</v>
      </c>
      <c r="C208" s="1" t="s">
        <v>6</v>
      </c>
      <c r="D208" s="553">
        <v>157.19999999999999</v>
      </c>
      <c r="E208" s="553">
        <v>162.80000000000001</v>
      </c>
      <c r="F208" s="553">
        <v>184.39999</v>
      </c>
      <c r="G208" s="553">
        <v>163.69999999999999</v>
      </c>
      <c r="H208" s="553">
        <v>212.39999</v>
      </c>
      <c r="I208" s="553">
        <v>178.8</v>
      </c>
      <c r="J208" s="553">
        <v>212.39999</v>
      </c>
      <c r="K208" s="553">
        <v>258.70001000000002</v>
      </c>
      <c r="L208" s="553">
        <v>240.3</v>
      </c>
      <c r="M208" s="553">
        <v>188.8</v>
      </c>
      <c r="N208" s="553">
        <v>238.2</v>
      </c>
      <c r="O208" s="553">
        <v>210.5</v>
      </c>
      <c r="P208" s="553">
        <v>112.1</v>
      </c>
      <c r="Q208" s="553">
        <v>266.79998999999998</v>
      </c>
      <c r="R208" s="553">
        <v>183.2</v>
      </c>
      <c r="S208" s="553">
        <v>270.20001000000002</v>
      </c>
      <c r="T208" s="553">
        <v>119.7</v>
      </c>
      <c r="U208" s="553">
        <v>64.7</v>
      </c>
      <c r="V208" s="553">
        <v>73.900000000000006</v>
      </c>
      <c r="W208" s="553">
        <v>210.5</v>
      </c>
      <c r="X208" s="553">
        <v>239.10001</v>
      </c>
      <c r="Y208" s="553">
        <v>136.19999999999999</v>
      </c>
      <c r="Z208" s="553">
        <v>204.39999</v>
      </c>
      <c r="AA208" s="553">
        <v>193.5</v>
      </c>
      <c r="AB208" s="553">
        <v>295.70001000000002</v>
      </c>
      <c r="AC208" s="553">
        <v>279.89999</v>
      </c>
      <c r="AD208" s="553">
        <v>265.89999</v>
      </c>
      <c r="AE208" s="553">
        <v>171.89999</v>
      </c>
      <c r="AF208" s="553">
        <v>201.60001</v>
      </c>
      <c r="AG208" s="553">
        <v>240.2</v>
      </c>
      <c r="AH208" s="553">
        <v>246.39999</v>
      </c>
      <c r="AI208" s="554">
        <v>6184.0999599999986</v>
      </c>
    </row>
    <row r="209" spans="2:36" x14ac:dyDescent="0.25">
      <c r="B209" s="21" t="s">
        <v>12</v>
      </c>
      <c r="C209" s="1" t="s">
        <v>6</v>
      </c>
      <c r="D209" s="553">
        <v>157.89999</v>
      </c>
      <c r="E209" s="553">
        <v>164.10001</v>
      </c>
      <c r="F209" s="553">
        <v>184.10001</v>
      </c>
      <c r="G209" s="553">
        <v>165.5</v>
      </c>
      <c r="H209" s="553">
        <v>215.7</v>
      </c>
      <c r="I209" s="553">
        <v>180.8</v>
      </c>
      <c r="J209" s="553">
        <v>215.5</v>
      </c>
      <c r="K209" s="553">
        <v>262.10001</v>
      </c>
      <c r="L209" s="553">
        <v>242.10001</v>
      </c>
      <c r="M209" s="553">
        <v>191.2</v>
      </c>
      <c r="N209" s="553">
        <v>238.89999</v>
      </c>
      <c r="O209" s="553">
        <v>212.10001</v>
      </c>
      <c r="P209" s="553">
        <v>112.5</v>
      </c>
      <c r="Q209" s="553">
        <v>268.29998999999998</v>
      </c>
      <c r="R209" s="553">
        <v>184.2</v>
      </c>
      <c r="S209" s="553">
        <v>273.5</v>
      </c>
      <c r="T209" s="553">
        <v>120.4</v>
      </c>
      <c r="U209" s="553">
        <v>65.3</v>
      </c>
      <c r="V209" s="553">
        <v>74.5</v>
      </c>
      <c r="W209" s="553">
        <v>211.8</v>
      </c>
      <c r="X209" s="553">
        <v>241.89999</v>
      </c>
      <c r="Y209" s="553">
        <v>136.5</v>
      </c>
      <c r="Z209" s="553">
        <v>203</v>
      </c>
      <c r="AA209" s="553">
        <v>186.39999</v>
      </c>
      <c r="AB209" s="553">
        <v>293.39999</v>
      </c>
      <c r="AC209" s="553">
        <v>276.70001000000002</v>
      </c>
      <c r="AD209" s="553">
        <v>260.20001000000002</v>
      </c>
      <c r="AE209" s="553">
        <v>163.30000000000001</v>
      </c>
      <c r="AF209" s="553">
        <v>200.7</v>
      </c>
      <c r="AG209" s="553">
        <v>240.89999</v>
      </c>
      <c r="AH209" s="553">
        <v>244</v>
      </c>
      <c r="AI209" s="554">
        <v>6187.5</v>
      </c>
    </row>
    <row r="210" spans="2:36" x14ac:dyDescent="0.25">
      <c r="B210" s="21" t="s">
        <v>13</v>
      </c>
      <c r="C210" s="1" t="s">
        <v>6</v>
      </c>
      <c r="D210" s="553">
        <v>162.80000000000001</v>
      </c>
      <c r="E210" s="553">
        <v>162.89999</v>
      </c>
      <c r="F210" s="553">
        <v>184.89999</v>
      </c>
      <c r="G210" s="553">
        <v>164.5</v>
      </c>
      <c r="H210" s="553">
        <v>213.39999</v>
      </c>
      <c r="I210" s="553">
        <v>183.60001</v>
      </c>
      <c r="J210" s="553">
        <v>218.10001</v>
      </c>
      <c r="K210" s="553">
        <v>259.89999</v>
      </c>
      <c r="L210" s="553">
        <v>240.39999</v>
      </c>
      <c r="M210" s="553">
        <v>193.10001</v>
      </c>
      <c r="N210" s="553">
        <v>233.89999</v>
      </c>
      <c r="O210" s="553">
        <v>211.10001</v>
      </c>
      <c r="P210" s="553">
        <v>123.5</v>
      </c>
      <c r="Q210" s="553">
        <v>270.20001000000002</v>
      </c>
      <c r="R210" s="553">
        <v>183.60001</v>
      </c>
      <c r="S210" s="553">
        <v>269.20001000000002</v>
      </c>
      <c r="T210" s="553">
        <v>131.10001</v>
      </c>
      <c r="U210" s="553">
        <v>71.2</v>
      </c>
      <c r="V210" s="553">
        <v>76.3</v>
      </c>
      <c r="W210" s="553">
        <v>211</v>
      </c>
      <c r="X210" s="553">
        <v>240.2</v>
      </c>
      <c r="Y210" s="553">
        <v>138.5</v>
      </c>
      <c r="Z210" s="553">
        <v>201.5</v>
      </c>
      <c r="AA210" s="553">
        <v>187.8</v>
      </c>
      <c r="AB210" s="553">
        <v>290.79998999999998</v>
      </c>
      <c r="AC210" s="553">
        <v>275.60001</v>
      </c>
      <c r="AD210" s="553">
        <v>264.29998999999998</v>
      </c>
      <c r="AE210" s="553">
        <v>164.8</v>
      </c>
      <c r="AF210" s="553">
        <v>203.2</v>
      </c>
      <c r="AG210" s="553">
        <v>241.3</v>
      </c>
      <c r="AH210" s="553">
        <v>244.2</v>
      </c>
      <c r="AI210" s="554">
        <v>6216.9000099999994</v>
      </c>
    </row>
    <row r="211" spans="2:36" x14ac:dyDescent="0.25">
      <c r="B211" s="21" t="s">
        <v>14</v>
      </c>
      <c r="C211" s="1" t="s">
        <v>6</v>
      </c>
      <c r="D211" s="553">
        <v>155.60001</v>
      </c>
      <c r="E211" s="553">
        <v>162.19999999999999</v>
      </c>
      <c r="F211" s="553">
        <v>182</v>
      </c>
      <c r="G211" s="553">
        <v>162.39999</v>
      </c>
      <c r="H211" s="553">
        <v>211.7</v>
      </c>
      <c r="I211" s="553">
        <v>179.10001</v>
      </c>
      <c r="J211" s="553">
        <v>212.2</v>
      </c>
      <c r="K211" s="553">
        <v>257.20001000000002</v>
      </c>
      <c r="L211" s="553">
        <v>237.8</v>
      </c>
      <c r="M211" s="553">
        <v>187.10001</v>
      </c>
      <c r="N211" s="553">
        <v>231.89999</v>
      </c>
      <c r="O211" s="553">
        <v>206</v>
      </c>
      <c r="P211" s="553">
        <v>111.2</v>
      </c>
      <c r="Q211" s="553">
        <v>261.39999</v>
      </c>
      <c r="R211" s="553">
        <v>179.8</v>
      </c>
      <c r="S211" s="553">
        <v>267.70001000000002</v>
      </c>
      <c r="T211" s="553">
        <v>118.7</v>
      </c>
      <c r="U211" s="553">
        <v>64.099999999999994</v>
      </c>
      <c r="V211" s="553">
        <v>72.7</v>
      </c>
      <c r="W211" s="553">
        <v>207.2</v>
      </c>
      <c r="X211" s="553">
        <v>238.2</v>
      </c>
      <c r="Y211" s="553">
        <v>133.69999999999999</v>
      </c>
      <c r="Z211" s="553">
        <v>197.10001</v>
      </c>
      <c r="AA211" s="553">
        <v>179.60001</v>
      </c>
      <c r="AB211" s="553">
        <v>288.79998999999998</v>
      </c>
      <c r="AC211" s="553">
        <v>275.20001000000002</v>
      </c>
      <c r="AD211" s="553">
        <v>259.79998999999998</v>
      </c>
      <c r="AE211" s="553">
        <v>162.19999999999999</v>
      </c>
      <c r="AF211" s="553">
        <v>200.39999</v>
      </c>
      <c r="AG211" s="553">
        <v>237.7</v>
      </c>
      <c r="AH211" s="553">
        <v>241.3</v>
      </c>
      <c r="AI211" s="554">
        <v>6082.0000199999986</v>
      </c>
    </row>
    <row r="212" spans="2:36" x14ac:dyDescent="0.25">
      <c r="B212" s="21" t="s">
        <v>15</v>
      </c>
      <c r="C212" s="1" t="s">
        <v>6</v>
      </c>
      <c r="D212" s="553">
        <v>158.39999</v>
      </c>
      <c r="E212" s="553">
        <v>165.7</v>
      </c>
      <c r="F212" s="553">
        <v>185.39999</v>
      </c>
      <c r="G212" s="553">
        <v>166.7</v>
      </c>
      <c r="H212" s="553">
        <v>217.10001</v>
      </c>
      <c r="I212" s="553">
        <v>181.10001</v>
      </c>
      <c r="J212" s="553">
        <v>216.3</v>
      </c>
      <c r="K212" s="553">
        <v>263.39999</v>
      </c>
      <c r="L212" s="553">
        <v>243.89999</v>
      </c>
      <c r="M212" s="553">
        <v>192.89999</v>
      </c>
      <c r="N212" s="553">
        <v>240.8</v>
      </c>
      <c r="O212" s="553">
        <v>211.7</v>
      </c>
      <c r="P212" s="553">
        <v>113</v>
      </c>
      <c r="Q212" s="553">
        <v>268.20001000000002</v>
      </c>
      <c r="R212" s="553">
        <v>185.3</v>
      </c>
      <c r="S212" s="553">
        <v>273.39999</v>
      </c>
      <c r="T212" s="553">
        <v>119.9</v>
      </c>
      <c r="U212" s="553">
        <v>65.599999999999994</v>
      </c>
      <c r="V212" s="553">
        <v>74.8</v>
      </c>
      <c r="W212" s="553">
        <v>216</v>
      </c>
      <c r="X212" s="553">
        <v>245.89999</v>
      </c>
      <c r="Y212" s="553">
        <v>130.60001</v>
      </c>
      <c r="Z212" s="553">
        <v>206.5</v>
      </c>
      <c r="AA212" s="553">
        <v>186</v>
      </c>
      <c r="AB212" s="553">
        <v>299.29998999999998</v>
      </c>
      <c r="AC212" s="553">
        <v>280</v>
      </c>
      <c r="AD212" s="553">
        <v>268.5</v>
      </c>
      <c r="AE212" s="553">
        <v>167.39999</v>
      </c>
      <c r="AF212" s="553">
        <v>203.8</v>
      </c>
      <c r="AG212" s="553">
        <v>246</v>
      </c>
      <c r="AH212" s="553">
        <v>251.2</v>
      </c>
      <c r="AI212" s="554">
        <v>6244.7999500000005</v>
      </c>
    </row>
    <row r="213" spans="2:36" x14ac:dyDescent="0.25">
      <c r="B213" s="21" t="s">
        <v>16</v>
      </c>
      <c r="C213" s="1" t="s">
        <v>6</v>
      </c>
      <c r="D213" s="553">
        <v>154.30000000000001</v>
      </c>
      <c r="E213" s="553">
        <v>160</v>
      </c>
      <c r="F213" s="553">
        <v>179.89999</v>
      </c>
      <c r="G213" s="553">
        <v>159.89999</v>
      </c>
      <c r="H213" s="553">
        <v>209.3</v>
      </c>
      <c r="I213" s="553">
        <v>177.89999</v>
      </c>
      <c r="J213" s="553">
        <v>209.5</v>
      </c>
      <c r="K213" s="553">
        <v>254.8</v>
      </c>
      <c r="L213" s="553">
        <v>235.60001</v>
      </c>
      <c r="M213" s="553">
        <v>184.7</v>
      </c>
      <c r="N213" s="553">
        <v>234.10001</v>
      </c>
      <c r="O213" s="553">
        <v>206.10001</v>
      </c>
      <c r="P213" s="553">
        <v>109.6</v>
      </c>
      <c r="Q213" s="553">
        <v>260.29998999999998</v>
      </c>
      <c r="R213" s="553">
        <v>178.39999</v>
      </c>
      <c r="S213" s="553">
        <v>265.60001</v>
      </c>
      <c r="T213" s="553">
        <v>118.9</v>
      </c>
      <c r="U213" s="553">
        <v>65.7</v>
      </c>
      <c r="V213" s="553">
        <v>75.099999999999994</v>
      </c>
      <c r="W213" s="553">
        <v>213.39999</v>
      </c>
      <c r="X213" s="553">
        <v>245.39999</v>
      </c>
      <c r="Y213" s="553">
        <v>128.5</v>
      </c>
      <c r="Z213" s="553">
        <v>206.3</v>
      </c>
      <c r="AA213" s="553">
        <v>185.2</v>
      </c>
      <c r="AB213" s="553">
        <v>297.79998999999998</v>
      </c>
      <c r="AC213" s="553">
        <v>279.89999</v>
      </c>
      <c r="AD213" s="553">
        <v>264.60001</v>
      </c>
      <c r="AE213" s="553">
        <v>163.89999</v>
      </c>
      <c r="AF213" s="553">
        <v>203.7</v>
      </c>
      <c r="AG213" s="553">
        <v>247.2</v>
      </c>
      <c r="AH213" s="553">
        <v>255</v>
      </c>
      <c r="AI213" s="554">
        <v>6130.599949999998</v>
      </c>
    </row>
    <row r="214" spans="2:36" x14ac:dyDescent="0.25">
      <c r="B214" s="21" t="s">
        <v>17</v>
      </c>
      <c r="C214" s="1" t="s">
        <v>6</v>
      </c>
      <c r="D214" s="553">
        <v>159</v>
      </c>
      <c r="E214" s="553">
        <v>168.10001</v>
      </c>
      <c r="F214" s="553">
        <v>187.5</v>
      </c>
      <c r="G214" s="553">
        <v>168.8</v>
      </c>
      <c r="H214" s="553">
        <v>219.2</v>
      </c>
      <c r="I214" s="553">
        <v>181.89999</v>
      </c>
      <c r="J214" s="553">
        <v>218.10001</v>
      </c>
      <c r="K214" s="553">
        <v>265.70001000000002</v>
      </c>
      <c r="L214" s="553">
        <v>243.3</v>
      </c>
      <c r="M214" s="553">
        <v>191.8</v>
      </c>
      <c r="N214" s="553">
        <v>239</v>
      </c>
      <c r="O214" s="553">
        <v>212.2</v>
      </c>
      <c r="P214" s="553">
        <v>111.7</v>
      </c>
      <c r="Q214" s="553">
        <v>266.79998999999998</v>
      </c>
      <c r="R214" s="553">
        <v>182.60001</v>
      </c>
      <c r="S214" s="553">
        <v>272.70001000000002</v>
      </c>
      <c r="T214" s="553">
        <v>120.7</v>
      </c>
      <c r="U214" s="553">
        <v>64.900000000000006</v>
      </c>
      <c r="V214" s="553">
        <v>74.599999999999994</v>
      </c>
      <c r="W214" s="553">
        <v>214.5</v>
      </c>
      <c r="X214" s="553">
        <v>245.60001</v>
      </c>
      <c r="Y214" s="553">
        <v>137.10001</v>
      </c>
      <c r="Z214" s="553">
        <v>206.10001</v>
      </c>
      <c r="AA214" s="553">
        <v>182.39999</v>
      </c>
      <c r="AB214" s="553">
        <v>296</v>
      </c>
      <c r="AC214" s="553">
        <v>275.39999</v>
      </c>
      <c r="AD214" s="553">
        <v>262.20001000000002</v>
      </c>
      <c r="AE214" s="553">
        <v>166.5</v>
      </c>
      <c r="AF214" s="553">
        <v>205.60001</v>
      </c>
      <c r="AG214" s="553">
        <v>246.5</v>
      </c>
      <c r="AH214" s="553">
        <v>250</v>
      </c>
      <c r="AI214" s="554">
        <v>6236.5000600000003</v>
      </c>
    </row>
    <row r="215" spans="2:36" x14ac:dyDescent="0.25">
      <c r="B215" s="21" t="s">
        <v>18</v>
      </c>
      <c r="C215" s="1" t="s">
        <v>6</v>
      </c>
      <c r="D215" s="553">
        <v>164.7</v>
      </c>
      <c r="E215" s="553">
        <v>171.89999</v>
      </c>
      <c r="F215" s="553">
        <v>188.89999</v>
      </c>
      <c r="G215" s="553">
        <v>171.8</v>
      </c>
      <c r="H215" s="553">
        <v>221.39999</v>
      </c>
      <c r="I215" s="553">
        <v>186.5</v>
      </c>
      <c r="J215" s="553">
        <v>222.60001</v>
      </c>
      <c r="K215" s="553">
        <v>269.5</v>
      </c>
      <c r="L215" s="553">
        <v>247.89999</v>
      </c>
      <c r="M215" s="553">
        <v>200.3</v>
      </c>
      <c r="N215" s="553">
        <v>249.7</v>
      </c>
      <c r="O215" s="553">
        <v>219.10001</v>
      </c>
      <c r="P215" s="553">
        <v>124.5</v>
      </c>
      <c r="Q215" s="553">
        <v>278.60001</v>
      </c>
      <c r="R215" s="553">
        <v>190.10001</v>
      </c>
      <c r="S215" s="553">
        <v>280.29998999999998</v>
      </c>
      <c r="T215" s="553">
        <v>134.5</v>
      </c>
      <c r="U215" s="553">
        <v>73.7</v>
      </c>
      <c r="V215" s="553">
        <v>80.099999999999994</v>
      </c>
      <c r="W215" s="553">
        <v>220.8</v>
      </c>
      <c r="X215" s="553">
        <v>252.8</v>
      </c>
      <c r="Y215" s="553">
        <v>140.19999999999999</v>
      </c>
      <c r="Z215" s="553">
        <v>213.3</v>
      </c>
      <c r="AA215" s="553">
        <v>189.39999</v>
      </c>
      <c r="AB215" s="553">
        <v>307.60001</v>
      </c>
      <c r="AC215" s="553">
        <v>285</v>
      </c>
      <c r="AD215" s="553">
        <v>272.5</v>
      </c>
      <c r="AE215" s="553">
        <v>167.2</v>
      </c>
      <c r="AF215" s="553">
        <v>207.10001</v>
      </c>
      <c r="AG215" s="553">
        <v>252.2</v>
      </c>
      <c r="AH215" s="553">
        <v>256.39999</v>
      </c>
      <c r="AI215" s="554">
        <v>6440.5999899999997</v>
      </c>
    </row>
    <row r="216" spans="2:36" x14ac:dyDescent="0.25">
      <c r="B216" s="21" t="s">
        <v>19</v>
      </c>
      <c r="C216" s="1" t="s">
        <v>6</v>
      </c>
      <c r="D216" s="553">
        <v>160.80000000000001</v>
      </c>
      <c r="E216" s="553">
        <v>171.89999</v>
      </c>
      <c r="F216" s="553">
        <v>189.3</v>
      </c>
      <c r="G216" s="553">
        <v>172.10001</v>
      </c>
      <c r="H216" s="553">
        <v>222.10001</v>
      </c>
      <c r="I216" s="553">
        <v>183.8</v>
      </c>
      <c r="J216" s="553">
        <v>220.7</v>
      </c>
      <c r="K216" s="553">
        <v>274.39999</v>
      </c>
      <c r="L216" s="553">
        <v>252.39999</v>
      </c>
      <c r="M216" s="553">
        <v>198</v>
      </c>
      <c r="N216" s="553">
        <v>254.60001</v>
      </c>
      <c r="O216" s="553">
        <v>224.2</v>
      </c>
      <c r="P216" s="553">
        <v>114</v>
      </c>
      <c r="Q216" s="553">
        <v>279.70001000000002</v>
      </c>
      <c r="R216" s="553">
        <v>190.7</v>
      </c>
      <c r="S216" s="553">
        <v>283.89999</v>
      </c>
      <c r="T216" s="553">
        <v>123.2</v>
      </c>
      <c r="U216" s="553">
        <v>65.8</v>
      </c>
      <c r="V216" s="553">
        <v>76.8</v>
      </c>
      <c r="W216" s="553">
        <v>222.7</v>
      </c>
      <c r="X216" s="553">
        <v>255.10001</v>
      </c>
      <c r="Y216" s="553">
        <v>139.80000000000001</v>
      </c>
      <c r="Z216" s="553">
        <v>214.8</v>
      </c>
      <c r="AA216" s="553">
        <v>191.39999</v>
      </c>
      <c r="AB216" s="553">
        <v>304.89999</v>
      </c>
      <c r="AC216" s="553">
        <v>284.60001</v>
      </c>
      <c r="AD216" s="553">
        <v>270.79998999999998</v>
      </c>
      <c r="AE216" s="553">
        <v>166.39999</v>
      </c>
      <c r="AF216" s="553">
        <v>206.2</v>
      </c>
      <c r="AG216" s="553">
        <v>251.5</v>
      </c>
      <c r="AH216" s="553">
        <v>257.20001000000002</v>
      </c>
      <c r="AI216" s="554">
        <v>6423.7999899999995</v>
      </c>
    </row>
    <row r="217" spans="2:36" x14ac:dyDescent="0.25">
      <c r="B217" s="21" t="s">
        <v>20</v>
      </c>
      <c r="C217" s="1" t="s">
        <v>6</v>
      </c>
      <c r="D217" s="553">
        <v>162.89999</v>
      </c>
      <c r="E217" s="553">
        <v>174.5</v>
      </c>
      <c r="F217" s="553">
        <v>191.39999</v>
      </c>
      <c r="G217" s="553">
        <v>175.2</v>
      </c>
      <c r="H217" s="553">
        <v>224.3</v>
      </c>
      <c r="I217" s="553">
        <v>185.10001</v>
      </c>
      <c r="J217" s="553">
        <v>223.5</v>
      </c>
      <c r="K217" s="553">
        <v>274.79998999999998</v>
      </c>
      <c r="L217" s="553">
        <v>251.39999</v>
      </c>
      <c r="M217" s="553">
        <v>198.60001</v>
      </c>
      <c r="N217" s="553">
        <v>250.8</v>
      </c>
      <c r="O217" s="553">
        <v>225</v>
      </c>
      <c r="P217" s="553">
        <v>113.2</v>
      </c>
      <c r="Q217" s="553">
        <v>275.70001000000002</v>
      </c>
      <c r="R217" s="553">
        <v>190.2</v>
      </c>
      <c r="S217" s="553">
        <v>282.29998999999998</v>
      </c>
      <c r="T217" s="553">
        <v>122.7</v>
      </c>
      <c r="U217" s="553">
        <v>64.599999999999994</v>
      </c>
      <c r="V217" s="553">
        <v>75.7</v>
      </c>
      <c r="W217" s="553">
        <v>221.7</v>
      </c>
      <c r="X217" s="553">
        <v>253.89999</v>
      </c>
      <c r="Y217" s="553">
        <v>140</v>
      </c>
      <c r="Z217" s="553">
        <v>215.8</v>
      </c>
      <c r="AA217" s="553">
        <v>191.89999</v>
      </c>
      <c r="AB217" s="553">
        <v>301</v>
      </c>
      <c r="AC217" s="553">
        <v>280.20001000000002</v>
      </c>
      <c r="AD217" s="553">
        <v>272.5</v>
      </c>
      <c r="AE217" s="553">
        <v>165.89999</v>
      </c>
      <c r="AF217" s="553">
        <v>206.5</v>
      </c>
      <c r="AG217" s="553">
        <v>246.60001</v>
      </c>
      <c r="AH217" s="553">
        <v>256.70001000000002</v>
      </c>
      <c r="AI217" s="554">
        <v>6414.5999799999991</v>
      </c>
    </row>
    <row r="218" spans="2:36" x14ac:dyDescent="0.25">
      <c r="B218" s="21" t="s">
        <v>21</v>
      </c>
      <c r="C218" s="1" t="s">
        <v>6</v>
      </c>
      <c r="D218" s="553">
        <v>157.69999999999999</v>
      </c>
      <c r="E218" s="553">
        <v>169.3</v>
      </c>
      <c r="F218" s="553">
        <v>184.2</v>
      </c>
      <c r="G218" s="553">
        <v>168.39999</v>
      </c>
      <c r="H218" s="553">
        <v>231.89999</v>
      </c>
      <c r="I218" s="553">
        <v>188.10001</v>
      </c>
      <c r="J218" s="553">
        <v>222.39999</v>
      </c>
      <c r="K218" s="553">
        <v>274.60001</v>
      </c>
      <c r="L218" s="553">
        <v>245</v>
      </c>
      <c r="M218" s="553">
        <v>190.7</v>
      </c>
      <c r="N218" s="553">
        <v>252.89999</v>
      </c>
      <c r="O218" s="553">
        <v>216.5</v>
      </c>
      <c r="P218" s="553">
        <v>110.4</v>
      </c>
      <c r="Q218" s="553">
        <v>271.29998999999998</v>
      </c>
      <c r="R218" s="553">
        <v>184.7</v>
      </c>
      <c r="S218" s="553">
        <v>278.29998999999998</v>
      </c>
      <c r="T218" s="553">
        <v>120.2</v>
      </c>
      <c r="U218" s="553">
        <v>63.5</v>
      </c>
      <c r="V218" s="553">
        <v>73.5</v>
      </c>
      <c r="W218" s="553">
        <v>206.2</v>
      </c>
      <c r="X218" s="553">
        <v>246.5</v>
      </c>
      <c r="Y218" s="553">
        <v>130</v>
      </c>
      <c r="Z218" s="553">
        <v>196.39999</v>
      </c>
      <c r="AA218" s="553">
        <v>155.89999</v>
      </c>
      <c r="AB218" s="553">
        <v>246</v>
      </c>
      <c r="AC218" s="553">
        <v>253.5</v>
      </c>
      <c r="AD218" s="553">
        <v>243.2</v>
      </c>
      <c r="AE218" s="553">
        <v>150.60001</v>
      </c>
      <c r="AF218" s="553">
        <v>195.7</v>
      </c>
      <c r="AG218" s="553">
        <v>231</v>
      </c>
      <c r="AH218" s="553">
        <v>246.10001</v>
      </c>
      <c r="AI218" s="554">
        <v>6104.6999599999999</v>
      </c>
    </row>
    <row r="219" spans="2:36" x14ac:dyDescent="0.25">
      <c r="B219" s="21" t="s">
        <v>22</v>
      </c>
      <c r="C219" s="1" t="s">
        <v>6</v>
      </c>
      <c r="D219" s="553">
        <v>150.19999999999999</v>
      </c>
      <c r="E219" s="553">
        <v>162.10001</v>
      </c>
      <c r="F219" s="553">
        <v>174.10001</v>
      </c>
      <c r="G219" s="553">
        <v>160.19999999999999</v>
      </c>
      <c r="H219" s="553">
        <v>224.2</v>
      </c>
      <c r="I219" s="553">
        <v>185.60001</v>
      </c>
      <c r="J219" s="553">
        <v>214.60001</v>
      </c>
      <c r="K219" s="553">
        <v>264.20001000000002</v>
      </c>
      <c r="L219" s="553">
        <v>237.5</v>
      </c>
      <c r="M219" s="553">
        <v>182.10001</v>
      </c>
      <c r="N219" s="553">
        <v>248.3</v>
      </c>
      <c r="O219" s="553">
        <v>207.5</v>
      </c>
      <c r="P219" s="553">
        <v>108</v>
      </c>
      <c r="Q219" s="553">
        <v>262.70001000000002</v>
      </c>
      <c r="R219" s="553">
        <v>181.2</v>
      </c>
      <c r="S219" s="553">
        <v>269.79998999999998</v>
      </c>
      <c r="T219" s="553">
        <v>118.6</v>
      </c>
      <c r="U219" s="553">
        <v>63.4</v>
      </c>
      <c r="V219" s="553">
        <v>72.3</v>
      </c>
      <c r="W219" s="553">
        <v>200</v>
      </c>
      <c r="X219" s="553">
        <v>235.5</v>
      </c>
      <c r="Y219" s="553">
        <v>121.3</v>
      </c>
      <c r="Z219" s="553">
        <v>184.8</v>
      </c>
      <c r="AA219" s="553">
        <v>140.60001</v>
      </c>
      <c r="AB219" s="553">
        <v>241.60001</v>
      </c>
      <c r="AC219" s="553">
        <v>243.3</v>
      </c>
      <c r="AD219" s="553">
        <v>234.89999</v>
      </c>
      <c r="AE219" s="553">
        <v>145.39999</v>
      </c>
      <c r="AF219" s="553">
        <v>189.8</v>
      </c>
      <c r="AG219" s="553">
        <v>224.89999</v>
      </c>
      <c r="AH219" s="553">
        <v>240.10001</v>
      </c>
      <c r="AI219" s="554">
        <v>5888.8000600000005</v>
      </c>
    </row>
    <row r="220" spans="2:36" x14ac:dyDescent="0.25">
      <c r="B220" s="21" t="s">
        <v>23</v>
      </c>
      <c r="C220" s="1" t="s">
        <v>6</v>
      </c>
      <c r="D220" s="553">
        <v>153.69999999999999</v>
      </c>
      <c r="E220" s="553">
        <v>173.3</v>
      </c>
      <c r="F220" s="553">
        <v>179.5</v>
      </c>
      <c r="G220" s="553">
        <v>170.5</v>
      </c>
      <c r="H220" s="553">
        <v>240</v>
      </c>
      <c r="I220" s="553">
        <v>189.89999</v>
      </c>
      <c r="J220" s="553">
        <v>222.5</v>
      </c>
      <c r="K220" s="553">
        <v>284.39999</v>
      </c>
      <c r="L220" s="553">
        <v>257.20001000000002</v>
      </c>
      <c r="M220" s="553">
        <v>197.3</v>
      </c>
      <c r="N220" s="553">
        <v>268.89999</v>
      </c>
      <c r="O220" s="553">
        <v>224.5</v>
      </c>
      <c r="P220" s="553">
        <v>110.4</v>
      </c>
      <c r="Q220" s="553">
        <v>285.20001000000002</v>
      </c>
      <c r="R220" s="553">
        <v>196.3</v>
      </c>
      <c r="S220" s="553">
        <v>291.79998999999998</v>
      </c>
      <c r="T220" s="553">
        <v>124.9</v>
      </c>
      <c r="U220" s="553">
        <v>69.5</v>
      </c>
      <c r="V220" s="553">
        <v>76.900000000000006</v>
      </c>
      <c r="W220" s="553">
        <v>217.10001</v>
      </c>
      <c r="X220" s="553">
        <v>256.60001</v>
      </c>
      <c r="Y220" s="553">
        <v>122.9</v>
      </c>
      <c r="Z220" s="553">
        <v>196.60001</v>
      </c>
      <c r="AA220" s="553">
        <v>175.3</v>
      </c>
      <c r="AB220" s="553">
        <v>284.79998999999998</v>
      </c>
      <c r="AC220" s="553">
        <v>278.10001</v>
      </c>
      <c r="AD220" s="553">
        <v>261.29998999999998</v>
      </c>
      <c r="AE220" s="553">
        <v>152.60001</v>
      </c>
      <c r="AF220" s="553">
        <v>200.8</v>
      </c>
      <c r="AG220" s="553">
        <v>247.8</v>
      </c>
      <c r="AH220" s="553">
        <v>256.89999</v>
      </c>
      <c r="AI220" s="554">
        <v>6367.5</v>
      </c>
    </row>
    <row r="221" spans="2:36" x14ac:dyDescent="0.25">
      <c r="B221" s="21" t="s">
        <v>37</v>
      </c>
      <c r="C221" s="1" t="s">
        <v>6</v>
      </c>
      <c r="D221" s="553">
        <v>179.3</v>
      </c>
      <c r="E221" s="553">
        <v>188.60001</v>
      </c>
      <c r="F221" s="553">
        <v>261.20001000000002</v>
      </c>
      <c r="G221" s="553">
        <v>190.89999</v>
      </c>
      <c r="H221" s="553">
        <v>245</v>
      </c>
      <c r="I221" s="553">
        <v>253.7</v>
      </c>
      <c r="J221" s="553">
        <v>307.89999</v>
      </c>
      <c r="K221" s="553">
        <v>304.39999</v>
      </c>
      <c r="L221" s="553">
        <v>277.79998999999998</v>
      </c>
      <c r="M221" s="553">
        <v>223.89999</v>
      </c>
      <c r="N221" s="553">
        <v>271.89999</v>
      </c>
      <c r="O221" s="553">
        <v>240.8</v>
      </c>
      <c r="P221" s="553">
        <v>200.8</v>
      </c>
      <c r="Q221" s="553">
        <v>308.89999</v>
      </c>
      <c r="R221" s="553">
        <v>215.3</v>
      </c>
      <c r="S221" s="553">
        <v>304.89999</v>
      </c>
      <c r="T221" s="553">
        <v>196.89999</v>
      </c>
      <c r="U221" s="553">
        <v>94</v>
      </c>
      <c r="V221" s="553">
        <v>90.7</v>
      </c>
      <c r="W221" s="553">
        <v>235.7</v>
      </c>
      <c r="X221" s="553">
        <v>277.29998999999998</v>
      </c>
      <c r="Y221" s="553">
        <v>262.20001000000002</v>
      </c>
      <c r="Z221" s="553">
        <v>232.10001</v>
      </c>
      <c r="AA221" s="553">
        <v>226.7</v>
      </c>
      <c r="AB221" s="553">
        <v>339.79998999999998</v>
      </c>
      <c r="AC221" s="553">
        <v>327.70001000000002</v>
      </c>
      <c r="AD221" s="553">
        <v>308.10001</v>
      </c>
      <c r="AE221" s="553">
        <v>278.39999</v>
      </c>
      <c r="AF221" s="553">
        <v>272.60001</v>
      </c>
      <c r="AG221" s="553">
        <v>282</v>
      </c>
      <c r="AH221" s="553">
        <v>292.39999</v>
      </c>
      <c r="AI221" s="554">
        <v>7691.8999400000012</v>
      </c>
    </row>
    <row r="222" spans="2:36" x14ac:dyDescent="0.25">
      <c r="B222" s="21" t="s">
        <v>38</v>
      </c>
      <c r="C222" s="1" t="s">
        <v>6</v>
      </c>
      <c r="D222" s="553">
        <v>168.39999</v>
      </c>
      <c r="E222" s="553">
        <v>179.10001</v>
      </c>
      <c r="F222" s="553">
        <v>198.10001</v>
      </c>
      <c r="G222" s="553">
        <v>181.8</v>
      </c>
      <c r="H222" s="553">
        <v>126.1</v>
      </c>
      <c r="I222" s="553">
        <v>238.89999</v>
      </c>
      <c r="J222" s="553">
        <v>217.39999</v>
      </c>
      <c r="K222" s="553">
        <v>288</v>
      </c>
      <c r="L222" s="553">
        <v>261.60001</v>
      </c>
      <c r="M222" s="553">
        <v>206.89999</v>
      </c>
      <c r="N222" s="553">
        <v>252</v>
      </c>
      <c r="O222" s="553">
        <v>227.60001</v>
      </c>
      <c r="P222" s="553">
        <v>130</v>
      </c>
      <c r="Q222" s="553">
        <v>291.29998999999998</v>
      </c>
      <c r="R222" s="553">
        <v>199.39999</v>
      </c>
      <c r="S222" s="553">
        <v>287.20001000000002</v>
      </c>
      <c r="T222" s="553">
        <v>137.39999</v>
      </c>
      <c r="U222" s="553">
        <v>73.5</v>
      </c>
      <c r="V222" s="553">
        <v>84.4</v>
      </c>
      <c r="W222" s="553">
        <v>222.10001</v>
      </c>
      <c r="X222" s="553">
        <v>262.60001</v>
      </c>
      <c r="Y222" s="553">
        <v>147.89999</v>
      </c>
      <c r="Z222" s="553">
        <v>206</v>
      </c>
      <c r="AA222" s="553">
        <v>205.2</v>
      </c>
      <c r="AB222" s="553">
        <v>316</v>
      </c>
      <c r="AC222" s="553">
        <v>305.60001</v>
      </c>
      <c r="AD222" s="553">
        <v>235.39999</v>
      </c>
      <c r="AE222" s="553">
        <v>106.9</v>
      </c>
      <c r="AF222" s="553">
        <v>110.1</v>
      </c>
      <c r="AG222" s="553">
        <v>259</v>
      </c>
      <c r="AH222" s="553">
        <v>194.8</v>
      </c>
      <c r="AI222" s="554">
        <v>6320.6999900000001</v>
      </c>
    </row>
    <row r="223" spans="2:36" x14ac:dyDescent="0.25">
      <c r="B223" s="21" t="s">
        <v>39</v>
      </c>
      <c r="C223" s="1" t="s">
        <v>6</v>
      </c>
      <c r="D223" s="553">
        <v>178.8</v>
      </c>
      <c r="E223" s="553">
        <v>191.5</v>
      </c>
      <c r="F223" s="553">
        <v>207.7</v>
      </c>
      <c r="G223" s="553">
        <v>194.8</v>
      </c>
      <c r="H223" s="553">
        <v>250.5</v>
      </c>
      <c r="I223" s="553">
        <v>196.60001</v>
      </c>
      <c r="J223" s="553">
        <v>246.8</v>
      </c>
      <c r="K223" s="553">
        <v>310.89999</v>
      </c>
      <c r="L223" s="553">
        <v>283.39999</v>
      </c>
      <c r="M223" s="553">
        <v>222.89999</v>
      </c>
      <c r="N223" s="553">
        <v>275.70001000000002</v>
      </c>
      <c r="O223" s="553">
        <v>245.10001</v>
      </c>
      <c r="P223" s="553">
        <v>131.19999999999999</v>
      </c>
      <c r="Q223" s="553">
        <v>317.29998999999998</v>
      </c>
      <c r="R223" s="553">
        <v>213.5</v>
      </c>
      <c r="S223" s="553">
        <v>312</v>
      </c>
      <c r="T223" s="553">
        <v>142.30000000000001</v>
      </c>
      <c r="U223" s="553">
        <v>77</v>
      </c>
      <c r="V223" s="553">
        <v>86.2</v>
      </c>
      <c r="W223" s="553">
        <v>239.2</v>
      </c>
      <c r="X223" s="553">
        <v>282.5</v>
      </c>
      <c r="Y223" s="553">
        <v>159.19999999999999</v>
      </c>
      <c r="Z223" s="553">
        <v>237.10001</v>
      </c>
      <c r="AA223" s="553">
        <v>232.2</v>
      </c>
      <c r="AB223" s="553">
        <v>346.79998999999998</v>
      </c>
      <c r="AC223" s="553">
        <v>335.20001000000002</v>
      </c>
      <c r="AD223" s="553">
        <v>319.10001</v>
      </c>
      <c r="AE223" s="553">
        <v>193.3</v>
      </c>
      <c r="AF223" s="553">
        <v>224.39999</v>
      </c>
      <c r="AG223" s="553">
        <v>287.79998999999998</v>
      </c>
      <c r="AH223" s="553">
        <v>298.39999</v>
      </c>
      <c r="AI223" s="554">
        <v>7239.3999800000001</v>
      </c>
    </row>
    <row r="224" spans="2:36" x14ac:dyDescent="0.25">
      <c r="B224" s="21" t="s">
        <v>305</v>
      </c>
      <c r="C224" s="1" t="s">
        <v>6</v>
      </c>
      <c r="D224" s="553">
        <v>177.89999</v>
      </c>
      <c r="E224" s="553">
        <v>172.39999</v>
      </c>
      <c r="F224" s="553">
        <v>201.39999</v>
      </c>
      <c r="G224" s="553">
        <v>176.3</v>
      </c>
      <c r="H224" s="553">
        <v>231.8</v>
      </c>
      <c r="I224" s="553">
        <v>195.39999</v>
      </c>
      <c r="J224" s="553">
        <v>229.7</v>
      </c>
      <c r="K224" s="553">
        <v>284</v>
      </c>
      <c r="L224" s="553">
        <v>258.79998999999998</v>
      </c>
      <c r="M224" s="553">
        <v>194.2</v>
      </c>
      <c r="N224" s="553">
        <v>257</v>
      </c>
      <c r="O224" s="553">
        <v>216.2</v>
      </c>
      <c r="P224" s="553">
        <v>126.4</v>
      </c>
      <c r="Q224" s="553">
        <v>288.79998999999998</v>
      </c>
      <c r="R224" s="553">
        <v>186.89999</v>
      </c>
      <c r="S224" s="553">
        <v>280.60001</v>
      </c>
      <c r="T224" s="553">
        <v>134.30000000000001</v>
      </c>
      <c r="U224" s="553">
        <v>68.8</v>
      </c>
      <c r="V224" s="553">
        <v>71.900000000000006</v>
      </c>
      <c r="W224" s="553">
        <v>208.10001</v>
      </c>
      <c r="X224" s="553">
        <v>253.7</v>
      </c>
      <c r="Y224" s="553">
        <v>141.30000000000001</v>
      </c>
      <c r="Z224" s="553">
        <v>204.89999</v>
      </c>
      <c r="AA224" s="553">
        <v>190.39999</v>
      </c>
      <c r="AB224" s="553">
        <v>296.10001</v>
      </c>
      <c r="AC224" s="553">
        <v>288.60001</v>
      </c>
      <c r="AD224" s="553">
        <v>275.70001000000002</v>
      </c>
      <c r="AE224" s="553">
        <v>162.30000000000001</v>
      </c>
      <c r="AF224" s="553">
        <v>217.60001</v>
      </c>
      <c r="AG224" s="553">
        <v>255.7</v>
      </c>
      <c r="AH224" s="553">
        <v>262.29998999999998</v>
      </c>
      <c r="AI224" s="554">
        <v>6509.499960000001</v>
      </c>
      <c r="AJ224" s="465">
        <v>142999.99978000001</v>
      </c>
    </row>
    <row r="225" spans="2:36" x14ac:dyDescent="0.25">
      <c r="B225" s="21" t="s">
        <v>24</v>
      </c>
      <c r="C225" s="1" t="s">
        <v>6</v>
      </c>
      <c r="D225" s="531">
        <v>3688.0000000001019</v>
      </c>
      <c r="E225" s="531">
        <v>3800</v>
      </c>
      <c r="F225" s="531">
        <v>4304.0000000000873</v>
      </c>
      <c r="G225" s="531">
        <v>3819.999999999709</v>
      </c>
      <c r="H225" s="531">
        <v>4868.4000000000287</v>
      </c>
      <c r="I225" s="531">
        <v>4260.0000000002183</v>
      </c>
      <c r="J225" s="531">
        <v>5036.0000000000582</v>
      </c>
      <c r="K225" s="531">
        <v>6047.9999999999563</v>
      </c>
      <c r="L225" s="531">
        <v>5555.9999999997672</v>
      </c>
      <c r="M225" s="531">
        <v>4400</v>
      </c>
      <c r="N225" s="531">
        <v>5508.0000000001746</v>
      </c>
      <c r="O225" s="531">
        <v>4868.0000000000291</v>
      </c>
      <c r="P225" s="531">
        <v>2788.0000000001019</v>
      </c>
      <c r="Q225" s="531">
        <v>6147.9999999999563</v>
      </c>
      <c r="R225" s="531">
        <v>4236.0000000000582</v>
      </c>
      <c r="S225" s="531">
        <v>6195.9999999999127</v>
      </c>
      <c r="T225" s="531">
        <v>2943.999999999869</v>
      </c>
      <c r="U225" s="531">
        <v>1608.0000000001746</v>
      </c>
      <c r="V225" s="531">
        <v>1771.9999999997526</v>
      </c>
      <c r="W225" s="531">
        <v>4836.0000000000582</v>
      </c>
      <c r="X225" s="531">
        <v>5560.0000000002183</v>
      </c>
      <c r="Y225" s="531">
        <v>3303.9999999997235</v>
      </c>
      <c r="Z225" s="531">
        <v>4652.0000000000437</v>
      </c>
      <c r="AA225" s="531">
        <v>4256.000000000131</v>
      </c>
      <c r="AB225" s="531">
        <v>6623.9999999997963</v>
      </c>
      <c r="AC225" s="531">
        <v>6320.0000000000728</v>
      </c>
      <c r="AD225" s="531">
        <v>5960.0000000002183</v>
      </c>
      <c r="AE225" s="531">
        <v>3927.9999999998836</v>
      </c>
      <c r="AF225" s="531">
        <v>4572.0000000001164</v>
      </c>
      <c r="AG225" s="531">
        <v>5539.9999999997817</v>
      </c>
      <c r="AH225" s="531">
        <v>5611.9999999998981</v>
      </c>
      <c r="AI225" s="554">
        <v>143012.39999999991</v>
      </c>
    </row>
    <row r="226" spans="2:36" x14ac:dyDescent="0.25">
      <c r="B226" s="21" t="s">
        <v>25</v>
      </c>
      <c r="C226" s="1" t="s">
        <v>26</v>
      </c>
      <c r="D226" s="237">
        <v>5.6885057704661692</v>
      </c>
      <c r="E226" s="237">
        <v>4.3035066207989487</v>
      </c>
      <c r="F226" s="237">
        <v>6.130200164083174</v>
      </c>
      <c r="G226" s="237">
        <v>4.3030473609063415</v>
      </c>
      <c r="H226" s="237">
        <v>5.6257500417412816</v>
      </c>
      <c r="I226" s="237">
        <v>5.6593195330265189</v>
      </c>
      <c r="J226" s="237">
        <v>6.9254135489396447</v>
      </c>
      <c r="K226" s="237">
        <v>6.9616208779730879</v>
      </c>
      <c r="L226" s="237">
        <v>6.2814278760036579</v>
      </c>
      <c r="M226" s="237">
        <v>5.6491443075965506</v>
      </c>
      <c r="N226" s="237">
        <v>6.2610199843247925</v>
      </c>
      <c r="O226" s="237">
        <v>5.5096813422022093</v>
      </c>
      <c r="P226" s="237">
        <v>4.6892865414645026</v>
      </c>
      <c r="Q226" s="237">
        <v>7.0776184505725706</v>
      </c>
      <c r="R226" s="237">
        <v>4.959455086721702</v>
      </c>
      <c r="S226" s="237">
        <v>7.1409518208916456</v>
      </c>
      <c r="T226" s="237">
        <v>4.5469841177889041</v>
      </c>
      <c r="U226" s="237">
        <v>2.3253374083545237</v>
      </c>
      <c r="V226" s="237">
        <v>1.9089721375246584</v>
      </c>
      <c r="W226" s="237">
        <v>5.3824084007156561</v>
      </c>
      <c r="X226" s="237">
        <v>6.2279887347427776</v>
      </c>
      <c r="Y226" s="237">
        <v>7.2913614500638015</v>
      </c>
      <c r="Z226" s="237">
        <v>5.3063152426186502</v>
      </c>
      <c r="AA226" s="237">
        <v>6.1996810096666746</v>
      </c>
      <c r="AB226" s="237">
        <v>7.9278707892966356</v>
      </c>
      <c r="AC226" s="237">
        <v>7.3901639046925665</v>
      </c>
      <c r="AD226" s="237">
        <v>7.1727424474999948</v>
      </c>
      <c r="AE226" s="237">
        <v>6.508753362903966</v>
      </c>
      <c r="AF226" s="237">
        <v>6.29924831007063</v>
      </c>
      <c r="AG226" s="237">
        <v>6.4207088884999983</v>
      </c>
      <c r="AH226" s="237">
        <v>6.7232804020499106</v>
      </c>
      <c r="AI226" s="234">
        <v>5.832185997877489</v>
      </c>
    </row>
    <row r="227" spans="2:36" x14ac:dyDescent="0.25">
      <c r="B227" s="21" t="s">
        <v>27</v>
      </c>
      <c r="C227" s="1" t="s">
        <v>6</v>
      </c>
      <c r="D227" s="553">
        <v>663917.29999999085</v>
      </c>
      <c r="E227" s="553">
        <v>157520.00000000116</v>
      </c>
      <c r="F227" s="553">
        <v>98293.000000013824</v>
      </c>
      <c r="G227" s="553">
        <v>157960.00000001368</v>
      </c>
      <c r="H227" s="553">
        <v>133052.00000000841</v>
      </c>
      <c r="I227" s="553">
        <v>63639.300000006508</v>
      </c>
      <c r="J227" s="553">
        <v>15291.900000000052</v>
      </c>
      <c r="K227" s="553">
        <v>143219.99999999133</v>
      </c>
      <c r="L227" s="553">
        <v>156167.99999999348</v>
      </c>
      <c r="M227" s="553">
        <v>109308.09999999744</v>
      </c>
      <c r="N227" s="553">
        <v>157632.00000001088</v>
      </c>
      <c r="O227" s="553">
        <v>158503.99999999863</v>
      </c>
      <c r="P227" s="553">
        <v>58384.900000007547</v>
      </c>
      <c r="Q227" s="553">
        <v>103251.99999999204</v>
      </c>
      <c r="R227" s="553">
        <v>4236.0000000000582</v>
      </c>
      <c r="S227" s="553">
        <v>125728.00000000643</v>
      </c>
      <c r="T227" s="553">
        <v>14006.69999998869</v>
      </c>
      <c r="U227" s="553">
        <v>12190.500000002736</v>
      </c>
      <c r="V227" s="553">
        <v>34447.000000006505</v>
      </c>
      <c r="W227" s="553">
        <v>154463.99999999703</v>
      </c>
      <c r="X227" s="553">
        <v>156171.99999999395</v>
      </c>
      <c r="Y227" s="553">
        <v>67052.299999993673</v>
      </c>
      <c r="Z227" s="553">
        <v>150728.00000000099</v>
      </c>
      <c r="AA227" s="553">
        <v>153524.00000001106</v>
      </c>
      <c r="AB227" s="553">
        <v>155471.99999999793</v>
      </c>
      <c r="AC227" s="553">
        <v>159955.99999999866</v>
      </c>
      <c r="AD227" s="553">
        <v>151193.30000000464</v>
      </c>
      <c r="AE227" s="553">
        <v>3922.5999999998894</v>
      </c>
      <c r="AF227" s="553">
        <v>53281.400000001275</v>
      </c>
      <c r="AG227" s="553">
        <v>138847.99999998976</v>
      </c>
      <c r="AH227" s="553">
        <v>145471.99999998591</v>
      </c>
      <c r="AI227" s="3">
        <v>124414.07419354857</v>
      </c>
    </row>
    <row r="228" spans="2:36" ht="15.75" x14ac:dyDescent="0.25">
      <c r="B228" s="25" t="s">
        <v>28</v>
      </c>
      <c r="C228" s="1" t="s">
        <v>0</v>
      </c>
      <c r="D228" s="555">
        <v>0.17333184188463027</v>
      </c>
      <c r="E228" s="555">
        <v>0.13224002425768722</v>
      </c>
      <c r="F228" s="555">
        <v>0.18808278311244064</v>
      </c>
      <c r="G228" s="555">
        <v>0.1321573327200343</v>
      </c>
      <c r="H228" s="555">
        <v>0.17413855023922198</v>
      </c>
      <c r="I228" s="555">
        <v>0.17746003917234052</v>
      </c>
      <c r="J228" s="555">
        <v>0.2169052544011654</v>
      </c>
      <c r="K228" s="555">
        <v>0.21171578772130048</v>
      </c>
      <c r="L228" s="555">
        <v>0.19208253158270192</v>
      </c>
      <c r="M228" s="555">
        <v>0.17615749214604495</v>
      </c>
      <c r="N228" s="555">
        <v>0.19256307547266063</v>
      </c>
      <c r="O228" s="555">
        <v>0.17052268890699129</v>
      </c>
      <c r="P228" s="555">
        <v>0.14834069553464593</v>
      </c>
      <c r="Q228" s="555">
        <v>0.21570115340899923</v>
      </c>
      <c r="R228" s="555">
        <v>0.15351998930584249</v>
      </c>
      <c r="S228" s="555">
        <v>0.21754788169889352</v>
      </c>
      <c r="T228" s="555">
        <v>0.13894218102134745</v>
      </c>
      <c r="U228" s="555">
        <v>7.3104389908957582E-2</v>
      </c>
      <c r="V228" s="555">
        <v>6.1934252121243615E-2</v>
      </c>
      <c r="W228" s="555">
        <v>0.16866011326946972</v>
      </c>
      <c r="X228" s="555">
        <v>0.19523272441967846</v>
      </c>
      <c r="Y228" s="555">
        <v>0.22843650889582545</v>
      </c>
      <c r="Z228" s="555">
        <v>0.16456725518828455</v>
      </c>
      <c r="AA228" s="555">
        <v>0.18932179097674606</v>
      </c>
      <c r="AB228" s="555">
        <v>0.24054951990381765</v>
      </c>
      <c r="AC228" s="555">
        <v>0.22699901760639096</v>
      </c>
      <c r="AD228" s="555">
        <v>0.2168819817628341</v>
      </c>
      <c r="AE228" s="555">
        <v>0.19865777019265665</v>
      </c>
      <c r="AF228" s="555">
        <v>0.19386102033424271</v>
      </c>
      <c r="AG228" s="555">
        <v>0.19658098750925926</v>
      </c>
      <c r="AH228" s="555">
        <v>0.20317682453861288</v>
      </c>
      <c r="AI228" s="49">
        <v>0.17770552238688767</v>
      </c>
    </row>
    <row r="229" spans="2:36" x14ac:dyDescent="0.25">
      <c r="B229" s="25" t="s">
        <v>35</v>
      </c>
      <c r="C229" s="1" t="s">
        <v>0</v>
      </c>
      <c r="D229" s="547">
        <v>0.12318956763401546</v>
      </c>
      <c r="E229" s="547">
        <v>0.12693068248623804</v>
      </c>
      <c r="F229" s="547">
        <v>0.14376569932125779</v>
      </c>
      <c r="G229" s="547">
        <v>0.12759873870984009</v>
      </c>
      <c r="H229" s="547">
        <v>0.16261824595158023</v>
      </c>
      <c r="I229" s="547">
        <v>0.14229597562931626</v>
      </c>
      <c r="J229" s="547">
        <v>0.16821655710544792</v>
      </c>
      <c r="K229" s="547">
        <v>0.20202020202020055</v>
      </c>
      <c r="L229" s="547">
        <v>0.18558601891934445</v>
      </c>
      <c r="M229" s="547">
        <v>0.14697236919459142</v>
      </c>
      <c r="N229" s="547">
        <v>0.1839826839826898</v>
      </c>
      <c r="O229" s="547">
        <v>0.16260488482710803</v>
      </c>
      <c r="P229" s="547">
        <v>9.3127037571485424E-2</v>
      </c>
      <c r="Q229" s="547">
        <v>0.20536048313825947</v>
      </c>
      <c r="R229" s="547">
        <v>0.14149430816097677</v>
      </c>
      <c r="S229" s="547">
        <v>0.20696381807492625</v>
      </c>
      <c r="T229" s="547">
        <v>9.8337876115649522E-2</v>
      </c>
      <c r="U229" s="547">
        <v>5.371172037839287E-2</v>
      </c>
      <c r="V229" s="547">
        <v>5.9189781411995372E-2</v>
      </c>
      <c r="W229" s="547">
        <v>0.16153599486933015</v>
      </c>
      <c r="X229" s="547">
        <v>0.18571963016408188</v>
      </c>
      <c r="Y229" s="547">
        <v>0.11036288814065669</v>
      </c>
      <c r="Z229" s="547">
        <v>0.1553898776121013</v>
      </c>
      <c r="AA229" s="547">
        <v>0.14216236438459098</v>
      </c>
      <c r="AB229" s="547">
        <v>0.22126022126021441</v>
      </c>
      <c r="AC229" s="547">
        <v>0.21110576666132463</v>
      </c>
      <c r="AD229" s="547">
        <v>0.19908075463631747</v>
      </c>
      <c r="AE229" s="547">
        <v>0.13120624231734954</v>
      </c>
      <c r="AF229" s="547">
        <v>0.15271765271765661</v>
      </c>
      <c r="AG229" s="547">
        <v>0.18505157394045554</v>
      </c>
      <c r="AH229" s="547">
        <v>0.18745657634546184</v>
      </c>
      <c r="AI229" s="187"/>
    </row>
    <row r="230" spans="2:36" x14ac:dyDescent="0.25">
      <c r="B230" s="406" t="s">
        <v>113</v>
      </c>
      <c r="C230" s="1"/>
      <c r="D230" s="541">
        <v>5.0142274250614807E-2</v>
      </c>
      <c r="E230" s="541">
        <v>5.3093417714491775E-3</v>
      </c>
      <c r="F230" s="541">
        <v>4.4317083791182849E-2</v>
      </c>
      <c r="G230" s="541">
        <v>4.5585940101942057E-3</v>
      </c>
      <c r="H230" s="541">
        <v>1.1520304287641753E-2</v>
      </c>
      <c r="I230" s="541">
        <v>3.516406354302426E-2</v>
      </c>
      <c r="J230" s="541">
        <v>4.8688697295717481E-2</v>
      </c>
      <c r="K230" s="541">
        <v>9.6955857010999347E-3</v>
      </c>
      <c r="L230" s="541">
        <v>6.4965126633574621E-3</v>
      </c>
      <c r="M230" s="541">
        <v>2.9185122951453535E-2</v>
      </c>
      <c r="N230" s="541">
        <v>8.5803914899708345E-3</v>
      </c>
      <c r="O230" s="541">
        <v>7.9178040798832672E-3</v>
      </c>
      <c r="P230" s="541">
        <v>5.5213657963160509E-2</v>
      </c>
      <c r="Q230" s="541">
        <v>1.034067027073976E-2</v>
      </c>
      <c r="R230" s="541">
        <v>1.2025681144865713E-2</v>
      </c>
      <c r="S230" s="541">
        <v>1.0584063623967271E-2</v>
      </c>
      <c r="T230" s="541">
        <v>4.0604304905697927E-2</v>
      </c>
      <c r="U230" s="541">
        <v>1.9392669530564711E-2</v>
      </c>
      <c r="V230" s="541">
        <v>2.7444707092482423E-3</v>
      </c>
      <c r="W230" s="541">
        <v>7.124118400139573E-3</v>
      </c>
      <c r="X230" s="541">
        <v>9.5130942555965714E-3</v>
      </c>
      <c r="Y230" s="541">
        <v>0.11807362075516876</v>
      </c>
      <c r="Z230" s="541">
        <v>9.1773775761832543E-3</v>
      </c>
      <c r="AA230" s="541">
        <v>4.7159426592155079E-2</v>
      </c>
      <c r="AB230" s="541">
        <v>1.9289298643603237E-2</v>
      </c>
      <c r="AC230" s="541">
        <v>1.5893250945066328E-2</v>
      </c>
      <c r="AD230" s="541">
        <v>1.7801227126516633E-2</v>
      </c>
      <c r="AE230" s="541">
        <v>6.7451527875307116E-2</v>
      </c>
      <c r="AF230" s="541">
        <v>4.1143367616586102E-2</v>
      </c>
      <c r="AG230" s="541">
        <v>1.1529413568803715E-2</v>
      </c>
      <c r="AH230" s="541">
        <v>1.5720248193151043E-2</v>
      </c>
      <c r="AI230" s="187"/>
    </row>
    <row r="231" spans="2:36" x14ac:dyDescent="0.25">
      <c r="B231" s="406" t="s">
        <v>29</v>
      </c>
      <c r="C231" s="1"/>
      <c r="D231" s="555"/>
      <c r="E231" s="555"/>
      <c r="F231" s="555"/>
      <c r="G231" s="555"/>
      <c r="H231" s="555"/>
      <c r="I231" s="555"/>
      <c r="J231" s="555"/>
      <c r="K231" s="555"/>
      <c r="L231" s="555"/>
      <c r="M231" s="555"/>
      <c r="N231" s="555"/>
      <c r="O231" s="555"/>
      <c r="P231" s="555"/>
      <c r="Q231" s="555"/>
      <c r="R231" s="555"/>
      <c r="S231" s="555"/>
      <c r="T231" s="555"/>
      <c r="U231" s="555"/>
      <c r="V231" s="555"/>
      <c r="W231" s="555"/>
      <c r="X231" s="555"/>
      <c r="Y231" s="555"/>
      <c r="Z231" s="555"/>
      <c r="AA231" s="555"/>
      <c r="AB231" s="555"/>
      <c r="AC231" s="555"/>
      <c r="AD231" s="555"/>
      <c r="AE231" s="555"/>
      <c r="AF231" s="555"/>
      <c r="AG231" s="555"/>
      <c r="AH231" s="555"/>
      <c r="AI231" s="187"/>
    </row>
    <row r="232" spans="2:36" x14ac:dyDescent="0.25">
      <c r="B232" s="25" t="s">
        <v>109</v>
      </c>
      <c r="C232" s="1" t="s">
        <v>59</v>
      </c>
      <c r="D232" s="554">
        <v>5189.1393496053079</v>
      </c>
      <c r="E232" s="554">
        <v>3958.9489502169372</v>
      </c>
      <c r="F232" s="554">
        <v>5630.7471277070035</v>
      </c>
      <c r="G232" s="554">
        <v>3956.4733640392992</v>
      </c>
      <c r="H232" s="554">
        <v>5213.2902616417323</v>
      </c>
      <c r="I232" s="554">
        <v>5312.7276687258618</v>
      </c>
      <c r="J232" s="554">
        <v>6493.6227441603296</v>
      </c>
      <c r="K232" s="554">
        <v>6338.2625664852058</v>
      </c>
      <c r="L232" s="554">
        <v>5750.4899975102981</v>
      </c>
      <c r="M232" s="554">
        <v>5273.7325368714355</v>
      </c>
      <c r="N232" s="554">
        <v>5764.8763282703258</v>
      </c>
      <c r="O232" s="554">
        <v>5105.0400514219427</v>
      </c>
      <c r="P232" s="554">
        <v>4440.964406638017</v>
      </c>
      <c r="Q232" s="554">
        <v>6457.5748502972565</v>
      </c>
      <c r="R232" s="554">
        <v>4596.0200318425905</v>
      </c>
      <c r="S232" s="554">
        <v>6512.8614631487953</v>
      </c>
      <c r="T232" s="554">
        <v>4159.5954385446921</v>
      </c>
      <c r="U232" s="554">
        <v>2188.5699833384087</v>
      </c>
      <c r="V232" s="554">
        <v>1854.162866304943</v>
      </c>
      <c r="W232" s="554">
        <v>5049.2790070160772</v>
      </c>
      <c r="X232" s="554">
        <v>5844.799210586566</v>
      </c>
      <c r="Y232" s="554">
        <v>6838.8408287196635</v>
      </c>
      <c r="Z232" s="554">
        <v>4926.7486589247874</v>
      </c>
      <c r="AA232" s="554">
        <v>5667.8400495454334</v>
      </c>
      <c r="AB232" s="554">
        <v>7201.4753070725319</v>
      </c>
      <c r="AC232" s="554">
        <v>6795.8057894930898</v>
      </c>
      <c r="AD232" s="554">
        <v>6492.9260172230224</v>
      </c>
      <c r="AE232" s="554">
        <v>5947.3368609196787</v>
      </c>
      <c r="AF232" s="554">
        <v>5803.7336823584255</v>
      </c>
      <c r="AG232" s="554">
        <v>5885.1629716572006</v>
      </c>
      <c r="AH232" s="554">
        <v>6082.6265023071774</v>
      </c>
      <c r="AI232" s="554">
        <v>166733.6748725941</v>
      </c>
    </row>
    <row r="233" spans="2:36" x14ac:dyDescent="0.25">
      <c r="B233" s="25" t="s">
        <v>213</v>
      </c>
      <c r="C233" s="1" t="s">
        <v>298</v>
      </c>
      <c r="D233" s="531">
        <v>36.305419642857125</v>
      </c>
      <c r="E233" s="531">
        <v>34.625218749999988</v>
      </c>
      <c r="F233" s="531">
        <v>34.939861607142859</v>
      </c>
      <c r="G233" s="531">
        <v>34.72</v>
      </c>
      <c r="H233" s="531">
        <v>33.159999999999997</v>
      </c>
      <c r="I233" s="531">
        <v>30.532044642857112</v>
      </c>
      <c r="J233" s="531">
        <v>30.770540178571412</v>
      </c>
      <c r="K233" s="531">
        <v>36.677428571428599</v>
      </c>
      <c r="L233" s="531">
        <v>35.589281249999999</v>
      </c>
      <c r="M233" s="531">
        <v>31.716852678571399</v>
      </c>
      <c r="N233" s="531">
        <v>34.450000000000003</v>
      </c>
      <c r="O233" s="531">
        <v>33.19</v>
      </c>
      <c r="P233" s="531">
        <v>28.7548125</v>
      </c>
      <c r="Q233" s="531">
        <v>36.259397321428601</v>
      </c>
      <c r="R233" s="531">
        <v>33.15</v>
      </c>
      <c r="S233" s="531">
        <v>36.35</v>
      </c>
      <c r="T233" s="531">
        <v>35.73905803571423</v>
      </c>
      <c r="U233" s="531">
        <v>30.04</v>
      </c>
      <c r="V233" s="531">
        <v>23.46</v>
      </c>
      <c r="W233" s="531">
        <v>30.6935</v>
      </c>
      <c r="X233" s="531">
        <v>30.5986026785714</v>
      </c>
      <c r="Y233" s="531">
        <v>30.74</v>
      </c>
      <c r="Z233" s="531">
        <v>32.769999999999996</v>
      </c>
      <c r="AA233" s="531">
        <v>35.859031250000001</v>
      </c>
      <c r="AB233" s="531">
        <v>37.14</v>
      </c>
      <c r="AC233" s="531">
        <v>34.700705357142901</v>
      </c>
      <c r="AD233" s="531">
        <v>37.812535714285723</v>
      </c>
      <c r="AE233" s="531">
        <v>35.973214285714299</v>
      </c>
      <c r="AF233" s="531">
        <v>34.324218749999964</v>
      </c>
      <c r="AG233" s="531">
        <v>35.342866071428602</v>
      </c>
      <c r="AH233" s="531">
        <v>37.928397321428598</v>
      </c>
      <c r="AI233" s="187"/>
    </row>
    <row r="234" spans="2:36" ht="15.75" x14ac:dyDescent="0.25">
      <c r="B234" s="219" t="s">
        <v>100</v>
      </c>
      <c r="C234" s="1" t="s">
        <v>59</v>
      </c>
      <c r="D234" s="222">
        <v>138</v>
      </c>
      <c r="E234" s="222">
        <v>99</v>
      </c>
      <c r="F234" s="222">
        <v>130</v>
      </c>
      <c r="G234" s="222">
        <v>77</v>
      </c>
      <c r="H234" s="222">
        <v>172</v>
      </c>
      <c r="I234" s="222">
        <v>105</v>
      </c>
      <c r="J234" s="222">
        <v>128</v>
      </c>
      <c r="K234" s="222">
        <v>231</v>
      </c>
      <c r="L234" s="222">
        <v>135</v>
      </c>
      <c r="M234" s="222">
        <v>200</v>
      </c>
      <c r="N234" s="222">
        <v>196</v>
      </c>
      <c r="O234" s="222">
        <v>177</v>
      </c>
      <c r="P234" s="222">
        <v>128</v>
      </c>
      <c r="Q234" s="222">
        <v>249</v>
      </c>
      <c r="R234" s="222">
        <v>212</v>
      </c>
      <c r="S234" s="222">
        <v>257</v>
      </c>
      <c r="T234" s="222">
        <v>165</v>
      </c>
      <c r="U234" s="222">
        <v>76</v>
      </c>
      <c r="V234" s="222">
        <v>20</v>
      </c>
      <c r="W234" s="222">
        <v>153</v>
      </c>
      <c r="X234" s="222">
        <v>225</v>
      </c>
      <c r="Y234" s="222">
        <v>136</v>
      </c>
      <c r="Z234" s="222">
        <v>210</v>
      </c>
      <c r="AA234" s="222">
        <v>527</v>
      </c>
      <c r="AB234" s="222">
        <v>518</v>
      </c>
      <c r="AC234" s="222">
        <v>416</v>
      </c>
      <c r="AD234" s="222">
        <v>400</v>
      </c>
      <c r="AE234" s="222">
        <v>499</v>
      </c>
      <c r="AF234" s="222">
        <v>122</v>
      </c>
      <c r="AG234" s="222">
        <v>255</v>
      </c>
      <c r="AH234" s="222">
        <v>313</v>
      </c>
      <c r="AI234" s="13">
        <v>6669</v>
      </c>
      <c r="AJ234">
        <v>7.9558338486909914E-3</v>
      </c>
    </row>
    <row r="235" spans="2:36" ht="15.75" x14ac:dyDescent="0.25">
      <c r="B235" s="219" t="s">
        <v>101</v>
      </c>
      <c r="C235" s="1" t="s">
        <v>59</v>
      </c>
      <c r="D235" s="222">
        <v>1303</v>
      </c>
      <c r="E235" s="222">
        <v>0</v>
      </c>
      <c r="F235" s="222">
        <v>1137</v>
      </c>
      <c r="G235" s="222">
        <v>0</v>
      </c>
      <c r="H235" s="222">
        <v>0</v>
      </c>
      <c r="I235" s="222">
        <v>887</v>
      </c>
      <c r="J235" s="222">
        <v>1269</v>
      </c>
      <c r="K235" s="222">
        <v>0</v>
      </c>
      <c r="L235" s="222">
        <v>0</v>
      </c>
      <c r="M235" s="222">
        <v>614</v>
      </c>
      <c r="N235" s="222">
        <v>0</v>
      </c>
      <c r="O235" s="222">
        <v>0</v>
      </c>
      <c r="P235" s="222">
        <v>1464</v>
      </c>
      <c r="Q235" s="222">
        <v>0</v>
      </c>
      <c r="R235" s="222">
        <v>0</v>
      </c>
      <c r="S235" s="222">
        <v>0</v>
      </c>
      <c r="T235" s="222">
        <v>994</v>
      </c>
      <c r="U235" s="222">
        <v>444</v>
      </c>
      <c r="V235" s="222">
        <v>0</v>
      </c>
      <c r="W235" s="222">
        <v>0</v>
      </c>
      <c r="X235" s="222">
        <v>0</v>
      </c>
      <c r="Y235" s="222">
        <v>2824</v>
      </c>
      <c r="Z235" s="222">
        <v>0</v>
      </c>
      <c r="AA235" s="222">
        <v>0</v>
      </c>
      <c r="AB235" s="222">
        <v>0</v>
      </c>
      <c r="AC235" s="222">
        <v>0</v>
      </c>
      <c r="AD235" s="222">
        <v>0</v>
      </c>
      <c r="AE235" s="222">
        <v>1460</v>
      </c>
      <c r="AF235" s="222">
        <v>1049</v>
      </c>
      <c r="AG235" s="222">
        <v>0</v>
      </c>
      <c r="AH235" s="222">
        <v>0</v>
      </c>
      <c r="AI235" s="13">
        <v>13445</v>
      </c>
    </row>
    <row r="236" spans="2:36" ht="15.75" x14ac:dyDescent="0.25">
      <c r="B236" s="219" t="s">
        <v>102</v>
      </c>
      <c r="C236" s="1" t="s">
        <v>59</v>
      </c>
      <c r="D236" s="222">
        <v>0</v>
      </c>
      <c r="E236" s="222">
        <v>0</v>
      </c>
      <c r="F236" s="222">
        <v>0</v>
      </c>
      <c r="G236" s="222">
        <v>0</v>
      </c>
      <c r="H236" s="222">
        <v>118</v>
      </c>
      <c r="I236" s="222">
        <v>0</v>
      </c>
      <c r="J236" s="222">
        <v>0</v>
      </c>
      <c r="K236" s="222">
        <v>0</v>
      </c>
      <c r="L236" s="222">
        <v>0</v>
      </c>
      <c r="M236" s="222">
        <v>0</v>
      </c>
      <c r="N236" s="222">
        <v>0</v>
      </c>
      <c r="O236" s="222">
        <v>0</v>
      </c>
      <c r="P236" s="222">
        <v>0</v>
      </c>
      <c r="Q236" s="222">
        <v>0</v>
      </c>
      <c r="R236" s="222">
        <v>0</v>
      </c>
      <c r="S236" s="222">
        <v>0</v>
      </c>
      <c r="T236" s="222">
        <v>0</v>
      </c>
      <c r="U236" s="222">
        <v>0</v>
      </c>
      <c r="V236" s="222">
        <v>0</v>
      </c>
      <c r="W236" s="222">
        <v>0</v>
      </c>
      <c r="X236" s="222">
        <v>0</v>
      </c>
      <c r="Y236" s="222">
        <v>0</v>
      </c>
      <c r="Z236" s="222">
        <v>0</v>
      </c>
      <c r="AA236" s="222">
        <v>622</v>
      </c>
      <c r="AB236" s="222">
        <v>0</v>
      </c>
      <c r="AC236" s="222">
        <v>0</v>
      </c>
      <c r="AD236" s="222">
        <v>73</v>
      </c>
      <c r="AE236" s="222">
        <v>0</v>
      </c>
      <c r="AF236" s="222">
        <v>0</v>
      </c>
      <c r="AG236" s="222">
        <v>30</v>
      </c>
      <c r="AH236" s="222">
        <v>97</v>
      </c>
      <c r="AI236" s="13">
        <v>940</v>
      </c>
    </row>
    <row r="237" spans="2:36" ht="15.75" x14ac:dyDescent="0.25">
      <c r="B237" s="219" t="s">
        <v>103</v>
      </c>
      <c r="C237" s="1" t="s">
        <v>59</v>
      </c>
      <c r="D237" s="222">
        <v>0</v>
      </c>
      <c r="E237" s="222">
        <v>0</v>
      </c>
      <c r="F237" s="222">
        <v>0</v>
      </c>
      <c r="G237" s="222">
        <v>0</v>
      </c>
      <c r="H237" s="222">
        <v>0</v>
      </c>
      <c r="I237" s="222">
        <v>0</v>
      </c>
      <c r="J237" s="222">
        <v>0</v>
      </c>
      <c r="K237" s="222">
        <v>0</v>
      </c>
      <c r="L237" s="222">
        <v>0</v>
      </c>
      <c r="M237" s="222">
        <v>0</v>
      </c>
      <c r="N237" s="222">
        <v>0</v>
      </c>
      <c r="O237" s="222">
        <v>0</v>
      </c>
      <c r="P237" s="222">
        <v>0</v>
      </c>
      <c r="Q237" s="222">
        <v>0</v>
      </c>
      <c r="R237" s="222">
        <v>88</v>
      </c>
      <c r="S237" s="222">
        <v>0</v>
      </c>
      <c r="T237" s="222">
        <v>0</v>
      </c>
      <c r="U237" s="222">
        <v>0</v>
      </c>
      <c r="V237" s="222">
        <v>0</v>
      </c>
      <c r="W237" s="222">
        <v>0</v>
      </c>
      <c r="X237" s="222">
        <v>0</v>
      </c>
      <c r="Y237" s="222">
        <v>514</v>
      </c>
      <c r="Z237" s="222">
        <v>0</v>
      </c>
      <c r="AA237" s="222">
        <v>202</v>
      </c>
      <c r="AB237" s="222">
        <v>0</v>
      </c>
      <c r="AC237" s="222">
        <v>0</v>
      </c>
      <c r="AD237" s="222">
        <v>0</v>
      </c>
      <c r="AE237" s="222">
        <v>0</v>
      </c>
      <c r="AF237" s="222">
        <v>0</v>
      </c>
      <c r="AG237" s="222">
        <v>0</v>
      </c>
      <c r="AH237" s="222">
        <v>0</v>
      </c>
      <c r="AI237" s="13">
        <v>804</v>
      </c>
    </row>
    <row r="238" spans="2:36" x14ac:dyDescent="0.25">
      <c r="B238" s="5" t="s">
        <v>218</v>
      </c>
      <c r="C238" s="1" t="s">
        <v>59</v>
      </c>
      <c r="D238" s="222">
        <v>0</v>
      </c>
      <c r="E238" s="222">
        <v>0</v>
      </c>
      <c r="F238" s="222">
        <v>0</v>
      </c>
      <c r="G238" s="222">
        <v>0</v>
      </c>
      <c r="H238" s="222">
        <v>0</v>
      </c>
      <c r="I238" s="222">
        <v>0</v>
      </c>
      <c r="J238" s="222">
        <v>0</v>
      </c>
      <c r="K238" s="222">
        <v>0</v>
      </c>
      <c r="L238" s="222">
        <v>0</v>
      </c>
      <c r="M238" s="222">
        <v>0</v>
      </c>
      <c r="N238" s="222">
        <v>0</v>
      </c>
      <c r="O238" s="222">
        <v>0</v>
      </c>
      <c r="P238" s="222">
        <v>0</v>
      </c>
      <c r="Q238" s="222">
        <v>0</v>
      </c>
      <c r="R238" s="222">
        <v>0</v>
      </c>
      <c r="S238" s="222">
        <v>0</v>
      </c>
      <c r="T238" s="222">
        <v>0</v>
      </c>
      <c r="U238" s="222">
        <v>0</v>
      </c>
      <c r="V238" s="222">
        <v>0</v>
      </c>
      <c r="W238" s="222">
        <v>0</v>
      </c>
      <c r="X238" s="222">
        <v>0</v>
      </c>
      <c r="Y238" s="222">
        <v>0</v>
      </c>
      <c r="Z238" s="222">
        <v>0</v>
      </c>
      <c r="AA238" s="222">
        <v>0</v>
      </c>
      <c r="AB238" s="222">
        <v>0</v>
      </c>
      <c r="AC238" s="222">
        <v>0</v>
      </c>
      <c r="AD238" s="222">
        <v>0</v>
      </c>
      <c r="AE238" s="222">
        <v>0</v>
      </c>
      <c r="AF238" s="222">
        <v>0</v>
      </c>
      <c r="AG238" s="222">
        <v>0</v>
      </c>
      <c r="AH238" s="222">
        <v>0</v>
      </c>
      <c r="AI238" s="13">
        <v>0</v>
      </c>
    </row>
    <row r="239" spans="2:36" x14ac:dyDescent="0.25">
      <c r="B239" s="220" t="s">
        <v>86</v>
      </c>
      <c r="C239" s="1" t="s">
        <v>59</v>
      </c>
      <c r="D239" s="222">
        <v>1441</v>
      </c>
      <c r="E239" s="222">
        <v>99</v>
      </c>
      <c r="F239" s="222">
        <v>1267</v>
      </c>
      <c r="G239" s="222">
        <v>77</v>
      </c>
      <c r="H239" s="222">
        <v>290</v>
      </c>
      <c r="I239" s="222">
        <v>992</v>
      </c>
      <c r="J239" s="222">
        <v>1397</v>
      </c>
      <c r="K239" s="222">
        <v>231</v>
      </c>
      <c r="L239" s="222">
        <v>135</v>
      </c>
      <c r="M239" s="222">
        <v>814</v>
      </c>
      <c r="N239" s="222">
        <v>196</v>
      </c>
      <c r="O239" s="222">
        <v>177</v>
      </c>
      <c r="P239" s="222">
        <v>1592</v>
      </c>
      <c r="Q239" s="222">
        <v>249</v>
      </c>
      <c r="R239" s="222">
        <v>300</v>
      </c>
      <c r="S239" s="222">
        <v>257</v>
      </c>
      <c r="T239" s="222">
        <v>1159</v>
      </c>
      <c r="U239" s="222">
        <v>520</v>
      </c>
      <c r="V239" s="222">
        <v>20</v>
      </c>
      <c r="W239" s="222">
        <v>153</v>
      </c>
      <c r="X239" s="222">
        <v>225</v>
      </c>
      <c r="Y239" s="222">
        <v>3474</v>
      </c>
      <c r="Z239" s="222">
        <v>210</v>
      </c>
      <c r="AA239" s="222">
        <v>1351</v>
      </c>
      <c r="AB239" s="222">
        <v>518</v>
      </c>
      <c r="AC239" s="222">
        <v>416</v>
      </c>
      <c r="AD239" s="222">
        <v>473</v>
      </c>
      <c r="AE239" s="222">
        <v>1959</v>
      </c>
      <c r="AF239" s="222">
        <v>1171</v>
      </c>
      <c r="AG239" s="222">
        <v>285</v>
      </c>
      <c r="AH239" s="222">
        <v>410</v>
      </c>
      <c r="AI239" s="13">
        <v>21858</v>
      </c>
    </row>
    <row r="240" spans="2:36" x14ac:dyDescent="0.25">
      <c r="B240" s="220" t="s">
        <v>86</v>
      </c>
      <c r="C240" s="1" t="s">
        <v>59</v>
      </c>
      <c r="D240" s="221">
        <v>4.8133450911228691E-2</v>
      </c>
      <c r="E240" s="221">
        <v>3.3068783068783067E-3</v>
      </c>
      <c r="F240" s="221">
        <v>4.2321361765806205E-2</v>
      </c>
      <c r="G240" s="221">
        <v>2.5720164609053498E-3</v>
      </c>
      <c r="H240" s="221">
        <v>9.6868152423707967E-3</v>
      </c>
      <c r="I240" s="221">
        <v>3.3135588691144247E-2</v>
      </c>
      <c r="J240" s="221">
        <v>4.6663727219282775E-2</v>
      </c>
      <c r="K240" s="221">
        <v>7.716049382716049E-3</v>
      </c>
      <c r="L240" s="221">
        <v>4.5093795093795091E-3</v>
      </c>
      <c r="M240" s="221">
        <v>2.7189888300999412E-2</v>
      </c>
      <c r="N240" s="221">
        <v>6.5469509913954347E-3</v>
      </c>
      <c r="O240" s="221">
        <v>5.912297578964245E-3</v>
      </c>
      <c r="P240" s="221">
        <v>5.3177275399497619E-2</v>
      </c>
      <c r="Q240" s="221">
        <v>8.3172999839666497E-3</v>
      </c>
      <c r="R240" s="221">
        <v>1.0020843354176688E-2</v>
      </c>
      <c r="S240" s="221">
        <v>8.5845224734113611E-3</v>
      </c>
      <c r="T240" s="221">
        <v>3.8713858158302604E-2</v>
      </c>
      <c r="U240" s="221">
        <v>1.7369461813906258E-2</v>
      </c>
      <c r="V240" s="221">
        <v>6.6805622361177915E-4</v>
      </c>
      <c r="W240" s="221">
        <v>5.1106301106301098E-3</v>
      </c>
      <c r="X240" s="221">
        <v>7.5156325156325145E-3</v>
      </c>
      <c r="Y240" s="221">
        <v>0.11604136604136604</v>
      </c>
      <c r="Z240" s="221">
        <v>7.0145903479236806E-3</v>
      </c>
      <c r="AA240" s="221">
        <v>4.5127197904975679E-2</v>
      </c>
      <c r="AB240" s="221">
        <v>1.7302656191545081E-2</v>
      </c>
      <c r="AC240" s="221">
        <v>1.3895569451125007E-2</v>
      </c>
      <c r="AD240" s="221">
        <v>1.5799529688418575E-2</v>
      </c>
      <c r="AE240" s="221">
        <v>6.5436107102773769E-2</v>
      </c>
      <c r="AF240" s="221">
        <v>3.9114691892469668E-2</v>
      </c>
      <c r="AG240" s="221">
        <v>9.5198011864678529E-3</v>
      </c>
      <c r="AH240" s="221">
        <v>1.3695152584041472E-2</v>
      </c>
      <c r="AI240" s="13">
        <v>2.3849607182940515E-2</v>
      </c>
    </row>
    <row r="241" spans="2:35" x14ac:dyDescent="0.25">
      <c r="B241" s="5" t="s">
        <v>116</v>
      </c>
      <c r="C241" s="1" t="s">
        <v>60</v>
      </c>
      <c r="D241" s="539">
        <v>2.0088233393861163E-3</v>
      </c>
      <c r="E241" s="539">
        <v>2.0024634645708708E-3</v>
      </c>
      <c r="F241" s="539">
        <v>1.9957220253766436E-3</v>
      </c>
      <c r="G241" s="539">
        <v>1.9865775492888559E-3</v>
      </c>
      <c r="H241" s="539">
        <v>1.833489045270956E-3</v>
      </c>
      <c r="I241" s="539">
        <v>2.0284748518800133E-3</v>
      </c>
      <c r="J241" s="539">
        <v>2.0249700764347067E-3</v>
      </c>
      <c r="K241" s="539">
        <v>1.9795363183838857E-3</v>
      </c>
      <c r="L241" s="539">
        <v>1.9871331539779531E-3</v>
      </c>
      <c r="M241" s="539">
        <v>1.9952346504541231E-3</v>
      </c>
      <c r="N241" s="539">
        <v>2.0334404985753998E-3</v>
      </c>
      <c r="O241" s="539">
        <v>2.0055065009190222E-3</v>
      </c>
      <c r="P241" s="539">
        <v>2.0363825636628904E-3</v>
      </c>
      <c r="Q241" s="539">
        <v>2.0233702867731105E-3</v>
      </c>
      <c r="R241" s="539">
        <v>2.0048377906890253E-3</v>
      </c>
      <c r="S241" s="539">
        <v>1.9995411505559103E-3</v>
      </c>
      <c r="T241" s="539">
        <v>1.8904467473953232E-3</v>
      </c>
      <c r="U241" s="539">
        <v>2.0232077166584539E-3</v>
      </c>
      <c r="V241" s="539">
        <v>2.0764144856364633E-3</v>
      </c>
      <c r="W241" s="539">
        <v>2.0134882895094632E-3</v>
      </c>
      <c r="X241" s="539">
        <v>1.9974617399640569E-3</v>
      </c>
      <c r="Y241" s="539">
        <v>2.0322547138027225E-3</v>
      </c>
      <c r="Z241" s="539">
        <v>2.1627872282595738E-3</v>
      </c>
      <c r="AA241" s="539">
        <v>2.0322286871794007E-3</v>
      </c>
      <c r="AB241" s="539">
        <v>1.9866424520581551E-3</v>
      </c>
      <c r="AC241" s="539">
        <v>1.9976814939413213E-3</v>
      </c>
      <c r="AD241" s="539">
        <v>2.001697438098058E-3</v>
      </c>
      <c r="AE241" s="539">
        <v>2.0154207725333467E-3</v>
      </c>
      <c r="AF241" s="539">
        <v>2.0286757241164341E-3</v>
      </c>
      <c r="AG241" s="539">
        <v>2.0096123823358618E-3</v>
      </c>
      <c r="AH241" s="539">
        <v>2.0250956091095711E-3</v>
      </c>
      <c r="AI241" s="224">
        <v>2.0062583939727077E-3</v>
      </c>
    </row>
    <row r="243" spans="2:35" x14ac:dyDescent="0.25">
      <c r="D243" s="575">
        <v>3688.0000000001019</v>
      </c>
      <c r="E243" s="575">
        <v>3800</v>
      </c>
      <c r="F243" s="575">
        <v>4304.0000000000873</v>
      </c>
      <c r="G243" s="575">
        <v>3819.999999999709</v>
      </c>
      <c r="H243" s="575">
        <v>4868.0000000000291</v>
      </c>
      <c r="I243" s="575">
        <v>4260.0000000002183</v>
      </c>
      <c r="J243" s="575">
        <v>5036.0000000000582</v>
      </c>
      <c r="K243" s="575">
        <v>6047.9999999999563</v>
      </c>
      <c r="L243" s="575">
        <v>5555.9999999997672</v>
      </c>
      <c r="M243" s="575">
        <v>4400</v>
      </c>
      <c r="N243" s="575">
        <v>5508.0000000001746</v>
      </c>
      <c r="O243" s="575">
        <v>4868.0000000000291</v>
      </c>
      <c r="P243" s="575">
        <v>2788.0000000001019</v>
      </c>
      <c r="Q243" s="575">
        <v>6147.9999999999563</v>
      </c>
      <c r="R243" s="575">
        <v>4236.0000000000582</v>
      </c>
      <c r="S243" s="575">
        <v>6195.9999999999127</v>
      </c>
      <c r="T243" s="575">
        <v>2943.999999999869</v>
      </c>
      <c r="U243" s="575">
        <v>1608.0000000001746</v>
      </c>
      <c r="V243" s="575">
        <v>1771.9999999997526</v>
      </c>
      <c r="W243" s="575">
        <v>4836.0000000000582</v>
      </c>
      <c r="X243" s="575">
        <v>5560.0000000002183</v>
      </c>
      <c r="Y243" s="575">
        <v>3303.9999999997235</v>
      </c>
      <c r="Z243" s="575">
        <v>4652.0000000000437</v>
      </c>
      <c r="AA243" s="575">
        <v>4256.000000000131</v>
      </c>
      <c r="AB243" s="575">
        <v>6623.9999999997963</v>
      </c>
      <c r="AC243" s="575">
        <v>6320.0000000000728</v>
      </c>
      <c r="AD243" s="575">
        <v>5960.0000000002183</v>
      </c>
      <c r="AE243" s="575">
        <v>3927.9999999998836</v>
      </c>
      <c r="AF243" s="575">
        <v>4572.0000000001164</v>
      </c>
      <c r="AG243" s="575">
        <v>5539.9999999997817</v>
      </c>
      <c r="AH243" s="575">
        <v>5611.9999999998981</v>
      </c>
    </row>
    <row r="244" spans="2:35" x14ac:dyDescent="0.25">
      <c r="D244" s="544">
        <v>0</v>
      </c>
      <c r="E244" s="544">
        <v>0</v>
      </c>
      <c r="F244" s="544">
        <v>0</v>
      </c>
      <c r="G244" s="544">
        <v>0</v>
      </c>
      <c r="H244" s="544">
        <v>-0.3999999999996362</v>
      </c>
      <c r="I244" s="544">
        <v>0</v>
      </c>
      <c r="J244" s="544">
        <v>0</v>
      </c>
      <c r="K244" s="544">
        <v>0</v>
      </c>
      <c r="L244" s="544">
        <v>0</v>
      </c>
      <c r="M244" s="544">
        <v>0</v>
      </c>
      <c r="N244" s="544">
        <v>0</v>
      </c>
      <c r="O244" s="544">
        <v>0</v>
      </c>
      <c r="P244" s="544">
        <v>0</v>
      </c>
      <c r="Q244" s="544">
        <v>0</v>
      </c>
      <c r="R244" s="544">
        <v>0</v>
      </c>
      <c r="S244" s="544">
        <v>0</v>
      </c>
      <c r="T244" s="544">
        <v>0</v>
      </c>
      <c r="U244" s="544">
        <v>0</v>
      </c>
      <c r="V244" s="544">
        <v>0</v>
      </c>
      <c r="W244" s="544">
        <v>0</v>
      </c>
      <c r="X244" s="544">
        <v>0</v>
      </c>
      <c r="Y244" s="544">
        <v>0</v>
      </c>
      <c r="Z244" s="544">
        <v>0</v>
      </c>
      <c r="AA244" s="544">
        <v>0</v>
      </c>
      <c r="AB244" s="544">
        <v>0</v>
      </c>
      <c r="AC244" s="544">
        <v>0</v>
      </c>
      <c r="AD244" s="544">
        <v>0</v>
      </c>
      <c r="AE244" s="544">
        <v>0</v>
      </c>
      <c r="AF244" s="544">
        <v>0</v>
      </c>
      <c r="AG244" s="544">
        <v>0</v>
      </c>
      <c r="AH244" s="544">
        <v>0</v>
      </c>
    </row>
    <row r="248" spans="2:35" x14ac:dyDescent="0.25">
      <c r="D248" s="575">
        <v>4133.3999999999996</v>
      </c>
      <c r="E248" s="575">
        <v>3604.8999999999996</v>
      </c>
      <c r="F248" s="575">
        <v>3793.9</v>
      </c>
      <c r="G248" s="575">
        <v>3883.8999999999996</v>
      </c>
      <c r="H248" s="575">
        <v>4557.9000000000005</v>
      </c>
      <c r="I248" s="575">
        <v>4411.7</v>
      </c>
      <c r="J248" s="575">
        <v>5343.7</v>
      </c>
      <c r="K248" s="575">
        <v>4730.0999999999995</v>
      </c>
      <c r="L248" s="575">
        <v>5238.1999999999989</v>
      </c>
      <c r="M248" s="575">
        <v>3492.6</v>
      </c>
      <c r="N248" s="575">
        <v>3542.6</v>
      </c>
      <c r="O248" s="575">
        <v>3429.0999999999995</v>
      </c>
      <c r="P248" s="575">
        <v>4533.8999999999996</v>
      </c>
      <c r="Q248" s="575">
        <v>5522.8000000000011</v>
      </c>
      <c r="R248" s="575">
        <v>4031</v>
      </c>
      <c r="S248" s="575">
        <v>5638.3</v>
      </c>
      <c r="T248" s="575">
        <v>3493.1</v>
      </c>
      <c r="U248" s="575">
        <v>1918.9999999999995</v>
      </c>
      <c r="V248" s="575">
        <v>1236.1999999999998</v>
      </c>
      <c r="W248" s="575">
        <v>2981.5000000000005</v>
      </c>
      <c r="X248" s="575">
        <v>4007.4</v>
      </c>
      <c r="Y248" s="575">
        <v>5487.1</v>
      </c>
      <c r="Z248" s="575">
        <v>5558.8</v>
      </c>
      <c r="AA248" s="575">
        <v>5700.2000000000007</v>
      </c>
      <c r="AB248" s="575">
        <v>6098.1999999999989</v>
      </c>
      <c r="AC248" s="575">
        <v>4126.2</v>
      </c>
      <c r="AD248" s="575">
        <v>5309.7</v>
      </c>
      <c r="AE248" s="575">
        <v>5044.1000000000004</v>
      </c>
      <c r="AF248" s="575">
        <v>4740.6999999999989</v>
      </c>
      <c r="AG248" s="575">
        <v>4694.3</v>
      </c>
    </row>
    <row r="249" spans="2:35" x14ac:dyDescent="0.25">
      <c r="D249" s="346">
        <v>4133.3999999999996</v>
      </c>
      <c r="E249" s="346">
        <v>3604.8999999999996</v>
      </c>
      <c r="F249" s="346">
        <v>3793.9</v>
      </c>
      <c r="G249" s="346">
        <v>3883.8999999999996</v>
      </c>
      <c r="H249" s="346">
        <v>4557.9000000000005</v>
      </c>
      <c r="I249" s="346">
        <v>4411.7</v>
      </c>
      <c r="J249" s="346">
        <v>5343.7</v>
      </c>
      <c r="K249" s="346">
        <v>4730.0999999999995</v>
      </c>
      <c r="L249" s="346">
        <v>5238.1999999999989</v>
      </c>
      <c r="M249" s="346">
        <v>3492.6</v>
      </c>
      <c r="N249" s="346">
        <v>3542.6</v>
      </c>
      <c r="O249" s="346">
        <v>3429.0999999999995</v>
      </c>
      <c r="P249" s="346">
        <v>4533.8999999999996</v>
      </c>
      <c r="Q249" s="346">
        <v>5522.8000000000011</v>
      </c>
      <c r="R249" s="346">
        <v>4031</v>
      </c>
      <c r="S249" s="346">
        <v>5638.3</v>
      </c>
      <c r="T249" s="346">
        <v>3493.1</v>
      </c>
      <c r="U249" s="346">
        <v>1918.9999999999995</v>
      </c>
      <c r="V249" s="346">
        <v>1236.1999999999998</v>
      </c>
      <c r="W249" s="346">
        <v>2981.5000000000005</v>
      </c>
      <c r="X249" s="346">
        <v>4007.4</v>
      </c>
      <c r="Y249" s="346">
        <v>5487.1</v>
      </c>
      <c r="Z249" s="346">
        <v>5558.8</v>
      </c>
      <c r="AA249" s="346">
        <v>5700.2000000000007</v>
      </c>
      <c r="AB249" s="346">
        <v>6098.1999999999989</v>
      </c>
      <c r="AC249" s="346">
        <v>4126.2</v>
      </c>
      <c r="AD249" s="346">
        <v>5309.7</v>
      </c>
      <c r="AE249" s="346">
        <v>5044.1000000000004</v>
      </c>
      <c r="AF249" s="346">
        <v>4740.6999999999989</v>
      </c>
      <c r="AG249" s="346">
        <v>4694.3</v>
      </c>
    </row>
    <row r="250" spans="2:35" x14ac:dyDescent="0.25">
      <c r="D250" s="346">
        <v>0</v>
      </c>
      <c r="E250" s="346">
        <v>0</v>
      </c>
      <c r="F250" s="346">
        <v>0</v>
      </c>
      <c r="G250" s="346">
        <v>0</v>
      </c>
      <c r="H250" s="346">
        <v>0</v>
      </c>
      <c r="I250" s="346">
        <v>0</v>
      </c>
      <c r="J250" s="346">
        <v>0</v>
      </c>
      <c r="K250" s="346">
        <v>0</v>
      </c>
      <c r="L250" s="346">
        <v>0</v>
      </c>
      <c r="M250" s="346">
        <v>0</v>
      </c>
      <c r="N250" s="346">
        <v>0</v>
      </c>
      <c r="O250" s="346">
        <v>0</v>
      </c>
      <c r="P250" s="346">
        <v>0</v>
      </c>
      <c r="Q250" s="346">
        <v>0</v>
      </c>
      <c r="R250" s="346">
        <v>0</v>
      </c>
      <c r="S250" s="346">
        <v>0</v>
      </c>
      <c r="T250" s="346">
        <v>0</v>
      </c>
      <c r="U250" s="346">
        <v>0</v>
      </c>
      <c r="V250" s="346">
        <v>0</v>
      </c>
      <c r="W250" s="346">
        <v>0</v>
      </c>
      <c r="X250" s="346">
        <v>0</v>
      </c>
      <c r="Y250" s="346">
        <v>0</v>
      </c>
      <c r="Z250" s="346">
        <v>0</v>
      </c>
      <c r="AA250" s="346">
        <v>0</v>
      </c>
      <c r="AB250" s="346">
        <v>0</v>
      </c>
      <c r="AC250" s="346">
        <v>0</v>
      </c>
      <c r="AD250" s="346">
        <v>0</v>
      </c>
      <c r="AE250" s="346">
        <v>0</v>
      </c>
      <c r="AF250" s="346">
        <v>0</v>
      </c>
      <c r="AG250" s="346">
        <v>0</v>
      </c>
    </row>
    <row r="252" spans="2:35" x14ac:dyDescent="0.25">
      <c r="D252" s="575">
        <v>9786.5000610351562</v>
      </c>
      <c r="E252" s="575">
        <v>6524.0000610351563</v>
      </c>
      <c r="F252" s="575">
        <v>8315.6000061035156</v>
      </c>
      <c r="G252" s="575">
        <v>8064.6000061035156</v>
      </c>
      <c r="H252" s="575">
        <v>5517</v>
      </c>
      <c r="I252" s="575">
        <v>7976</v>
      </c>
      <c r="J252" s="575">
        <v>8660.7000122070312</v>
      </c>
      <c r="K252" s="575">
        <v>9960.7000732421875</v>
      </c>
      <c r="L252" s="575">
        <v>7197.6999816894531</v>
      </c>
      <c r="M252" s="575">
        <v>9867</v>
      </c>
      <c r="N252" s="575">
        <v>8317.7000732421875</v>
      </c>
      <c r="O252" s="575">
        <v>9325.6000366210937</v>
      </c>
      <c r="P252" s="575">
        <v>7316.3999938964844</v>
      </c>
      <c r="Q252" s="575">
        <v>10128.799926757812</v>
      </c>
      <c r="R252" s="575">
        <v>8821.8999633789062</v>
      </c>
      <c r="S252" s="575">
        <v>9245.39990234375</v>
      </c>
      <c r="T252" s="575">
        <v>8737.7999267578125</v>
      </c>
      <c r="U252" s="575">
        <v>9522.2000122070312</v>
      </c>
      <c r="V252" s="575">
        <v>7557.199951171875</v>
      </c>
      <c r="W252" s="575">
        <v>8009.5999450683594</v>
      </c>
      <c r="X252" s="575">
        <v>9261.4999694824219</v>
      </c>
      <c r="Y252" s="575">
        <v>10648.656374948756</v>
      </c>
      <c r="Z252" s="575">
        <v>10632.199920654297</v>
      </c>
      <c r="AA252" s="575">
        <v>11357</v>
      </c>
      <c r="AB252" s="575">
        <v>4522.2000122070312</v>
      </c>
      <c r="AC252" s="575">
        <v>445.5</v>
      </c>
      <c r="AD252" s="575">
        <v>1548.0999946594238</v>
      </c>
      <c r="AE252" s="575">
        <v>8999.8000183105469</v>
      </c>
      <c r="AF252" s="575">
        <v>8189.0999755859375</v>
      </c>
      <c r="AG252" s="575">
        <v>9567.3999938964844</v>
      </c>
    </row>
    <row r="253" spans="2:35" x14ac:dyDescent="0.25">
      <c r="D253" s="346">
        <v>9786.5000610351562</v>
      </c>
      <c r="E253" s="346">
        <v>6524.0000610351563</v>
      </c>
      <c r="F253" s="346">
        <v>8315.6000061035156</v>
      </c>
      <c r="G253" s="346">
        <v>8064.6000061035156</v>
      </c>
      <c r="H253" s="346">
        <v>5801</v>
      </c>
      <c r="I253" s="346">
        <v>8382</v>
      </c>
      <c r="J253" s="346">
        <v>8660.7000122070312</v>
      </c>
      <c r="K253" s="346">
        <v>9960.7000732421875</v>
      </c>
      <c r="L253" s="346">
        <v>7197.6999816894531</v>
      </c>
      <c r="M253" s="346">
        <v>9867</v>
      </c>
      <c r="N253" s="346">
        <v>8317.7000732421875</v>
      </c>
      <c r="O253" s="346">
        <v>9325.6000366210937</v>
      </c>
      <c r="P253" s="346">
        <v>7316.3999938964844</v>
      </c>
      <c r="Q253" s="346">
        <v>10128.799926757812</v>
      </c>
      <c r="R253" s="346">
        <v>8821.8999633789062</v>
      </c>
      <c r="S253" s="346">
        <v>9245.39990234375</v>
      </c>
      <c r="T253" s="346">
        <v>8737.7999267578125</v>
      </c>
      <c r="U253" s="346">
        <v>9522.2000122070312</v>
      </c>
      <c r="V253" s="346">
        <v>7557.199951171875</v>
      </c>
      <c r="W253" s="346">
        <v>8009.5999450683594</v>
      </c>
      <c r="X253" s="346">
        <v>9261.4999694824219</v>
      </c>
      <c r="Y253" s="346">
        <v>10648.656374948756</v>
      </c>
      <c r="Z253" s="346">
        <v>10632.199920654297</v>
      </c>
      <c r="AA253" s="346">
        <v>11357</v>
      </c>
      <c r="AB253" s="346">
        <v>4522.2000122070312</v>
      </c>
      <c r="AC253" s="346">
        <v>445.5</v>
      </c>
      <c r="AD253" s="346">
        <v>1548.0999946594238</v>
      </c>
      <c r="AE253" s="346">
        <v>8999.8000183105469</v>
      </c>
      <c r="AF253" s="346">
        <v>8189.0999755859375</v>
      </c>
      <c r="AG253" s="346">
        <v>9567.3999938964844</v>
      </c>
    </row>
    <row r="254" spans="2:35" x14ac:dyDescent="0.25">
      <c r="D254" s="346">
        <v>0</v>
      </c>
      <c r="E254" s="346">
        <v>0</v>
      </c>
      <c r="F254" s="346">
        <v>0</v>
      </c>
      <c r="G254" s="346">
        <v>0</v>
      </c>
      <c r="H254" s="346">
        <v>-284</v>
      </c>
      <c r="I254" s="346">
        <v>-406</v>
      </c>
      <c r="J254" s="346">
        <v>0</v>
      </c>
      <c r="K254" s="346">
        <v>0</v>
      </c>
      <c r="L254" s="346">
        <v>0</v>
      </c>
      <c r="M254" s="346">
        <v>0</v>
      </c>
      <c r="N254" s="346">
        <v>0</v>
      </c>
      <c r="O254" s="346">
        <v>0</v>
      </c>
      <c r="P254" s="346">
        <v>0</v>
      </c>
      <c r="Q254" s="346">
        <v>0</v>
      </c>
      <c r="R254" s="346">
        <v>0</v>
      </c>
      <c r="S254" s="346">
        <v>0</v>
      </c>
      <c r="T254" s="346">
        <v>0</v>
      </c>
      <c r="U254" s="346">
        <v>0</v>
      </c>
      <c r="V254" s="346">
        <v>0</v>
      </c>
      <c r="W254" s="346">
        <v>0</v>
      </c>
      <c r="X254" s="346">
        <v>0</v>
      </c>
      <c r="Y254" s="346">
        <v>0</v>
      </c>
      <c r="Z254" s="346">
        <v>0</v>
      </c>
      <c r="AA254" s="346">
        <v>0</v>
      </c>
      <c r="AB254" s="346">
        <v>0</v>
      </c>
      <c r="AC254" s="346">
        <v>0</v>
      </c>
      <c r="AD254" s="346">
        <v>0</v>
      </c>
      <c r="AE254" s="346">
        <v>0</v>
      </c>
      <c r="AF254" s="346">
        <v>0</v>
      </c>
      <c r="AG254" s="346">
        <v>0</v>
      </c>
    </row>
    <row r="273" spans="8:8" x14ac:dyDescent="0.25">
      <c r="H273" s="575">
        <v>55000</v>
      </c>
    </row>
  </sheetData>
  <mergeCells count="5">
    <mergeCell ref="B2:AI2"/>
    <mergeCell ref="B39:AI39"/>
    <mergeCell ref="B76:AI76"/>
    <mergeCell ref="B113:AI113"/>
    <mergeCell ref="B153:AI153"/>
  </mergeCells>
  <pageMargins left="0.2" right="0.2" top="0.25" bottom="0.25" header="0.3" footer="0.3"/>
  <pageSetup paperSize="8" scale="3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106"/>
  <sheetViews>
    <sheetView view="pageBreakPreview" topLeftCell="A2" zoomScale="40" zoomScaleNormal="40" zoomScaleSheetLayoutView="40" workbookViewId="0">
      <pane xSplit="4" ySplit="3" topLeftCell="E26" activePane="bottomRight" state="frozen"/>
      <selection activeCell="AA33" sqref="AA33"/>
      <selection pane="topRight" activeCell="AA33" sqref="AA33"/>
      <selection pane="bottomLeft" activeCell="AA33" sqref="AA33"/>
      <selection pane="bottomRight" activeCell="S24" sqref="S24:X24"/>
    </sheetView>
  </sheetViews>
  <sheetFormatPr defaultRowHeight="18.75" x14ac:dyDescent="0.3"/>
  <cols>
    <col min="1" max="1" width="0" hidden="1" customWidth="1"/>
    <col min="2" max="2" width="13.42578125" customWidth="1"/>
    <col min="3" max="3" width="47.85546875" customWidth="1"/>
    <col min="4" max="4" width="22.7109375" customWidth="1"/>
    <col min="5" max="5" width="21.5703125" customWidth="1"/>
    <col min="6" max="10" width="21.42578125" style="30" customWidth="1"/>
    <col min="11" max="11" width="1.140625" style="30" customWidth="1"/>
    <col min="12" max="12" width="21.85546875" customWidth="1"/>
    <col min="13" max="17" width="21.42578125" style="30" customWidth="1"/>
    <col min="18" max="18" width="1.42578125" style="30" customWidth="1"/>
    <col min="19" max="19" width="21.42578125" customWidth="1"/>
    <col min="20" max="23" width="21.42578125" style="30" customWidth="1"/>
    <col min="24" max="24" width="24" style="30" customWidth="1"/>
    <col min="25" max="25" width="1.5703125" style="30" customWidth="1"/>
    <col min="26" max="26" width="21.42578125" customWidth="1"/>
    <col min="27" max="29" width="21.42578125" style="30" customWidth="1"/>
    <col min="30" max="30" width="24.28515625" style="30" customWidth="1"/>
    <col min="31" max="31" width="21.42578125" style="30" customWidth="1"/>
    <col min="32" max="32" width="1.5703125" style="30" customWidth="1"/>
    <col min="33" max="33" width="21.42578125" customWidth="1"/>
    <col min="34" max="34" width="21.42578125" style="30" customWidth="1"/>
    <col min="35" max="35" width="21.42578125" customWidth="1"/>
    <col min="36" max="37" width="21.42578125" style="30" customWidth="1"/>
    <col min="38" max="38" width="23.28515625" style="30" customWidth="1"/>
    <col min="39" max="39" width="27" bestFit="1" customWidth="1"/>
    <col min="40" max="40" width="16.5703125" bestFit="1" customWidth="1"/>
    <col min="41" max="41" width="13.5703125" customWidth="1"/>
    <col min="42" max="42" width="26.85546875" customWidth="1"/>
    <col min="43" max="43" width="17.28515625" bestFit="1" customWidth="1"/>
    <col min="47" max="47" width="11" bestFit="1" customWidth="1"/>
  </cols>
  <sheetData>
    <row r="1" spans="2:47" ht="19.5" thickBot="1" x14ac:dyDescent="0.35">
      <c r="V1" s="73"/>
      <c r="AH1" s="73"/>
    </row>
    <row r="2" spans="2:47" ht="57.75" customHeight="1" thickBot="1" x14ac:dyDescent="0.4">
      <c r="B2" s="717" t="s">
        <v>367</v>
      </c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  <c r="O2" s="718"/>
      <c r="P2" s="718"/>
      <c r="Q2" s="718"/>
      <c r="R2" s="718"/>
      <c r="S2" s="718"/>
      <c r="T2" s="718"/>
      <c r="U2" s="718"/>
      <c r="V2" s="718"/>
      <c r="W2" s="718"/>
      <c r="X2" s="718"/>
      <c r="Y2" s="718"/>
      <c r="Z2" s="718"/>
      <c r="AA2" s="718"/>
      <c r="AB2" s="718"/>
      <c r="AC2" s="718"/>
      <c r="AD2" s="718"/>
      <c r="AE2" s="718"/>
      <c r="AF2" s="718"/>
      <c r="AG2" s="718"/>
      <c r="AH2" s="718"/>
      <c r="AI2" s="718"/>
      <c r="AJ2" s="718"/>
      <c r="AK2" s="718"/>
      <c r="AL2" s="719"/>
      <c r="AM2" s="390">
        <v>44347</v>
      </c>
      <c r="AN2" s="390">
        <v>44286</v>
      </c>
      <c r="AO2" s="391"/>
      <c r="AP2" s="390">
        <f>AM2</f>
        <v>44347</v>
      </c>
      <c r="AQ2" s="390">
        <v>44286</v>
      </c>
    </row>
    <row r="3" spans="2:47" s="58" customFormat="1" ht="42" customHeight="1" x14ac:dyDescent="0.55000000000000004">
      <c r="B3" s="787"/>
      <c r="C3" s="788"/>
      <c r="D3" s="789"/>
      <c r="E3" s="790" t="s">
        <v>151</v>
      </c>
      <c r="F3" s="791"/>
      <c r="G3" s="791"/>
      <c r="H3" s="791"/>
      <c r="I3" s="791"/>
      <c r="J3" s="793"/>
      <c r="K3" s="798"/>
      <c r="L3" s="795" t="s">
        <v>365</v>
      </c>
      <c r="M3" s="797"/>
      <c r="N3" s="797"/>
      <c r="O3" s="797"/>
      <c r="P3" s="797"/>
      <c r="Q3" s="796"/>
      <c r="R3" s="770"/>
      <c r="S3" s="795" t="s">
        <v>366</v>
      </c>
      <c r="T3" s="797"/>
      <c r="U3" s="797"/>
      <c r="V3" s="797"/>
      <c r="W3" s="797"/>
      <c r="X3" s="796"/>
      <c r="Y3" s="798"/>
      <c r="Z3" s="790" t="s">
        <v>159</v>
      </c>
      <c r="AA3" s="791"/>
      <c r="AB3" s="791"/>
      <c r="AC3" s="791"/>
      <c r="AD3" s="791"/>
      <c r="AE3" s="793"/>
      <c r="AF3" s="798"/>
      <c r="AG3" s="790" t="s">
        <v>152</v>
      </c>
      <c r="AH3" s="791"/>
      <c r="AI3" s="791"/>
      <c r="AJ3" s="791"/>
      <c r="AK3" s="791"/>
      <c r="AL3" s="792"/>
      <c r="AM3" s="56">
        <v>14</v>
      </c>
      <c r="AN3" s="57">
        <f>AM4-AN2</f>
        <v>75</v>
      </c>
      <c r="AO3" s="55"/>
      <c r="AP3" s="56">
        <f>AM3</f>
        <v>14</v>
      </c>
      <c r="AQ3" s="57">
        <f>AP4-AQ2</f>
        <v>75</v>
      </c>
      <c r="AR3" s="55"/>
    </row>
    <row r="4" spans="2:47" s="54" customFormat="1" ht="43.5" customHeight="1" x14ac:dyDescent="0.5">
      <c r="B4" s="241"/>
      <c r="C4" s="256"/>
      <c r="D4" s="256"/>
      <c r="E4" s="790" t="s">
        <v>89</v>
      </c>
      <c r="F4" s="793"/>
      <c r="G4" s="790" t="s">
        <v>90</v>
      </c>
      <c r="H4" s="793"/>
      <c r="I4" s="790" t="s">
        <v>91</v>
      </c>
      <c r="J4" s="793"/>
      <c r="K4" s="799"/>
      <c r="L4" s="795" t="s">
        <v>89</v>
      </c>
      <c r="M4" s="796"/>
      <c r="N4" s="795" t="s">
        <v>90</v>
      </c>
      <c r="O4" s="796"/>
      <c r="P4" s="795" t="s">
        <v>91</v>
      </c>
      <c r="Q4" s="796"/>
      <c r="R4" s="771"/>
      <c r="S4" s="795" t="s">
        <v>89</v>
      </c>
      <c r="T4" s="796"/>
      <c r="U4" s="795" t="s">
        <v>90</v>
      </c>
      <c r="V4" s="796"/>
      <c r="W4" s="795" t="s">
        <v>91</v>
      </c>
      <c r="X4" s="796"/>
      <c r="Y4" s="799"/>
      <c r="Z4" s="790" t="s">
        <v>89</v>
      </c>
      <c r="AA4" s="793"/>
      <c r="AB4" s="790" t="s">
        <v>90</v>
      </c>
      <c r="AC4" s="793"/>
      <c r="AD4" s="790" t="s">
        <v>91</v>
      </c>
      <c r="AE4" s="793"/>
      <c r="AF4" s="799"/>
      <c r="AG4" s="790" t="s">
        <v>89</v>
      </c>
      <c r="AH4" s="793"/>
      <c r="AI4" s="802" t="s">
        <v>90</v>
      </c>
      <c r="AJ4" s="802"/>
      <c r="AK4" s="802" t="s">
        <v>91</v>
      </c>
      <c r="AL4" s="803"/>
      <c r="AM4" s="59">
        <f>AM2+AM3</f>
        <v>44361</v>
      </c>
      <c r="AN4" s="53"/>
      <c r="AO4" s="52"/>
      <c r="AP4" s="59">
        <f>AP2+AP3</f>
        <v>44361</v>
      </c>
      <c r="AQ4" s="52"/>
      <c r="AR4" s="52"/>
    </row>
    <row r="5" spans="2:47" ht="94.5" x14ac:dyDescent="0.5">
      <c r="B5" s="242" t="s">
        <v>52</v>
      </c>
      <c r="C5" s="50" t="s">
        <v>53</v>
      </c>
      <c r="D5" s="50" t="s">
        <v>3</v>
      </c>
      <c r="E5" s="321" t="s">
        <v>317</v>
      </c>
      <c r="F5" s="322" t="s">
        <v>57</v>
      </c>
      <c r="G5" s="321" t="s">
        <v>317</v>
      </c>
      <c r="H5" s="322" t="s">
        <v>57</v>
      </c>
      <c r="I5" s="321" t="s">
        <v>317</v>
      </c>
      <c r="J5" s="322" t="s">
        <v>57</v>
      </c>
      <c r="K5" s="799"/>
      <c r="L5" s="321" t="s">
        <v>317</v>
      </c>
      <c r="M5" s="323" t="s">
        <v>57</v>
      </c>
      <c r="N5" s="321" t="s">
        <v>317</v>
      </c>
      <c r="O5" s="323" t="s">
        <v>57</v>
      </c>
      <c r="P5" s="321" t="s">
        <v>317</v>
      </c>
      <c r="Q5" s="323" t="s">
        <v>57</v>
      </c>
      <c r="R5" s="771"/>
      <c r="S5" s="321" t="s">
        <v>317</v>
      </c>
      <c r="T5" s="323" t="s">
        <v>57</v>
      </c>
      <c r="U5" s="321" t="s">
        <v>317</v>
      </c>
      <c r="V5" s="323" t="s">
        <v>57</v>
      </c>
      <c r="W5" s="321" t="s">
        <v>317</v>
      </c>
      <c r="X5" s="323" t="s">
        <v>57</v>
      </c>
      <c r="Y5" s="799"/>
      <c r="Z5" s="321" t="s">
        <v>96</v>
      </c>
      <c r="AA5" s="322" t="s">
        <v>57</v>
      </c>
      <c r="AB5" s="321" t="s">
        <v>96</v>
      </c>
      <c r="AC5" s="322" t="s">
        <v>57</v>
      </c>
      <c r="AD5" s="321" t="s">
        <v>96</v>
      </c>
      <c r="AE5" s="322" t="s">
        <v>57</v>
      </c>
      <c r="AF5" s="799"/>
      <c r="AG5" s="321" t="s">
        <v>317</v>
      </c>
      <c r="AH5" s="322" t="s">
        <v>57</v>
      </c>
      <c r="AI5" s="321" t="s">
        <v>316</v>
      </c>
      <c r="AJ5" s="322" t="s">
        <v>57</v>
      </c>
      <c r="AK5" s="321" t="s">
        <v>317</v>
      </c>
      <c r="AL5" s="324" t="s">
        <v>57</v>
      </c>
      <c r="AM5" s="801"/>
      <c r="AN5" s="801"/>
      <c r="AO5" s="801"/>
      <c r="AP5" s="801"/>
      <c r="AQ5" s="801"/>
      <c r="AR5" s="28"/>
      <c r="AU5" s="347"/>
    </row>
    <row r="6" spans="2:47" ht="57.95" customHeight="1" x14ac:dyDescent="0.35">
      <c r="B6" s="794">
        <v>1</v>
      </c>
      <c r="C6" s="686" t="s">
        <v>98</v>
      </c>
      <c r="D6" s="328" t="s">
        <v>59</v>
      </c>
      <c r="E6" s="497">
        <v>319.48281152095512</v>
      </c>
      <c r="F6" s="334">
        <f>(HLOOKUP(AM3,'Solar Report_Base'!D177:AH196,5))</f>
        <v>360</v>
      </c>
      <c r="G6" s="497">
        <f>+E6*$AM$3</f>
        <v>4472.7593612933715</v>
      </c>
      <c r="H6" s="497">
        <f>'Solar Report_Base'!AI181</f>
        <v>4836</v>
      </c>
      <c r="I6" s="335">
        <f>'Bckup sheet'!G101</f>
        <v>25526.069605472818</v>
      </c>
      <c r="J6" s="498">
        <f>'Bckup sheet'!G102</f>
        <v>25057</v>
      </c>
      <c r="K6" s="799"/>
      <c r="L6" s="497">
        <v>5465.1065968044049</v>
      </c>
      <c r="M6" s="334">
        <f>(HLOOKUP(AM3,'Solar Report_Base'!B202:AI233,24,0))</f>
        <v>4196.0000000002765</v>
      </c>
      <c r="N6" s="497">
        <f>+L6*$AM$3</f>
        <v>76511.492355261667</v>
      </c>
      <c r="O6" s="497">
        <f>+'Solar Report_Base'!AI96+'Solar Report_Base'!AI159</f>
        <v>65596.000000000291</v>
      </c>
      <c r="P6" s="335">
        <f>'Bckup sheet'!G28</f>
        <v>432560.7193500828</v>
      </c>
      <c r="Q6" s="498">
        <f>'Bckup sheet'!G29</f>
        <v>367872.40000000014</v>
      </c>
      <c r="R6" s="771"/>
      <c r="S6" s="497">
        <v>4293.75128380975</v>
      </c>
      <c r="T6" s="334">
        <f>(HLOOKUP(AM3,'Solar Report_Base'!B40:AI75,20,0))</f>
        <v>5319.0000000000737</v>
      </c>
      <c r="U6" s="497">
        <f>+S6*$AM$3</f>
        <v>60112.5179733365</v>
      </c>
      <c r="V6" s="497">
        <f>+'Solar Report_Base'!AI59</f>
        <v>60705.000000000036</v>
      </c>
      <c r="W6" s="335">
        <f>'Bckup sheet'!G5</f>
        <v>345535.22695585398</v>
      </c>
      <c r="X6" s="498">
        <f>'Bckup sheet'!G6</f>
        <v>338580.2</v>
      </c>
      <c r="Y6" s="799"/>
      <c r="Z6" s="497">
        <v>7116.1719596747553</v>
      </c>
      <c r="AA6" s="334">
        <f>HLOOKUP(AM3,'Solar Report_Base'!B114:AI152,23,0)</f>
        <v>4520</v>
      </c>
      <c r="AB6" s="497">
        <f>+Z6*$AM$3</f>
        <v>99626.40743544657</v>
      </c>
      <c r="AC6" s="497">
        <f>+'Solar Report_Base'!AI136</f>
        <v>108720</v>
      </c>
      <c r="AD6" s="335">
        <f>'Bckup sheet'!G52</f>
        <v>653645.14876829693</v>
      </c>
      <c r="AE6" s="342">
        <f>AC6+'Solar Report_Base_April'!AI136+'Solar Report_Base-May'!AI136</f>
        <v>601160</v>
      </c>
      <c r="AF6" s="799"/>
      <c r="AG6" s="497">
        <v>4610.0269929425767</v>
      </c>
      <c r="AH6" s="334">
        <f>HLOOKUP(AM3,'Solar Report_Base'!B3:AI38,20,0)</f>
        <v>4950</v>
      </c>
      <c r="AI6" s="497">
        <f>+AG6*$AM$3</f>
        <v>64540.377901196072</v>
      </c>
      <c r="AJ6" s="497">
        <f>+'Solar Report_Base'!AI22</f>
        <v>65040.000000000327</v>
      </c>
      <c r="AK6" s="335">
        <f>'Bckup sheet'!G76</f>
        <v>377939.58928823372</v>
      </c>
      <c r="AL6" s="343">
        <f>'Bckup sheet'!G77</f>
        <v>361410.00000000041</v>
      </c>
      <c r="AM6" s="253">
        <v>1302316.1403792601</v>
      </c>
      <c r="AN6" s="217"/>
      <c r="AO6" s="28">
        <v>1184017.25185529</v>
      </c>
      <c r="AP6" s="28">
        <v>1115433</v>
      </c>
      <c r="AQ6" s="28"/>
      <c r="AR6" s="28"/>
    </row>
    <row r="7" spans="2:47" ht="57.95" customHeight="1" x14ac:dyDescent="0.4">
      <c r="B7" s="794"/>
      <c r="C7" s="686"/>
      <c r="D7" s="328" t="s">
        <v>60</v>
      </c>
      <c r="E7" s="336">
        <f>+E6/(62)/24</f>
        <v>0.2147061905382763</v>
      </c>
      <c r="F7" s="336">
        <f>+F6/(62)/24</f>
        <v>0.24193548387096775</v>
      </c>
      <c r="G7" s="336">
        <f>+G6/(62)/24/$AM$3</f>
        <v>0.2147061905382763</v>
      </c>
      <c r="H7" s="336">
        <f>+H6/(62)/24/$AM$3</f>
        <v>0.23214285714285715</v>
      </c>
      <c r="I7" s="337">
        <f>+I6/62/24/$AN$3</f>
        <v>0.22872822227126177</v>
      </c>
      <c r="J7" s="337">
        <f>+J6/(62)/24/$AN$3</f>
        <v>0.22452508960573478</v>
      </c>
      <c r="K7" s="799"/>
      <c r="L7" s="336">
        <f>+L6/(999.4+248)/24</f>
        <v>0.18254992373484866</v>
      </c>
      <c r="M7" s="336">
        <f>+M6/(999.4+248)/24</f>
        <v>0.14015819571376051</v>
      </c>
      <c r="N7" s="336">
        <f>+N6/(999.4+248)/24/$AM$3</f>
        <v>0.18254992373484863</v>
      </c>
      <c r="O7" s="336">
        <f>+O6/(999.4+248)/24/$AM$3</f>
        <v>0.15650648587156593</v>
      </c>
      <c r="P7" s="336">
        <f>+P6/(999.4+248)/24/$AN$3</f>
        <v>0.19264992043454063</v>
      </c>
      <c r="Q7" s="336">
        <f>Q6/1247.4/24/AN3</f>
        <v>0.16383963087666795</v>
      </c>
      <c r="R7" s="771"/>
      <c r="S7" s="336">
        <f>+S6/999.4/24</f>
        <v>0.17901371171910438</v>
      </c>
      <c r="T7" s="336">
        <f>+T6/999.4/24</f>
        <v>0.22175805483290281</v>
      </c>
      <c r="U7" s="336">
        <f>+U6/999.4/24/$AM$3</f>
        <v>0.17901371171910438</v>
      </c>
      <c r="V7" s="336">
        <f>+V6/999.4/24/$AM$3</f>
        <v>0.18077810972297675</v>
      </c>
      <c r="W7" s="337">
        <f>+W6/999.4/24/$AN$3</f>
        <v>0.19207926253299423</v>
      </c>
      <c r="X7" s="337">
        <f>+X6/999.4/24/$AN$3</f>
        <v>0.1882130389344718</v>
      </c>
      <c r="Y7" s="799"/>
      <c r="Z7" s="336">
        <f>+Z6/1998.8/24</f>
        <v>0.14834258804605169</v>
      </c>
      <c r="AA7" s="336">
        <f>AA6/1998.8/24</f>
        <v>9.4223200587018885E-2</v>
      </c>
      <c r="AB7" s="336">
        <f>+AB6/1998.8/24/$AM$3</f>
        <v>0.14834258804605169</v>
      </c>
      <c r="AC7" s="336">
        <f>+AC6/1998.8/24/$AM$3</f>
        <v>0.16188284399210956</v>
      </c>
      <c r="AD7" s="338">
        <f>+AD6/1998.8/24/$AQ$3</f>
        <v>0.18167710314196767</v>
      </c>
      <c r="AE7" s="338">
        <f>+AE6/1998.8/24/$AQ$3</f>
        <v>0.16708914237431347</v>
      </c>
      <c r="AF7" s="799"/>
      <c r="AG7" s="337">
        <f>+AG6/999.4/24</f>
        <v>0.19219977790601764</v>
      </c>
      <c r="AH7" s="337">
        <f>+AH6/999.4/24</f>
        <v>0.20637382429457674</v>
      </c>
      <c r="AI7" s="336">
        <f>+AI6/999.37/24/$AM$3</f>
        <v>0.19220554753422056</v>
      </c>
      <c r="AJ7" s="336">
        <f>+AJ6/999.37/24/$AM$3</f>
        <v>0.193693455448362</v>
      </c>
      <c r="AK7" s="337">
        <f>+AK6/999.37/24/$AN$3</f>
        <v>0.21009880073792808</v>
      </c>
      <c r="AL7" s="344">
        <f>+AL6/999.37/24/$AN$3</f>
        <v>0.20090990657447549</v>
      </c>
      <c r="AM7" s="208">
        <f>+Z8-AA8</f>
        <v>-4.936436986689996E-4</v>
      </c>
      <c r="AN7" s="28"/>
      <c r="AO7" s="28"/>
      <c r="AP7" s="28"/>
      <c r="AQ7" s="28"/>
      <c r="AR7" s="28"/>
    </row>
    <row r="8" spans="2:47" ht="57.95" customHeight="1" x14ac:dyDescent="0.35">
      <c r="B8" s="496">
        <v>2</v>
      </c>
      <c r="C8" s="332" t="s">
        <v>97</v>
      </c>
      <c r="D8" s="329" t="s">
        <v>0</v>
      </c>
      <c r="E8" s="337">
        <f>+E6/(E10*((62)))</f>
        <v>0.81148796423915448</v>
      </c>
      <c r="F8" s="337">
        <f>+F6/(F10*(62))</f>
        <v>0.76399888839968466</v>
      </c>
      <c r="G8" s="337">
        <f>+G6/(G10*(62)*$AM$3)</f>
        <v>0.81148796423915448</v>
      </c>
      <c r="H8" s="338">
        <f>'Solar Report_Base'!AI186</f>
        <v>0.75987422005392868</v>
      </c>
      <c r="I8" s="337">
        <f>+I6/(I10*(62)*$AN$3)</f>
        <v>0.8153868905392595</v>
      </c>
      <c r="J8" s="337">
        <f>J6/(J10*62*$AQ$3)</f>
        <v>0.80423321447974061</v>
      </c>
      <c r="K8" s="799"/>
      <c r="L8" s="337">
        <f>+L6/(L10*((999.4+248)))</f>
        <v>0.7412087341973651</v>
      </c>
      <c r="M8" s="337">
        <f>+M6/(M10*(999.4+248))</f>
        <v>0.49853389040298546</v>
      </c>
      <c r="N8" s="338">
        <f>+L8</f>
        <v>0.7412087341973651</v>
      </c>
      <c r="O8" s="338">
        <f>+O6/(O10*(999.4+248)*$AM$3)</f>
        <v>0.64999044970451603</v>
      </c>
      <c r="P8" s="337">
        <f>P6/(1247.4*P10*$AN$3)</f>
        <v>0.75010839969869092</v>
      </c>
      <c r="Q8" s="338">
        <f>+Q6/(Q10*(999.4+248)*$AN$3)</f>
        <v>0.64453924430388165</v>
      </c>
      <c r="R8" s="771"/>
      <c r="S8" s="337">
        <f>+S6/(S10*999.4)</f>
        <v>0.74967150546189454</v>
      </c>
      <c r="T8" s="337">
        <f>+T6/(T10*999.4)</f>
        <v>0.72207379841211861</v>
      </c>
      <c r="U8" s="338">
        <f>+S8</f>
        <v>0.74967150546189454</v>
      </c>
      <c r="V8" s="338">
        <f>+V6/(V10*999.4*$AM$3)</f>
        <v>0.65071436693905371</v>
      </c>
      <c r="W8" s="337">
        <f>+W6/(W10*999.4*$AN$3)</f>
        <v>0.76947642892167767</v>
      </c>
      <c r="X8" s="337">
        <f>+X6/(X10*999.4*$AN$3)</f>
        <v>0.70822870195290621</v>
      </c>
      <c r="Y8" s="799"/>
      <c r="Z8" s="337">
        <f>+Z6/(Z10*1998.8)</f>
        <v>0.75329196099748208</v>
      </c>
      <c r="AA8" s="337">
        <f>+AA6/(AA10*1998.8)</f>
        <v>0.75378560469615108</v>
      </c>
      <c r="AB8" s="338">
        <f>+Z8</f>
        <v>0.75329196099748208</v>
      </c>
      <c r="AC8" s="338">
        <f>+AC6/(AC10*1998.8*$AM$3)</f>
        <v>0.71416089191165988</v>
      </c>
      <c r="AD8" s="337">
        <f>+AD6/(AD10*1998.8*$AQ$3)</f>
        <v>0.77514988730196754</v>
      </c>
      <c r="AE8" s="337">
        <f>+AE6/(AE10*1998.8*$AQ$3)</f>
        <v>0.70878305423875232</v>
      </c>
      <c r="AF8" s="799"/>
      <c r="AG8" s="338">
        <f>+AG6/(AG10*999.37)</f>
        <v>0.74405892457859046</v>
      </c>
      <c r="AH8" s="338">
        <f>+AH6/(AH10*999.37)</f>
        <v>0.69081178045934633</v>
      </c>
      <c r="AI8" s="338">
        <f>+AG8</f>
        <v>0.74405892457859046</v>
      </c>
      <c r="AJ8" s="338">
        <f>+AJ6/(AJ10*999.4*$AM$3)</f>
        <v>0.66201066246405893</v>
      </c>
      <c r="AK8" s="337">
        <f>+AK6/(AK10*999.37*$AN$3)</f>
        <v>0.75646872733215331</v>
      </c>
      <c r="AL8" s="344">
        <f>+AL6/(AL10*999.4*$AN$3)</f>
        <v>0.70742607392113288</v>
      </c>
      <c r="AM8" s="95">
        <f>+Z8-AA8</f>
        <v>-4.936436986689996E-4</v>
      </c>
      <c r="AN8" s="94"/>
      <c r="AO8" s="28"/>
      <c r="AP8" s="28"/>
      <c r="AQ8" s="19">
        <v>0.20599999999999999</v>
      </c>
    </row>
    <row r="9" spans="2:47" ht="57.95" hidden="1" customHeight="1" x14ac:dyDescent="0.25">
      <c r="B9" s="61">
        <v>3</v>
      </c>
      <c r="C9" s="332" t="s">
        <v>86</v>
      </c>
      <c r="D9" s="330" t="s">
        <v>59</v>
      </c>
      <c r="E9" s="805">
        <f>+E15+E17+E19+E21</f>
        <v>0</v>
      </c>
      <c r="F9" s="805"/>
      <c r="G9" s="805">
        <f t="shared" ref="G9" si="0">+G15+G17+G19+G21</f>
        <v>38</v>
      </c>
      <c r="H9" s="805"/>
      <c r="I9" s="805">
        <f t="shared" ref="I9" si="1">+I15+I17+I19+I21</f>
        <v>127</v>
      </c>
      <c r="J9" s="805"/>
      <c r="K9" s="799"/>
      <c r="L9" s="805">
        <f t="shared" ref="L9" si="2">+L15+L17+L19+L21</f>
        <v>1964</v>
      </c>
      <c r="M9" s="805"/>
      <c r="N9" s="805">
        <f t="shared" ref="N9" si="3">+N15+N17+N19+N21</f>
        <v>7879</v>
      </c>
      <c r="O9" s="805"/>
      <c r="P9" s="805">
        <f t="shared" ref="P9" si="4">+P15+P17+P19+P21</f>
        <v>51282</v>
      </c>
      <c r="Q9" s="805"/>
      <c r="R9" s="771"/>
      <c r="S9" s="805">
        <f t="shared" ref="S9" si="5">+S15+S17+S19+S21</f>
        <v>69</v>
      </c>
      <c r="T9" s="805"/>
      <c r="U9" s="805">
        <f t="shared" ref="U9" si="6">+U15+U17+U19+U21</f>
        <v>7643</v>
      </c>
      <c r="V9" s="805"/>
      <c r="W9" s="805">
        <f t="shared" ref="W9" si="7">+W15+W17+W19+W21</f>
        <v>15961</v>
      </c>
      <c r="X9" s="805"/>
      <c r="Y9" s="799"/>
      <c r="Z9" s="805">
        <f t="shared" ref="Z9" si="8">+Z15+Z17+Z19+Z21</f>
        <v>101</v>
      </c>
      <c r="AA9" s="805"/>
      <c r="AB9" s="805">
        <f t="shared" ref="AB9" si="9">+AB15+AB17+AB19+AB21</f>
        <v>4956</v>
      </c>
      <c r="AC9" s="805"/>
      <c r="AD9" s="805">
        <f t="shared" ref="AD9" si="10">+AD15+AD17+AD19+AD21</f>
        <v>26829</v>
      </c>
      <c r="AE9" s="805"/>
      <c r="AF9" s="799"/>
      <c r="AG9" s="805">
        <f t="shared" ref="AG9" si="11">+AG15+AG17+AG19+AG21</f>
        <v>200</v>
      </c>
      <c r="AH9" s="805"/>
      <c r="AI9" s="805">
        <f t="shared" ref="AI9" si="12">+AI15+AI17+AI19+AI21</f>
        <v>6188</v>
      </c>
      <c r="AJ9" s="805"/>
      <c r="AK9" s="805">
        <f t="shared" ref="AK9" si="13">+AK15+AK17+AK19+AK21</f>
        <v>11640</v>
      </c>
      <c r="AL9" s="806"/>
      <c r="AM9" s="28"/>
      <c r="AN9" s="28"/>
      <c r="AO9" s="28"/>
      <c r="AP9" s="28"/>
      <c r="AQ9" s="28"/>
      <c r="AR9" s="28"/>
    </row>
    <row r="10" spans="2:47" ht="57.95" customHeight="1" x14ac:dyDescent="0.35">
      <c r="B10" s="62">
        <v>3</v>
      </c>
      <c r="C10" s="332" t="s">
        <v>115</v>
      </c>
      <c r="D10" s="330" t="s">
        <v>230</v>
      </c>
      <c r="E10" s="341">
        <v>6.35</v>
      </c>
      <c r="F10" s="340">
        <f>(HLOOKUP(AM3,'Solar Report_Base'!D177:AH196,6))</f>
        <v>7.6000786140746204</v>
      </c>
      <c r="G10" s="341">
        <f>E10</f>
        <v>6.35</v>
      </c>
      <c r="H10" s="341">
        <f>'Solar Report_Base'!AI182</f>
        <v>7.3256242878000188</v>
      </c>
      <c r="I10" s="339">
        <f>'Beawar Target'!D20+0.15</f>
        <v>6.7323590778848486</v>
      </c>
      <c r="J10" s="339">
        <f>'Bckup sheet'!G118+0.1</f>
        <v>6.7002979403474736</v>
      </c>
      <c r="K10" s="799"/>
      <c r="L10" s="339">
        <f>(Panipat!D12*999.4+Panipat_248!D12*248)/(999.4+248)</f>
        <v>5.9108830852899334</v>
      </c>
      <c r="M10" s="340">
        <f>(HLOOKUP(AM3,'Solar Report_Base'!B202:AI233,25,0))</f>
        <v>6.7473781860871211</v>
      </c>
      <c r="N10" s="341">
        <f>L10</f>
        <v>5.9108830852899334</v>
      </c>
      <c r="O10" s="341">
        <f>(('Solar Report_Base'!AI97*999.4)+('Solar Report_Base'!AI160*248))/(999.4+248)</f>
        <v>5.7787859231241328</v>
      </c>
      <c r="P10" s="339">
        <f>+((Panipat!D20*999.4+Panipat_248!D20*248)/(999.4+248))</f>
        <v>6.1639065664192216</v>
      </c>
      <c r="Q10" s="339">
        <f>'Bckup sheet'!G45</f>
        <v>6.1007164044554836</v>
      </c>
      <c r="R10" s="771"/>
      <c r="S10" s="339">
        <v>5.7309488888888893</v>
      </c>
      <c r="T10" s="340">
        <f>HLOOKUP(AM3,'Solar Report_Base'!B40:AI75,21,0)</f>
        <v>7.3707054980993272</v>
      </c>
      <c r="U10" s="341">
        <f>+S10</f>
        <v>5.7309488888888893</v>
      </c>
      <c r="V10" s="341">
        <f>+'Solar Report_Base'!AI60</f>
        <v>6.6675562332525002</v>
      </c>
      <c r="W10" s="339">
        <f>RGU!D20</f>
        <v>5.9909597325184443</v>
      </c>
      <c r="X10" s="341">
        <f>'Bckup sheet'!G22</f>
        <v>6.3780427451917783</v>
      </c>
      <c r="Y10" s="799"/>
      <c r="Z10" s="339">
        <v>4.7262181165333601</v>
      </c>
      <c r="AA10" s="340">
        <f>HLOOKUP(AM3,'Solar Report_Base'!B114:AI152,24,0)</f>
        <v>3</v>
      </c>
      <c r="AB10" s="341">
        <f>+Z10</f>
        <v>4.7262181165333601</v>
      </c>
      <c r="AC10" s="341">
        <f>+'Solar Report_Base'!AI137</f>
        <v>5.4402142427748883</v>
      </c>
      <c r="AD10" s="339">
        <f>Jharkhand!D20</f>
        <v>5.6250417459051292</v>
      </c>
      <c r="AE10" s="339">
        <f>'Bckup sheet'!G69</f>
        <v>5.6577811687251698</v>
      </c>
      <c r="AF10" s="799"/>
      <c r="AG10" s="341">
        <v>6.1996879392769886</v>
      </c>
      <c r="AH10" s="340">
        <f>HLOOKUP(AM3,'Solar Report_Base'!B3:AI38,21,0)</f>
        <v>7.17</v>
      </c>
      <c r="AI10" s="341">
        <f>+AG10</f>
        <v>6.1996879392769886</v>
      </c>
      <c r="AJ10" s="341">
        <f>+'Solar Report_Base'!AI23</f>
        <v>7.0217953445717018</v>
      </c>
      <c r="AK10" s="339">
        <f>Castamet!D20</f>
        <v>6.6656704177227004</v>
      </c>
      <c r="AL10" s="339">
        <f>'Bckup sheet'!G94</f>
        <v>6.8158259831783292</v>
      </c>
      <c r="AM10" s="95">
        <f>+Jharkhand!N28</f>
        <v>-3.2772556112652618E-2</v>
      </c>
      <c r="AN10" s="28"/>
      <c r="AO10" s="28"/>
      <c r="AP10" s="28">
        <f>25.3-21.6</f>
        <v>3.6999999999999993</v>
      </c>
      <c r="AQ10" s="28">
        <f>74.7-71.3</f>
        <v>3.4000000000000057</v>
      </c>
      <c r="AR10" s="28"/>
    </row>
    <row r="11" spans="2:47" ht="57.95" hidden="1" customHeight="1" x14ac:dyDescent="0.25">
      <c r="B11" s="62"/>
      <c r="C11" s="332"/>
      <c r="D11" s="330"/>
      <c r="E11" s="703"/>
      <c r="F11" s="703"/>
      <c r="G11" s="704"/>
      <c r="H11" s="704"/>
      <c r="I11" s="703"/>
      <c r="J11" s="703"/>
      <c r="K11" s="799"/>
      <c r="L11" s="702"/>
      <c r="M11" s="702"/>
      <c r="N11" s="702"/>
      <c r="O11" s="702"/>
      <c r="P11" s="702"/>
      <c r="Q11" s="702"/>
      <c r="R11" s="771"/>
      <c r="S11" s="702"/>
      <c r="T11" s="702"/>
      <c r="U11" s="701"/>
      <c r="V11" s="701"/>
      <c r="W11" s="702"/>
      <c r="X11" s="702"/>
      <c r="Y11" s="799"/>
      <c r="Z11" s="703"/>
      <c r="AA11" s="703"/>
      <c r="AB11" s="704"/>
      <c r="AC11" s="704"/>
      <c r="AD11" s="703"/>
      <c r="AE11" s="703"/>
      <c r="AF11" s="799"/>
      <c r="AG11" s="704"/>
      <c r="AH11" s="704"/>
      <c r="AI11" s="704"/>
      <c r="AJ11" s="704"/>
      <c r="AK11" s="704"/>
      <c r="AL11" s="804"/>
      <c r="AM11" s="28"/>
      <c r="AN11" s="28"/>
      <c r="AO11" s="28"/>
      <c r="AP11" s="28"/>
      <c r="AQ11" s="28"/>
      <c r="AR11" s="28"/>
    </row>
    <row r="12" spans="2:47" ht="57.95" hidden="1" customHeight="1" x14ac:dyDescent="0.35">
      <c r="B12" s="496">
        <v>4</v>
      </c>
      <c r="C12" s="493" t="s">
        <v>86</v>
      </c>
      <c r="D12" s="330" t="s">
        <v>60</v>
      </c>
      <c r="E12" s="694">
        <f>+E7-F7</f>
        <v>-2.7229293332691445E-2</v>
      </c>
      <c r="F12" s="695"/>
      <c r="G12" s="694">
        <f>+G7-H7</f>
        <v>-1.7436666604580847E-2</v>
      </c>
      <c r="H12" s="695"/>
      <c r="I12" s="694">
        <f>+I7-J7</f>
        <v>4.2031326655269929E-3</v>
      </c>
      <c r="J12" s="695"/>
      <c r="K12" s="799"/>
      <c r="L12" s="694">
        <f>L7-M7</f>
        <v>4.2391728021088149E-2</v>
      </c>
      <c r="M12" s="695"/>
      <c r="N12" s="694">
        <f>N7-O7</f>
        <v>2.6043437863282698E-2</v>
      </c>
      <c r="O12" s="695"/>
      <c r="P12" s="694">
        <f t="shared" ref="P12" si="14">P7-Q7</f>
        <v>2.8810289557872681E-2</v>
      </c>
      <c r="Q12" s="695"/>
      <c r="R12" s="771"/>
      <c r="S12" s="694">
        <f t="shared" ref="S12" si="15">+S7-T7</f>
        <v>-4.2744343113798433E-2</v>
      </c>
      <c r="T12" s="695"/>
      <c r="U12" s="694">
        <f>+U7-V7</f>
        <v>-1.764398003872375E-3</v>
      </c>
      <c r="V12" s="695"/>
      <c r="W12" s="694">
        <f>+W7-X7</f>
        <v>3.866223598522428E-3</v>
      </c>
      <c r="X12" s="695"/>
      <c r="Y12" s="799"/>
      <c r="Z12" s="694">
        <f>+Z7-AA7</f>
        <v>5.4119387459032803E-2</v>
      </c>
      <c r="AA12" s="695"/>
      <c r="AB12" s="694">
        <f>+AB7-AC7</f>
        <v>-1.3540255946057872E-2</v>
      </c>
      <c r="AC12" s="695"/>
      <c r="AD12" s="694">
        <f>+AD7-AE7</f>
        <v>1.4587960767654201E-2</v>
      </c>
      <c r="AE12" s="695"/>
      <c r="AF12" s="799"/>
      <c r="AG12" s="694">
        <f t="shared" ref="AG12" si="16">+AG7-AH7</f>
        <v>-1.4174046388559097E-2</v>
      </c>
      <c r="AH12" s="695"/>
      <c r="AI12" s="694">
        <f>+AI7-AJ7</f>
        <v>-1.4879079141414397E-3</v>
      </c>
      <c r="AJ12" s="695"/>
      <c r="AK12" s="694">
        <f>+AK7-AL7</f>
        <v>9.1888941634525878E-3</v>
      </c>
      <c r="AL12" s="721"/>
      <c r="AM12" s="95">
        <v>1.6E-2</v>
      </c>
      <c r="AN12" s="28"/>
      <c r="AO12" s="28"/>
      <c r="AP12" s="28">
        <f>73.6-7.7</f>
        <v>65.899999999999991</v>
      </c>
      <c r="AQ12" s="233">
        <f>+AQ8-AA8</f>
        <v>-0.54778560469615112</v>
      </c>
      <c r="AR12" s="28"/>
    </row>
    <row r="13" spans="2:47" ht="57.95" customHeight="1" x14ac:dyDescent="0.4">
      <c r="B13" s="496" t="s">
        <v>104</v>
      </c>
      <c r="C13" s="332" t="s">
        <v>99</v>
      </c>
      <c r="D13" s="330" t="s">
        <v>60</v>
      </c>
      <c r="E13" s="694">
        <f>E7-(HLOOKUP(AM3,'Solar Report_Base'!D177:AH196,7))</f>
        <v>-3.0297524128593961E-2</v>
      </c>
      <c r="F13" s="695"/>
      <c r="G13" s="694">
        <f>G7-'Solar Report_Base'!AI183</f>
        <v>-2.2187145664658847E-2</v>
      </c>
      <c r="H13" s="695"/>
      <c r="I13" s="694">
        <f>'Bckup sheet'!G112</f>
        <v>8.1752575277205253E-5</v>
      </c>
      <c r="J13" s="695"/>
      <c r="K13" s="799"/>
      <c r="L13" s="694">
        <f>L7-HLOOKUP(AM3,'Solar Report_Base'!B202:AI241,27,0)</f>
        <v>-2.5231578991697839E-2</v>
      </c>
      <c r="M13" s="695"/>
      <c r="N13" s="694">
        <f>N7-'Solar Report_Base'!AI228</f>
        <v>4.932502506590053E-3</v>
      </c>
      <c r="O13" s="695"/>
      <c r="P13" s="694">
        <f>'Bckup sheet'!G39-0.1%</f>
        <v>3.8772067009456021E-3</v>
      </c>
      <c r="Q13" s="695"/>
      <c r="R13" s="771"/>
      <c r="S13" s="694">
        <f>S7-(HLOOKUP(AM3,'Solar Report_Base'!B40:AI75,23,0))</f>
        <v>-4.7647270963635691E-2</v>
      </c>
      <c r="T13" s="695"/>
      <c r="U13" s="694">
        <f>U7-'Solar Report_Base'!AI62</f>
        <v>-2.6526487092472489E-2</v>
      </c>
      <c r="V13" s="695"/>
      <c r="W13" s="694">
        <f>'Bckup sheet'!G16</f>
        <v>-6.965078305742306E-3</v>
      </c>
      <c r="X13" s="695"/>
      <c r="Y13" s="799"/>
      <c r="Z13" s="694">
        <f>Z7-(HLOOKUP(AM3,'Solar Report_Base'!B114:AI152,26,0))</f>
        <v>5.0010622330262239E-2</v>
      </c>
      <c r="AA13" s="695"/>
      <c r="AB13" s="689">
        <f>AB7-'Solar Report_Base'!AI139</f>
        <v>-2.2929483937711964E-2</v>
      </c>
      <c r="AC13" s="690"/>
      <c r="AD13" s="694">
        <f>'Bckup sheet'!G63</f>
        <v>5.0915835635253481E-3</v>
      </c>
      <c r="AE13" s="695"/>
      <c r="AF13" s="799"/>
      <c r="AG13" s="720">
        <f>AG7-(HLOOKUP(AM3,'Solar Report_Base'!B3:AI38,23,0))</f>
        <v>-2.4174979076173941E-2</v>
      </c>
      <c r="AH13" s="720"/>
      <c r="AI13" s="720">
        <f>AI7-'Solar Report_Base'!AI25</f>
        <v>-2.1836246687956862E-2</v>
      </c>
      <c r="AJ13" s="720"/>
      <c r="AK13" s="694">
        <f>'Bckup sheet'!G87</f>
        <v>8.5201679824120635E-4</v>
      </c>
      <c r="AL13" s="721"/>
      <c r="AM13" s="95">
        <v>2.1999999999999999E-2</v>
      </c>
      <c r="AN13" s="197"/>
      <c r="AO13" s="197"/>
      <c r="AP13" s="28">
        <f>75-71.5</f>
        <v>3.5</v>
      </c>
      <c r="AQ13" s="28"/>
      <c r="AR13" s="28"/>
    </row>
    <row r="14" spans="2:47" ht="57.95" hidden="1" customHeight="1" x14ac:dyDescent="0.35">
      <c r="B14" s="496"/>
      <c r="C14" s="332" t="s">
        <v>117</v>
      </c>
      <c r="D14" s="330" t="s">
        <v>60</v>
      </c>
      <c r="E14" s="699">
        <f>'Beawar Target'!M26</f>
        <v>-2.9956848467487807E-3</v>
      </c>
      <c r="F14" s="700"/>
      <c r="G14" s="699">
        <f>'Beawar Target'!M40</f>
        <v>-2.0633329626088548E-3</v>
      </c>
      <c r="H14" s="700"/>
      <c r="I14" s="699">
        <f>'Beawar Target'!X57</f>
        <v>-4.6785746402103201E-4</v>
      </c>
      <c r="J14" s="700"/>
      <c r="K14" s="799"/>
      <c r="L14" s="699">
        <f>+Panipat!M29</f>
        <v>5.8575290066267827E-4</v>
      </c>
      <c r="M14" s="700"/>
      <c r="N14" s="699">
        <f>+Panipat!M35</f>
        <v>2.0131709689414662E-2</v>
      </c>
      <c r="O14" s="700"/>
      <c r="P14" s="699">
        <f>Panipat!M43</f>
        <v>1.3122205617676075E-3</v>
      </c>
      <c r="Q14" s="700"/>
      <c r="R14" s="771"/>
      <c r="S14" s="699">
        <f>+RGU!M28</f>
        <v>2.7866417353418216E-3</v>
      </c>
      <c r="T14" s="700"/>
      <c r="U14" s="699">
        <f>+RGU!M36</f>
        <v>3.7533297644295138E-2</v>
      </c>
      <c r="V14" s="700"/>
      <c r="W14" s="699">
        <f>RGU!M44</f>
        <v>4.0299635519980836E-3</v>
      </c>
      <c r="X14" s="700"/>
      <c r="Y14" s="799"/>
      <c r="Z14" s="699">
        <f>+Jharkhand!M28</f>
        <v>-6.4537603510302077E-3</v>
      </c>
      <c r="AA14" s="700"/>
      <c r="AB14" s="699">
        <f>+Jharkhand!M34</f>
        <v>4.8977990902923763E-2</v>
      </c>
      <c r="AC14" s="700"/>
      <c r="AD14" s="699">
        <f>Jharkhand!M41</f>
        <v>4.6277161570763004E-3</v>
      </c>
      <c r="AE14" s="700"/>
      <c r="AF14" s="799"/>
      <c r="AG14" s="720">
        <f>+Castamet!M29</f>
        <v>4.1535990875590512E-3</v>
      </c>
      <c r="AH14" s="720"/>
      <c r="AI14" s="698">
        <f>Castamet!M35</f>
        <v>2.4724877456349353E-2</v>
      </c>
      <c r="AJ14" s="698"/>
      <c r="AK14" s="720">
        <f>Castamet!M41</f>
        <v>5.7294124960513559E-4</v>
      </c>
      <c r="AL14" s="722"/>
      <c r="AM14" s="95">
        <v>4.0000000000000001E-3</v>
      </c>
      <c r="AN14" s="28"/>
      <c r="AO14" s="28"/>
      <c r="AP14" s="28"/>
      <c r="AQ14" s="28"/>
      <c r="AR14" s="28"/>
    </row>
    <row r="15" spans="2:47" ht="57.95" hidden="1" customHeight="1" x14ac:dyDescent="0.25">
      <c r="B15" s="684" t="s">
        <v>105</v>
      </c>
      <c r="C15" s="686" t="s">
        <v>101</v>
      </c>
      <c r="D15" s="331" t="s">
        <v>59</v>
      </c>
      <c r="E15" s="691">
        <f>HLOOKUP(AM3,'Solar Report_Base'!B177:AI196,14,0)</f>
        <v>0</v>
      </c>
      <c r="F15" s="692"/>
      <c r="G15" s="691">
        <v>0</v>
      </c>
      <c r="H15" s="692"/>
      <c r="I15" s="691">
        <v>0</v>
      </c>
      <c r="J15" s="692"/>
      <c r="K15" s="799"/>
      <c r="L15" s="691">
        <f>HLOOKUP(AM3,'Solar Report_Base'!B77:AI112,30,0)+HLOOKUP(AM3,'Solar Report_Base'!B154:AI175,16,0)</f>
        <v>1144</v>
      </c>
      <c r="M15" s="692"/>
      <c r="N15" s="687">
        <f>'Solar Report_Base'!AI106+'Solar Report_Base'!AI169</f>
        <v>3283</v>
      </c>
      <c r="O15" s="688"/>
      <c r="P15" s="691">
        <f>'Bckup sheet'!G30</f>
        <v>32500</v>
      </c>
      <c r="Q15" s="692"/>
      <c r="R15" s="771"/>
      <c r="S15" s="691">
        <f>HLOOKUP(AM3,'Solar Report_Base'!B40:AI75,30,0)</f>
        <v>0</v>
      </c>
      <c r="T15" s="692"/>
      <c r="U15" s="691">
        <f>'Solar Report_Base'!AI69</f>
        <v>0</v>
      </c>
      <c r="V15" s="692"/>
      <c r="W15" s="691">
        <f>0+U15</f>
        <v>0</v>
      </c>
      <c r="X15" s="692"/>
      <c r="Y15" s="799"/>
      <c r="Z15" s="691">
        <f>HLOOKUP(AM3,'Solar Report_Base'!B114:AI152,33,0)</f>
        <v>0</v>
      </c>
      <c r="AA15" s="692"/>
      <c r="AB15" s="691">
        <f>'Solar Report_Base'!AI146</f>
        <v>0</v>
      </c>
      <c r="AC15" s="692"/>
      <c r="AD15" s="691">
        <v>0</v>
      </c>
      <c r="AE15" s="692"/>
      <c r="AF15" s="799"/>
      <c r="AG15" s="691">
        <f>HLOOKUP(AM3,'Solar Report_Base'!B3:AI38,30,0)</f>
        <v>0</v>
      </c>
      <c r="AH15" s="692"/>
      <c r="AI15" s="691">
        <f>'Solar Report_Base'!AI32</f>
        <v>0</v>
      </c>
      <c r="AJ15" s="692"/>
      <c r="AK15" s="691">
        <f>0+AI15</f>
        <v>0</v>
      </c>
      <c r="AL15" s="693"/>
      <c r="AM15" s="28"/>
      <c r="AN15" s="28">
        <f>71.6-66.3</f>
        <v>5.2999999999999972</v>
      </c>
      <c r="AO15" s="28"/>
      <c r="AP15" s="28"/>
      <c r="AQ15" s="28"/>
      <c r="AR15" s="28"/>
    </row>
    <row r="16" spans="2:47" ht="65.25" customHeight="1" x14ac:dyDescent="0.25">
      <c r="B16" s="685"/>
      <c r="C16" s="686"/>
      <c r="D16" s="330" t="s">
        <v>60</v>
      </c>
      <c r="E16" s="689">
        <f>+E15/2.58333333333333</f>
        <v>0</v>
      </c>
      <c r="F16" s="690"/>
      <c r="G16" s="689">
        <f>G15/(62)/24/$AM$3</f>
        <v>0</v>
      </c>
      <c r="H16" s="690"/>
      <c r="I16" s="689">
        <f>+I15/62/24/$AN$3</f>
        <v>0</v>
      </c>
      <c r="J16" s="690"/>
      <c r="K16" s="799"/>
      <c r="L16" s="689">
        <f>+L15/((999.4+248))/24</f>
        <v>3.8212815990593764E-2</v>
      </c>
      <c r="M16" s="690"/>
      <c r="N16" s="689">
        <f>N15/(999.4+248)/24/$AM$3</f>
        <v>7.8329592218481115E-3</v>
      </c>
      <c r="O16" s="690"/>
      <c r="P16" s="689">
        <f>P15/(999.4+248)/24/$AN$3</f>
        <v>1.447455151158855E-2</v>
      </c>
      <c r="Q16" s="690"/>
      <c r="R16" s="771"/>
      <c r="S16" s="689">
        <f>+S15/999.4/24</f>
        <v>0</v>
      </c>
      <c r="T16" s="690"/>
      <c r="U16" s="689">
        <f>U15/999.4/24/$AM$3</f>
        <v>0</v>
      </c>
      <c r="V16" s="690"/>
      <c r="W16" s="689">
        <f>+W15/999.4/24/$AN$3</f>
        <v>0</v>
      </c>
      <c r="X16" s="690"/>
      <c r="Y16" s="799"/>
      <c r="Z16" s="689">
        <f>+Z15/1998.8/24</f>
        <v>0</v>
      </c>
      <c r="AA16" s="690"/>
      <c r="AB16" s="689">
        <f>AB15/1998.8/24/$AM$3</f>
        <v>0</v>
      </c>
      <c r="AC16" s="690"/>
      <c r="AD16" s="689">
        <f>+AD15/1998.8/24/$AQ$3</f>
        <v>0</v>
      </c>
      <c r="AE16" s="690"/>
      <c r="AF16" s="799"/>
      <c r="AG16" s="697">
        <f>+AG15/999.4/24</f>
        <v>0</v>
      </c>
      <c r="AH16" s="697"/>
      <c r="AI16" s="698">
        <f>AI15/999.37/24/$AM$3</f>
        <v>0</v>
      </c>
      <c r="AJ16" s="698"/>
      <c r="AK16" s="697">
        <f>+AK15/999.4/24/$AN$3</f>
        <v>0</v>
      </c>
      <c r="AL16" s="710"/>
      <c r="AM16" s="28"/>
      <c r="AN16" s="28"/>
      <c r="AO16" s="84"/>
      <c r="AP16" s="28"/>
      <c r="AQ16" s="28"/>
      <c r="AR16" s="28"/>
    </row>
    <row r="17" spans="2:44" ht="57.95" hidden="1" customHeight="1" x14ac:dyDescent="0.25">
      <c r="B17" s="684" t="s">
        <v>106</v>
      </c>
      <c r="C17" s="705" t="s">
        <v>103</v>
      </c>
      <c r="D17" s="331" t="s">
        <v>59</v>
      </c>
      <c r="E17" s="691">
        <f>HLOOKUP(AM3,'Solar Report_Base'!B177:AI196,16,0)</f>
        <v>0</v>
      </c>
      <c r="F17" s="692"/>
      <c r="G17" s="691">
        <f>'Solar Report_Base'!AB108</f>
        <v>0</v>
      </c>
      <c r="H17" s="692"/>
      <c r="I17" s="691">
        <v>0</v>
      </c>
      <c r="J17" s="692"/>
      <c r="K17" s="799"/>
      <c r="L17" s="691">
        <f>HLOOKUP(AM3,'Solar Report_Base'!B77:AI112,32,0)+HLOOKUP(AM3,'Solar Report_Base'!B154:AI175,18,0)</f>
        <v>450</v>
      </c>
      <c r="M17" s="692"/>
      <c r="N17" s="691">
        <f>'Solar Report_Base'!AI108+'Solar Report_Base'!AI171</f>
        <v>614</v>
      </c>
      <c r="O17" s="692"/>
      <c r="P17" s="691">
        <f>'Bckup sheet'!G31</f>
        <v>2003</v>
      </c>
      <c r="Q17" s="692"/>
      <c r="R17" s="771"/>
      <c r="S17" s="691">
        <f>HLOOKUP(AM3,'Solar Report_Base'!B40:AI75,32,0)</f>
        <v>0</v>
      </c>
      <c r="T17" s="692"/>
      <c r="U17" s="691">
        <f>'Solar Report_Base'!AI71</f>
        <v>7024</v>
      </c>
      <c r="V17" s="692"/>
      <c r="W17" s="691">
        <f>'Bckup sheet'!G8</f>
        <v>12187</v>
      </c>
      <c r="X17" s="692"/>
      <c r="Y17" s="799"/>
      <c r="Z17" s="691">
        <v>0</v>
      </c>
      <c r="AA17" s="692"/>
      <c r="AB17" s="691">
        <f>'Solar Report_Base'!AI148</f>
        <v>176</v>
      </c>
      <c r="AC17" s="692"/>
      <c r="AD17" s="691">
        <f>'Bckup sheet'!G55</f>
        <v>1007</v>
      </c>
      <c r="AE17" s="692"/>
      <c r="AF17" s="799"/>
      <c r="AG17" s="691">
        <f>HLOOKUP(AM3,'Solar Report_Base'!B3:AI38,32,0)</f>
        <v>200</v>
      </c>
      <c r="AH17" s="692"/>
      <c r="AI17" s="691">
        <f>'Solar Report_Base'!AI34</f>
        <v>6188</v>
      </c>
      <c r="AJ17" s="692"/>
      <c r="AK17" s="691">
        <f>'Bckup sheet'!G79</f>
        <v>10267</v>
      </c>
      <c r="AL17" s="693"/>
      <c r="AM17" s="28"/>
      <c r="AN17" s="28"/>
      <c r="AO17" s="28"/>
      <c r="AP17" s="28"/>
      <c r="AQ17" s="28"/>
      <c r="AR17" s="28"/>
    </row>
    <row r="18" spans="2:44" ht="57.95" customHeight="1" x14ac:dyDescent="0.25">
      <c r="B18" s="685"/>
      <c r="C18" s="706"/>
      <c r="D18" s="330" t="s">
        <v>60</v>
      </c>
      <c r="E18" s="689">
        <f>+M17/((62))/24</f>
        <v>0</v>
      </c>
      <c r="F18" s="690"/>
      <c r="G18" s="689">
        <f t="shared" ref="G18" si="17">+O17/((62))/24</f>
        <v>0</v>
      </c>
      <c r="H18" s="690"/>
      <c r="I18" s="689">
        <f t="shared" ref="I18" si="18">+Q17/((62))/24</f>
        <v>0</v>
      </c>
      <c r="J18" s="690"/>
      <c r="K18" s="799"/>
      <c r="L18" s="689">
        <f>+L17/((999.4+248))/24</f>
        <v>1.5031265031265029E-2</v>
      </c>
      <c r="M18" s="690"/>
      <c r="N18" s="689">
        <f>N17/(999.4+248)/24/$AM$3</f>
        <v>1.4649518617772584E-3</v>
      </c>
      <c r="O18" s="690"/>
      <c r="P18" s="689">
        <f>P17/(999.4+248)/24/$AN$3</f>
        <v>8.9207774392959568E-4</v>
      </c>
      <c r="Q18" s="690"/>
      <c r="R18" s="771"/>
      <c r="S18" s="689">
        <f>+S17/999.4/24</f>
        <v>0</v>
      </c>
      <c r="T18" s="690"/>
      <c r="U18" s="689">
        <f>U17/999.4/24/$AM$3</f>
        <v>2.091731229213719E-2</v>
      </c>
      <c r="V18" s="690"/>
      <c r="W18" s="689">
        <f>+W17/999.4/24/$AN$3</f>
        <v>6.7746203277522067E-3</v>
      </c>
      <c r="X18" s="690"/>
      <c r="Y18" s="799"/>
      <c r="Z18" s="689">
        <f>+Z17/1998.8/24</f>
        <v>0</v>
      </c>
      <c r="AA18" s="690"/>
      <c r="AB18" s="689">
        <f>AB17/1998.8/24/$AM$3</f>
        <v>2.6206199910422444E-4</v>
      </c>
      <c r="AC18" s="690"/>
      <c r="AD18" s="689">
        <f>+AD17/1998.8/24/$AQ$3</f>
        <v>2.7989015631601187E-4</v>
      </c>
      <c r="AE18" s="690"/>
      <c r="AF18" s="799"/>
      <c r="AG18" s="689">
        <f>+AG17/999.37/24</f>
        <v>8.3385866429183716E-3</v>
      </c>
      <c r="AH18" s="690"/>
      <c r="AI18" s="694">
        <f>AI17/999.37/24/$AM$3</f>
        <v>1.84282764808496E-2</v>
      </c>
      <c r="AJ18" s="695"/>
      <c r="AK18" s="689">
        <f>+AK17/999.4/24/$AN$3</f>
        <v>5.7073132768550019E-3</v>
      </c>
      <c r="AL18" s="696"/>
      <c r="AM18" s="28"/>
      <c r="AN18" s="28"/>
      <c r="AO18" s="28"/>
      <c r="AP18" s="28"/>
      <c r="AQ18" s="28"/>
      <c r="AR18" s="28"/>
    </row>
    <row r="19" spans="2:44" ht="57.95" hidden="1" customHeight="1" x14ac:dyDescent="0.25">
      <c r="B19" s="684" t="s">
        <v>107</v>
      </c>
      <c r="C19" s="686" t="s">
        <v>102</v>
      </c>
      <c r="D19" s="331" t="s">
        <v>59</v>
      </c>
      <c r="E19" s="691">
        <f>HLOOKUP(AM3,'Solar Report_Base'!B177:AI196,15,0)+HLOOKUP(AM3,'Solar Report_Base'!B177:AI196,17,0)</f>
        <v>0</v>
      </c>
      <c r="F19" s="692"/>
      <c r="G19" s="691">
        <f>'Solar Report_Base'!AI191+'Solar Report_Base'!AI193</f>
        <v>25</v>
      </c>
      <c r="H19" s="692"/>
      <c r="I19" s="691">
        <f>'Bckup sheet'!G105+'Bckup sheet'!G107</f>
        <v>101</v>
      </c>
      <c r="J19" s="692"/>
      <c r="K19" s="799"/>
      <c r="L19" s="691">
        <v>0</v>
      </c>
      <c r="M19" s="692"/>
      <c r="N19" s="691">
        <f>'Solar Report_Base'!AI107+'Solar Report_Base'!AI170</f>
        <v>415</v>
      </c>
      <c r="O19" s="692"/>
      <c r="P19" s="691">
        <f>'Bckup sheet'!G32</f>
        <v>1379</v>
      </c>
      <c r="Q19" s="692"/>
      <c r="R19" s="771"/>
      <c r="S19" s="691">
        <f>HLOOKUP(AM3,'Solar Report_Base'!B40:AI75,31,0)</f>
        <v>0</v>
      </c>
      <c r="T19" s="692"/>
      <c r="U19" s="691">
        <f>'Solar Report_Base'!AI70</f>
        <v>0</v>
      </c>
      <c r="V19" s="692"/>
      <c r="W19" s="691">
        <f>'Bckup sheet'!G9</f>
        <v>61</v>
      </c>
      <c r="X19" s="692"/>
      <c r="Y19" s="799"/>
      <c r="Z19" s="691">
        <f>HLOOKUP(AM3,'Solar Report_Base'!B114:AI152,34,0)+HLOOKUP(AM3,'Solar Report_Base'!B114:AI152,36,0)</f>
        <v>0</v>
      </c>
      <c r="AA19" s="692"/>
      <c r="AB19" s="691">
        <f>'Solar Report_Base'!AI147+'Solar Report_Base'!AI149</f>
        <v>1066</v>
      </c>
      <c r="AC19" s="692"/>
      <c r="AD19" s="691">
        <f>'Bckup sheet'!G56+'Bckup sheet'!G58</f>
        <v>5239</v>
      </c>
      <c r="AE19" s="692"/>
      <c r="AF19" s="799"/>
      <c r="AG19" s="691">
        <f>HLOOKUP(AM3,'Solar Report_Base'!B3:AI38,31,0)</f>
        <v>0</v>
      </c>
      <c r="AH19" s="692"/>
      <c r="AI19" s="691">
        <f>'Solar Report_Base'!AI33</f>
        <v>0</v>
      </c>
      <c r="AJ19" s="692"/>
      <c r="AK19" s="691">
        <f>'Bckup sheet'!G80</f>
        <v>394</v>
      </c>
      <c r="AL19" s="693"/>
      <c r="AM19" s="28"/>
      <c r="AN19" s="28"/>
      <c r="AO19" s="28"/>
      <c r="AP19" s="28"/>
      <c r="AQ19" s="28"/>
      <c r="AR19" s="28"/>
    </row>
    <row r="20" spans="2:44" ht="57.95" customHeight="1" x14ac:dyDescent="0.25">
      <c r="B20" s="685"/>
      <c r="C20" s="686"/>
      <c r="D20" s="330" t="s">
        <v>60</v>
      </c>
      <c r="E20" s="689">
        <f>E19/62/24</f>
        <v>0</v>
      </c>
      <c r="F20" s="690"/>
      <c r="G20" s="689">
        <f>G19/(62)/24/$AM$3</f>
        <v>1.2000768049155145E-3</v>
      </c>
      <c r="H20" s="690"/>
      <c r="I20" s="689">
        <f>I19/(62)/24/$AN$3</f>
        <v>9.0501792114695357E-4</v>
      </c>
      <c r="J20" s="690"/>
      <c r="K20" s="799"/>
      <c r="L20" s="689">
        <f>+L19/((999.4+248))/24</f>
        <v>0</v>
      </c>
      <c r="M20" s="690"/>
      <c r="N20" s="689">
        <f>N19/(999.4+248)/24/$AM$3</f>
        <v>9.901547599960299E-4</v>
      </c>
      <c r="O20" s="690"/>
      <c r="P20" s="689">
        <f>P19/(999.4+248)/24/$AN$3</f>
        <v>6.1416635490709566E-4</v>
      </c>
      <c r="Q20" s="690"/>
      <c r="R20" s="771"/>
      <c r="S20" s="689">
        <f>+S19/999.4/24</f>
        <v>0</v>
      </c>
      <c r="T20" s="690"/>
      <c r="U20" s="689">
        <f>U19/999.4/24/$AM$3</f>
        <v>0</v>
      </c>
      <c r="V20" s="690"/>
      <c r="W20" s="689">
        <f>+W19/999.4/24/$AN$3</f>
        <v>3.390923442954662E-5</v>
      </c>
      <c r="X20" s="690"/>
      <c r="Y20" s="799"/>
      <c r="Z20" s="689">
        <f>+Z19/1998.8/24</f>
        <v>0</v>
      </c>
      <c r="AA20" s="690"/>
      <c r="AB20" s="689">
        <f>AB19/1998.8/24/$AM$3</f>
        <v>1.5872618809380866E-3</v>
      </c>
      <c r="AC20" s="690"/>
      <c r="AD20" s="689">
        <f>+AD19/1998.8/24/$AQ$3</f>
        <v>1.4561514686589733E-3</v>
      </c>
      <c r="AE20" s="690"/>
      <c r="AF20" s="799"/>
      <c r="AG20" s="697">
        <f>+AG19/999.4/24</f>
        <v>0</v>
      </c>
      <c r="AH20" s="697"/>
      <c r="AI20" s="698">
        <f>AI19/999.37/24/$AM$3</f>
        <v>0</v>
      </c>
      <c r="AJ20" s="698"/>
      <c r="AK20" s="697">
        <f>+AK19/999.4/24/$AN$3</f>
        <v>2.1902030106953061E-4</v>
      </c>
      <c r="AL20" s="710"/>
      <c r="AM20" s="28"/>
      <c r="AN20" s="28"/>
      <c r="AO20" s="28"/>
      <c r="AP20" s="28"/>
      <c r="AQ20" s="28"/>
      <c r="AR20" s="28"/>
    </row>
    <row r="21" spans="2:44" ht="57.95" hidden="1" customHeight="1" x14ac:dyDescent="0.25">
      <c r="B21" s="684" t="s">
        <v>108</v>
      </c>
      <c r="C21" s="686" t="s">
        <v>100</v>
      </c>
      <c r="D21" s="331" t="s">
        <v>59</v>
      </c>
      <c r="E21" s="687">
        <f>HLOOKUP(AM3,'Solar Report_Base'!B177:AI196,13,0)</f>
        <v>0</v>
      </c>
      <c r="F21" s="688"/>
      <c r="G21" s="687">
        <f>'Solar Report_Base'!AI189</f>
        <v>13</v>
      </c>
      <c r="H21" s="688"/>
      <c r="I21" s="687">
        <f>'Bckup sheet'!G106</f>
        <v>26</v>
      </c>
      <c r="J21" s="688"/>
      <c r="K21" s="799"/>
      <c r="L21" s="687">
        <f>HLOOKUP(AM3,'Solar Report_Base'!B77:AI112,29,0)+HLOOKUP(AM3,'Solar Report_Base'!B154:AI175,15,0)</f>
        <v>370</v>
      </c>
      <c r="M21" s="688"/>
      <c r="N21" s="687">
        <f>'Solar Report_Base'!AI105+'Solar Report_Base'!AI168</f>
        <v>3567</v>
      </c>
      <c r="O21" s="688"/>
      <c r="P21" s="687">
        <f>'Bckup sheet'!G33</f>
        <v>15400</v>
      </c>
      <c r="Q21" s="688"/>
      <c r="R21" s="771"/>
      <c r="S21" s="687">
        <f>HLOOKUP(AM3,'Solar Report_Base'!B40:AI75,29,0)</f>
        <v>69</v>
      </c>
      <c r="T21" s="688"/>
      <c r="U21" s="687">
        <f>'Solar Report_Base'!AI68</f>
        <v>619</v>
      </c>
      <c r="V21" s="688"/>
      <c r="W21" s="687">
        <f>'Bckup sheet'!G10</f>
        <v>3713</v>
      </c>
      <c r="X21" s="688"/>
      <c r="Y21" s="799"/>
      <c r="Z21" s="687">
        <f>HLOOKUP(AM3,'Solar Report_Base'!B114:AI152,32,0)</f>
        <v>101</v>
      </c>
      <c r="AA21" s="688"/>
      <c r="AB21" s="687">
        <f>'Solar Report_Base'!AI145</f>
        <v>3714</v>
      </c>
      <c r="AC21" s="688"/>
      <c r="AD21" s="687">
        <f>'Bckup sheet'!G57</f>
        <v>20583</v>
      </c>
      <c r="AE21" s="688"/>
      <c r="AF21" s="799"/>
      <c r="AG21" s="687">
        <f>HLOOKUP(AM3,'Solar Report_Base'!B3:AI38,29,0)</f>
        <v>0</v>
      </c>
      <c r="AH21" s="688"/>
      <c r="AI21" s="687">
        <f>'Solar Report_Base'!AI31</f>
        <v>0</v>
      </c>
      <c r="AJ21" s="688"/>
      <c r="AK21" s="687">
        <f>'Bckup sheet'!G81</f>
        <v>979</v>
      </c>
      <c r="AL21" s="808"/>
      <c r="AM21" s="28"/>
      <c r="AN21" s="28"/>
      <c r="AO21" s="28"/>
      <c r="AP21" s="231" t="e">
        <f>75.2%-#REF!</f>
        <v>#REF!</v>
      </c>
      <c r="AQ21" s="28"/>
      <c r="AR21" s="28"/>
    </row>
    <row r="22" spans="2:44" ht="57.95" customHeight="1" x14ac:dyDescent="0.25">
      <c r="B22" s="685"/>
      <c r="C22" s="686"/>
      <c r="D22" s="330" t="s">
        <v>60</v>
      </c>
      <c r="E22" s="689">
        <f>E21/62/24</f>
        <v>0</v>
      </c>
      <c r="F22" s="690"/>
      <c r="G22" s="689">
        <f>G21/(62)/24/$AM$3</f>
        <v>6.2403993855606767E-4</v>
      </c>
      <c r="H22" s="690"/>
      <c r="I22" s="689">
        <f>+I21/62/24/$AN$3</f>
        <v>2.3297491039426526E-4</v>
      </c>
      <c r="J22" s="690"/>
      <c r="K22" s="799"/>
      <c r="L22" s="689">
        <f>+L21/((999.4+248))/24</f>
        <v>1.2359040136817913E-2</v>
      </c>
      <c r="M22" s="690"/>
      <c r="N22" s="689">
        <f>N21/(999.4+248)/24/$AM$3</f>
        <v>8.5105591057972E-3</v>
      </c>
      <c r="O22" s="690"/>
      <c r="P22" s="689">
        <f>P21/(999.4+248)/24/$AN$3</f>
        <v>6.8587105624142658E-3</v>
      </c>
      <c r="Q22" s="690"/>
      <c r="R22" s="771"/>
      <c r="S22" s="689">
        <f>+S21/999.4/24</f>
        <v>2.8767260356213731E-3</v>
      </c>
      <c r="T22" s="690"/>
      <c r="U22" s="689">
        <f>U21/999.4/24/$AM$3</f>
        <v>1.843367925517215E-3</v>
      </c>
      <c r="V22" s="690"/>
      <c r="W22" s="689">
        <f>+W21/999.4/24/$AN$3</f>
        <v>2.0640161874902721E-3</v>
      </c>
      <c r="X22" s="690"/>
      <c r="Y22" s="799"/>
      <c r="Z22" s="689">
        <f>+Z21/1998.8/24</f>
        <v>2.1054299246214396E-3</v>
      </c>
      <c r="AA22" s="690"/>
      <c r="AB22" s="689">
        <f>AB21/1998.8/24/$AM$3</f>
        <v>5.5301037765516457E-3</v>
      </c>
      <c r="AC22" s="690"/>
      <c r="AD22" s="689">
        <f>+AD21/1998.8/24/$AQ$3</f>
        <v>5.7209325595357213E-3</v>
      </c>
      <c r="AE22" s="690"/>
      <c r="AF22" s="799"/>
      <c r="AG22" s="689">
        <f>+AG21/999.4/24</f>
        <v>0</v>
      </c>
      <c r="AH22" s="690"/>
      <c r="AI22" s="694">
        <f>AI21/999.37/24/$AM$3</f>
        <v>0</v>
      </c>
      <c r="AJ22" s="695"/>
      <c r="AK22" s="697">
        <f>+AK21/999.4/24/$AN$3</f>
        <v>5.4421541813977272E-4</v>
      </c>
      <c r="AL22" s="710"/>
      <c r="AM22" s="807"/>
      <c r="AN22" s="696"/>
      <c r="AO22" s="28"/>
      <c r="AP22" s="28"/>
      <c r="AQ22" s="28"/>
      <c r="AR22" s="28"/>
    </row>
    <row r="23" spans="2:44" ht="57.95" customHeight="1" x14ac:dyDescent="0.5">
      <c r="B23" s="496" t="s">
        <v>231</v>
      </c>
      <c r="C23" s="333" t="s">
        <v>270</v>
      </c>
      <c r="D23" s="330" t="s">
        <v>60</v>
      </c>
      <c r="E23" s="689">
        <f>E12-E13-E16-E18-E20-E22</f>
        <v>3.0682307959025157E-3</v>
      </c>
      <c r="F23" s="690"/>
      <c r="G23" s="689">
        <f>G12-G13-G16-G18-G20-G22</f>
        <v>2.9263623166064178E-3</v>
      </c>
      <c r="H23" s="690"/>
      <c r="I23" s="689">
        <f t="shared" ref="I23" si="19">I12-I13-I16-I18-I20-I22</f>
        <v>2.983387258708569E-3</v>
      </c>
      <c r="J23" s="690"/>
      <c r="K23" s="799"/>
      <c r="L23" s="689">
        <f>L12-L13-L16-L18-L20-L22</f>
        <v>2.0201858541092823E-3</v>
      </c>
      <c r="M23" s="690"/>
      <c r="N23" s="689">
        <f>N12-N13-N16-N18-N20-N22</f>
        <v>2.3123104072740458E-3</v>
      </c>
      <c r="O23" s="690"/>
      <c r="P23" s="689">
        <f>P12-P13-P16-P18-P20-P22</f>
        <v>2.0935766840875737E-3</v>
      </c>
      <c r="Q23" s="690"/>
      <c r="R23" s="771"/>
      <c r="S23" s="689">
        <f>S12-S13-S16-S18-S20-S22</f>
        <v>2.0262018142158844E-3</v>
      </c>
      <c r="T23" s="690"/>
      <c r="U23" s="689">
        <f>U12-U13-U16-U18-U20-U22</f>
        <v>2.0014088709457093E-3</v>
      </c>
      <c r="V23" s="690"/>
      <c r="W23" s="689">
        <f>W12-W13-W16-W18-W20-W22</f>
        <v>1.9587561545927087E-3</v>
      </c>
      <c r="X23" s="690"/>
      <c r="Y23" s="799"/>
      <c r="Z23" s="689">
        <f t="shared" ref="Z23" si="20">Z12-Z13-Z16-Z18-Z20-Z22</f>
        <v>2.0033352041491244E-3</v>
      </c>
      <c r="AA23" s="690"/>
      <c r="AB23" s="689">
        <f t="shared" ref="AB23" si="21">AB12-AB13-AB16-AB18-AB20-AB22</f>
        <v>2.0098003350601358E-3</v>
      </c>
      <c r="AC23" s="690"/>
      <c r="AD23" s="689">
        <f>AD12-AD13-AD16-AD18-AD20-AD22</f>
        <v>2.039403019618146E-3</v>
      </c>
      <c r="AE23" s="690"/>
      <c r="AF23" s="799"/>
      <c r="AG23" s="689">
        <f>AG12-AG13-AG16-AG18-AG20-AG22</f>
        <v>1.6623460446964725E-3</v>
      </c>
      <c r="AH23" s="690"/>
      <c r="AI23" s="689">
        <f t="shared" ref="AI23" si="22">AI12-AI13-AI16-AI18-AI20-AI22</f>
        <v>1.9200622929658219E-3</v>
      </c>
      <c r="AJ23" s="690"/>
      <c r="AK23" s="689">
        <f t="shared" ref="AK23" si="23">AK12-AK13-AK16-AK18-AK20-AK22</f>
        <v>1.8663283691470762E-3</v>
      </c>
      <c r="AL23" s="696"/>
      <c r="AM23" s="52"/>
      <c r="AN23" s="28"/>
      <c r="AO23" s="28"/>
      <c r="AP23" s="28"/>
      <c r="AQ23" s="28"/>
      <c r="AR23" s="28"/>
    </row>
    <row r="24" spans="2:44" ht="409.5" customHeight="1" thickBot="1" x14ac:dyDescent="0.4">
      <c r="B24" s="60">
        <v>5</v>
      </c>
      <c r="C24" s="731" t="s">
        <v>92</v>
      </c>
      <c r="D24" s="731"/>
      <c r="E24" s="711" t="s">
        <v>360</v>
      </c>
      <c r="F24" s="712"/>
      <c r="G24" s="712"/>
      <c r="H24" s="712"/>
      <c r="I24" s="712"/>
      <c r="J24" s="713"/>
      <c r="K24" s="799"/>
      <c r="L24" s="735" t="s">
        <v>364</v>
      </c>
      <c r="M24" s="736"/>
      <c r="N24" s="736"/>
      <c r="O24" s="736"/>
      <c r="P24" s="736"/>
      <c r="Q24" s="737"/>
      <c r="R24" s="771"/>
      <c r="S24" s="707" t="s">
        <v>361</v>
      </c>
      <c r="T24" s="708"/>
      <c r="U24" s="708"/>
      <c r="V24" s="708"/>
      <c r="W24" s="708"/>
      <c r="X24" s="709"/>
      <c r="Y24" s="799"/>
      <c r="Z24" s="728" t="s">
        <v>362</v>
      </c>
      <c r="AA24" s="729"/>
      <c r="AB24" s="729"/>
      <c r="AC24" s="729"/>
      <c r="AD24" s="729"/>
      <c r="AE24" s="730"/>
      <c r="AF24" s="799"/>
      <c r="AG24" s="732" t="s">
        <v>363</v>
      </c>
      <c r="AH24" s="733"/>
      <c r="AI24" s="733"/>
      <c r="AJ24" s="733"/>
      <c r="AK24" s="733"/>
      <c r="AL24" s="734"/>
      <c r="AM24" s="239"/>
      <c r="AN24" s="28"/>
      <c r="AO24" s="28"/>
      <c r="AP24" s="28"/>
      <c r="AQ24" s="28"/>
      <c r="AR24" s="28"/>
    </row>
    <row r="25" spans="2:44" ht="39" customHeight="1" thickBot="1" x14ac:dyDescent="0.3">
      <c r="B25" s="299"/>
      <c r="C25" s="240"/>
      <c r="D25" s="240"/>
      <c r="E25" s="240"/>
      <c r="F25" s="240"/>
      <c r="G25" s="240"/>
      <c r="H25" s="240"/>
      <c r="I25" s="240"/>
      <c r="J25" s="240"/>
      <c r="K25" s="799"/>
      <c r="L25" s="302"/>
      <c r="M25" s="302"/>
      <c r="N25" s="302"/>
      <c r="O25" s="302"/>
      <c r="P25" s="302"/>
      <c r="Q25" s="302"/>
      <c r="R25" s="771"/>
      <c r="S25" s="302"/>
      <c r="T25" s="302"/>
      <c r="U25" s="302"/>
      <c r="V25" s="302"/>
      <c r="W25" s="302"/>
      <c r="X25" s="302"/>
      <c r="Y25" s="799"/>
      <c r="Z25" s="240"/>
      <c r="AA25" s="240"/>
      <c r="AB25" s="240"/>
      <c r="AC25" s="240"/>
      <c r="AD25" s="240"/>
      <c r="AE25" s="240"/>
      <c r="AF25" s="799"/>
      <c r="AG25" s="240"/>
      <c r="AH25" s="240"/>
      <c r="AI25" s="240"/>
      <c r="AJ25" s="240"/>
      <c r="AK25" s="240"/>
      <c r="AL25" s="300"/>
      <c r="AM25" s="28"/>
      <c r="AN25" s="28"/>
      <c r="AO25" s="28"/>
      <c r="AP25" s="28"/>
      <c r="AQ25" s="28"/>
      <c r="AR25" s="28"/>
    </row>
    <row r="26" spans="2:44" ht="178.5" customHeight="1" thickBot="1" x14ac:dyDescent="0.3">
      <c r="B26" s="83">
        <v>1</v>
      </c>
      <c r="C26" s="738" t="s">
        <v>94</v>
      </c>
      <c r="D26" s="738"/>
      <c r="E26" s="714"/>
      <c r="F26" s="715"/>
      <c r="G26" s="715"/>
      <c r="H26" s="715"/>
      <c r="I26" s="715"/>
      <c r="J26" s="716"/>
      <c r="K26" s="799"/>
      <c r="L26" s="739" t="s">
        <v>338</v>
      </c>
      <c r="M26" s="740"/>
      <c r="N26" s="740"/>
      <c r="O26" s="740"/>
      <c r="P26" s="740"/>
      <c r="Q26" s="741"/>
      <c r="R26" s="771"/>
      <c r="S26" s="739" t="s">
        <v>339</v>
      </c>
      <c r="T26" s="740"/>
      <c r="U26" s="740"/>
      <c r="V26" s="740"/>
      <c r="W26" s="740"/>
      <c r="X26" s="741"/>
      <c r="Y26" s="799"/>
      <c r="Z26" s="745" t="s">
        <v>341</v>
      </c>
      <c r="AA26" s="746"/>
      <c r="AB26" s="746"/>
      <c r="AC26" s="746"/>
      <c r="AD26" s="746"/>
      <c r="AE26" s="747"/>
      <c r="AF26" s="799"/>
      <c r="AG26" s="743"/>
      <c r="AH26" s="743"/>
      <c r="AI26" s="743"/>
      <c r="AJ26" s="743"/>
      <c r="AK26" s="743"/>
      <c r="AL26" s="744"/>
      <c r="AM26" s="28"/>
      <c r="AN26" s="28"/>
      <c r="AO26" s="28"/>
      <c r="AP26" s="28"/>
      <c r="AQ26" s="28"/>
      <c r="AR26" s="28"/>
    </row>
    <row r="27" spans="2:44" ht="156" customHeight="1" x14ac:dyDescent="0.25">
      <c r="B27" s="82">
        <v>2</v>
      </c>
      <c r="C27" s="723" t="s">
        <v>95</v>
      </c>
      <c r="D27" s="723"/>
      <c r="E27" s="768"/>
      <c r="F27" s="768"/>
      <c r="G27" s="768"/>
      <c r="H27" s="768"/>
      <c r="I27" s="768"/>
      <c r="J27" s="768"/>
      <c r="K27" s="799"/>
      <c r="L27" s="727"/>
      <c r="M27" s="727"/>
      <c r="N27" s="727"/>
      <c r="O27" s="727"/>
      <c r="P27" s="727"/>
      <c r="Q27" s="727"/>
      <c r="R27" s="771"/>
      <c r="S27" s="727" t="s">
        <v>340</v>
      </c>
      <c r="T27" s="727"/>
      <c r="U27" s="727"/>
      <c r="V27" s="727"/>
      <c r="W27" s="727"/>
      <c r="X27" s="727"/>
      <c r="Y27" s="799"/>
      <c r="Z27" s="742" t="s">
        <v>342</v>
      </c>
      <c r="AA27" s="742"/>
      <c r="AB27" s="742"/>
      <c r="AC27" s="742"/>
      <c r="AD27" s="742"/>
      <c r="AE27" s="742"/>
      <c r="AF27" s="799"/>
      <c r="AG27" s="724"/>
      <c r="AH27" s="725"/>
      <c r="AI27" s="725"/>
      <c r="AJ27" s="725"/>
      <c r="AK27" s="725"/>
      <c r="AL27" s="726"/>
      <c r="AM27" s="28"/>
      <c r="AN27" s="28"/>
      <c r="AO27" s="28"/>
      <c r="AP27" s="28"/>
      <c r="AQ27" s="28"/>
      <c r="AR27" s="28"/>
    </row>
    <row r="28" spans="2:44" ht="183.75" hidden="1" customHeight="1" thickBot="1" x14ac:dyDescent="0.3">
      <c r="B28" s="51">
        <v>8</v>
      </c>
      <c r="C28" s="757" t="s">
        <v>88</v>
      </c>
      <c r="D28" s="757"/>
      <c r="E28" s="296"/>
      <c r="F28" s="769"/>
      <c r="G28" s="769"/>
      <c r="H28" s="769"/>
      <c r="I28" s="769"/>
      <c r="J28" s="769"/>
      <c r="K28" s="799"/>
      <c r="L28" s="325"/>
      <c r="M28" s="727"/>
      <c r="N28" s="727"/>
      <c r="O28" s="727"/>
      <c r="P28" s="727"/>
      <c r="Q28" s="727"/>
      <c r="R28" s="771"/>
      <c r="S28" s="325"/>
      <c r="T28" s="727"/>
      <c r="U28" s="727"/>
      <c r="V28" s="727"/>
      <c r="W28" s="727"/>
      <c r="X28" s="727"/>
      <c r="Y28" s="799"/>
      <c r="Z28" s="494"/>
      <c r="AA28" s="742"/>
      <c r="AB28" s="742"/>
      <c r="AC28" s="742"/>
      <c r="AD28" s="742"/>
      <c r="AE28" s="742"/>
      <c r="AF28" s="799"/>
      <c r="AG28" s="495"/>
      <c r="AH28" s="766"/>
      <c r="AI28" s="766"/>
      <c r="AJ28" s="766"/>
      <c r="AK28" s="766"/>
      <c r="AL28" s="767"/>
      <c r="AM28" s="28"/>
      <c r="AN28" s="28"/>
      <c r="AO28" s="28"/>
      <c r="AP28" s="28"/>
      <c r="AQ28" s="28"/>
      <c r="AR28" s="28"/>
    </row>
    <row r="29" spans="2:44" ht="270.75" customHeight="1" x14ac:dyDescent="0.25">
      <c r="B29" s="48">
        <v>3</v>
      </c>
      <c r="C29" s="757" t="s">
        <v>114</v>
      </c>
      <c r="D29" s="757"/>
      <c r="E29" s="763"/>
      <c r="F29" s="764"/>
      <c r="G29" s="764"/>
      <c r="H29" s="764"/>
      <c r="I29" s="764"/>
      <c r="J29" s="765"/>
      <c r="K29" s="799"/>
      <c r="L29" s="751"/>
      <c r="M29" s="752"/>
      <c r="N29" s="752"/>
      <c r="O29" s="752"/>
      <c r="P29" s="752"/>
      <c r="Q29" s="753"/>
      <c r="R29" s="771"/>
      <c r="S29" s="751" t="s">
        <v>224</v>
      </c>
      <c r="T29" s="752"/>
      <c r="U29" s="752"/>
      <c r="V29" s="752"/>
      <c r="W29" s="752"/>
      <c r="X29" s="753"/>
      <c r="Y29" s="799"/>
      <c r="Z29" s="760"/>
      <c r="AA29" s="761"/>
      <c r="AB29" s="761"/>
      <c r="AC29" s="761"/>
      <c r="AD29" s="761"/>
      <c r="AE29" s="762"/>
      <c r="AF29" s="799"/>
      <c r="AG29" s="758"/>
      <c r="AH29" s="758"/>
      <c r="AI29" s="758"/>
      <c r="AJ29" s="758"/>
      <c r="AK29" s="758"/>
      <c r="AL29" s="759"/>
      <c r="AM29" s="28"/>
      <c r="AN29" s="28"/>
      <c r="AO29" s="28"/>
      <c r="AP29" s="28"/>
      <c r="AQ29" s="28"/>
      <c r="AR29" s="28"/>
    </row>
    <row r="30" spans="2:44" ht="156" customHeight="1" x14ac:dyDescent="0.25">
      <c r="B30" s="51">
        <v>4</v>
      </c>
      <c r="C30" s="757" t="s">
        <v>87</v>
      </c>
      <c r="D30" s="757"/>
      <c r="E30" s="763"/>
      <c r="F30" s="764"/>
      <c r="G30" s="764"/>
      <c r="H30" s="764"/>
      <c r="I30" s="764"/>
      <c r="J30" s="765"/>
      <c r="K30" s="799"/>
      <c r="L30" s="754"/>
      <c r="M30" s="755"/>
      <c r="N30" s="755"/>
      <c r="O30" s="755"/>
      <c r="P30" s="755"/>
      <c r="Q30" s="756"/>
      <c r="R30" s="771"/>
      <c r="S30" s="754"/>
      <c r="T30" s="755"/>
      <c r="U30" s="755"/>
      <c r="V30" s="755"/>
      <c r="W30" s="755"/>
      <c r="X30" s="756"/>
      <c r="Y30" s="799"/>
      <c r="Z30" s="763"/>
      <c r="AA30" s="764"/>
      <c r="AB30" s="764"/>
      <c r="AC30" s="764"/>
      <c r="AD30" s="764"/>
      <c r="AE30" s="765"/>
      <c r="AF30" s="799"/>
      <c r="AG30" s="758"/>
      <c r="AH30" s="758"/>
      <c r="AI30" s="758"/>
      <c r="AJ30" s="758"/>
      <c r="AK30" s="758"/>
      <c r="AL30" s="759"/>
      <c r="AM30" s="28"/>
      <c r="AN30" s="28"/>
      <c r="AO30" s="28"/>
      <c r="AP30" s="28"/>
      <c r="AQ30" s="28"/>
      <c r="AR30" s="28"/>
    </row>
    <row r="31" spans="2:44" ht="69" customHeight="1" thickBot="1" x14ac:dyDescent="0.3">
      <c r="B31" s="60">
        <v>5</v>
      </c>
      <c r="C31" s="731" t="s">
        <v>93</v>
      </c>
      <c r="D31" s="731"/>
      <c r="E31" s="774"/>
      <c r="F31" s="775"/>
      <c r="G31" s="775"/>
      <c r="H31" s="775"/>
      <c r="I31" s="775"/>
      <c r="J31" s="776"/>
      <c r="K31" s="800"/>
      <c r="L31" s="748"/>
      <c r="M31" s="749"/>
      <c r="N31" s="749"/>
      <c r="O31" s="749"/>
      <c r="P31" s="749"/>
      <c r="Q31" s="750"/>
      <c r="R31" s="772"/>
      <c r="S31" s="748"/>
      <c r="T31" s="749"/>
      <c r="U31" s="749"/>
      <c r="V31" s="749"/>
      <c r="W31" s="749"/>
      <c r="X31" s="750"/>
      <c r="Y31" s="800"/>
      <c r="Z31" s="774"/>
      <c r="AA31" s="775"/>
      <c r="AB31" s="775"/>
      <c r="AC31" s="775"/>
      <c r="AD31" s="775"/>
      <c r="AE31" s="776"/>
      <c r="AF31" s="800"/>
      <c r="AG31" s="777"/>
      <c r="AH31" s="777"/>
      <c r="AI31" s="777"/>
      <c r="AJ31" s="777"/>
      <c r="AK31" s="777"/>
      <c r="AL31" s="778"/>
      <c r="AM31" s="28"/>
      <c r="AN31" s="28"/>
      <c r="AO31" s="28"/>
      <c r="AP31" s="28"/>
      <c r="AQ31" s="28"/>
      <c r="AR31" s="28"/>
    </row>
    <row r="32" spans="2:44" ht="47.25" thickBot="1" x14ac:dyDescent="0.35">
      <c r="B32" s="383"/>
      <c r="C32" s="785"/>
      <c r="D32" s="786"/>
      <c r="E32" s="786"/>
      <c r="F32" s="786"/>
      <c r="G32" s="786"/>
      <c r="H32" s="786"/>
      <c r="I32" s="786"/>
      <c r="J32" s="786"/>
      <c r="K32" s="786"/>
      <c r="L32" s="786"/>
      <c r="M32" s="786"/>
      <c r="N32" s="786"/>
      <c r="O32" s="786"/>
      <c r="P32" s="786"/>
      <c r="Q32" s="786"/>
      <c r="R32" s="786"/>
      <c r="S32" s="786"/>
      <c r="T32" s="786"/>
      <c r="U32" s="385"/>
      <c r="V32" s="385"/>
      <c r="W32" s="385"/>
      <c r="X32" s="385"/>
      <c r="Y32" s="385"/>
      <c r="Z32" s="384"/>
      <c r="AA32" s="385"/>
      <c r="AB32" s="385"/>
      <c r="AC32" s="385"/>
      <c r="AD32" s="385"/>
      <c r="AE32" s="385"/>
      <c r="AF32" s="385"/>
      <c r="AG32" s="384"/>
      <c r="AH32" s="385"/>
      <c r="AI32" s="384"/>
      <c r="AJ32" s="385"/>
      <c r="AK32" s="385"/>
      <c r="AL32" s="386"/>
    </row>
    <row r="33" spans="2:38" x14ac:dyDescent="0.3">
      <c r="B33" s="560"/>
      <c r="C33" s="28"/>
      <c r="D33" s="28"/>
      <c r="E33" s="28"/>
      <c r="F33" s="561"/>
      <c r="G33" s="561"/>
      <c r="H33" s="561"/>
      <c r="I33" s="561"/>
      <c r="J33" s="561"/>
      <c r="K33" s="561"/>
      <c r="L33" s="28"/>
      <c r="M33" s="561"/>
      <c r="N33" s="561"/>
      <c r="O33" s="561"/>
      <c r="P33" s="561"/>
      <c r="Q33" s="561"/>
      <c r="R33" s="561"/>
      <c r="S33" s="28"/>
      <c r="T33" s="561"/>
      <c r="U33" s="561"/>
      <c r="V33" s="561"/>
      <c r="W33" s="561"/>
      <c r="X33" s="561"/>
      <c r="Y33" s="561"/>
      <c r="Z33" s="28"/>
      <c r="AA33" s="561"/>
      <c r="AB33" s="561"/>
      <c r="AC33" s="561"/>
      <c r="AD33" s="561"/>
      <c r="AE33" s="561"/>
      <c r="AF33" s="561"/>
      <c r="AG33" s="28"/>
      <c r="AH33" s="561"/>
      <c r="AI33" s="28"/>
      <c r="AJ33" s="561"/>
      <c r="AK33" s="561"/>
      <c r="AL33" s="562"/>
    </row>
    <row r="34" spans="2:38" x14ac:dyDescent="0.3">
      <c r="B34" s="1"/>
      <c r="C34" s="1"/>
      <c r="D34" s="1"/>
      <c r="E34" s="1"/>
      <c r="F34" s="176"/>
      <c r="G34" s="176"/>
      <c r="H34" s="176"/>
      <c r="I34" s="176"/>
      <c r="J34" s="176"/>
      <c r="K34" s="176"/>
      <c r="L34" s="1"/>
      <c r="M34" s="176"/>
      <c r="N34" s="176"/>
      <c r="O34" s="176"/>
      <c r="P34" s="176"/>
      <c r="Q34" s="176"/>
      <c r="R34" s="176"/>
      <c r="S34" s="1"/>
      <c r="T34" s="176"/>
      <c r="U34" s="176"/>
      <c r="V34" s="176"/>
      <c r="W34" s="176"/>
      <c r="X34" s="176"/>
      <c r="Y34" s="176"/>
      <c r="Z34" s="1"/>
      <c r="AA34" s="176"/>
      <c r="AB34" s="176"/>
      <c r="AC34" s="176"/>
      <c r="AD34" s="176"/>
      <c r="AE34" s="176"/>
      <c r="AF34" s="176"/>
      <c r="AG34" s="1"/>
      <c r="AH34" s="176"/>
      <c r="AI34" s="1"/>
      <c r="AJ34" s="176"/>
      <c r="AK34" s="176"/>
      <c r="AL34" s="176"/>
    </row>
    <row r="35" spans="2:38" ht="66" customHeight="1" x14ac:dyDescent="0.45">
      <c r="B35" s="1"/>
      <c r="C35" s="1"/>
      <c r="D35" s="1"/>
      <c r="E35" s="563"/>
      <c r="F35" s="563"/>
      <c r="G35" s="563"/>
      <c r="H35" s="563"/>
      <c r="I35" s="563"/>
      <c r="J35" s="563"/>
      <c r="K35" s="563"/>
      <c r="L35" s="563"/>
      <c r="M35" s="563"/>
      <c r="N35" s="563"/>
      <c r="O35" s="563"/>
      <c r="P35" s="563"/>
      <c r="Q35" s="563"/>
      <c r="R35" s="563"/>
      <c r="S35" s="563"/>
      <c r="T35" s="563"/>
      <c r="U35" s="563"/>
      <c r="V35" s="563"/>
      <c r="W35" s="563"/>
      <c r="X35" s="563"/>
      <c r="Y35" s="563"/>
      <c r="Z35" s="563"/>
      <c r="AA35" s="563"/>
      <c r="AB35" s="563"/>
      <c r="AC35" s="563"/>
      <c r="AD35" s="563"/>
      <c r="AE35" s="563"/>
      <c r="AF35" s="563"/>
      <c r="AG35" s="563"/>
      <c r="AH35" s="563"/>
      <c r="AI35" s="563"/>
      <c r="AJ35" s="563"/>
      <c r="AK35" s="563"/>
      <c r="AL35" s="563"/>
    </row>
    <row r="36" spans="2:38" ht="69.75" customHeight="1" x14ac:dyDescent="0.45">
      <c r="B36" s="1"/>
      <c r="C36" s="1"/>
      <c r="D36" s="1"/>
      <c r="E36" s="552">
        <f>+E23*62*24</f>
        <v>4.5655274243029433</v>
      </c>
      <c r="F36" s="563"/>
      <c r="G36" s="563"/>
      <c r="H36" s="563"/>
      <c r="I36" s="563"/>
      <c r="J36" s="563"/>
      <c r="K36" s="564"/>
      <c r="L36" s="552">
        <f>+L23*999.4*24</f>
        <v>48.455369822323604</v>
      </c>
      <c r="M36" s="564"/>
      <c r="N36" s="564"/>
      <c r="O36" s="564"/>
      <c r="P36" s="564"/>
      <c r="Q36" s="564"/>
      <c r="R36" s="564"/>
      <c r="S36" s="552">
        <f>+S23*999.4*24</f>
        <v>48.599666235056517</v>
      </c>
      <c r="T36" s="564"/>
      <c r="U36" s="564"/>
      <c r="V36" s="564"/>
      <c r="W36" s="564"/>
      <c r="X36" s="564"/>
      <c r="Y36" s="564"/>
      <c r="Z36" s="552">
        <f>+Z23*999.4*2*24</f>
        <v>96.102393745278476</v>
      </c>
      <c r="AA36" s="564"/>
      <c r="AB36" s="564"/>
      <c r="AC36" s="564"/>
      <c r="AD36" s="564"/>
      <c r="AE36" s="564"/>
      <c r="AF36" s="564"/>
      <c r="AG36" s="552">
        <f>+AG23*999.4*24</f>
        <v>39.872367289671715</v>
      </c>
      <c r="AH36" s="564"/>
      <c r="AI36" s="1"/>
      <c r="AJ36" s="564"/>
      <c r="AK36" s="564"/>
      <c r="AL36" s="564"/>
    </row>
    <row r="37" spans="2:38" ht="42.75" customHeight="1" x14ac:dyDescent="0.3">
      <c r="B37" s="1"/>
      <c r="C37" s="1"/>
      <c r="D37" s="1"/>
      <c r="E37" s="565">
        <f>E8-F8</f>
        <v>4.7489075839469819E-2</v>
      </c>
      <c r="F37" s="566" t="s">
        <v>294</v>
      </c>
      <c r="G37" s="566" t="s">
        <v>295</v>
      </c>
      <c r="H37" s="566" t="s">
        <v>313</v>
      </c>
      <c r="I37" s="566" t="s">
        <v>296</v>
      </c>
      <c r="J37" s="566" t="s">
        <v>274</v>
      </c>
      <c r="K37" s="564"/>
      <c r="L37" s="565">
        <f>L8-M8</f>
        <v>0.24267484379437965</v>
      </c>
      <c r="M37" s="566" t="s">
        <v>294</v>
      </c>
      <c r="N37" s="566" t="s">
        <v>295</v>
      </c>
      <c r="O37" s="566" t="s">
        <v>313</v>
      </c>
      <c r="P37" s="566" t="s">
        <v>296</v>
      </c>
      <c r="Q37" s="566" t="s">
        <v>274</v>
      </c>
      <c r="R37" s="564"/>
      <c r="S37" s="565">
        <f>+S8-T8</f>
        <v>2.7597707049775932E-2</v>
      </c>
      <c r="T37" s="566" t="s">
        <v>294</v>
      </c>
      <c r="U37" s="566" t="s">
        <v>295</v>
      </c>
      <c r="V37" s="566" t="s">
        <v>313</v>
      </c>
      <c r="W37" s="566" t="s">
        <v>296</v>
      </c>
      <c r="X37" s="566" t="s">
        <v>274</v>
      </c>
      <c r="Y37" s="564"/>
      <c r="Z37" s="565">
        <f>+Z8-AA8</f>
        <v>-4.936436986689996E-4</v>
      </c>
      <c r="AA37" s="566" t="s">
        <v>294</v>
      </c>
      <c r="AB37" s="566" t="s">
        <v>295</v>
      </c>
      <c r="AC37" s="566" t="s">
        <v>313</v>
      </c>
      <c r="AD37" s="566" t="s">
        <v>296</v>
      </c>
      <c r="AE37" s="566" t="s">
        <v>274</v>
      </c>
      <c r="AF37" s="564"/>
      <c r="AG37" s="565">
        <f>+AG8-AH8</f>
        <v>5.3247144119244139E-2</v>
      </c>
      <c r="AH37" s="566" t="s">
        <v>294</v>
      </c>
      <c r="AI37" s="566" t="s">
        <v>295</v>
      </c>
      <c r="AJ37" s="566" t="s">
        <v>313</v>
      </c>
      <c r="AK37" s="566" t="s">
        <v>296</v>
      </c>
      <c r="AL37" s="566" t="s">
        <v>274</v>
      </c>
    </row>
    <row r="38" spans="2:38" ht="51" customHeight="1" x14ac:dyDescent="0.45">
      <c r="B38" s="1"/>
      <c r="C38" s="1"/>
      <c r="D38" s="1"/>
      <c r="E38" s="567" t="s">
        <v>297</v>
      </c>
      <c r="F38" s="568">
        <f>+F44-F42</f>
        <v>9.6890496586825581E-3</v>
      </c>
      <c r="G38" s="568">
        <f t="shared" ref="G38:H38" si="24">+G44-G42</f>
        <v>0</v>
      </c>
      <c r="H38" s="568">
        <f t="shared" si="24"/>
        <v>0</v>
      </c>
      <c r="I38" s="568">
        <f>+I44-I42</f>
        <v>0</v>
      </c>
      <c r="J38" s="568">
        <f>+J44-J42</f>
        <v>0</v>
      </c>
      <c r="K38" s="176"/>
      <c r="L38" s="1"/>
      <c r="M38" s="568">
        <f>+M44-M42</f>
        <v>5.7570648304187122E-3</v>
      </c>
      <c r="N38" s="568">
        <f t="shared" ref="N38:P38" si="25">+N44-N42</f>
        <v>0.13592058403741136</v>
      </c>
      <c r="O38" s="568">
        <f t="shared" si="25"/>
        <v>5.3465264700030657E-2</v>
      </c>
      <c r="P38" s="568">
        <f t="shared" si="25"/>
        <v>0</v>
      </c>
      <c r="Q38" s="568">
        <f>+Q44-Q42</f>
        <v>4.3960328753358535E-2</v>
      </c>
      <c r="R38" s="176"/>
      <c r="S38" s="1"/>
      <c r="T38" s="568">
        <f>+T44-T42</f>
        <v>6.5975833051151733E-3</v>
      </c>
      <c r="U38" s="568">
        <f t="shared" ref="U38:X38" si="26">+U44-U42</f>
        <v>0</v>
      </c>
      <c r="V38" s="568">
        <f t="shared" si="26"/>
        <v>0</v>
      </c>
      <c r="W38" s="568">
        <f t="shared" si="26"/>
        <v>0</v>
      </c>
      <c r="X38" s="568">
        <f t="shared" si="26"/>
        <v>9.3670035891023629E-3</v>
      </c>
      <c r="Y38" s="176"/>
      <c r="Z38" s="1"/>
      <c r="AA38" s="568">
        <f>+AA44-AA42</f>
        <v>1.6026681633192985E-2</v>
      </c>
      <c r="AB38" s="568">
        <f t="shared" ref="AB38:AD38" si="27">+AB44-AB42</f>
        <v>0</v>
      </c>
      <c r="AC38" s="568">
        <f t="shared" si="27"/>
        <v>0</v>
      </c>
      <c r="AD38" s="568">
        <f t="shared" si="27"/>
        <v>0</v>
      </c>
      <c r="AE38" s="568">
        <f>+AE44-AE42</f>
        <v>1.6843439396971527E-2</v>
      </c>
      <c r="AF38" s="176"/>
      <c r="AG38" s="569"/>
      <c r="AH38" s="568">
        <f t="shared" ref="AH38:AL38" si="28">+AH44-AH42</f>
        <v>5.5645052603043865E-3</v>
      </c>
      <c r="AI38" s="568">
        <f t="shared" si="28"/>
        <v>0</v>
      </c>
      <c r="AJ38" s="568">
        <f t="shared" si="28"/>
        <v>2.7911587089266443E-2</v>
      </c>
      <c r="AK38" s="568">
        <f t="shared" si="28"/>
        <v>0</v>
      </c>
      <c r="AL38" s="568">
        <f t="shared" si="28"/>
        <v>0</v>
      </c>
    </row>
    <row r="39" spans="2:38" s="196" customFormat="1" ht="26.25" x14ac:dyDescent="0.4">
      <c r="B39" s="570"/>
      <c r="C39" s="570"/>
      <c r="D39" s="570"/>
      <c r="E39" s="570"/>
      <c r="F39" s="570"/>
      <c r="G39" s="570"/>
      <c r="H39" s="570"/>
      <c r="I39" s="570"/>
      <c r="J39" s="570"/>
      <c r="K39" s="570"/>
      <c r="L39" s="570"/>
      <c r="M39" s="570"/>
      <c r="N39" s="570"/>
      <c r="O39" s="570"/>
      <c r="P39" s="570"/>
      <c r="Q39" s="570"/>
      <c r="R39" s="570"/>
      <c r="S39" s="570"/>
      <c r="T39" s="570"/>
      <c r="U39" s="570"/>
      <c r="V39" s="570"/>
      <c r="W39" s="570"/>
      <c r="X39" s="570"/>
      <c r="Y39" s="570"/>
      <c r="Z39" s="570"/>
      <c r="AA39" s="570"/>
      <c r="AB39" s="570"/>
      <c r="AC39" s="570"/>
      <c r="AD39" s="570"/>
      <c r="AE39" s="570"/>
      <c r="AF39" s="570"/>
      <c r="AG39" s="570"/>
      <c r="AH39" s="570"/>
      <c r="AI39" s="570"/>
      <c r="AJ39" s="570"/>
      <c r="AK39" s="570"/>
      <c r="AL39" s="570"/>
    </row>
    <row r="40" spans="2:38" s="196" customFormat="1" ht="26.25" x14ac:dyDescent="0.4">
      <c r="B40" s="570"/>
      <c r="C40" s="570"/>
      <c r="D40" s="570"/>
      <c r="E40" s="570"/>
      <c r="F40" s="348">
        <f>+E36</f>
        <v>4.5655274243029433</v>
      </c>
      <c r="G40" s="348">
        <f>+E15</f>
        <v>0</v>
      </c>
      <c r="H40" s="348">
        <f>+E17</f>
        <v>0</v>
      </c>
      <c r="I40" s="348">
        <f>+E19</f>
        <v>0</v>
      </c>
      <c r="J40" s="348">
        <f>+E21</f>
        <v>0</v>
      </c>
      <c r="K40" s="570"/>
      <c r="L40" s="570"/>
      <c r="M40" s="348">
        <f>+L36</f>
        <v>48.455369822323604</v>
      </c>
      <c r="N40" s="348">
        <f>+L15</f>
        <v>1144</v>
      </c>
      <c r="O40" s="348">
        <f>+L17</f>
        <v>450</v>
      </c>
      <c r="P40" s="348">
        <f>+L19</f>
        <v>0</v>
      </c>
      <c r="Q40" s="348">
        <f>+L21</f>
        <v>370</v>
      </c>
      <c r="R40" s="570"/>
      <c r="S40" s="570"/>
      <c r="T40" s="348">
        <f>+S36</f>
        <v>48.599666235056517</v>
      </c>
      <c r="U40" s="348">
        <f>+S15</f>
        <v>0</v>
      </c>
      <c r="V40" s="348">
        <f>+S17</f>
        <v>0</v>
      </c>
      <c r="W40" s="348">
        <f>+S19</f>
        <v>0</v>
      </c>
      <c r="X40" s="348">
        <f>+S21</f>
        <v>69</v>
      </c>
      <c r="Y40" s="570"/>
      <c r="Z40" s="570"/>
      <c r="AA40" s="348">
        <f>+Z36</f>
        <v>96.102393745278476</v>
      </c>
      <c r="AB40" s="348">
        <f>+Z15</f>
        <v>0</v>
      </c>
      <c r="AC40" s="348">
        <f>+Z17</f>
        <v>0</v>
      </c>
      <c r="AD40" s="348">
        <f>+Z19</f>
        <v>0</v>
      </c>
      <c r="AE40" s="348">
        <f>+Z21</f>
        <v>101</v>
      </c>
      <c r="AF40" s="570"/>
      <c r="AG40" s="570"/>
      <c r="AH40" s="348">
        <f>+AG36</f>
        <v>39.872367289671715</v>
      </c>
      <c r="AI40" s="348">
        <f>+AG15</f>
        <v>0</v>
      </c>
      <c r="AJ40" s="348">
        <f>+AG17</f>
        <v>200</v>
      </c>
      <c r="AK40" s="348">
        <f>+AG19</f>
        <v>0</v>
      </c>
      <c r="AL40" s="348">
        <f>+AG21</f>
        <v>0</v>
      </c>
    </row>
    <row r="41" spans="2:38" s="196" customFormat="1" ht="26.25" x14ac:dyDescent="0.4">
      <c r="B41" s="570"/>
      <c r="C41" s="570"/>
      <c r="D41" s="570"/>
      <c r="E41" s="570"/>
      <c r="F41" s="349">
        <f>+$F$6</f>
        <v>360</v>
      </c>
      <c r="G41" s="349">
        <f t="shared" ref="G41:I41" si="29">+$F$6</f>
        <v>360</v>
      </c>
      <c r="H41" s="349">
        <f t="shared" si="29"/>
        <v>360</v>
      </c>
      <c r="I41" s="349">
        <f t="shared" si="29"/>
        <v>360</v>
      </c>
      <c r="J41" s="349">
        <f>+$F$6</f>
        <v>360</v>
      </c>
      <c r="K41" s="570"/>
      <c r="L41" s="570"/>
      <c r="M41" s="349">
        <f>+$M$6</f>
        <v>4196.0000000002765</v>
      </c>
      <c r="N41" s="349">
        <f t="shared" ref="N41:Q41" si="30">+$M$6</f>
        <v>4196.0000000002765</v>
      </c>
      <c r="O41" s="349">
        <f t="shared" si="30"/>
        <v>4196.0000000002765</v>
      </c>
      <c r="P41" s="349">
        <f t="shared" si="30"/>
        <v>4196.0000000002765</v>
      </c>
      <c r="Q41" s="349">
        <f t="shared" si="30"/>
        <v>4196.0000000002765</v>
      </c>
      <c r="R41" s="570"/>
      <c r="S41" s="570"/>
      <c r="T41" s="349">
        <f>+$T$6</f>
        <v>5319.0000000000737</v>
      </c>
      <c r="U41" s="349">
        <f t="shared" ref="U41:X41" si="31">+$T$6</f>
        <v>5319.0000000000737</v>
      </c>
      <c r="V41" s="349">
        <f t="shared" si="31"/>
        <v>5319.0000000000737</v>
      </c>
      <c r="W41" s="349">
        <f t="shared" si="31"/>
        <v>5319.0000000000737</v>
      </c>
      <c r="X41" s="349">
        <f t="shared" si="31"/>
        <v>5319.0000000000737</v>
      </c>
      <c r="Y41" s="570"/>
      <c r="Z41" s="570"/>
      <c r="AA41" s="349">
        <f>+$AA$6</f>
        <v>4520</v>
      </c>
      <c r="AB41" s="349">
        <f t="shared" ref="AB41:AE41" si="32">+$AA$6</f>
        <v>4520</v>
      </c>
      <c r="AC41" s="349">
        <f t="shared" si="32"/>
        <v>4520</v>
      </c>
      <c r="AD41" s="349">
        <f t="shared" si="32"/>
        <v>4520</v>
      </c>
      <c r="AE41" s="349">
        <f t="shared" si="32"/>
        <v>4520</v>
      </c>
      <c r="AF41" s="570"/>
      <c r="AG41" s="570"/>
      <c r="AH41" s="349">
        <f>+$AH$6</f>
        <v>4950</v>
      </c>
      <c r="AI41" s="349">
        <f t="shared" ref="AI41:AL41" si="33">+$AH$6</f>
        <v>4950</v>
      </c>
      <c r="AJ41" s="349">
        <f t="shared" si="33"/>
        <v>4950</v>
      </c>
      <c r="AK41" s="349">
        <f t="shared" si="33"/>
        <v>4950</v>
      </c>
      <c r="AL41" s="349">
        <f t="shared" si="33"/>
        <v>4950</v>
      </c>
    </row>
    <row r="42" spans="2:38" s="196" customFormat="1" ht="26.25" x14ac:dyDescent="0.4">
      <c r="B42" s="570"/>
      <c r="C42" s="570"/>
      <c r="D42" s="570"/>
      <c r="E42" s="570"/>
      <c r="F42" s="350">
        <f>+$F$6/($F$10*(62))</f>
        <v>0.76399888839968466</v>
      </c>
      <c r="G42" s="350">
        <f t="shared" ref="G42:I42" si="34">+$F$6/($F$10*(62))</f>
        <v>0.76399888839968466</v>
      </c>
      <c r="H42" s="350">
        <f t="shared" si="34"/>
        <v>0.76399888839968466</v>
      </c>
      <c r="I42" s="350">
        <f t="shared" si="34"/>
        <v>0.76399888839968466</v>
      </c>
      <c r="J42" s="350">
        <f>+$F$6/($F$10*(62))</f>
        <v>0.76399888839968466</v>
      </c>
      <c r="K42" s="570"/>
      <c r="L42" s="570"/>
      <c r="M42" s="350">
        <f>+$M$6/($M$10*(999.4+248))</f>
        <v>0.49853389040298546</v>
      </c>
      <c r="N42" s="350">
        <f t="shared" ref="N42:Q42" si="35">+$M$6/($M$10*(999.4+248))</f>
        <v>0.49853389040298546</v>
      </c>
      <c r="O42" s="350">
        <f t="shared" si="35"/>
        <v>0.49853389040298546</v>
      </c>
      <c r="P42" s="350">
        <f t="shared" si="35"/>
        <v>0.49853389040298546</v>
      </c>
      <c r="Q42" s="350">
        <f t="shared" si="35"/>
        <v>0.49853389040298546</v>
      </c>
      <c r="R42" s="570"/>
      <c r="S42" s="570"/>
      <c r="T42" s="350">
        <f>+$T$6/($T$10*999.4)</f>
        <v>0.72207379841211861</v>
      </c>
      <c r="U42" s="350">
        <f t="shared" ref="U42:X42" si="36">+$T$6/($T$10*999.4)</f>
        <v>0.72207379841211861</v>
      </c>
      <c r="V42" s="350">
        <f t="shared" si="36"/>
        <v>0.72207379841211861</v>
      </c>
      <c r="W42" s="350">
        <f t="shared" si="36"/>
        <v>0.72207379841211861</v>
      </c>
      <c r="X42" s="350">
        <f t="shared" si="36"/>
        <v>0.72207379841211861</v>
      </c>
      <c r="Y42" s="570"/>
      <c r="Z42" s="570"/>
      <c r="AA42" s="350">
        <f>+$AA$8</f>
        <v>0.75378560469615108</v>
      </c>
      <c r="AB42" s="350">
        <f t="shared" ref="AB42:AE42" si="37">+$AA$8</f>
        <v>0.75378560469615108</v>
      </c>
      <c r="AC42" s="350">
        <f t="shared" si="37"/>
        <v>0.75378560469615108</v>
      </c>
      <c r="AD42" s="350">
        <f t="shared" si="37"/>
        <v>0.75378560469615108</v>
      </c>
      <c r="AE42" s="350">
        <f t="shared" si="37"/>
        <v>0.75378560469615108</v>
      </c>
      <c r="AF42" s="570"/>
      <c r="AG42" s="570"/>
      <c r="AH42" s="350">
        <f>+$AH$8</f>
        <v>0.69081178045934633</v>
      </c>
      <c r="AI42" s="350">
        <f t="shared" ref="AI42:AL42" si="38">+$AH$8</f>
        <v>0.69081178045934633</v>
      </c>
      <c r="AJ42" s="350">
        <f t="shared" si="38"/>
        <v>0.69081178045934633</v>
      </c>
      <c r="AK42" s="350">
        <f t="shared" si="38"/>
        <v>0.69081178045934633</v>
      </c>
      <c r="AL42" s="350">
        <f t="shared" si="38"/>
        <v>0.69081178045934633</v>
      </c>
    </row>
    <row r="43" spans="2:38" s="196" customFormat="1" ht="26.25" x14ac:dyDescent="0.4">
      <c r="B43" s="570"/>
      <c r="C43" s="570"/>
      <c r="D43" s="570"/>
      <c r="E43" s="570"/>
      <c r="F43" s="348">
        <f>+F41+F40</f>
        <v>364.56552742430296</v>
      </c>
      <c r="G43" s="348">
        <f>+G41+G40</f>
        <v>360</v>
      </c>
      <c r="H43" s="348">
        <f t="shared" ref="H43:I43" si="39">+H41+H40</f>
        <v>360</v>
      </c>
      <c r="I43" s="348">
        <f t="shared" si="39"/>
        <v>360</v>
      </c>
      <c r="J43" s="348">
        <f>+J41+J40</f>
        <v>360</v>
      </c>
      <c r="K43" s="570"/>
      <c r="L43" s="570"/>
      <c r="M43" s="348">
        <f>+M41+M40</f>
        <v>4244.4553698226</v>
      </c>
      <c r="N43" s="348">
        <f t="shared" ref="N43:Q43" si="40">+N41+N40</f>
        <v>5340.0000000002765</v>
      </c>
      <c r="O43" s="348">
        <f t="shared" si="40"/>
        <v>4646.0000000002765</v>
      </c>
      <c r="P43" s="348">
        <f t="shared" si="40"/>
        <v>4196.0000000002765</v>
      </c>
      <c r="Q43" s="348">
        <f t="shared" si="40"/>
        <v>4566.0000000002765</v>
      </c>
      <c r="R43" s="570"/>
      <c r="S43" s="570"/>
      <c r="T43" s="348">
        <f>+T41+T40</f>
        <v>5367.5996662351299</v>
      </c>
      <c r="U43" s="348">
        <f t="shared" ref="U43:X43" si="41">+U41+U40</f>
        <v>5319.0000000000737</v>
      </c>
      <c r="V43" s="348">
        <f t="shared" si="41"/>
        <v>5319.0000000000737</v>
      </c>
      <c r="W43" s="348">
        <f t="shared" si="41"/>
        <v>5319.0000000000737</v>
      </c>
      <c r="X43" s="348">
        <f t="shared" si="41"/>
        <v>5388.0000000000737</v>
      </c>
      <c r="Y43" s="570"/>
      <c r="Z43" s="570"/>
      <c r="AA43" s="348">
        <f>+AA41+AA40</f>
        <v>4616.1023937452783</v>
      </c>
      <c r="AB43" s="348">
        <f t="shared" ref="AB43:AE43" si="42">+AB41+AB40</f>
        <v>4520</v>
      </c>
      <c r="AC43" s="348">
        <f t="shared" si="42"/>
        <v>4520</v>
      </c>
      <c r="AD43" s="348">
        <f t="shared" si="42"/>
        <v>4520</v>
      </c>
      <c r="AE43" s="348">
        <f t="shared" si="42"/>
        <v>4621</v>
      </c>
      <c r="AF43" s="570"/>
      <c r="AG43" s="570"/>
      <c r="AH43" s="348">
        <f>+AH41+AH40</f>
        <v>4989.8723672896713</v>
      </c>
      <c r="AI43" s="348">
        <f t="shared" ref="AI43:AL43" si="43">+AI41+AI40</f>
        <v>4950</v>
      </c>
      <c r="AJ43" s="348">
        <f t="shared" si="43"/>
        <v>5150</v>
      </c>
      <c r="AK43" s="348">
        <f t="shared" si="43"/>
        <v>4950</v>
      </c>
      <c r="AL43" s="348">
        <f t="shared" si="43"/>
        <v>4950</v>
      </c>
    </row>
    <row r="44" spans="2:38" s="196" customFormat="1" ht="26.25" x14ac:dyDescent="0.4">
      <c r="B44" s="570"/>
      <c r="C44" s="570"/>
      <c r="D44" s="570"/>
      <c r="E44" s="570"/>
      <c r="F44" s="350">
        <f>+F43/($F$10*(62))</f>
        <v>0.77368793805836722</v>
      </c>
      <c r="G44" s="350">
        <f t="shared" ref="G44:I44" si="44">+G43/($F$10*(62))</f>
        <v>0.76399888839968466</v>
      </c>
      <c r="H44" s="350">
        <f t="shared" si="44"/>
        <v>0.76399888839968466</v>
      </c>
      <c r="I44" s="350">
        <f t="shared" si="44"/>
        <v>0.76399888839968466</v>
      </c>
      <c r="J44" s="350">
        <f>+J43/($F$10*(62))</f>
        <v>0.76399888839968466</v>
      </c>
      <c r="K44" s="570"/>
      <c r="L44" s="570"/>
      <c r="M44" s="350">
        <f>M43/($M$10*(999.4+248))</f>
        <v>0.50429095523340417</v>
      </c>
      <c r="N44" s="350">
        <f t="shared" ref="N44:Q44" si="45">N43/($M$10*(999.4+248))</f>
        <v>0.63445447444039682</v>
      </c>
      <c r="O44" s="350">
        <f t="shared" si="45"/>
        <v>0.55199915510301611</v>
      </c>
      <c r="P44" s="350">
        <f t="shared" si="45"/>
        <v>0.49853389040298546</v>
      </c>
      <c r="Q44" s="350">
        <f t="shared" si="45"/>
        <v>0.54249421915634399</v>
      </c>
      <c r="R44" s="570"/>
      <c r="S44" s="570"/>
      <c r="T44" s="350">
        <f>T43/($T$10*999.4)</f>
        <v>0.72867138171723378</v>
      </c>
      <c r="U44" s="350">
        <f t="shared" ref="U44:X44" si="46">U43/($T$10*999.4)</f>
        <v>0.72207379841211861</v>
      </c>
      <c r="V44" s="350">
        <f t="shared" si="46"/>
        <v>0.72207379841211861</v>
      </c>
      <c r="W44" s="350">
        <f t="shared" si="46"/>
        <v>0.72207379841211861</v>
      </c>
      <c r="X44" s="350">
        <f t="shared" si="46"/>
        <v>0.73144080200122097</v>
      </c>
      <c r="Y44" s="570"/>
      <c r="Z44" s="570"/>
      <c r="AA44" s="350">
        <f>AA43/($AA$10*1998.8)</f>
        <v>0.76981228632934406</v>
      </c>
      <c r="AB44" s="350">
        <f t="shared" ref="AB44:AE44" si="47">AB43/($AA$10*1998.8)</f>
        <v>0.75378560469615108</v>
      </c>
      <c r="AC44" s="350">
        <f t="shared" si="47"/>
        <v>0.75378560469615108</v>
      </c>
      <c r="AD44" s="350">
        <f t="shared" si="47"/>
        <v>0.75378560469615108</v>
      </c>
      <c r="AE44" s="350">
        <f t="shared" si="47"/>
        <v>0.77062904409312261</v>
      </c>
      <c r="AF44" s="570"/>
      <c r="AG44" s="570"/>
      <c r="AH44" s="350">
        <f>AH43/($AH$10*999.37)</f>
        <v>0.69637628571965071</v>
      </c>
      <c r="AI44" s="350">
        <f t="shared" ref="AI44:AL44" si="48">AI43/($AH$10*999.37)</f>
        <v>0.69081178045934633</v>
      </c>
      <c r="AJ44" s="350">
        <f t="shared" si="48"/>
        <v>0.71872336754861277</v>
      </c>
      <c r="AK44" s="350">
        <f t="shared" si="48"/>
        <v>0.69081178045934633</v>
      </c>
      <c r="AL44" s="350">
        <f t="shared" si="48"/>
        <v>0.69081178045934633</v>
      </c>
    </row>
    <row r="45" spans="2:38" s="196" customFormat="1" ht="26.25" x14ac:dyDescent="0.4">
      <c r="B45" s="570"/>
      <c r="C45" s="570"/>
      <c r="D45" s="570"/>
      <c r="E45" s="570"/>
      <c r="F45" s="571"/>
      <c r="G45" s="570"/>
      <c r="H45" s="570"/>
      <c r="I45" s="570"/>
      <c r="J45" s="570"/>
      <c r="K45" s="570"/>
      <c r="L45" s="570"/>
      <c r="M45" s="570"/>
      <c r="N45" s="570"/>
      <c r="O45" s="570"/>
      <c r="P45" s="570"/>
      <c r="Q45" s="570"/>
      <c r="R45" s="570"/>
      <c r="S45" s="570"/>
      <c r="T45" s="572"/>
      <c r="U45" s="572"/>
      <c r="V45" s="570"/>
      <c r="W45" s="572"/>
      <c r="X45" s="570"/>
      <c r="Y45" s="570"/>
      <c r="Z45" s="570"/>
      <c r="AA45" s="570"/>
      <c r="AB45" s="570"/>
      <c r="AC45" s="570"/>
      <c r="AD45" s="570"/>
      <c r="AE45" s="570"/>
      <c r="AF45" s="570"/>
      <c r="AG45" s="570"/>
      <c r="AH45" s="570"/>
      <c r="AI45" s="570"/>
      <c r="AJ45" s="570"/>
      <c r="AK45" s="570"/>
      <c r="AL45" s="570"/>
    </row>
    <row r="46" spans="2:38" ht="58.5" customHeight="1" x14ac:dyDescent="0.3">
      <c r="B46" s="773" t="s">
        <v>299</v>
      </c>
      <c r="C46" s="773"/>
      <c r="D46" s="773"/>
      <c r="E46" s="568">
        <f>+'Beawar Target'!N26</f>
        <v>-1.0762939569157193E-2</v>
      </c>
      <c r="F46" s="573" t="s">
        <v>298</v>
      </c>
      <c r="G46" s="779"/>
      <c r="H46" s="780"/>
      <c r="I46" s="176"/>
      <c r="J46" s="176"/>
      <c r="K46" s="176"/>
      <c r="L46" s="568">
        <f>Panipat!M29</f>
        <v>5.8575290066267827E-4</v>
      </c>
      <c r="M46" s="573" t="s">
        <v>298</v>
      </c>
      <c r="N46" s="779"/>
      <c r="O46" s="780"/>
      <c r="P46" s="176"/>
      <c r="Q46" s="176"/>
      <c r="R46" s="176"/>
      <c r="S46" s="568">
        <f>RGU!M28</f>
        <v>2.7866417353418216E-3</v>
      </c>
      <c r="T46" s="573" t="s">
        <v>298</v>
      </c>
      <c r="U46" s="781"/>
      <c r="V46" s="781"/>
      <c r="W46" s="782"/>
      <c r="X46" s="780"/>
      <c r="Y46" s="176"/>
      <c r="Z46" s="568">
        <f>Jharkhand!M28</f>
        <v>-6.4537603510302077E-3</v>
      </c>
      <c r="AA46" s="573" t="s">
        <v>298</v>
      </c>
      <c r="AB46" s="779"/>
      <c r="AC46" s="779"/>
      <c r="AD46" s="780"/>
      <c r="AE46" s="780"/>
      <c r="AF46" s="176"/>
      <c r="AG46" s="568">
        <f>Castamet!M29</f>
        <v>4.1535990875590512E-3</v>
      </c>
      <c r="AH46" s="573" t="s">
        <v>298</v>
      </c>
      <c r="AI46" s="783">
        <f>+AI7-'Solar Report_Base'!AI25</f>
        <v>-2.1836246687956862E-2</v>
      </c>
      <c r="AJ46" s="784"/>
      <c r="AK46" s="780"/>
      <c r="AL46" s="780"/>
    </row>
    <row r="47" spans="2:38" x14ac:dyDescent="0.3">
      <c r="B47" s="1"/>
      <c r="C47" s="1"/>
      <c r="D47" s="1"/>
      <c r="E47" s="1"/>
      <c r="F47" s="176"/>
      <c r="G47" s="176"/>
      <c r="H47" s="176"/>
      <c r="I47" s="176"/>
      <c r="J47" s="176"/>
      <c r="K47" s="176"/>
      <c r="L47" s="1"/>
      <c r="M47" s="176"/>
      <c r="N47" s="176"/>
      <c r="O47" s="176"/>
      <c r="P47" s="176"/>
      <c r="Q47" s="176"/>
      <c r="R47" s="176"/>
      <c r="S47" s="1"/>
      <c r="T47" s="176"/>
      <c r="U47" s="176"/>
      <c r="V47" s="176"/>
      <c r="W47" s="176"/>
      <c r="X47" s="176"/>
      <c r="Y47" s="176"/>
      <c r="Z47" s="1"/>
      <c r="AA47" s="176"/>
      <c r="AB47" s="176"/>
      <c r="AC47" s="176"/>
      <c r="AD47" s="176"/>
      <c r="AE47" s="176"/>
      <c r="AF47" s="176"/>
      <c r="AG47" s="1"/>
      <c r="AH47" s="176"/>
      <c r="AI47" s="1"/>
      <c r="AJ47" s="176"/>
      <c r="AK47" s="176"/>
      <c r="AL47" s="1"/>
    </row>
    <row r="48" spans="2:38" x14ac:dyDescent="0.3">
      <c r="B48" s="1"/>
      <c r="C48" s="1"/>
      <c r="D48" s="1"/>
      <c r="E48" s="1"/>
      <c r="F48" s="176"/>
      <c r="G48" s="176"/>
      <c r="H48" s="176"/>
      <c r="I48" s="176"/>
      <c r="J48" s="176"/>
      <c r="K48" s="176"/>
      <c r="L48" s="1"/>
      <c r="M48" s="176"/>
      <c r="N48" s="176"/>
      <c r="O48" s="176"/>
      <c r="P48" s="176"/>
      <c r="Q48" s="176"/>
      <c r="R48" s="176"/>
      <c r="S48" s="1"/>
      <c r="T48" s="176"/>
      <c r="U48" s="176"/>
      <c r="V48" s="176"/>
      <c r="W48" s="176"/>
      <c r="X48" s="176"/>
      <c r="Y48" s="176"/>
      <c r="Z48" s="1"/>
      <c r="AA48" s="176"/>
      <c r="AB48" s="176"/>
      <c r="AC48" s="176"/>
      <c r="AD48" s="176"/>
      <c r="AE48" s="176"/>
      <c r="AF48" s="176"/>
      <c r="AG48" s="1"/>
      <c r="AH48" s="176"/>
      <c r="AI48" s="1"/>
      <c r="AJ48" s="176"/>
      <c r="AK48" s="176"/>
      <c r="AL48" s="1"/>
    </row>
    <row r="49" spans="7:38" x14ac:dyDescent="0.3">
      <c r="AL49"/>
    </row>
    <row r="50" spans="7:38" x14ac:dyDescent="0.3">
      <c r="AL50"/>
    </row>
    <row r="51" spans="7:38" x14ac:dyDescent="0.3">
      <c r="AL51"/>
    </row>
    <row r="52" spans="7:38" x14ac:dyDescent="0.3">
      <c r="G52" s="408"/>
      <c r="L52" s="362"/>
      <c r="AL52"/>
    </row>
    <row r="53" spans="7:38" x14ac:dyDescent="0.3">
      <c r="AL53"/>
    </row>
    <row r="56" spans="7:38" x14ac:dyDescent="0.3">
      <c r="AL56"/>
    </row>
    <row r="57" spans="7:38" x14ac:dyDescent="0.3">
      <c r="AL57"/>
    </row>
    <row r="58" spans="7:38" x14ac:dyDescent="0.3">
      <c r="AL58"/>
    </row>
    <row r="60" spans="7:38" ht="28.5" x14ac:dyDescent="0.45">
      <c r="L60" s="255"/>
      <c r="AL60"/>
    </row>
    <row r="61" spans="7:38" x14ac:dyDescent="0.3">
      <c r="AB61" s="209"/>
    </row>
    <row r="62" spans="7:38" x14ac:dyDescent="0.3">
      <c r="H62" s="30">
        <f>130/999.4/24</f>
        <v>5.4199186178373699E-3</v>
      </c>
    </row>
    <row r="65" spans="6:38" ht="28.5" x14ac:dyDescent="0.45">
      <c r="L65" s="255"/>
    </row>
    <row r="66" spans="6:38" ht="28.5" x14ac:dyDescent="0.45">
      <c r="F66"/>
      <c r="G66"/>
      <c r="H66"/>
      <c r="I66"/>
      <c r="J66"/>
      <c r="K66"/>
      <c r="L66" s="255"/>
      <c r="M66"/>
      <c r="N66"/>
      <c r="O66"/>
      <c r="P66"/>
      <c r="Q66"/>
      <c r="R66"/>
      <c r="T66"/>
      <c r="U66"/>
      <c r="V66"/>
      <c r="W66"/>
      <c r="AH66" s="209"/>
      <c r="AJ66"/>
      <c r="AK66"/>
      <c r="AL66"/>
    </row>
    <row r="67" spans="6:38" ht="28.5" x14ac:dyDescent="0.45">
      <c r="L67" s="255"/>
    </row>
    <row r="68" spans="6:38" ht="28.5" x14ac:dyDescent="0.45">
      <c r="L68" s="255"/>
    </row>
    <row r="69" spans="6:38" ht="28.5" x14ac:dyDescent="0.45">
      <c r="L69" s="255"/>
    </row>
    <row r="72" spans="6:38" x14ac:dyDescent="0.3">
      <c r="F72"/>
      <c r="G72"/>
      <c r="H72"/>
      <c r="I72"/>
      <c r="J72"/>
      <c r="K72"/>
      <c r="M72"/>
      <c r="N72"/>
      <c r="O72"/>
      <c r="P72"/>
      <c r="Q72"/>
      <c r="R72"/>
      <c r="T72"/>
      <c r="U72"/>
      <c r="V72"/>
      <c r="W72"/>
      <c r="AJ72"/>
      <c r="AK72"/>
      <c r="AL72"/>
    </row>
    <row r="73" spans="6:38" x14ac:dyDescent="0.3">
      <c r="F73"/>
      <c r="G73"/>
      <c r="H73"/>
      <c r="I73"/>
      <c r="J73"/>
      <c r="K73"/>
      <c r="M73"/>
      <c r="N73"/>
      <c r="O73"/>
      <c r="P73"/>
      <c r="Q73"/>
      <c r="R73"/>
      <c r="T73"/>
      <c r="U73"/>
      <c r="V73"/>
      <c r="W73"/>
      <c r="AJ73"/>
      <c r="AK73"/>
      <c r="AL73"/>
    </row>
    <row r="74" spans="6:38" x14ac:dyDescent="0.3">
      <c r="F74"/>
      <c r="G74"/>
      <c r="H74"/>
      <c r="I74"/>
      <c r="J74"/>
      <c r="K74"/>
      <c r="M74"/>
      <c r="N74"/>
      <c r="O74"/>
      <c r="P74"/>
      <c r="Q74"/>
      <c r="R74"/>
      <c r="T74"/>
      <c r="U74"/>
      <c r="V74"/>
      <c r="W74"/>
      <c r="AJ74"/>
      <c r="AK74"/>
      <c r="AL74"/>
    </row>
    <row r="82" spans="6:38" x14ac:dyDescent="0.3">
      <c r="F82"/>
      <c r="G82"/>
      <c r="H82"/>
      <c r="I82"/>
      <c r="J82"/>
      <c r="K82"/>
      <c r="M82"/>
      <c r="N82"/>
      <c r="O82"/>
      <c r="Q82"/>
      <c r="R82"/>
      <c r="T82"/>
      <c r="U82"/>
      <c r="V82"/>
      <c r="W82"/>
      <c r="X82"/>
      <c r="Y82"/>
      <c r="AA82"/>
      <c r="AB82"/>
      <c r="AC82"/>
      <c r="AD82"/>
      <c r="AE82"/>
      <c r="AF82"/>
      <c r="AH82"/>
      <c r="AJ82"/>
      <c r="AK82"/>
      <c r="AL82"/>
    </row>
    <row r="89" spans="6:38" x14ac:dyDescent="0.3">
      <c r="I89" s="30">
        <f>294+51</f>
        <v>345</v>
      </c>
    </row>
    <row r="105" spans="6:38" x14ac:dyDescent="0.3">
      <c r="F105"/>
      <c r="G105"/>
      <c r="H105"/>
      <c r="I105"/>
      <c r="J105"/>
      <c r="K105"/>
      <c r="M105"/>
      <c r="N105"/>
      <c r="O105"/>
      <c r="P105"/>
      <c r="Q105"/>
      <c r="R105"/>
      <c r="T105"/>
      <c r="U105"/>
      <c r="V105"/>
      <c r="W105"/>
      <c r="X105"/>
      <c r="Y105"/>
      <c r="AA105" s="30">
        <f>1998.8-AB106</f>
        <v>1976</v>
      </c>
      <c r="AC105"/>
      <c r="AD105"/>
      <c r="AE105"/>
      <c r="AF105"/>
      <c r="AH105"/>
      <c r="AJ105"/>
      <c r="AK105"/>
      <c r="AL105"/>
    </row>
    <row r="106" spans="6:38" ht="26.25" x14ac:dyDescent="0.4">
      <c r="F106"/>
      <c r="G106"/>
      <c r="H106"/>
      <c r="I106"/>
      <c r="J106"/>
      <c r="K106"/>
      <c r="M106"/>
      <c r="N106"/>
      <c r="O106"/>
      <c r="P106"/>
      <c r="Q106"/>
      <c r="R106"/>
      <c r="T106"/>
      <c r="U106"/>
      <c r="V106"/>
      <c r="W106"/>
      <c r="X106"/>
      <c r="Y106"/>
      <c r="AB106" s="196">
        <f>7.6*3</f>
        <v>22.799999999999997</v>
      </c>
      <c r="AC106"/>
      <c r="AD106"/>
      <c r="AE106"/>
      <c r="AF106"/>
      <c r="AH106"/>
      <c r="AJ106"/>
      <c r="AK106"/>
      <c r="AL106"/>
    </row>
  </sheetData>
  <mergeCells count="300">
    <mergeCell ref="AM22:AN22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AK20:AL20"/>
    <mergeCell ref="AB20:AC20"/>
    <mergeCell ref="AD20:AE20"/>
    <mergeCell ref="S21:T21"/>
    <mergeCell ref="U21:V21"/>
    <mergeCell ref="W21:X21"/>
    <mergeCell ref="AK21:AL21"/>
    <mergeCell ref="AG14:AH14"/>
    <mergeCell ref="Z17:AA17"/>
    <mergeCell ref="AB17:AC17"/>
    <mergeCell ref="AB15:AC15"/>
    <mergeCell ref="AD15:AE15"/>
    <mergeCell ref="AI17:AJ17"/>
    <mergeCell ref="AD19:AE19"/>
    <mergeCell ref="E9:F9"/>
    <mergeCell ref="G9:H9"/>
    <mergeCell ref="I9:J9"/>
    <mergeCell ref="E11:F11"/>
    <mergeCell ref="G11:H11"/>
    <mergeCell ref="I11:J11"/>
    <mergeCell ref="E12:F12"/>
    <mergeCell ref="G12:H12"/>
    <mergeCell ref="I12:J12"/>
    <mergeCell ref="AM5:AQ5"/>
    <mergeCell ref="AI4:AJ4"/>
    <mergeCell ref="AK4:AL4"/>
    <mergeCell ref="AD4:AE4"/>
    <mergeCell ref="L11:M11"/>
    <mergeCell ref="N11:O11"/>
    <mergeCell ref="P11:Q11"/>
    <mergeCell ref="AG11:AH11"/>
    <mergeCell ref="AI11:AJ11"/>
    <mergeCell ref="AK11:AL11"/>
    <mergeCell ref="AI9:AJ9"/>
    <mergeCell ref="AK9:AL9"/>
    <mergeCell ref="S9:T9"/>
    <mergeCell ref="U9:V9"/>
    <mergeCell ref="W9:X9"/>
    <mergeCell ref="Z9:AA9"/>
    <mergeCell ref="AB9:AC9"/>
    <mergeCell ref="AD9:AE9"/>
    <mergeCell ref="L9:M9"/>
    <mergeCell ref="N9:O9"/>
    <mergeCell ref="P9:Q9"/>
    <mergeCell ref="AG9:AH9"/>
    <mergeCell ref="Y3:Y31"/>
    <mergeCell ref="AF3:AF31"/>
    <mergeCell ref="B3:D3"/>
    <mergeCell ref="AG3:AL3"/>
    <mergeCell ref="Z3:AE3"/>
    <mergeCell ref="B6:B7"/>
    <mergeCell ref="C6:C7"/>
    <mergeCell ref="AB4:AC4"/>
    <mergeCell ref="AG4:AH4"/>
    <mergeCell ref="S4:T4"/>
    <mergeCell ref="U4:V4"/>
    <mergeCell ref="W4:X4"/>
    <mergeCell ref="Z4:AA4"/>
    <mergeCell ref="L3:Q3"/>
    <mergeCell ref="L4:M4"/>
    <mergeCell ref="N4:O4"/>
    <mergeCell ref="P4:Q4"/>
    <mergeCell ref="S3:X3"/>
    <mergeCell ref="E3:J3"/>
    <mergeCell ref="E4:F4"/>
    <mergeCell ref="G4:H4"/>
    <mergeCell ref="I4:J4"/>
    <mergeCell ref="K3:K31"/>
    <mergeCell ref="I23:J23"/>
    <mergeCell ref="I19:J19"/>
    <mergeCell ref="E19:F19"/>
    <mergeCell ref="C15:C16"/>
    <mergeCell ref="AG15:AH15"/>
    <mergeCell ref="AI15:AJ15"/>
    <mergeCell ref="AK15:AL15"/>
    <mergeCell ref="S16:T16"/>
    <mergeCell ref="U16:V16"/>
    <mergeCell ref="W16:X16"/>
    <mergeCell ref="AG16:AH16"/>
    <mergeCell ref="N19:O19"/>
    <mergeCell ref="P19:Q19"/>
    <mergeCell ref="S19:T19"/>
    <mergeCell ref="U19:V19"/>
    <mergeCell ref="W19:X19"/>
    <mergeCell ref="U17:V17"/>
    <mergeCell ref="W17:X17"/>
    <mergeCell ref="Z19:AA19"/>
    <mergeCell ref="AB19:AC19"/>
    <mergeCell ref="G19:H19"/>
    <mergeCell ref="E16:F16"/>
    <mergeCell ref="AK19:AL19"/>
    <mergeCell ref="AI16:AJ16"/>
    <mergeCell ref="AK16:AL16"/>
    <mergeCell ref="G17:H17"/>
    <mergeCell ref="I17:J17"/>
    <mergeCell ref="B46:D46"/>
    <mergeCell ref="Z30:AE30"/>
    <mergeCell ref="Z31:AE31"/>
    <mergeCell ref="C30:D30"/>
    <mergeCell ref="AG30:AL30"/>
    <mergeCell ref="C31:D31"/>
    <mergeCell ref="AG31:AL31"/>
    <mergeCell ref="S31:X31"/>
    <mergeCell ref="AB46:AC46"/>
    <mergeCell ref="L30:Q30"/>
    <mergeCell ref="E31:J31"/>
    <mergeCell ref="G46:H46"/>
    <mergeCell ref="E30:J30"/>
    <mergeCell ref="U46:V46"/>
    <mergeCell ref="W46:X46"/>
    <mergeCell ref="N46:O46"/>
    <mergeCell ref="AD46:AE46"/>
    <mergeCell ref="AK46:AL46"/>
    <mergeCell ref="AI46:AJ46"/>
    <mergeCell ref="C32:T32"/>
    <mergeCell ref="N23:O23"/>
    <mergeCell ref="L31:Q31"/>
    <mergeCell ref="S26:X26"/>
    <mergeCell ref="S27:X27"/>
    <mergeCell ref="T28:X28"/>
    <mergeCell ref="S29:X29"/>
    <mergeCell ref="S30:X30"/>
    <mergeCell ref="C29:D29"/>
    <mergeCell ref="AG29:AL29"/>
    <mergeCell ref="Z29:AE29"/>
    <mergeCell ref="L29:Q29"/>
    <mergeCell ref="E29:J29"/>
    <mergeCell ref="AA28:AE28"/>
    <mergeCell ref="M28:Q28"/>
    <mergeCell ref="C28:D28"/>
    <mergeCell ref="AH28:AL28"/>
    <mergeCell ref="E27:J27"/>
    <mergeCell ref="F28:J28"/>
    <mergeCell ref="G23:H23"/>
    <mergeCell ref="E23:F23"/>
    <mergeCell ref="R3:R31"/>
    <mergeCell ref="L22:M22"/>
    <mergeCell ref="P14:Q14"/>
    <mergeCell ref="P16:Q16"/>
    <mergeCell ref="Z27:AE27"/>
    <mergeCell ref="Z20:AA20"/>
    <mergeCell ref="Z22:AA22"/>
    <mergeCell ref="Z23:AA23"/>
    <mergeCell ref="AG23:AH23"/>
    <mergeCell ref="AI23:AJ23"/>
    <mergeCell ref="AK23:AL23"/>
    <mergeCell ref="AB23:AC23"/>
    <mergeCell ref="AG26:AL26"/>
    <mergeCell ref="Z26:AE26"/>
    <mergeCell ref="S23:T23"/>
    <mergeCell ref="U23:V23"/>
    <mergeCell ref="W23:X23"/>
    <mergeCell ref="AI22:AJ22"/>
    <mergeCell ref="AI14:AJ14"/>
    <mergeCell ref="AK14:AL14"/>
    <mergeCell ref="S20:T20"/>
    <mergeCell ref="U20:V20"/>
    <mergeCell ref="C27:D27"/>
    <mergeCell ref="AG27:AL27"/>
    <mergeCell ref="L27:Q27"/>
    <mergeCell ref="AD23:AE23"/>
    <mergeCell ref="Z24:AE24"/>
    <mergeCell ref="C24:D24"/>
    <mergeCell ref="AG24:AL24"/>
    <mergeCell ref="L23:M23"/>
    <mergeCell ref="E22:F22"/>
    <mergeCell ref="G22:H22"/>
    <mergeCell ref="I22:J22"/>
    <mergeCell ref="P23:Q23"/>
    <mergeCell ref="L24:Q24"/>
    <mergeCell ref="N22:O22"/>
    <mergeCell ref="C26:D26"/>
    <mergeCell ref="L26:Q26"/>
    <mergeCell ref="S24:X24"/>
    <mergeCell ref="AB22:AC22"/>
    <mergeCell ref="AD22:AE22"/>
    <mergeCell ref="AG22:AH22"/>
    <mergeCell ref="AK22:AL22"/>
    <mergeCell ref="E24:J24"/>
    <mergeCell ref="E26:J26"/>
    <mergeCell ref="B2:AL2"/>
    <mergeCell ref="AB13:AC13"/>
    <mergeCell ref="AD13:AE13"/>
    <mergeCell ref="AG13:AH13"/>
    <mergeCell ref="AI13:AJ13"/>
    <mergeCell ref="AK13:AL13"/>
    <mergeCell ref="S13:T13"/>
    <mergeCell ref="U13:V13"/>
    <mergeCell ref="W13:X13"/>
    <mergeCell ref="Z13:AA13"/>
    <mergeCell ref="AB12:AC12"/>
    <mergeCell ref="AD12:AE12"/>
    <mergeCell ref="AG12:AH12"/>
    <mergeCell ref="AI12:AJ12"/>
    <mergeCell ref="AK12:AL12"/>
    <mergeCell ref="S11:T11"/>
    <mergeCell ref="P12:Q12"/>
    <mergeCell ref="L12:M12"/>
    <mergeCell ref="U11:V11"/>
    <mergeCell ref="W11:X11"/>
    <mergeCell ref="W12:X12"/>
    <mergeCell ref="Z11:AA11"/>
    <mergeCell ref="AB11:AC11"/>
    <mergeCell ref="AD11:AE11"/>
    <mergeCell ref="B15:B16"/>
    <mergeCell ref="B19:B20"/>
    <mergeCell ref="P15:Q15"/>
    <mergeCell ref="N14:O14"/>
    <mergeCell ref="P20:Q20"/>
    <mergeCell ref="L13:M13"/>
    <mergeCell ref="L14:M14"/>
    <mergeCell ref="L16:M16"/>
    <mergeCell ref="L15:M15"/>
    <mergeCell ref="N15:O15"/>
    <mergeCell ref="G16:H16"/>
    <mergeCell ref="I16:J16"/>
    <mergeCell ref="E20:F20"/>
    <mergeCell ref="G20:H20"/>
    <mergeCell ref="I20:J20"/>
    <mergeCell ref="B17:B18"/>
    <mergeCell ref="C17:C18"/>
    <mergeCell ref="C19:C20"/>
    <mergeCell ref="L20:M20"/>
    <mergeCell ref="N16:O16"/>
    <mergeCell ref="N20:O20"/>
    <mergeCell ref="P13:Q13"/>
    <mergeCell ref="N12:O12"/>
    <mergeCell ref="N13:O13"/>
    <mergeCell ref="AB14:AC14"/>
    <mergeCell ref="AD14:AE14"/>
    <mergeCell ref="AD17:AE17"/>
    <mergeCell ref="S17:T17"/>
    <mergeCell ref="S14:T14"/>
    <mergeCell ref="U14:V14"/>
    <mergeCell ref="W14:X14"/>
    <mergeCell ref="Z14:AA14"/>
    <mergeCell ref="S15:T15"/>
    <mergeCell ref="U15:V15"/>
    <mergeCell ref="W15:X15"/>
    <mergeCell ref="Z15:AA15"/>
    <mergeCell ref="Z12:AA12"/>
    <mergeCell ref="S12:T12"/>
    <mergeCell ref="U12:V12"/>
    <mergeCell ref="N17:O17"/>
    <mergeCell ref="P17:Q17"/>
    <mergeCell ref="L19:M19"/>
    <mergeCell ref="AG20:AH20"/>
    <mergeCell ref="AI20:AJ20"/>
    <mergeCell ref="AG21:AH21"/>
    <mergeCell ref="AI21:AJ21"/>
    <mergeCell ref="AB21:AC21"/>
    <mergeCell ref="AD21:AE21"/>
    <mergeCell ref="AG17:AH17"/>
    <mergeCell ref="AG19:AH19"/>
    <mergeCell ref="AI19:AJ19"/>
    <mergeCell ref="W20:X20"/>
    <mergeCell ref="Z16:AA16"/>
    <mergeCell ref="AB16:AC16"/>
    <mergeCell ref="AD16:AE16"/>
    <mergeCell ref="L17:M17"/>
    <mergeCell ref="AK17:AL17"/>
    <mergeCell ref="E18:F18"/>
    <mergeCell ref="G18:H18"/>
    <mergeCell ref="I18:J18"/>
    <mergeCell ref="L18:M18"/>
    <mergeCell ref="N18:O18"/>
    <mergeCell ref="P18:Q18"/>
    <mergeCell ref="S18:T18"/>
    <mergeCell ref="U18:V18"/>
    <mergeCell ref="W18:X18"/>
    <mergeCell ref="Z18:AA18"/>
    <mergeCell ref="AB18:AC18"/>
    <mergeCell ref="AD18:AE18"/>
    <mergeCell ref="AG18:AH18"/>
    <mergeCell ref="AI18:AJ18"/>
    <mergeCell ref="AK18:AL18"/>
    <mergeCell ref="E17:F17"/>
    <mergeCell ref="B21:B22"/>
    <mergeCell ref="C21:C22"/>
    <mergeCell ref="L21:M21"/>
    <mergeCell ref="N21:O21"/>
    <mergeCell ref="P21:Q21"/>
    <mergeCell ref="Z21:AA21"/>
    <mergeCell ref="P22:Q22"/>
    <mergeCell ref="S22:T22"/>
    <mergeCell ref="U22:V22"/>
    <mergeCell ref="W22:X22"/>
    <mergeCell ref="E21:F21"/>
    <mergeCell ref="G21:H21"/>
    <mergeCell ref="I21:J21"/>
  </mergeCells>
  <pageMargins left="0.43307086614173229" right="0.19685039370078741" top="0.62992125984251968" bottom="0.23622047244094491" header="0.11811023622047245" footer="0.11811023622047245"/>
  <pageSetup paperSize="9" scale="19" orientation="landscape" horizontalDpi="4294967293" r:id="rId1"/>
  <ignoredErrors>
    <ignoredError sqref="AI15 AK15 AI17 S15 U15 W15 S19 U19 AG19 AB20:AB21 AB18 Z15 AB15 AG15 S17 U17 AG17 AB17 L17 S21 U21 Z21 AG21 AI21 AI19 N17 N1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56"/>
  <sheetViews>
    <sheetView topLeftCell="A174" zoomScale="85" zoomScaleNormal="85" workbookViewId="0">
      <pane xSplit="3" topLeftCell="V1" activePane="topRight" state="frozen"/>
      <selection activeCell="AA33" sqref="AA33"/>
      <selection pane="topRight" activeCell="AI66" sqref="AI66"/>
    </sheetView>
  </sheetViews>
  <sheetFormatPr defaultRowHeight="15" x14ac:dyDescent="0.25"/>
  <cols>
    <col min="1" max="1" width="11.28515625" customWidth="1"/>
    <col min="2" max="2" width="36" customWidth="1"/>
    <col min="3" max="3" width="12.5703125" bestFit="1" customWidth="1"/>
    <col min="4" max="4" width="8.85546875" style="6" customWidth="1"/>
    <col min="5" max="5" width="9.7109375" style="6" customWidth="1"/>
    <col min="6" max="6" width="8.85546875" style="6" customWidth="1"/>
    <col min="7" max="7" width="9" style="6" bestFit="1" customWidth="1"/>
    <col min="8" max="10" width="11.85546875" style="6" bestFit="1" customWidth="1"/>
    <col min="11" max="11" width="7.7109375" style="6" bestFit="1" customWidth="1"/>
    <col min="12" max="12" width="9.5703125" style="6" bestFit="1" customWidth="1"/>
    <col min="13" max="13" width="10.5703125" style="6" bestFit="1" customWidth="1"/>
    <col min="14" max="14" width="8.140625" style="6" bestFit="1" customWidth="1"/>
    <col min="15" max="15" width="9.5703125" style="6" bestFit="1" customWidth="1"/>
    <col min="16" max="16" width="7.85546875" style="6" customWidth="1"/>
    <col min="17" max="21" width="10.5703125" style="6" bestFit="1" customWidth="1"/>
    <col min="22" max="22" width="9.7109375" style="6" customWidth="1"/>
    <col min="23" max="23" width="9.5703125" style="6" bestFit="1" customWidth="1"/>
    <col min="24" max="24" width="8.5703125" style="6" customWidth="1"/>
    <col min="25" max="25" width="8.28515625" style="6" customWidth="1"/>
    <col min="26" max="26" width="8.140625" style="6" bestFit="1" customWidth="1"/>
    <col min="27" max="27" width="9.5703125" style="6" customWidth="1"/>
    <col min="28" max="28" width="10" style="6" customWidth="1"/>
    <col min="29" max="29" width="11.7109375" style="6" bestFit="1" customWidth="1"/>
    <col min="30" max="30" width="8.5703125" style="6" customWidth="1"/>
    <col min="31" max="31" width="8" style="6" customWidth="1"/>
    <col min="32" max="32" width="8.28515625" style="6" customWidth="1"/>
    <col min="33" max="33" width="9.42578125" style="6" customWidth="1"/>
    <col min="34" max="34" width="7.7109375" style="6" customWidth="1"/>
    <col min="35" max="35" width="26.28515625" style="6" customWidth="1"/>
  </cols>
  <sheetData>
    <row r="1" spans="1:35" ht="15.75" thickBot="1" x14ac:dyDescent="0.3"/>
    <row r="2" spans="1:35" x14ac:dyDescent="0.25">
      <c r="A2" s="218" t="s">
        <v>1</v>
      </c>
      <c r="B2" s="643" t="s">
        <v>1</v>
      </c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B2" s="644"/>
      <c r="AC2" s="644"/>
      <c r="AD2" s="644"/>
      <c r="AE2" s="644"/>
      <c r="AF2" s="644"/>
      <c r="AG2" s="644"/>
      <c r="AH2" s="644"/>
      <c r="AI2" s="645"/>
    </row>
    <row r="3" spans="1:35" x14ac:dyDescent="0.25">
      <c r="B3" s="1" t="s">
        <v>2</v>
      </c>
      <c r="C3" s="1" t="s">
        <v>3</v>
      </c>
      <c r="D3" s="187">
        <v>1</v>
      </c>
      <c r="E3" s="187">
        <v>2</v>
      </c>
      <c r="F3" s="187">
        <v>3</v>
      </c>
      <c r="G3" s="187">
        <v>4</v>
      </c>
      <c r="H3" s="187">
        <v>5</v>
      </c>
      <c r="I3" s="187">
        <v>6</v>
      </c>
      <c r="J3" s="187">
        <v>7</v>
      </c>
      <c r="K3" s="187">
        <v>8</v>
      </c>
      <c r="L3" s="187">
        <v>9</v>
      </c>
      <c r="M3" s="187">
        <v>10</v>
      </c>
      <c r="N3" s="187">
        <v>11</v>
      </c>
      <c r="O3" s="187">
        <v>12</v>
      </c>
      <c r="P3" s="187">
        <v>13</v>
      </c>
      <c r="Q3" s="187">
        <v>14</v>
      </c>
      <c r="R3" s="187">
        <v>15</v>
      </c>
      <c r="S3" s="187">
        <v>16</v>
      </c>
      <c r="T3" s="187">
        <v>17</v>
      </c>
      <c r="U3" s="187">
        <v>18</v>
      </c>
      <c r="V3" s="187">
        <v>19</v>
      </c>
      <c r="W3" s="187">
        <v>20</v>
      </c>
      <c r="X3" s="187">
        <v>21</v>
      </c>
      <c r="Y3" s="187">
        <v>22</v>
      </c>
      <c r="Z3" s="187">
        <v>23</v>
      </c>
      <c r="AA3" s="187">
        <v>24</v>
      </c>
      <c r="AB3" s="187">
        <v>25</v>
      </c>
      <c r="AC3" s="187">
        <v>26</v>
      </c>
      <c r="AD3" s="187">
        <v>27</v>
      </c>
      <c r="AE3" s="187">
        <v>28</v>
      </c>
      <c r="AF3" s="187">
        <v>29</v>
      </c>
      <c r="AG3" s="187">
        <v>30</v>
      </c>
      <c r="AH3" s="187">
        <v>31</v>
      </c>
      <c r="AI3" s="187" t="s">
        <v>4</v>
      </c>
    </row>
    <row r="4" spans="1:35" ht="15.75" x14ac:dyDescent="0.25">
      <c r="B4" s="1" t="s">
        <v>5</v>
      </c>
      <c r="C4" s="1" t="s">
        <v>6</v>
      </c>
      <c r="D4" s="419">
        <v>335</v>
      </c>
      <c r="E4" s="419">
        <v>349</v>
      </c>
      <c r="F4" s="419">
        <v>351</v>
      </c>
      <c r="G4" s="419">
        <v>349</v>
      </c>
      <c r="H4" s="419">
        <v>331</v>
      </c>
      <c r="I4" s="419">
        <v>353</v>
      </c>
      <c r="J4" s="186">
        <v>264</v>
      </c>
      <c r="K4" s="419">
        <v>312</v>
      </c>
      <c r="L4" s="419">
        <v>344</v>
      </c>
      <c r="M4" s="419">
        <v>327</v>
      </c>
      <c r="N4" s="419">
        <v>335</v>
      </c>
      <c r="O4" s="419">
        <v>344</v>
      </c>
      <c r="P4" s="419">
        <v>310</v>
      </c>
      <c r="Q4" s="419">
        <v>258</v>
      </c>
      <c r="R4" s="419">
        <v>335</v>
      </c>
      <c r="S4" s="186">
        <v>317</v>
      </c>
      <c r="T4" s="419">
        <v>330</v>
      </c>
      <c r="U4" s="419">
        <v>325</v>
      </c>
      <c r="V4" s="419">
        <v>158</v>
      </c>
      <c r="W4" s="186">
        <v>298</v>
      </c>
      <c r="X4" s="419">
        <v>307</v>
      </c>
      <c r="Y4" s="419">
        <v>345</v>
      </c>
      <c r="Z4" s="187">
        <v>357</v>
      </c>
      <c r="AA4" s="419">
        <v>386</v>
      </c>
      <c r="AB4" s="419">
        <v>375</v>
      </c>
      <c r="AC4" s="419">
        <v>375</v>
      </c>
      <c r="AD4" s="419">
        <v>364</v>
      </c>
      <c r="AE4" s="428">
        <v>358</v>
      </c>
      <c r="AF4" s="419">
        <v>256</v>
      </c>
      <c r="AG4" s="419">
        <v>258</v>
      </c>
      <c r="AH4" s="419"/>
      <c r="AI4" s="3">
        <f>SUM(D4:AH4)</f>
        <v>9706</v>
      </c>
    </row>
    <row r="5" spans="1:35" ht="15.75" x14ac:dyDescent="0.25">
      <c r="B5" s="1" t="s">
        <v>7</v>
      </c>
      <c r="C5" s="1" t="s">
        <v>6</v>
      </c>
      <c r="D5" s="419">
        <v>334</v>
      </c>
      <c r="E5" s="419">
        <v>346</v>
      </c>
      <c r="F5" s="419">
        <v>351</v>
      </c>
      <c r="G5" s="419">
        <v>350</v>
      </c>
      <c r="H5" s="419">
        <v>331</v>
      </c>
      <c r="I5" s="419">
        <v>354</v>
      </c>
      <c r="J5" s="186">
        <v>266</v>
      </c>
      <c r="K5" s="419">
        <v>317</v>
      </c>
      <c r="L5" s="419">
        <v>342</v>
      </c>
      <c r="M5" s="419">
        <v>324</v>
      </c>
      <c r="N5" s="419">
        <v>329</v>
      </c>
      <c r="O5" s="419">
        <v>345</v>
      </c>
      <c r="P5" s="419">
        <v>310</v>
      </c>
      <c r="Q5" s="419">
        <v>258</v>
      </c>
      <c r="R5" s="419">
        <v>333</v>
      </c>
      <c r="S5" s="186">
        <v>316</v>
      </c>
      <c r="T5" s="419">
        <v>329</v>
      </c>
      <c r="U5" s="419">
        <v>312</v>
      </c>
      <c r="V5" s="419">
        <v>157</v>
      </c>
      <c r="W5" s="186">
        <v>296</v>
      </c>
      <c r="X5" s="419">
        <v>305</v>
      </c>
      <c r="Y5" s="419">
        <v>341</v>
      </c>
      <c r="Z5" s="187">
        <v>355</v>
      </c>
      <c r="AA5" s="419">
        <v>385</v>
      </c>
      <c r="AB5" s="419">
        <v>375</v>
      </c>
      <c r="AC5" s="419">
        <v>374</v>
      </c>
      <c r="AD5" s="419">
        <v>362</v>
      </c>
      <c r="AE5" s="428">
        <v>358</v>
      </c>
      <c r="AF5" s="419">
        <v>256</v>
      </c>
      <c r="AG5" s="419">
        <v>256</v>
      </c>
      <c r="AH5" s="419"/>
      <c r="AI5" s="3">
        <f t="shared" ref="AI5:AI24" si="0">SUM(D5:AH5)</f>
        <v>9667</v>
      </c>
    </row>
    <row r="6" spans="1:35" ht="15.75" x14ac:dyDescent="0.25">
      <c r="B6" s="1" t="s">
        <v>8</v>
      </c>
      <c r="C6" s="1" t="s">
        <v>6</v>
      </c>
      <c r="D6" s="419">
        <v>335</v>
      </c>
      <c r="E6" s="419">
        <v>346</v>
      </c>
      <c r="F6" s="419">
        <v>351</v>
      </c>
      <c r="G6" s="419">
        <v>349</v>
      </c>
      <c r="H6" s="419">
        <v>330</v>
      </c>
      <c r="I6" s="419">
        <v>352</v>
      </c>
      <c r="J6" s="186">
        <v>266</v>
      </c>
      <c r="K6" s="419">
        <v>319</v>
      </c>
      <c r="L6" s="419">
        <v>342</v>
      </c>
      <c r="M6" s="419">
        <v>324</v>
      </c>
      <c r="N6" s="419">
        <v>329</v>
      </c>
      <c r="O6" s="419">
        <v>344</v>
      </c>
      <c r="P6" s="419">
        <v>309</v>
      </c>
      <c r="Q6" s="419">
        <v>257</v>
      </c>
      <c r="R6" s="419">
        <v>332</v>
      </c>
      <c r="S6" s="186">
        <v>315</v>
      </c>
      <c r="T6" s="419">
        <v>330</v>
      </c>
      <c r="U6" s="419">
        <v>325</v>
      </c>
      <c r="V6" s="419">
        <v>157</v>
      </c>
      <c r="W6" s="186">
        <v>294</v>
      </c>
      <c r="X6" s="419">
        <v>303</v>
      </c>
      <c r="Y6" s="419">
        <v>339</v>
      </c>
      <c r="Z6" s="187">
        <v>351</v>
      </c>
      <c r="AA6" s="419">
        <v>383</v>
      </c>
      <c r="AB6" s="419">
        <v>374</v>
      </c>
      <c r="AC6" s="419">
        <v>372</v>
      </c>
      <c r="AD6" s="419">
        <v>361</v>
      </c>
      <c r="AE6" s="428">
        <v>357</v>
      </c>
      <c r="AF6" s="419">
        <v>255</v>
      </c>
      <c r="AG6" s="419">
        <v>256</v>
      </c>
      <c r="AH6" s="419"/>
      <c r="AI6" s="3">
        <f t="shared" si="0"/>
        <v>9657</v>
      </c>
    </row>
    <row r="7" spans="1:35" ht="15.75" x14ac:dyDescent="0.25">
      <c r="B7" s="1" t="s">
        <v>9</v>
      </c>
      <c r="C7" s="1" t="s">
        <v>6</v>
      </c>
      <c r="D7" s="419">
        <v>328</v>
      </c>
      <c r="E7" s="419">
        <v>338</v>
      </c>
      <c r="F7" s="419">
        <v>345</v>
      </c>
      <c r="G7" s="419">
        <v>310</v>
      </c>
      <c r="H7" s="419">
        <v>318</v>
      </c>
      <c r="I7" s="419">
        <v>342</v>
      </c>
      <c r="J7" s="186">
        <v>265</v>
      </c>
      <c r="K7" s="419">
        <v>314</v>
      </c>
      <c r="L7" s="419">
        <v>340</v>
      </c>
      <c r="M7" s="419">
        <v>322</v>
      </c>
      <c r="N7" s="419">
        <v>326</v>
      </c>
      <c r="O7" s="419">
        <v>340</v>
      </c>
      <c r="P7" s="419">
        <v>305</v>
      </c>
      <c r="Q7" s="419">
        <v>255</v>
      </c>
      <c r="R7" s="419">
        <v>328</v>
      </c>
      <c r="S7" s="186">
        <v>311</v>
      </c>
      <c r="T7" s="419">
        <v>324</v>
      </c>
      <c r="U7" s="419">
        <v>320</v>
      </c>
      <c r="V7" s="419">
        <v>155</v>
      </c>
      <c r="W7" s="186">
        <v>288</v>
      </c>
      <c r="X7" s="419">
        <v>298</v>
      </c>
      <c r="Y7" s="419">
        <v>332</v>
      </c>
      <c r="Z7" s="187">
        <v>339</v>
      </c>
      <c r="AA7" s="419">
        <v>375</v>
      </c>
      <c r="AB7" s="419">
        <v>364</v>
      </c>
      <c r="AC7" s="419">
        <v>358</v>
      </c>
      <c r="AD7" s="419">
        <v>353</v>
      </c>
      <c r="AE7" s="428">
        <v>347</v>
      </c>
      <c r="AF7" s="419">
        <v>251</v>
      </c>
      <c r="AG7" s="419">
        <v>252</v>
      </c>
      <c r="AH7" s="419"/>
      <c r="AI7" s="3">
        <f t="shared" si="0"/>
        <v>9443</v>
      </c>
    </row>
    <row r="8" spans="1:35" ht="15.75" x14ac:dyDescent="0.25">
      <c r="B8" s="1" t="s">
        <v>10</v>
      </c>
      <c r="C8" s="1" t="s">
        <v>6</v>
      </c>
      <c r="D8" s="419">
        <v>0</v>
      </c>
      <c r="E8" s="419">
        <v>0</v>
      </c>
      <c r="F8" s="419">
        <v>0</v>
      </c>
      <c r="G8" s="419">
        <v>0</v>
      </c>
      <c r="H8" s="419">
        <v>0</v>
      </c>
      <c r="I8" s="419">
        <v>0</v>
      </c>
      <c r="J8" s="186">
        <v>0</v>
      </c>
      <c r="K8" s="419">
        <v>0</v>
      </c>
      <c r="L8" s="419">
        <v>0</v>
      </c>
      <c r="M8" s="419">
        <v>0</v>
      </c>
      <c r="N8" s="419">
        <v>0</v>
      </c>
      <c r="O8" s="419">
        <v>0</v>
      </c>
      <c r="P8" s="419">
        <v>0</v>
      </c>
      <c r="Q8" s="419">
        <v>0</v>
      </c>
      <c r="R8" s="419">
        <v>0</v>
      </c>
      <c r="S8" s="186">
        <v>0</v>
      </c>
      <c r="T8" s="419">
        <v>0</v>
      </c>
      <c r="U8" s="419">
        <v>0</v>
      </c>
      <c r="V8" s="419">
        <v>0</v>
      </c>
      <c r="W8" s="186">
        <v>0</v>
      </c>
      <c r="X8" s="419">
        <v>0</v>
      </c>
      <c r="Y8" s="419">
        <v>0</v>
      </c>
      <c r="Z8" s="187">
        <v>0</v>
      </c>
      <c r="AA8" s="419">
        <v>0</v>
      </c>
      <c r="AB8" s="419">
        <v>0</v>
      </c>
      <c r="AC8" s="419">
        <v>0</v>
      </c>
      <c r="AD8" s="419">
        <v>0</v>
      </c>
      <c r="AE8" s="428">
        <v>0</v>
      </c>
      <c r="AF8" s="419">
        <v>0</v>
      </c>
      <c r="AG8" s="419">
        <v>0</v>
      </c>
      <c r="AH8" s="419"/>
      <c r="AI8" s="3">
        <f t="shared" si="0"/>
        <v>0</v>
      </c>
    </row>
    <row r="9" spans="1:35" ht="15.75" x14ac:dyDescent="0.25">
      <c r="B9" s="1" t="s">
        <v>11</v>
      </c>
      <c r="C9" s="1" t="s">
        <v>6</v>
      </c>
      <c r="D9" s="419">
        <v>329</v>
      </c>
      <c r="E9" s="419">
        <v>340</v>
      </c>
      <c r="F9" s="419">
        <v>348</v>
      </c>
      <c r="G9" s="419">
        <v>348</v>
      </c>
      <c r="H9" s="419">
        <v>327</v>
      </c>
      <c r="I9" s="419">
        <v>352</v>
      </c>
      <c r="J9" s="186">
        <v>269</v>
      </c>
      <c r="K9" s="419">
        <v>319</v>
      </c>
      <c r="L9" s="419">
        <v>345</v>
      </c>
      <c r="M9" s="419">
        <v>326</v>
      </c>
      <c r="N9" s="419">
        <v>335</v>
      </c>
      <c r="O9" s="419">
        <v>345</v>
      </c>
      <c r="P9" s="419">
        <v>310</v>
      </c>
      <c r="Q9" s="419">
        <v>254</v>
      </c>
      <c r="R9" s="419">
        <v>332</v>
      </c>
      <c r="S9" s="186">
        <v>313</v>
      </c>
      <c r="T9" s="419">
        <v>321</v>
      </c>
      <c r="U9" s="419">
        <v>324</v>
      </c>
      <c r="V9" s="419">
        <v>157</v>
      </c>
      <c r="W9" s="186">
        <v>290</v>
      </c>
      <c r="X9" s="419">
        <v>300</v>
      </c>
      <c r="Y9" s="419">
        <v>334</v>
      </c>
      <c r="Z9" s="187">
        <v>345</v>
      </c>
      <c r="AA9" s="419">
        <v>378</v>
      </c>
      <c r="AB9" s="419">
        <v>370</v>
      </c>
      <c r="AC9" s="419">
        <v>368</v>
      </c>
      <c r="AD9" s="419">
        <v>358</v>
      </c>
      <c r="AE9" s="428">
        <v>349</v>
      </c>
      <c r="AF9" s="419">
        <v>253</v>
      </c>
      <c r="AG9" s="419">
        <v>254</v>
      </c>
      <c r="AH9" s="419"/>
      <c r="AI9" s="3">
        <f t="shared" si="0"/>
        <v>9593</v>
      </c>
    </row>
    <row r="10" spans="1:35" ht="15.75" x14ac:dyDescent="0.25">
      <c r="B10" s="1" t="s">
        <v>12</v>
      </c>
      <c r="C10" s="1" t="s">
        <v>6</v>
      </c>
      <c r="D10" s="419">
        <v>332</v>
      </c>
      <c r="E10" s="419">
        <v>343</v>
      </c>
      <c r="F10" s="419">
        <v>346</v>
      </c>
      <c r="G10" s="419">
        <v>350</v>
      </c>
      <c r="H10" s="419">
        <v>328</v>
      </c>
      <c r="I10" s="419">
        <v>353</v>
      </c>
      <c r="J10" s="186">
        <v>270</v>
      </c>
      <c r="K10" s="419">
        <v>319</v>
      </c>
      <c r="L10" s="419">
        <v>346</v>
      </c>
      <c r="M10" s="419">
        <v>327</v>
      </c>
      <c r="N10" s="419">
        <v>332</v>
      </c>
      <c r="O10" s="419">
        <v>345</v>
      </c>
      <c r="P10" s="419">
        <v>311</v>
      </c>
      <c r="Q10" s="419">
        <v>254</v>
      </c>
      <c r="R10" s="419">
        <v>335</v>
      </c>
      <c r="S10" s="186">
        <v>314</v>
      </c>
      <c r="T10" s="419">
        <v>328</v>
      </c>
      <c r="U10" s="419">
        <v>323</v>
      </c>
      <c r="V10" s="419">
        <v>157</v>
      </c>
      <c r="W10" s="186">
        <v>289</v>
      </c>
      <c r="X10" s="419">
        <v>303</v>
      </c>
      <c r="Y10" s="419">
        <v>313</v>
      </c>
      <c r="Z10" s="187">
        <v>344</v>
      </c>
      <c r="AA10" s="419">
        <v>377</v>
      </c>
      <c r="AB10" s="419">
        <v>370</v>
      </c>
      <c r="AC10" s="419">
        <v>370</v>
      </c>
      <c r="AD10" s="419">
        <v>352</v>
      </c>
      <c r="AE10" s="428">
        <v>348</v>
      </c>
      <c r="AF10" s="419">
        <v>253</v>
      </c>
      <c r="AG10" s="419">
        <v>254</v>
      </c>
      <c r="AH10" s="419"/>
      <c r="AI10" s="3">
        <f t="shared" si="0"/>
        <v>9586</v>
      </c>
    </row>
    <row r="11" spans="1:35" ht="15.75" x14ac:dyDescent="0.25">
      <c r="B11" s="1" t="s">
        <v>13</v>
      </c>
      <c r="C11" s="1" t="s">
        <v>6</v>
      </c>
      <c r="D11" s="419">
        <v>337</v>
      </c>
      <c r="E11" s="419">
        <v>346</v>
      </c>
      <c r="F11" s="419">
        <v>348</v>
      </c>
      <c r="G11" s="419">
        <v>352</v>
      </c>
      <c r="H11" s="419">
        <v>331</v>
      </c>
      <c r="I11" s="419">
        <v>354</v>
      </c>
      <c r="J11" s="186">
        <v>272</v>
      </c>
      <c r="K11" s="419">
        <v>320</v>
      </c>
      <c r="L11" s="419">
        <v>348</v>
      </c>
      <c r="M11" s="419">
        <v>331</v>
      </c>
      <c r="N11" s="419">
        <v>335</v>
      </c>
      <c r="O11" s="419">
        <v>346</v>
      </c>
      <c r="P11" s="419">
        <v>313</v>
      </c>
      <c r="Q11" s="419">
        <v>254</v>
      </c>
      <c r="R11" s="419">
        <v>338</v>
      </c>
      <c r="S11" s="186">
        <v>315</v>
      </c>
      <c r="T11" s="419">
        <v>330</v>
      </c>
      <c r="U11" s="419">
        <v>323</v>
      </c>
      <c r="V11" s="419">
        <v>157</v>
      </c>
      <c r="W11" s="186">
        <v>289</v>
      </c>
      <c r="X11" s="419">
        <v>306</v>
      </c>
      <c r="Y11" s="419">
        <v>345</v>
      </c>
      <c r="Z11" s="187">
        <v>349</v>
      </c>
      <c r="AA11" s="419">
        <v>384</v>
      </c>
      <c r="AB11" s="419">
        <v>372</v>
      </c>
      <c r="AC11" s="419">
        <v>372</v>
      </c>
      <c r="AD11" s="419">
        <v>364</v>
      </c>
      <c r="AE11" s="428">
        <v>354</v>
      </c>
      <c r="AF11" s="419">
        <v>256</v>
      </c>
      <c r="AG11" s="419">
        <v>255</v>
      </c>
      <c r="AH11" s="419"/>
      <c r="AI11" s="3">
        <f t="shared" si="0"/>
        <v>9696</v>
      </c>
    </row>
    <row r="12" spans="1:35" ht="15.75" x14ac:dyDescent="0.25">
      <c r="B12" s="1" t="s">
        <v>14</v>
      </c>
      <c r="C12" s="1" t="s">
        <v>6</v>
      </c>
      <c r="D12" s="419">
        <v>336</v>
      </c>
      <c r="E12" s="419">
        <v>347</v>
      </c>
      <c r="F12" s="419">
        <v>348</v>
      </c>
      <c r="G12" s="419">
        <v>351</v>
      </c>
      <c r="H12" s="419">
        <v>328</v>
      </c>
      <c r="I12" s="419">
        <v>339</v>
      </c>
      <c r="J12" s="186">
        <v>270</v>
      </c>
      <c r="K12" s="419">
        <v>316</v>
      </c>
      <c r="L12" s="419">
        <v>343</v>
      </c>
      <c r="M12" s="419">
        <v>328</v>
      </c>
      <c r="N12" s="419">
        <v>333</v>
      </c>
      <c r="O12" s="419">
        <v>342</v>
      </c>
      <c r="P12" s="419">
        <v>311</v>
      </c>
      <c r="Q12" s="419">
        <v>255</v>
      </c>
      <c r="R12" s="419">
        <v>334</v>
      </c>
      <c r="S12" s="186">
        <v>311</v>
      </c>
      <c r="T12" s="419">
        <v>326</v>
      </c>
      <c r="U12" s="419">
        <v>321</v>
      </c>
      <c r="V12" s="419">
        <v>156</v>
      </c>
      <c r="W12" s="186">
        <v>287</v>
      </c>
      <c r="X12" s="419">
        <v>305</v>
      </c>
      <c r="Y12" s="419">
        <v>342</v>
      </c>
      <c r="Z12" s="187">
        <v>342</v>
      </c>
      <c r="AA12" s="419">
        <v>390</v>
      </c>
      <c r="AB12" s="419">
        <v>351</v>
      </c>
      <c r="AC12" s="419">
        <v>370</v>
      </c>
      <c r="AD12" s="419">
        <v>361</v>
      </c>
      <c r="AE12" s="428">
        <v>352</v>
      </c>
      <c r="AF12" s="419">
        <v>252</v>
      </c>
      <c r="AG12" s="419">
        <v>252</v>
      </c>
      <c r="AH12" s="419"/>
      <c r="AI12" s="3">
        <f t="shared" si="0"/>
        <v>9599</v>
      </c>
    </row>
    <row r="13" spans="1:35" ht="15.75" x14ac:dyDescent="0.25">
      <c r="B13" s="1" t="s">
        <v>15</v>
      </c>
      <c r="C13" s="1" t="s">
        <v>6</v>
      </c>
      <c r="D13" s="419">
        <v>334</v>
      </c>
      <c r="E13" s="419">
        <v>345</v>
      </c>
      <c r="F13" s="419">
        <v>346</v>
      </c>
      <c r="G13" s="419">
        <v>349</v>
      </c>
      <c r="H13" s="419">
        <v>326</v>
      </c>
      <c r="I13" s="419">
        <v>346</v>
      </c>
      <c r="J13" s="186">
        <v>271</v>
      </c>
      <c r="K13" s="419">
        <v>314</v>
      </c>
      <c r="L13" s="419">
        <v>335</v>
      </c>
      <c r="M13" s="419">
        <v>326</v>
      </c>
      <c r="N13" s="419">
        <v>330</v>
      </c>
      <c r="O13" s="419">
        <v>339</v>
      </c>
      <c r="P13" s="419">
        <v>309</v>
      </c>
      <c r="Q13" s="419">
        <v>251</v>
      </c>
      <c r="R13" s="419">
        <v>331</v>
      </c>
      <c r="S13" s="186">
        <v>308</v>
      </c>
      <c r="T13" s="419">
        <v>324</v>
      </c>
      <c r="U13" s="419">
        <v>318</v>
      </c>
      <c r="V13" s="419">
        <v>155</v>
      </c>
      <c r="W13" s="186">
        <v>284</v>
      </c>
      <c r="X13" s="419">
        <v>297</v>
      </c>
      <c r="Y13" s="419">
        <v>341</v>
      </c>
      <c r="Z13" s="187">
        <v>339</v>
      </c>
      <c r="AA13" s="419">
        <v>385</v>
      </c>
      <c r="AB13" s="419">
        <v>364</v>
      </c>
      <c r="AC13" s="419">
        <v>364</v>
      </c>
      <c r="AD13" s="419">
        <v>358</v>
      </c>
      <c r="AE13" s="428">
        <v>350</v>
      </c>
      <c r="AF13" s="419">
        <v>249</v>
      </c>
      <c r="AG13" s="419">
        <v>251</v>
      </c>
      <c r="AH13" s="419"/>
      <c r="AI13" s="3">
        <f t="shared" si="0"/>
        <v>9539</v>
      </c>
    </row>
    <row r="14" spans="1:35" ht="15.75" x14ac:dyDescent="0.25">
      <c r="B14" s="1" t="s">
        <v>16</v>
      </c>
      <c r="C14" s="1" t="s">
        <v>6</v>
      </c>
      <c r="D14" s="419">
        <v>331</v>
      </c>
      <c r="E14" s="419">
        <v>341</v>
      </c>
      <c r="F14" s="419">
        <v>342</v>
      </c>
      <c r="G14" s="419">
        <v>344</v>
      </c>
      <c r="H14" s="419">
        <v>322</v>
      </c>
      <c r="I14" s="419">
        <v>339</v>
      </c>
      <c r="J14" s="186">
        <v>269</v>
      </c>
      <c r="K14" s="419">
        <v>311</v>
      </c>
      <c r="L14" s="419">
        <v>331</v>
      </c>
      <c r="M14" s="419">
        <v>323</v>
      </c>
      <c r="N14" s="419">
        <v>328</v>
      </c>
      <c r="O14" s="419">
        <v>337</v>
      </c>
      <c r="P14" s="419">
        <v>306</v>
      </c>
      <c r="Q14" s="419">
        <v>249</v>
      </c>
      <c r="R14" s="419">
        <v>325</v>
      </c>
      <c r="S14" s="186">
        <v>305</v>
      </c>
      <c r="T14" s="419">
        <v>315</v>
      </c>
      <c r="U14" s="419">
        <v>312</v>
      </c>
      <c r="V14" s="419">
        <v>153</v>
      </c>
      <c r="W14" s="186">
        <v>280</v>
      </c>
      <c r="X14" s="419">
        <v>290</v>
      </c>
      <c r="Y14" s="419">
        <v>337</v>
      </c>
      <c r="Z14" s="187">
        <v>335</v>
      </c>
      <c r="AA14" s="419">
        <v>379</v>
      </c>
      <c r="AB14" s="419">
        <v>360</v>
      </c>
      <c r="AC14" s="419">
        <v>360</v>
      </c>
      <c r="AD14" s="419">
        <v>353</v>
      </c>
      <c r="AE14" s="428">
        <v>345</v>
      </c>
      <c r="AF14" s="419">
        <v>246</v>
      </c>
      <c r="AG14" s="419">
        <v>248</v>
      </c>
      <c r="AH14" s="419"/>
      <c r="AI14" s="3">
        <f t="shared" si="0"/>
        <v>9416</v>
      </c>
    </row>
    <row r="15" spans="1:35" ht="15.75" x14ac:dyDescent="0.25">
      <c r="B15" s="1" t="s">
        <v>17</v>
      </c>
      <c r="C15" s="1" t="s">
        <v>6</v>
      </c>
      <c r="D15" s="419">
        <v>332</v>
      </c>
      <c r="E15" s="419">
        <v>343</v>
      </c>
      <c r="F15" s="419">
        <v>346</v>
      </c>
      <c r="G15" s="419">
        <v>347</v>
      </c>
      <c r="H15" s="419">
        <v>325</v>
      </c>
      <c r="I15" s="419">
        <v>340</v>
      </c>
      <c r="J15" s="186">
        <v>274</v>
      </c>
      <c r="K15" s="419">
        <v>313</v>
      </c>
      <c r="L15" s="419">
        <v>334</v>
      </c>
      <c r="M15" s="419">
        <v>327</v>
      </c>
      <c r="N15" s="419">
        <v>332</v>
      </c>
      <c r="O15" s="419">
        <v>341</v>
      </c>
      <c r="P15" s="419">
        <v>309</v>
      </c>
      <c r="Q15" s="419">
        <v>246</v>
      </c>
      <c r="R15" s="419">
        <v>323</v>
      </c>
      <c r="S15" s="186">
        <v>308</v>
      </c>
      <c r="T15" s="419">
        <v>322</v>
      </c>
      <c r="U15" s="419">
        <v>310</v>
      </c>
      <c r="V15" s="419">
        <v>154</v>
      </c>
      <c r="W15" s="186">
        <v>283</v>
      </c>
      <c r="X15" s="419">
        <v>292</v>
      </c>
      <c r="Y15" s="419">
        <v>342</v>
      </c>
      <c r="Z15" s="187">
        <v>339</v>
      </c>
      <c r="AA15" s="419">
        <v>381</v>
      </c>
      <c r="AB15" s="419">
        <v>362</v>
      </c>
      <c r="AC15" s="419">
        <v>362</v>
      </c>
      <c r="AD15" s="419">
        <v>356</v>
      </c>
      <c r="AE15" s="428">
        <v>346</v>
      </c>
      <c r="AF15" s="419">
        <v>247</v>
      </c>
      <c r="AG15" s="419">
        <v>252</v>
      </c>
      <c r="AH15" s="419"/>
      <c r="AI15" s="3">
        <f t="shared" si="0"/>
        <v>9488</v>
      </c>
    </row>
    <row r="16" spans="1:35" ht="15.75" x14ac:dyDescent="0.25">
      <c r="B16" s="1" t="s">
        <v>18</v>
      </c>
      <c r="C16" s="1" t="s">
        <v>6</v>
      </c>
      <c r="D16" s="419">
        <v>333</v>
      </c>
      <c r="E16" s="419">
        <v>345</v>
      </c>
      <c r="F16" s="419">
        <v>348</v>
      </c>
      <c r="G16" s="419">
        <v>347</v>
      </c>
      <c r="H16" s="419">
        <v>321</v>
      </c>
      <c r="I16" s="419">
        <v>336</v>
      </c>
      <c r="J16" s="186">
        <v>277</v>
      </c>
      <c r="K16" s="419">
        <v>314</v>
      </c>
      <c r="L16" s="419">
        <v>335</v>
      </c>
      <c r="M16" s="419">
        <v>326</v>
      </c>
      <c r="N16" s="419">
        <v>333</v>
      </c>
      <c r="O16" s="419">
        <v>338</v>
      </c>
      <c r="P16" s="419">
        <v>305</v>
      </c>
      <c r="Q16" s="419">
        <v>249</v>
      </c>
      <c r="R16" s="419">
        <v>319</v>
      </c>
      <c r="S16" s="186">
        <v>311</v>
      </c>
      <c r="T16" s="419">
        <v>320</v>
      </c>
      <c r="U16" s="419">
        <v>309</v>
      </c>
      <c r="V16" s="419">
        <v>155</v>
      </c>
      <c r="W16" s="186">
        <v>283</v>
      </c>
      <c r="X16" s="419">
        <v>293</v>
      </c>
      <c r="Y16" s="419">
        <v>344</v>
      </c>
      <c r="Z16" s="187">
        <v>338</v>
      </c>
      <c r="AA16" s="419">
        <v>370</v>
      </c>
      <c r="AB16" s="419">
        <v>357</v>
      </c>
      <c r="AC16" s="419">
        <v>358</v>
      </c>
      <c r="AD16" s="419">
        <v>354</v>
      </c>
      <c r="AE16" s="428">
        <v>343</v>
      </c>
      <c r="AF16" s="419">
        <v>245</v>
      </c>
      <c r="AG16" s="419">
        <v>254</v>
      </c>
      <c r="AH16" s="419"/>
      <c r="AI16" s="3">
        <f t="shared" si="0"/>
        <v>9460</v>
      </c>
    </row>
    <row r="17" spans="2:36" ht="15.75" x14ac:dyDescent="0.25">
      <c r="B17" s="1" t="s">
        <v>19</v>
      </c>
      <c r="C17" s="1" t="s">
        <v>6</v>
      </c>
      <c r="D17" s="419">
        <v>0</v>
      </c>
      <c r="E17" s="419">
        <v>0</v>
      </c>
      <c r="F17" s="419">
        <v>0</v>
      </c>
      <c r="G17" s="419">
        <v>0</v>
      </c>
      <c r="H17" s="419">
        <v>0</v>
      </c>
      <c r="I17" s="419">
        <v>0</v>
      </c>
      <c r="J17" s="186">
        <v>0</v>
      </c>
      <c r="K17" s="419">
        <v>0</v>
      </c>
      <c r="L17" s="419">
        <v>0</v>
      </c>
      <c r="M17" s="419">
        <v>0</v>
      </c>
      <c r="N17" s="419">
        <v>0</v>
      </c>
      <c r="O17" s="419">
        <v>0</v>
      </c>
      <c r="P17" s="419">
        <v>0</v>
      </c>
      <c r="Q17" s="419">
        <v>0</v>
      </c>
      <c r="R17" s="419">
        <v>0</v>
      </c>
      <c r="S17" s="186">
        <v>0</v>
      </c>
      <c r="T17" s="419">
        <v>0</v>
      </c>
      <c r="U17" s="419">
        <v>0</v>
      </c>
      <c r="V17" s="419">
        <v>0</v>
      </c>
      <c r="W17" s="186">
        <v>0</v>
      </c>
      <c r="X17" s="419">
        <v>0</v>
      </c>
      <c r="Y17" s="419">
        <v>0</v>
      </c>
      <c r="Z17" s="187">
        <v>0</v>
      </c>
      <c r="AA17" s="419">
        <v>0</v>
      </c>
      <c r="AB17" s="419">
        <v>0</v>
      </c>
      <c r="AC17" s="419">
        <v>0</v>
      </c>
      <c r="AD17" s="419">
        <v>0</v>
      </c>
      <c r="AE17" s="428">
        <v>0</v>
      </c>
      <c r="AF17" s="419">
        <v>0</v>
      </c>
      <c r="AG17" s="419">
        <v>0</v>
      </c>
      <c r="AH17" s="419"/>
      <c r="AI17" s="3">
        <f t="shared" si="0"/>
        <v>0</v>
      </c>
    </row>
    <row r="18" spans="2:36" ht="15.75" x14ac:dyDescent="0.25">
      <c r="B18" s="1" t="s">
        <v>20</v>
      </c>
      <c r="C18" s="1" t="s">
        <v>6</v>
      </c>
      <c r="D18" s="419">
        <v>330</v>
      </c>
      <c r="E18" s="419">
        <v>346</v>
      </c>
      <c r="F18" s="419">
        <v>347</v>
      </c>
      <c r="G18" s="419">
        <v>349</v>
      </c>
      <c r="H18" s="419">
        <v>325</v>
      </c>
      <c r="I18" s="419">
        <v>341</v>
      </c>
      <c r="J18" s="186">
        <v>277</v>
      </c>
      <c r="K18" s="419">
        <v>314</v>
      </c>
      <c r="L18" s="419">
        <v>335</v>
      </c>
      <c r="M18" s="419">
        <v>326</v>
      </c>
      <c r="N18" s="419">
        <v>333</v>
      </c>
      <c r="O18" s="419">
        <v>341</v>
      </c>
      <c r="P18" s="419">
        <v>310</v>
      </c>
      <c r="Q18" s="419">
        <v>250</v>
      </c>
      <c r="R18" s="419">
        <v>319</v>
      </c>
      <c r="S18" s="186">
        <v>312</v>
      </c>
      <c r="T18" s="419">
        <v>318</v>
      </c>
      <c r="U18" s="419">
        <v>309</v>
      </c>
      <c r="V18" s="419">
        <v>156</v>
      </c>
      <c r="W18" s="186">
        <v>285</v>
      </c>
      <c r="X18" s="419">
        <v>296</v>
      </c>
      <c r="Y18" s="419">
        <v>345</v>
      </c>
      <c r="Z18" s="187">
        <v>343</v>
      </c>
      <c r="AA18" s="419">
        <v>373</v>
      </c>
      <c r="AB18" s="419">
        <v>367</v>
      </c>
      <c r="AC18" s="419">
        <v>366</v>
      </c>
      <c r="AD18" s="419">
        <v>355</v>
      </c>
      <c r="AE18" s="428">
        <v>343</v>
      </c>
      <c r="AF18" s="419">
        <v>245</v>
      </c>
      <c r="AG18" s="419">
        <v>256</v>
      </c>
      <c r="AH18" s="419"/>
      <c r="AI18" s="3">
        <f t="shared" si="0"/>
        <v>9512</v>
      </c>
    </row>
    <row r="19" spans="2:36" ht="15.75" x14ac:dyDescent="0.25">
      <c r="B19" s="1" t="s">
        <v>21</v>
      </c>
      <c r="C19" s="1" t="s">
        <v>6</v>
      </c>
      <c r="D19" s="419">
        <v>331</v>
      </c>
      <c r="E19" s="419">
        <v>350</v>
      </c>
      <c r="F19" s="419">
        <v>350</v>
      </c>
      <c r="G19" s="419">
        <v>350</v>
      </c>
      <c r="H19" s="419">
        <v>324</v>
      </c>
      <c r="I19" s="419">
        <v>341</v>
      </c>
      <c r="J19" s="186">
        <v>281</v>
      </c>
      <c r="K19" s="419">
        <v>316</v>
      </c>
      <c r="L19" s="419">
        <v>337</v>
      </c>
      <c r="M19" s="419">
        <v>326</v>
      </c>
      <c r="N19" s="419">
        <v>335</v>
      </c>
      <c r="O19" s="419">
        <v>340</v>
      </c>
      <c r="P19" s="419">
        <v>307</v>
      </c>
      <c r="Q19" s="419">
        <v>253</v>
      </c>
      <c r="R19" s="419">
        <v>322</v>
      </c>
      <c r="S19" s="186">
        <v>315</v>
      </c>
      <c r="T19" s="419">
        <v>323</v>
      </c>
      <c r="U19" s="419">
        <v>309</v>
      </c>
      <c r="V19" s="419">
        <v>157</v>
      </c>
      <c r="W19" s="186">
        <v>286</v>
      </c>
      <c r="X19" s="419">
        <v>298</v>
      </c>
      <c r="Y19" s="419">
        <v>345</v>
      </c>
      <c r="Z19" s="187">
        <v>343</v>
      </c>
      <c r="AA19" s="419">
        <v>374</v>
      </c>
      <c r="AB19" s="419">
        <v>366</v>
      </c>
      <c r="AC19" s="419">
        <v>366</v>
      </c>
      <c r="AD19" s="419">
        <v>358</v>
      </c>
      <c r="AE19" s="428">
        <v>347</v>
      </c>
      <c r="AF19" s="419">
        <v>248</v>
      </c>
      <c r="AG19" s="419">
        <v>257</v>
      </c>
      <c r="AH19" s="419"/>
      <c r="AI19" s="3">
        <f t="shared" si="0"/>
        <v>9555</v>
      </c>
    </row>
    <row r="20" spans="2:36" ht="15.75" x14ac:dyDescent="0.25">
      <c r="B20" s="1" t="s">
        <v>22</v>
      </c>
      <c r="C20" s="1" t="s">
        <v>6</v>
      </c>
      <c r="D20" s="419">
        <v>331</v>
      </c>
      <c r="E20" s="419">
        <v>352</v>
      </c>
      <c r="F20" s="419">
        <v>351</v>
      </c>
      <c r="G20" s="419">
        <v>351</v>
      </c>
      <c r="H20" s="419">
        <v>328</v>
      </c>
      <c r="I20" s="419">
        <v>345</v>
      </c>
      <c r="J20" s="186">
        <v>282</v>
      </c>
      <c r="K20" s="419">
        <v>317</v>
      </c>
      <c r="L20" s="419">
        <v>338</v>
      </c>
      <c r="M20" s="419">
        <v>321</v>
      </c>
      <c r="N20" s="419">
        <v>336</v>
      </c>
      <c r="O20" s="419">
        <v>345</v>
      </c>
      <c r="P20" s="419">
        <v>311</v>
      </c>
      <c r="Q20" s="419">
        <v>255</v>
      </c>
      <c r="R20" s="419">
        <v>325</v>
      </c>
      <c r="S20" s="186">
        <v>319</v>
      </c>
      <c r="T20" s="419">
        <v>323</v>
      </c>
      <c r="U20" s="419">
        <v>307</v>
      </c>
      <c r="V20" s="419">
        <v>157</v>
      </c>
      <c r="W20" s="186">
        <v>287</v>
      </c>
      <c r="X20" s="419">
        <v>300</v>
      </c>
      <c r="Y20" s="419">
        <v>342</v>
      </c>
      <c r="Z20" s="187">
        <v>348</v>
      </c>
      <c r="AA20" s="419">
        <v>380</v>
      </c>
      <c r="AB20" s="419">
        <v>374</v>
      </c>
      <c r="AC20" s="419">
        <v>373</v>
      </c>
      <c r="AD20" s="419">
        <v>358</v>
      </c>
      <c r="AE20" s="428">
        <v>350</v>
      </c>
      <c r="AF20" s="419">
        <v>250</v>
      </c>
      <c r="AG20" s="419">
        <v>256</v>
      </c>
      <c r="AH20" s="419"/>
      <c r="AI20" s="3">
        <f t="shared" si="0"/>
        <v>9612</v>
      </c>
    </row>
    <row r="21" spans="2:36" ht="15.75" x14ac:dyDescent="0.25">
      <c r="B21" s="1" t="s">
        <v>23</v>
      </c>
      <c r="C21" s="1" t="s">
        <v>6</v>
      </c>
      <c r="D21" s="419">
        <v>335</v>
      </c>
      <c r="E21" s="419">
        <v>354</v>
      </c>
      <c r="F21" s="419">
        <v>354</v>
      </c>
      <c r="G21" s="419">
        <v>353</v>
      </c>
      <c r="H21" s="419">
        <v>327</v>
      </c>
      <c r="I21" s="419">
        <v>342</v>
      </c>
      <c r="J21" s="186">
        <v>286</v>
      </c>
      <c r="K21" s="419">
        <v>321</v>
      </c>
      <c r="L21" s="419">
        <v>340</v>
      </c>
      <c r="M21" s="419">
        <v>323</v>
      </c>
      <c r="N21" s="419">
        <v>336</v>
      </c>
      <c r="O21" s="419">
        <v>342</v>
      </c>
      <c r="P21" s="419">
        <v>309</v>
      </c>
      <c r="Q21" s="419">
        <v>258</v>
      </c>
      <c r="R21" s="419">
        <v>329</v>
      </c>
      <c r="S21" s="186">
        <v>321</v>
      </c>
      <c r="T21" s="419">
        <v>324</v>
      </c>
      <c r="U21" s="419">
        <v>312</v>
      </c>
      <c r="V21" s="419">
        <v>158</v>
      </c>
      <c r="W21" s="186">
        <v>287</v>
      </c>
      <c r="X21" s="419">
        <v>302</v>
      </c>
      <c r="Y21" s="419">
        <v>341</v>
      </c>
      <c r="Z21" s="187">
        <v>344</v>
      </c>
      <c r="AA21" s="419">
        <v>376</v>
      </c>
      <c r="AB21" s="419">
        <v>365</v>
      </c>
      <c r="AC21" s="419">
        <v>368</v>
      </c>
      <c r="AD21" s="419">
        <v>362</v>
      </c>
      <c r="AE21" s="428">
        <v>352</v>
      </c>
      <c r="AF21" s="419">
        <v>253</v>
      </c>
      <c r="AG21" s="419">
        <v>256</v>
      </c>
      <c r="AH21" s="419"/>
      <c r="AI21" s="3">
        <f t="shared" si="0"/>
        <v>9630</v>
      </c>
      <c r="AJ21" s="4"/>
    </row>
    <row r="22" spans="2:36" ht="15.75" x14ac:dyDescent="0.25">
      <c r="B22" s="1" t="s">
        <v>24</v>
      </c>
      <c r="C22" s="1" t="s">
        <v>6</v>
      </c>
      <c r="D22" s="193">
        <v>5250</v>
      </c>
      <c r="E22" s="419">
        <v>5489.9999999997817</v>
      </c>
      <c r="F22" s="419">
        <v>5490.0000000003274</v>
      </c>
      <c r="G22" s="419">
        <v>5489.9999999997817</v>
      </c>
      <c r="H22" s="8">
        <v>5190.0000000003274</v>
      </c>
      <c r="I22" s="419">
        <v>5459.9999999996726</v>
      </c>
      <c r="J22" s="419">
        <v>4319.9999999998909</v>
      </c>
      <c r="K22" s="419">
        <v>5010.0000000002183</v>
      </c>
      <c r="L22" s="193">
        <v>5400</v>
      </c>
      <c r="M22" s="419">
        <v>5160.0000000002183</v>
      </c>
      <c r="N22" s="187">
        <v>5250</v>
      </c>
      <c r="O22" s="419">
        <v>5429.9999999995634</v>
      </c>
      <c r="P22" s="419">
        <v>4890.0000000003274</v>
      </c>
      <c r="Q22" s="419">
        <v>4020</v>
      </c>
      <c r="R22" s="419">
        <v>5219.9999999998909</v>
      </c>
      <c r="S22" s="193">
        <v>4950</v>
      </c>
      <c r="T22" s="429">
        <v>5130.0000000001091</v>
      </c>
      <c r="U22" s="429">
        <v>5010.0000000002183</v>
      </c>
      <c r="V22" s="419">
        <v>2489.9999999997817</v>
      </c>
      <c r="W22" s="193">
        <v>4589.9999999997817</v>
      </c>
      <c r="X22" s="419">
        <v>4740.0000000003274</v>
      </c>
      <c r="Y22" s="419">
        <v>5369.9999999998909</v>
      </c>
      <c r="Z22" s="187">
        <v>5460.0000000002183</v>
      </c>
      <c r="AA22" s="419">
        <v>6000</v>
      </c>
      <c r="AB22" s="419">
        <v>5819.9999999998909</v>
      </c>
      <c r="AC22" s="419">
        <v>5789.9999999997817</v>
      </c>
      <c r="AD22" s="419">
        <v>5669.9999999998909</v>
      </c>
      <c r="AE22" s="428">
        <v>5550</v>
      </c>
      <c r="AF22" s="419">
        <v>3990.0000000003274</v>
      </c>
      <c r="AG22" s="419">
        <v>4019.9999999998909</v>
      </c>
      <c r="AH22" s="419"/>
      <c r="AI22" s="3">
        <f>SUM(D22:AH22)</f>
        <v>151650.00000000009</v>
      </c>
      <c r="AJ22" s="4"/>
    </row>
    <row r="23" spans="2:36" x14ac:dyDescent="0.25">
      <c r="B23" s="1" t="s">
        <v>25</v>
      </c>
      <c r="C23" s="1" t="s">
        <v>26</v>
      </c>
      <c r="D23" s="8">
        <v>7.8283793334187814</v>
      </c>
      <c r="E23" s="424">
        <v>7.654994671465305</v>
      </c>
      <c r="F23" s="8">
        <v>7.5016753538944068</v>
      </c>
      <c r="G23" s="424">
        <v>7.4708663590414668</v>
      </c>
      <c r="H23" s="424">
        <v>7.2099346370436388</v>
      </c>
      <c r="I23" s="424">
        <v>7.6355348949019763</v>
      </c>
      <c r="J23" s="420">
        <v>6.058731377796474</v>
      </c>
      <c r="K23" s="8">
        <v>6.8087895008575687</v>
      </c>
      <c r="L23" s="8">
        <v>7.4</v>
      </c>
      <c r="M23" s="8">
        <v>7.0280889515521174</v>
      </c>
      <c r="N23" s="8">
        <v>7.5590507000366847</v>
      </c>
      <c r="O23" s="8">
        <v>7.5386763270334685</v>
      </c>
      <c r="P23" s="8">
        <v>6.7201503217290099</v>
      </c>
      <c r="Q23" s="8">
        <v>5.4357729469065639</v>
      </c>
      <c r="R23" s="8">
        <v>7.2568074873538189</v>
      </c>
      <c r="S23" s="8">
        <v>6.87</v>
      </c>
      <c r="T23" s="8">
        <v>6.9523490575427767</v>
      </c>
      <c r="U23" s="8">
        <v>6.9277326064205598</v>
      </c>
      <c r="V23" s="8">
        <v>6.5156597661889215</v>
      </c>
      <c r="W23" s="8">
        <v>6.2169113108382712</v>
      </c>
      <c r="X23" s="8">
        <v>6.3620612521004425</v>
      </c>
      <c r="Y23" s="8">
        <v>7.4542877355260639</v>
      </c>
      <c r="Z23" s="8">
        <v>7.5667765587747269</v>
      </c>
      <c r="AA23" s="8">
        <v>8.234648754315927</v>
      </c>
      <c r="AB23" s="8">
        <v>7.95</v>
      </c>
      <c r="AC23" s="187">
        <v>8.0543713392053835</v>
      </c>
      <c r="AD23" s="194">
        <v>7.9118439584104543</v>
      </c>
      <c r="AE23" s="428">
        <v>7.6820033863009636</v>
      </c>
      <c r="AF23" s="8">
        <v>5.6398264806187619</v>
      </c>
      <c r="AG23" s="8">
        <v>5.6484451669680169</v>
      </c>
      <c r="AH23" s="187"/>
      <c r="AI23" s="13">
        <f>AVERAGEIF(D23:AH23,"&gt;0")</f>
        <v>7.1031456745414197</v>
      </c>
    </row>
    <row r="24" spans="2:36" x14ac:dyDescent="0.25">
      <c r="B24" s="1" t="s">
        <v>27</v>
      </c>
      <c r="C24" s="1" t="s">
        <v>6</v>
      </c>
      <c r="D24" s="420">
        <v>6554.9999999975116</v>
      </c>
      <c r="E24" s="420">
        <v>7736.3999999997031</v>
      </c>
      <c r="F24" s="420">
        <v>10625.400000001166</v>
      </c>
      <c r="G24" s="420">
        <v>16232.399999999834</v>
      </c>
      <c r="H24" s="420">
        <v>23989.199999999437</v>
      </c>
      <c r="I24" s="6">
        <v>22450.200000000616</v>
      </c>
      <c r="J24" s="420">
        <v>22042.799999999865</v>
      </c>
      <c r="K24" s="420">
        <v>21587.999999999302</v>
      </c>
      <c r="L24" s="420">
        <v>22937.400000003458</v>
      </c>
      <c r="M24" s="420">
        <v>23469.599999996761</v>
      </c>
      <c r="N24" s="419">
        <v>22461.600000001781</v>
      </c>
      <c r="O24" s="187">
        <v>16222.799999997835</v>
      </c>
      <c r="P24" s="187">
        <v>20776.800000003706</v>
      </c>
      <c r="Q24" s="187">
        <v>21271.199999997298</v>
      </c>
      <c r="R24" s="187">
        <v>19420.199999999131</v>
      </c>
      <c r="S24" s="187">
        <v>18142.2000000033</v>
      </c>
      <c r="T24" s="187">
        <v>20741.399999998459</v>
      </c>
      <c r="U24" s="420">
        <v>17124.000000001921</v>
      </c>
      <c r="V24" s="420">
        <v>16915.199999999808</v>
      </c>
      <c r="W24" s="420">
        <v>21014.999999998079</v>
      </c>
      <c r="X24" s="420">
        <v>24971.999999998625</v>
      </c>
      <c r="Y24" s="420">
        <v>21224.400000001515</v>
      </c>
      <c r="Z24" s="187">
        <v>20117.399999999485</v>
      </c>
      <c r="AA24" s="7">
        <v>20594.399999999136</v>
      </c>
      <c r="AB24" s="6">
        <v>17338.199999999917</v>
      </c>
      <c r="AC24" s="187">
        <v>15824.999999999782</v>
      </c>
      <c r="AD24" s="187">
        <v>14763.600000001541</v>
      </c>
      <c r="AE24" s="187">
        <v>16495.80000000076</v>
      </c>
      <c r="AF24" s="187">
        <v>8394.5999999987034</v>
      </c>
      <c r="AG24" s="187">
        <v>16670.399999999026</v>
      </c>
      <c r="AH24" s="187"/>
      <c r="AI24" s="3">
        <f t="shared" si="0"/>
        <v>548112.59999999742</v>
      </c>
    </row>
    <row r="25" spans="2:36" ht="15.75" x14ac:dyDescent="0.25">
      <c r="B25" s="5" t="s">
        <v>28</v>
      </c>
      <c r="C25" s="1" t="s">
        <v>0</v>
      </c>
      <c r="D25" s="421">
        <v>0.24221935647209139</v>
      </c>
      <c r="E25" s="421">
        <v>0.23517005046739142</v>
      </c>
      <c r="F25" s="421">
        <v>0.23264879837167204</v>
      </c>
      <c r="G25" s="421">
        <v>0.23162025244148088</v>
      </c>
      <c r="H25" s="421">
        <v>0.2191467313294268</v>
      </c>
      <c r="I25" s="421">
        <v>0.23236916919286171</v>
      </c>
      <c r="J25" s="421">
        <v>0.18739521232650225</v>
      </c>
      <c r="K25" s="421">
        <v>0.21164874482038776</v>
      </c>
      <c r="L25" s="421">
        <v>0.22819412578812034</v>
      </c>
      <c r="M25" s="421">
        <v>0.21670129598190846</v>
      </c>
      <c r="N25" s="421">
        <v>0.22065109593971008</v>
      </c>
      <c r="O25" s="229">
        <v>0.22819749207032777</v>
      </c>
      <c r="P25" s="230">
        <v>0.20557682381186798</v>
      </c>
      <c r="Q25" s="421">
        <v>0.16872939751969018</v>
      </c>
      <c r="R25" s="421">
        <v>0.22200085133366282</v>
      </c>
      <c r="S25" s="421">
        <v>0.21037637140544765</v>
      </c>
      <c r="T25" s="421">
        <v>0.21385223406099116</v>
      </c>
      <c r="U25" s="421">
        <v>0.2117697893717842</v>
      </c>
      <c r="V25" s="421">
        <v>0.19800181945577572</v>
      </c>
      <c r="W25" s="421">
        <v>0.19212471739267042</v>
      </c>
      <c r="X25" s="421">
        <v>0.19871080192891002</v>
      </c>
      <c r="Y25" s="421">
        <v>0.22961601833622203</v>
      </c>
      <c r="Z25" s="421">
        <v>0.229558005497975</v>
      </c>
      <c r="AA25" s="421">
        <v>0.25125232600378739</v>
      </c>
      <c r="AB25" s="421">
        <v>0.2447012242258273</v>
      </c>
      <c r="AC25" s="421">
        <v>0.24385844760603176</v>
      </c>
      <c r="AD25" s="421">
        <v>0.23836255800273495</v>
      </c>
      <c r="AE25" s="421">
        <v>0.23328373627873611</v>
      </c>
      <c r="AF25" s="421">
        <v>0.17326690071090473</v>
      </c>
      <c r="AG25" s="421">
        <v>0.17077115575711088</v>
      </c>
      <c r="AH25" s="421"/>
      <c r="AI25" s="49">
        <f>AVERAGEIF(D25:AH25,"&gt;0")</f>
        <v>0.21739251679673371</v>
      </c>
    </row>
    <row r="26" spans="2:36" ht="15.75" x14ac:dyDescent="0.25">
      <c r="B26" s="5" t="s">
        <v>35</v>
      </c>
      <c r="C26" s="1" t="s">
        <v>0</v>
      </c>
      <c r="D26" s="421">
        <v>0.21888789937660724</v>
      </c>
      <c r="E26" s="421">
        <v>0.22889420334810021</v>
      </c>
      <c r="F26" s="421">
        <v>0.22889420334812294</v>
      </c>
      <c r="G26" s="421">
        <v>0.22889420334810021</v>
      </c>
      <c r="H26" s="421">
        <v>0.21638632338374539</v>
      </c>
      <c r="I26" s="421">
        <v>0.22764341535165789</v>
      </c>
      <c r="J26" s="421">
        <v>0.18011347148703227</v>
      </c>
      <c r="K26" s="421">
        <v>0.20888159540511431</v>
      </c>
      <c r="L26" s="421">
        <v>0.22514183935879603</v>
      </c>
      <c r="M26" s="421">
        <v>0.2151355353873031</v>
      </c>
      <c r="N26" s="421">
        <v>0.21888789937660724</v>
      </c>
      <c r="O26" s="229">
        <v>0.22639262735521559</v>
      </c>
      <c r="P26" s="421">
        <v>0.20387844341936784</v>
      </c>
      <c r="Q26" s="421">
        <v>0.16760559152265472</v>
      </c>
      <c r="R26" s="421">
        <v>0.21763711138016495</v>
      </c>
      <c r="S26" s="421">
        <v>0.20638001941222969</v>
      </c>
      <c r="T26" s="421">
        <v>0.21388474739086077</v>
      </c>
      <c r="U26" s="421">
        <v>0.20888159540511431</v>
      </c>
      <c r="V26" s="421">
        <v>0.10381540370432463</v>
      </c>
      <c r="W26" s="421">
        <v>0.19137056345496753</v>
      </c>
      <c r="X26" s="421">
        <v>0.19762450343717905</v>
      </c>
      <c r="Y26" s="421">
        <v>0.22389105136235374</v>
      </c>
      <c r="Z26" s="421">
        <v>0.22764341535168064</v>
      </c>
      <c r="AA26" s="421">
        <v>0.25015759928755116</v>
      </c>
      <c r="AB26" s="421">
        <v>0.24265287130892005</v>
      </c>
      <c r="AC26" s="421">
        <v>0.24140208331247776</v>
      </c>
      <c r="AD26" s="421">
        <v>0.23639893132673129</v>
      </c>
      <c r="AE26" s="421">
        <v>0.23139577934098482</v>
      </c>
      <c r="AF26" s="421">
        <v>0.16635480352623516</v>
      </c>
      <c r="AG26" s="421">
        <v>0.16760559152265472</v>
      </c>
      <c r="AH26" s="421"/>
      <c r="AI26" s="49">
        <f>AVERAGEIF(D26:AH26,"&gt;0")</f>
        <v>0.21075777739976184</v>
      </c>
    </row>
    <row r="27" spans="2:36" ht="15.75" x14ac:dyDescent="0.25">
      <c r="B27" s="5" t="s">
        <v>110</v>
      </c>
      <c r="C27" s="1"/>
      <c r="D27" s="425">
        <f>D25-D26</f>
        <v>2.3331457095484148E-2</v>
      </c>
      <c r="E27" s="425">
        <f t="shared" ref="E27:AG27" si="1">E25-E26</f>
        <v>6.2758471192912169E-3</v>
      </c>
      <c r="F27" s="425">
        <f t="shared" si="1"/>
        <v>3.7545950235491066E-3</v>
      </c>
      <c r="G27" s="425">
        <f t="shared" si="1"/>
        <v>2.7260490933806725E-3</v>
      </c>
      <c r="H27" s="425">
        <f t="shared" si="1"/>
        <v>2.7604079456814146E-3</v>
      </c>
      <c r="I27" s="425">
        <f t="shared" si="1"/>
        <v>4.725753841203828E-3</v>
      </c>
      <c r="J27" s="425">
        <f t="shared" si="1"/>
        <v>7.2817408394699745E-3</v>
      </c>
      <c r="K27" s="425">
        <f t="shared" si="1"/>
        <v>2.767149415273451E-3</v>
      </c>
      <c r="L27" s="425">
        <f t="shared" si="1"/>
        <v>3.0522864293243135E-3</v>
      </c>
      <c r="M27" s="425">
        <f t="shared" si="1"/>
        <v>1.5657605946053643E-3</v>
      </c>
      <c r="N27" s="425">
        <f t="shared" si="1"/>
        <v>1.7631965631028368E-3</v>
      </c>
      <c r="O27" s="425">
        <f t="shared" si="1"/>
        <v>1.8048647151121811E-3</v>
      </c>
      <c r="P27" s="425">
        <f t="shared" si="1"/>
        <v>1.6983803925001428E-3</v>
      </c>
      <c r="Q27" s="425">
        <f t="shared" si="1"/>
        <v>1.1238059970354597E-3</v>
      </c>
      <c r="R27" s="425">
        <f t="shared" si="1"/>
        <v>4.3637399534978694E-3</v>
      </c>
      <c r="S27" s="425">
        <f t="shared" si="1"/>
        <v>3.9963519932179614E-3</v>
      </c>
      <c r="T27" s="425">
        <f t="shared" si="1"/>
        <v>-3.2513329869615637E-5</v>
      </c>
      <c r="U27" s="425">
        <f t="shared" si="1"/>
        <v>2.8881939666698941E-3</v>
      </c>
      <c r="V27" s="425">
        <f t="shared" si="1"/>
        <v>9.4186415751451091E-2</v>
      </c>
      <c r="W27" s="425">
        <f t="shared" si="1"/>
        <v>7.5415393770289496E-4</v>
      </c>
      <c r="X27" s="425">
        <f t="shared" si="1"/>
        <v>1.0862984917309748E-3</v>
      </c>
      <c r="Y27" s="425">
        <f t="shared" si="1"/>
        <v>5.7249669738682896E-3</v>
      </c>
      <c r="Z27" s="425">
        <f t="shared" si="1"/>
        <v>1.9145901462943593E-3</v>
      </c>
      <c r="AA27" s="425">
        <f t="shared" si="1"/>
        <v>1.0947267162362273E-3</v>
      </c>
      <c r="AB27" s="425">
        <f t="shared" si="1"/>
        <v>2.0483529169072479E-3</v>
      </c>
      <c r="AC27" s="425">
        <f t="shared" si="1"/>
        <v>2.4563642935540031E-3</v>
      </c>
      <c r="AD27" s="425">
        <f t="shared" si="1"/>
        <v>1.9636266760036658E-3</v>
      </c>
      <c r="AE27" s="425">
        <f t="shared" si="1"/>
        <v>1.8879569377512895E-3</v>
      </c>
      <c r="AF27" s="425">
        <f t="shared" si="1"/>
        <v>6.9120971846695634E-3</v>
      </c>
      <c r="AG27" s="425">
        <f t="shared" si="1"/>
        <v>3.1655642344561585E-3</v>
      </c>
      <c r="AH27" s="425"/>
      <c r="AI27" s="49">
        <f>AVERAGEIF(D27:AH27,"&gt;0")</f>
        <v>6.8646446634146761E-3</v>
      </c>
    </row>
    <row r="28" spans="2:36" ht="15.75" x14ac:dyDescent="0.25">
      <c r="B28" s="5" t="s">
        <v>112</v>
      </c>
      <c r="C28" s="1"/>
      <c r="D28" s="422">
        <f t="shared" ref="D28:AG28" si="2">D22/(D23*999.37)</f>
        <v>0.67105966143114426</v>
      </c>
      <c r="E28" s="422">
        <f t="shared" si="2"/>
        <v>0.71763092152523433</v>
      </c>
      <c r="F28" s="422">
        <f t="shared" si="2"/>
        <v>0.73229786963562549</v>
      </c>
      <c r="G28" s="422">
        <f t="shared" si="2"/>
        <v>0.73531778194721065</v>
      </c>
      <c r="H28" s="422">
        <f t="shared" si="2"/>
        <v>0.72029387541567769</v>
      </c>
      <c r="I28" s="422">
        <f t="shared" si="2"/>
        <v>0.71552838715825529</v>
      </c>
      <c r="J28" s="422">
        <f t="shared" si="2"/>
        <v>0.71347003954166477</v>
      </c>
      <c r="K28" s="422">
        <f t="shared" si="2"/>
        <v>0.73627746739583222</v>
      </c>
      <c r="L28" s="422">
        <f t="shared" si="2"/>
        <v>0.73018974927177083</v>
      </c>
      <c r="M28" s="422">
        <f t="shared" si="2"/>
        <v>0.73465957600821152</v>
      </c>
      <c r="N28" s="422">
        <f t="shared" si="2"/>
        <v>0.69496948671254177</v>
      </c>
      <c r="O28" s="422">
        <f t="shared" si="2"/>
        <v>0.72073966580062354</v>
      </c>
      <c r="P28" s="422">
        <f t="shared" si="2"/>
        <v>0.72812101036541987</v>
      </c>
      <c r="Q28" s="422">
        <f t="shared" si="2"/>
        <v>0.74001144562761778</v>
      </c>
      <c r="R28" s="422">
        <f t="shared" si="2"/>
        <v>0.71977804044359761</v>
      </c>
      <c r="S28" s="422">
        <f t="shared" si="2"/>
        <v>0.7209782337545142</v>
      </c>
      <c r="T28" s="422">
        <f t="shared" si="2"/>
        <v>0.73834525494825165</v>
      </c>
      <c r="U28" s="422">
        <f t="shared" si="2"/>
        <v>0.7236362276853171</v>
      </c>
      <c r="V28" s="422">
        <f t="shared" si="2"/>
        <v>0.38239714446617529</v>
      </c>
      <c r="W28" s="422">
        <f t="shared" si="2"/>
        <v>0.73877417471151396</v>
      </c>
      <c r="X28" s="422">
        <f t="shared" si="2"/>
        <v>0.74551122577236972</v>
      </c>
      <c r="Y28" s="422">
        <f t="shared" si="2"/>
        <v>0.72084489133518526</v>
      </c>
      <c r="Z28" s="422">
        <f t="shared" si="2"/>
        <v>0.72203030260021572</v>
      </c>
      <c r="AA28" s="422">
        <f t="shared" si="2"/>
        <v>0.72908785329241133</v>
      </c>
      <c r="AB28" s="422">
        <f t="shared" si="2"/>
        <v>0.73253696998919271</v>
      </c>
      <c r="AC28" s="422">
        <f t="shared" si="2"/>
        <v>0.71931746818008613</v>
      </c>
      <c r="AD28" s="422">
        <f t="shared" si="2"/>
        <v>0.71709886869171935</v>
      </c>
      <c r="AE28" s="422">
        <f t="shared" si="2"/>
        <v>0.72292323042801399</v>
      </c>
      <c r="AF28" s="422">
        <f t="shared" si="2"/>
        <v>0.70791456055428392</v>
      </c>
      <c r="AG28" s="422">
        <f t="shared" si="2"/>
        <v>0.71214893260669421</v>
      </c>
      <c r="AH28" s="422"/>
      <c r="AI28" s="49">
        <f>AVERAGEIF(D28:AH28,"&gt;0")</f>
        <v>0.71146301057654582</v>
      </c>
    </row>
    <row r="29" spans="2:36" x14ac:dyDescent="0.25">
      <c r="B29" s="5" t="s">
        <v>109</v>
      </c>
      <c r="C29" s="1" t="s">
        <v>59</v>
      </c>
      <c r="D29" s="420">
        <f>D25*999.37*24</f>
        <v>5809.6021986603355</v>
      </c>
      <c r="E29" s="420">
        <f t="shared" ref="E29:AG29" si="3">E25*999.37*24</f>
        <v>5640.5254400543272</v>
      </c>
      <c r="F29" s="420">
        <f t="shared" si="3"/>
        <v>5580.0535110887495</v>
      </c>
      <c r="G29" s="420">
        <f t="shared" si="3"/>
        <v>5555.3839603786255</v>
      </c>
      <c r="H29" s="420">
        <f t="shared" si="3"/>
        <v>5256.2080533285425</v>
      </c>
      <c r="I29" s="420">
        <f t="shared" si="3"/>
        <v>5573.3466387904846</v>
      </c>
      <c r="J29" s="420">
        <f t="shared" si="3"/>
        <v>4494.6516802256774</v>
      </c>
      <c r="K29" s="420">
        <f t="shared" si="3"/>
        <v>5076.3697466676222</v>
      </c>
      <c r="L29" s="420">
        <f t="shared" si="3"/>
        <v>5473.2087237329724</v>
      </c>
      <c r="M29" s="420">
        <f t="shared" si="3"/>
        <v>5197.5545799705569</v>
      </c>
      <c r="N29" s="420">
        <f t="shared" si="3"/>
        <v>5292.2900579824336</v>
      </c>
      <c r="O29" s="420">
        <f t="shared" si="3"/>
        <v>5473.2894636077635</v>
      </c>
      <c r="P29" s="420">
        <f t="shared" si="3"/>
        <v>4930.735449908796</v>
      </c>
      <c r="Q29" s="420">
        <f t="shared" si="3"/>
        <v>4046.9543519820672</v>
      </c>
      <c r="R29" s="420">
        <f t="shared" si="3"/>
        <v>5324.6637791357425</v>
      </c>
      <c r="S29" s="420">
        <f t="shared" si="3"/>
        <v>5045.8520229950936</v>
      </c>
      <c r="T29" s="420">
        <f t="shared" si="3"/>
        <v>5129.2201716847849</v>
      </c>
      <c r="U29" s="420">
        <f t="shared" si="3"/>
        <v>5079.2729857075192</v>
      </c>
      <c r="V29" s="420">
        <f t="shared" si="3"/>
        <v>4749.0498794284458</v>
      </c>
      <c r="W29" s="420">
        <f t="shared" si="3"/>
        <v>4608.0882916971132</v>
      </c>
      <c r="X29" s="420">
        <f t="shared" si="3"/>
        <v>4766.0547389686762</v>
      </c>
      <c r="Y29" s="420">
        <f t="shared" si="3"/>
        <v>5507.3126458720853</v>
      </c>
      <c r="Z29" s="420">
        <f t="shared" si="3"/>
        <v>5505.9212149082705</v>
      </c>
      <c r="AA29" s="420">
        <f t="shared" si="3"/>
        <v>6026.25688892172</v>
      </c>
      <c r="AB29" s="420">
        <f t="shared" si="3"/>
        <v>5869.1294989095604</v>
      </c>
      <c r="AC29" s="420">
        <f t="shared" si="3"/>
        <v>5848.9156028169591</v>
      </c>
      <c r="AD29" s="420">
        <f t="shared" si="3"/>
        <v>5717.0973501886383</v>
      </c>
      <c r="AE29" s="420">
        <f t="shared" si="3"/>
        <v>5595.2824205971319</v>
      </c>
      <c r="AF29" s="420">
        <f t="shared" si="3"/>
        <v>4155.7858215229644</v>
      </c>
      <c r="AG29" s="420">
        <f t="shared" si="3"/>
        <v>4095.9256782956136</v>
      </c>
      <c r="AH29" s="420"/>
      <c r="AI29" s="3">
        <f t="shared" ref="AI29" si="4">SUM(D29:AH29)</f>
        <v>156424.00284802928</v>
      </c>
    </row>
    <row r="30" spans="2:36" x14ac:dyDescent="0.25">
      <c r="B30" s="5" t="s">
        <v>213</v>
      </c>
      <c r="C30" s="1"/>
      <c r="D30" s="225">
        <v>32.880000000000003</v>
      </c>
      <c r="E30" s="225">
        <v>34.229999999999997</v>
      </c>
      <c r="F30" s="225">
        <v>32.44</v>
      </c>
      <c r="G30" s="225">
        <v>32.5</v>
      </c>
      <c r="H30" s="225">
        <v>36.229999999999997</v>
      </c>
      <c r="I30" s="225">
        <v>36</v>
      </c>
      <c r="J30" s="225">
        <v>32.950000000000003</v>
      </c>
      <c r="K30" s="225">
        <v>32</v>
      </c>
      <c r="L30" s="225">
        <v>33.5</v>
      </c>
      <c r="M30" s="225">
        <v>33.54</v>
      </c>
      <c r="N30" s="225">
        <v>35</v>
      </c>
      <c r="O30" s="225">
        <v>36.08</v>
      </c>
      <c r="P30" s="225">
        <v>34</v>
      </c>
      <c r="Q30" s="225">
        <v>31</v>
      </c>
      <c r="R30" s="225">
        <v>34.704737713199634</v>
      </c>
      <c r="S30" s="225">
        <v>33.83</v>
      </c>
      <c r="T30" s="225">
        <v>33</v>
      </c>
      <c r="U30" s="225">
        <v>34.17</v>
      </c>
      <c r="V30" s="225">
        <v>35.21</v>
      </c>
      <c r="W30" s="225">
        <v>32</v>
      </c>
      <c r="X30" s="225">
        <v>30</v>
      </c>
      <c r="Y30" s="225">
        <v>32.799999999999997</v>
      </c>
      <c r="Z30" s="225">
        <v>35.67</v>
      </c>
      <c r="AA30" s="225">
        <v>34.676718160624397</v>
      </c>
      <c r="AB30" s="225">
        <v>33</v>
      </c>
      <c r="AC30" s="225">
        <v>36.1</v>
      </c>
      <c r="AD30" s="225">
        <v>37</v>
      </c>
      <c r="AE30" s="225">
        <v>35.5</v>
      </c>
      <c r="AF30" s="225">
        <v>33</v>
      </c>
      <c r="AG30" s="225">
        <v>36</v>
      </c>
      <c r="AH30" s="225"/>
      <c r="AI30" s="13">
        <f>AVERAGEIF(D30:AE30,"&gt;0")</f>
        <v>33.928980566922284</v>
      </c>
    </row>
    <row r="31" spans="2:36" ht="15" customHeight="1" x14ac:dyDescent="0.25">
      <c r="B31" s="219" t="s">
        <v>100</v>
      </c>
      <c r="C31" s="1" t="s">
        <v>59</v>
      </c>
      <c r="D31" s="222"/>
      <c r="E31" s="222">
        <v>35</v>
      </c>
      <c r="F31" s="222"/>
      <c r="G31" s="222"/>
      <c r="H31" s="222"/>
      <c r="I31" s="222">
        <v>35</v>
      </c>
      <c r="J31" s="222">
        <v>95</v>
      </c>
      <c r="K31" s="222"/>
      <c r="L31" s="222"/>
      <c r="M31" s="222"/>
      <c r="N31" s="222"/>
      <c r="O31" s="222"/>
      <c r="P31" s="222"/>
      <c r="Q31" s="222"/>
      <c r="R31" s="222">
        <v>55</v>
      </c>
      <c r="S31" s="222">
        <v>48</v>
      </c>
      <c r="T31" s="222"/>
      <c r="U31" s="222"/>
      <c r="V31" s="222"/>
      <c r="W31" s="222"/>
      <c r="X31" s="222"/>
      <c r="Y31" s="222">
        <v>70</v>
      </c>
      <c r="Z31" s="222"/>
      <c r="AA31" s="222"/>
      <c r="AB31" s="222"/>
      <c r="AC31" s="222"/>
      <c r="AD31" s="222"/>
      <c r="AE31" s="222"/>
      <c r="AF31" s="222"/>
      <c r="AG31" s="222"/>
      <c r="AH31" s="222"/>
      <c r="AI31" s="13">
        <f t="shared" ref="AI31:AI36" si="5">SUM(D31:AH31)</f>
        <v>338</v>
      </c>
      <c r="AJ31" s="417">
        <f>AI31/24/999.37/28</f>
        <v>5.0329326523328752E-4</v>
      </c>
    </row>
    <row r="32" spans="2:36" ht="15" customHeight="1" x14ac:dyDescent="0.25">
      <c r="B32" s="219" t="s">
        <v>101</v>
      </c>
      <c r="C32" s="1" t="s">
        <v>59</v>
      </c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13">
        <f t="shared" si="5"/>
        <v>0</v>
      </c>
    </row>
    <row r="33" spans="1:35" ht="15" customHeight="1" x14ac:dyDescent="0.25">
      <c r="B33" s="219" t="s">
        <v>102</v>
      </c>
      <c r="C33" s="1" t="s">
        <v>59</v>
      </c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>
        <v>13</v>
      </c>
      <c r="V33" s="222"/>
      <c r="W33" s="222"/>
      <c r="X33" s="222"/>
      <c r="Y33" s="222">
        <v>21</v>
      </c>
      <c r="Z33" s="222"/>
      <c r="AA33" s="222"/>
      <c r="AB33" s="222">
        <v>21</v>
      </c>
      <c r="AC33" s="222">
        <v>12</v>
      </c>
      <c r="AD33" s="222"/>
      <c r="AE33" s="222"/>
      <c r="AF33" s="222"/>
      <c r="AG33" s="222"/>
      <c r="AH33" s="222"/>
      <c r="AI33" s="13">
        <f t="shared" si="5"/>
        <v>67</v>
      </c>
    </row>
    <row r="34" spans="1:35" ht="15" customHeight="1" x14ac:dyDescent="0.25">
      <c r="B34" s="219" t="s">
        <v>103</v>
      </c>
      <c r="C34" s="1" t="s">
        <v>59</v>
      </c>
      <c r="D34" s="222">
        <v>480</v>
      </c>
      <c r="E34" s="222">
        <v>35</v>
      </c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>
        <v>2220</v>
      </c>
      <c r="W34" s="222"/>
      <c r="X34" s="222"/>
      <c r="Y34" s="222"/>
      <c r="Z34" s="222"/>
      <c r="AA34" s="222"/>
      <c r="AB34" s="222"/>
      <c r="AC34" s="222"/>
      <c r="AD34" s="222"/>
      <c r="AE34" s="222"/>
      <c r="AF34" s="222">
        <v>130</v>
      </c>
      <c r="AG34" s="222">
        <v>56</v>
      </c>
      <c r="AH34" s="222"/>
      <c r="AI34" s="13">
        <f t="shared" si="5"/>
        <v>2921</v>
      </c>
    </row>
    <row r="35" spans="1:35" x14ac:dyDescent="0.25">
      <c r="B35" s="5" t="s">
        <v>218</v>
      </c>
      <c r="C35" s="1" t="s">
        <v>59</v>
      </c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13">
        <f t="shared" si="5"/>
        <v>0</v>
      </c>
    </row>
    <row r="36" spans="1:35" x14ac:dyDescent="0.25">
      <c r="B36" s="220" t="s">
        <v>86</v>
      </c>
      <c r="C36" s="1" t="s">
        <v>59</v>
      </c>
      <c r="D36" s="222">
        <f t="shared" ref="D36" si="6">+SUM(D31:D35)</f>
        <v>480</v>
      </c>
      <c r="E36" s="222">
        <f t="shared" ref="E36:F36" si="7">+SUM(E31:E35)</f>
        <v>70</v>
      </c>
      <c r="F36" s="222">
        <f t="shared" si="7"/>
        <v>0</v>
      </c>
      <c r="G36" s="222">
        <f t="shared" ref="G36:AG36" si="8">+SUM(G31:G35)</f>
        <v>0</v>
      </c>
      <c r="H36" s="222">
        <f t="shared" si="8"/>
        <v>0</v>
      </c>
      <c r="I36" s="222">
        <f t="shared" si="8"/>
        <v>35</v>
      </c>
      <c r="J36" s="222">
        <f t="shared" si="8"/>
        <v>95</v>
      </c>
      <c r="K36" s="222">
        <f t="shared" si="8"/>
        <v>0</v>
      </c>
      <c r="L36" s="222">
        <f t="shared" si="8"/>
        <v>0</v>
      </c>
      <c r="M36" s="222">
        <f t="shared" si="8"/>
        <v>0</v>
      </c>
      <c r="N36" s="222">
        <f t="shared" si="8"/>
        <v>0</v>
      </c>
      <c r="O36" s="222">
        <f t="shared" si="8"/>
        <v>0</v>
      </c>
      <c r="P36" s="222">
        <f t="shared" si="8"/>
        <v>0</v>
      </c>
      <c r="Q36" s="222">
        <f t="shared" si="8"/>
        <v>0</v>
      </c>
      <c r="R36" s="222">
        <f t="shared" si="8"/>
        <v>55</v>
      </c>
      <c r="S36" s="222">
        <f t="shared" si="8"/>
        <v>48</v>
      </c>
      <c r="T36" s="222">
        <f t="shared" si="8"/>
        <v>0</v>
      </c>
      <c r="U36" s="222">
        <f t="shared" si="8"/>
        <v>13</v>
      </c>
      <c r="V36" s="222">
        <f t="shared" si="8"/>
        <v>2220</v>
      </c>
      <c r="W36" s="222">
        <f t="shared" si="8"/>
        <v>0</v>
      </c>
      <c r="X36" s="222">
        <f t="shared" si="8"/>
        <v>0</v>
      </c>
      <c r="Y36" s="222">
        <f t="shared" si="8"/>
        <v>91</v>
      </c>
      <c r="Z36" s="222">
        <f t="shared" si="8"/>
        <v>0</v>
      </c>
      <c r="AA36" s="222">
        <f t="shared" si="8"/>
        <v>0</v>
      </c>
      <c r="AB36" s="222">
        <f t="shared" si="8"/>
        <v>21</v>
      </c>
      <c r="AC36" s="222">
        <f t="shared" si="8"/>
        <v>12</v>
      </c>
      <c r="AD36" s="222">
        <f t="shared" si="8"/>
        <v>0</v>
      </c>
      <c r="AE36" s="222">
        <f t="shared" si="8"/>
        <v>0</v>
      </c>
      <c r="AF36" s="222">
        <f t="shared" si="8"/>
        <v>130</v>
      </c>
      <c r="AG36" s="222">
        <f t="shared" si="8"/>
        <v>56</v>
      </c>
      <c r="AH36" s="222"/>
      <c r="AI36" s="13">
        <f t="shared" si="5"/>
        <v>3326</v>
      </c>
    </row>
    <row r="37" spans="1:35" x14ac:dyDescent="0.25">
      <c r="B37" s="220" t="s">
        <v>86</v>
      </c>
      <c r="C37" s="1" t="s">
        <v>59</v>
      </c>
      <c r="D37" s="221">
        <f>+D36/999.4/24</f>
        <v>2.0012007204322595E-2</v>
      </c>
      <c r="E37" s="221">
        <f>+E36/999.4/24</f>
        <v>2.9184177172970447E-3</v>
      </c>
      <c r="F37" s="221">
        <f t="shared" ref="F37:AG37" si="9">+F36/999.4/24</f>
        <v>0</v>
      </c>
      <c r="G37" s="221">
        <f t="shared" si="9"/>
        <v>0</v>
      </c>
      <c r="H37" s="221">
        <f t="shared" si="9"/>
        <v>0</v>
      </c>
      <c r="I37" s="221">
        <f t="shared" si="9"/>
        <v>1.4592088586485223E-3</v>
      </c>
      <c r="J37" s="221">
        <f t="shared" si="9"/>
        <v>3.960709759188847E-3</v>
      </c>
      <c r="K37" s="221">
        <f t="shared" si="9"/>
        <v>0</v>
      </c>
      <c r="L37" s="221">
        <f t="shared" si="9"/>
        <v>0</v>
      </c>
      <c r="M37" s="221">
        <f t="shared" si="9"/>
        <v>0</v>
      </c>
      <c r="N37" s="221">
        <f t="shared" si="9"/>
        <v>0</v>
      </c>
      <c r="O37" s="221">
        <f t="shared" si="9"/>
        <v>0</v>
      </c>
      <c r="P37" s="221">
        <f t="shared" si="9"/>
        <v>0</v>
      </c>
      <c r="Q37" s="221">
        <f t="shared" si="9"/>
        <v>0</v>
      </c>
      <c r="R37" s="221">
        <f t="shared" si="9"/>
        <v>2.2930424921619639E-3</v>
      </c>
      <c r="S37" s="221">
        <f t="shared" si="9"/>
        <v>2.0012007204322593E-3</v>
      </c>
      <c r="T37" s="221">
        <f t="shared" si="9"/>
        <v>0</v>
      </c>
      <c r="U37" s="221">
        <f t="shared" si="9"/>
        <v>5.4199186178373695E-4</v>
      </c>
      <c r="V37" s="221">
        <f t="shared" si="9"/>
        <v>9.2555533319992001E-2</v>
      </c>
      <c r="W37" s="221">
        <f t="shared" si="9"/>
        <v>0</v>
      </c>
      <c r="X37" s="221">
        <f t="shared" si="9"/>
        <v>0</v>
      </c>
      <c r="Y37" s="221">
        <f t="shared" si="9"/>
        <v>3.7939430324861584E-3</v>
      </c>
      <c r="Z37" s="221">
        <f t="shared" si="9"/>
        <v>0</v>
      </c>
      <c r="AA37" s="221">
        <f t="shared" si="9"/>
        <v>0</v>
      </c>
      <c r="AB37" s="221">
        <f t="shared" si="9"/>
        <v>8.7552531518911346E-4</v>
      </c>
      <c r="AC37" s="221">
        <f t="shared" si="9"/>
        <v>5.0030018010806482E-4</v>
      </c>
      <c r="AD37" s="221">
        <f t="shared" si="9"/>
        <v>0</v>
      </c>
      <c r="AE37" s="221">
        <f t="shared" si="9"/>
        <v>0</v>
      </c>
      <c r="AF37" s="221">
        <f t="shared" si="9"/>
        <v>5.4199186178373699E-3</v>
      </c>
      <c r="AG37" s="221">
        <f t="shared" si="9"/>
        <v>2.3347341738376359E-3</v>
      </c>
      <c r="AH37" s="221"/>
      <c r="AI37" s="13">
        <f>AVERAGE(D37:AH37)</f>
        <v>4.6222177751095109E-3</v>
      </c>
    </row>
    <row r="38" spans="1:35" x14ac:dyDescent="0.25">
      <c r="B38" s="5" t="s">
        <v>116</v>
      </c>
      <c r="C38" s="1" t="s">
        <v>60</v>
      </c>
      <c r="D38" s="423">
        <f t="shared" ref="D38:AH38" si="10">+D25-D26-D37</f>
        <v>3.3194498911615529E-3</v>
      </c>
      <c r="E38" s="423">
        <f t="shared" si="10"/>
        <v>3.3574294019941722E-3</v>
      </c>
      <c r="F38" s="423">
        <f t="shared" si="10"/>
        <v>3.7545950235491066E-3</v>
      </c>
      <c r="G38" s="423">
        <f t="shared" si="10"/>
        <v>2.7260490933806725E-3</v>
      </c>
      <c r="H38" s="423">
        <f t="shared" si="10"/>
        <v>2.7604079456814146E-3</v>
      </c>
      <c r="I38" s="423">
        <f t="shared" si="10"/>
        <v>3.2665449825553059E-3</v>
      </c>
      <c r="J38" s="423">
        <f t="shared" si="10"/>
        <v>3.3210310802811276E-3</v>
      </c>
      <c r="K38" s="423">
        <f t="shared" si="10"/>
        <v>2.767149415273451E-3</v>
      </c>
      <c r="L38" s="423">
        <f t="shared" si="10"/>
        <v>3.0522864293243135E-3</v>
      </c>
      <c r="M38" s="423">
        <f t="shared" si="10"/>
        <v>1.5657605946053643E-3</v>
      </c>
      <c r="N38" s="423">
        <f t="shared" si="10"/>
        <v>1.7631965631028368E-3</v>
      </c>
      <c r="O38" s="423">
        <f t="shared" si="10"/>
        <v>1.8048647151121811E-3</v>
      </c>
      <c r="P38" s="423">
        <f t="shared" si="10"/>
        <v>1.6983803925001428E-3</v>
      </c>
      <c r="Q38" s="423">
        <f t="shared" si="10"/>
        <v>1.1238059970354597E-3</v>
      </c>
      <c r="R38" s="423">
        <f t="shared" si="10"/>
        <v>2.0706974613359055E-3</v>
      </c>
      <c r="S38" s="423">
        <f t="shared" si="10"/>
        <v>1.9951512727857021E-3</v>
      </c>
      <c r="T38" s="423">
        <f t="shared" si="10"/>
        <v>-3.2513329869615637E-5</v>
      </c>
      <c r="U38" s="423">
        <f t="shared" si="10"/>
        <v>2.3462021048861574E-3</v>
      </c>
      <c r="V38" s="423">
        <f t="shared" si="10"/>
        <v>1.6308824314590908E-3</v>
      </c>
      <c r="W38" s="423">
        <f t="shared" si="10"/>
        <v>7.5415393770289496E-4</v>
      </c>
      <c r="X38" s="423">
        <f t="shared" si="10"/>
        <v>1.0862984917309748E-3</v>
      </c>
      <c r="Y38" s="423">
        <f t="shared" si="10"/>
        <v>1.9310239413821311E-3</v>
      </c>
      <c r="Z38" s="423">
        <f t="shared" si="10"/>
        <v>1.9145901462943593E-3</v>
      </c>
      <c r="AA38" s="423">
        <f t="shared" si="10"/>
        <v>1.0947267162362273E-3</v>
      </c>
      <c r="AB38" s="423">
        <f t="shared" si="10"/>
        <v>1.1728276017181345E-3</v>
      </c>
      <c r="AC38" s="423">
        <f t="shared" si="10"/>
        <v>1.9560641134459384E-3</v>
      </c>
      <c r="AD38" s="423">
        <f t="shared" si="10"/>
        <v>1.9636266760036658E-3</v>
      </c>
      <c r="AE38" s="423">
        <f t="shared" si="10"/>
        <v>1.8879569377512895E-3</v>
      </c>
      <c r="AF38" s="423">
        <f t="shared" si="10"/>
        <v>1.4921785668321934E-3</v>
      </c>
      <c r="AG38" s="423">
        <f t="shared" si="10"/>
        <v>8.3083006061852264E-4</v>
      </c>
      <c r="AH38" s="423">
        <f t="shared" si="10"/>
        <v>0</v>
      </c>
      <c r="AI38" s="224">
        <f>AVERAGE(D38:AH38)</f>
        <v>1.9476015695442156E-3</v>
      </c>
    </row>
    <row r="39" spans="1:35" x14ac:dyDescent="0.25">
      <c r="A39" s="218" t="s">
        <v>30</v>
      </c>
      <c r="B39" s="671" t="s">
        <v>30</v>
      </c>
      <c r="C39" s="671"/>
      <c r="D39" s="671"/>
      <c r="E39" s="671"/>
      <c r="F39" s="671"/>
      <c r="G39" s="671"/>
      <c r="H39" s="671"/>
      <c r="I39" s="671"/>
      <c r="J39" s="671"/>
      <c r="K39" s="671"/>
      <c r="L39" s="671"/>
      <c r="M39" s="671"/>
      <c r="N39" s="671"/>
      <c r="O39" s="671"/>
      <c r="P39" s="671"/>
      <c r="Q39" s="671"/>
      <c r="R39" s="671"/>
      <c r="S39" s="671"/>
      <c r="T39" s="671"/>
      <c r="U39" s="671"/>
      <c r="V39" s="671"/>
      <c r="W39" s="671"/>
      <c r="X39" s="671"/>
      <c r="Y39" s="671"/>
      <c r="Z39" s="671"/>
      <c r="AA39" s="671"/>
      <c r="AB39" s="671"/>
      <c r="AC39" s="671"/>
      <c r="AD39" s="671"/>
      <c r="AE39" s="671"/>
      <c r="AF39" s="671"/>
      <c r="AG39" s="671"/>
      <c r="AH39" s="671"/>
      <c r="AI39" s="671"/>
    </row>
    <row r="40" spans="1:35" x14ac:dyDescent="0.25">
      <c r="B40" s="1" t="s">
        <v>2</v>
      </c>
      <c r="C40" s="1" t="s">
        <v>3</v>
      </c>
      <c r="D40" s="187">
        <v>1</v>
      </c>
      <c r="E40" s="187">
        <v>2</v>
      </c>
      <c r="F40" s="187">
        <v>3</v>
      </c>
      <c r="G40" s="187">
        <v>4</v>
      </c>
      <c r="H40" s="187">
        <v>5</v>
      </c>
      <c r="I40" s="187">
        <v>6</v>
      </c>
      <c r="J40" s="187">
        <v>7</v>
      </c>
      <c r="K40" s="187">
        <v>8</v>
      </c>
      <c r="L40" s="187">
        <v>9</v>
      </c>
      <c r="M40" s="187">
        <v>10</v>
      </c>
      <c r="N40" s="187">
        <v>11</v>
      </c>
      <c r="O40" s="187">
        <v>12</v>
      </c>
      <c r="P40" s="187">
        <v>13</v>
      </c>
      <c r="Q40" s="187">
        <v>14</v>
      </c>
      <c r="R40" s="187">
        <v>15</v>
      </c>
      <c r="S40" s="187">
        <v>16</v>
      </c>
      <c r="T40" s="187">
        <v>17</v>
      </c>
      <c r="U40" s="187">
        <v>18</v>
      </c>
      <c r="V40" s="187">
        <v>19</v>
      </c>
      <c r="W40" s="187">
        <v>20</v>
      </c>
      <c r="X40" s="187">
        <v>21</v>
      </c>
      <c r="Y40" s="187">
        <v>22</v>
      </c>
      <c r="Z40" s="187">
        <v>23</v>
      </c>
      <c r="AA40" s="187">
        <v>24</v>
      </c>
      <c r="AB40" s="187">
        <v>25</v>
      </c>
      <c r="AC40" s="187">
        <v>26</v>
      </c>
      <c r="AD40" s="187">
        <v>27</v>
      </c>
      <c r="AE40" s="187">
        <v>28</v>
      </c>
      <c r="AF40" s="187">
        <v>29</v>
      </c>
      <c r="AG40" s="187">
        <v>30</v>
      </c>
      <c r="AH40" s="187">
        <v>31</v>
      </c>
      <c r="AI40" s="187" t="s">
        <v>4</v>
      </c>
    </row>
    <row r="41" spans="1:35" x14ac:dyDescent="0.25">
      <c r="B41" s="1" t="s">
        <v>5</v>
      </c>
      <c r="C41" s="1" t="s">
        <v>6</v>
      </c>
      <c r="D41" s="419">
        <v>301.7</v>
      </c>
      <c r="E41" s="419">
        <v>297.7</v>
      </c>
      <c r="F41" s="419">
        <v>286.39999999999998</v>
      </c>
      <c r="G41" s="419">
        <v>262.60000000000002</v>
      </c>
      <c r="H41" s="419">
        <v>265.2</v>
      </c>
      <c r="I41" s="419">
        <v>165</v>
      </c>
      <c r="J41" s="419">
        <v>197.8</v>
      </c>
      <c r="K41" s="419">
        <v>263.3</v>
      </c>
      <c r="L41" s="419">
        <v>305.7</v>
      </c>
      <c r="M41" s="419">
        <v>319.7</v>
      </c>
      <c r="N41" s="419">
        <v>301</v>
      </c>
      <c r="O41" s="419">
        <v>251.4</v>
      </c>
      <c r="P41" s="419">
        <v>288.39999999999998</v>
      </c>
      <c r="Q41" s="419">
        <v>280.7</v>
      </c>
      <c r="R41" s="419">
        <v>256.39999999999998</v>
      </c>
      <c r="S41" s="187">
        <v>262.3</v>
      </c>
      <c r="T41" s="419">
        <v>196.1</v>
      </c>
      <c r="U41" s="419">
        <v>278.7</v>
      </c>
      <c r="V41" s="419">
        <v>301.39999999999998</v>
      </c>
      <c r="W41" s="419">
        <v>146.4</v>
      </c>
      <c r="X41" s="419">
        <v>243.8</v>
      </c>
      <c r="Y41" s="419">
        <v>206.5</v>
      </c>
      <c r="Z41" s="419">
        <v>143.30000000000001</v>
      </c>
      <c r="AA41" s="419">
        <v>312.3</v>
      </c>
      <c r="AB41" s="419">
        <v>305.3</v>
      </c>
      <c r="AC41" s="419">
        <v>306.8</v>
      </c>
      <c r="AD41" s="419">
        <v>293.5</v>
      </c>
      <c r="AE41" s="419">
        <v>277.5</v>
      </c>
      <c r="AF41" s="419">
        <v>250.6</v>
      </c>
      <c r="AG41" s="419">
        <v>268.5</v>
      </c>
      <c r="AH41" s="419"/>
      <c r="AI41" s="3">
        <f>SUM(D41:AH41)</f>
        <v>7836.0000000000009</v>
      </c>
    </row>
    <row r="42" spans="1:35" ht="15.75" x14ac:dyDescent="0.25">
      <c r="B42" s="1" t="s">
        <v>7</v>
      </c>
      <c r="C42" s="1" t="s">
        <v>6</v>
      </c>
      <c r="D42" s="419">
        <v>297.10000000000002</v>
      </c>
      <c r="E42" s="419">
        <v>292.60000000000002</v>
      </c>
      <c r="F42" s="419">
        <v>279.89999999999998</v>
      </c>
      <c r="G42" s="419">
        <v>262.2</v>
      </c>
      <c r="H42" s="419">
        <v>263.5</v>
      </c>
      <c r="I42" s="419">
        <v>168</v>
      </c>
      <c r="J42" s="419">
        <v>197.7</v>
      </c>
      <c r="K42" s="419">
        <v>264.60000000000002</v>
      </c>
      <c r="L42" s="419">
        <v>289.60000000000002</v>
      </c>
      <c r="M42" s="419">
        <v>317.8</v>
      </c>
      <c r="N42" s="419">
        <v>300.60000000000002</v>
      </c>
      <c r="O42" s="419">
        <v>247.3</v>
      </c>
      <c r="P42" s="419">
        <v>282.10000000000002</v>
      </c>
      <c r="Q42" s="419">
        <v>283.5</v>
      </c>
      <c r="R42" s="419">
        <v>248.5</v>
      </c>
      <c r="S42" s="189">
        <v>250.3</v>
      </c>
      <c r="T42" s="419">
        <v>195.8</v>
      </c>
      <c r="U42" s="419">
        <v>275.89999999999998</v>
      </c>
      <c r="V42" s="419">
        <v>304</v>
      </c>
      <c r="W42" s="419">
        <v>146.69999999999999</v>
      </c>
      <c r="X42" s="419">
        <v>243.2</v>
      </c>
      <c r="Y42" s="419">
        <v>208</v>
      </c>
      <c r="Z42" s="419">
        <v>144.69999999999999</v>
      </c>
      <c r="AA42" s="419">
        <v>313.3</v>
      </c>
      <c r="AB42" s="419">
        <v>307.89999999999998</v>
      </c>
      <c r="AC42" s="419">
        <v>309.60000000000002</v>
      </c>
      <c r="AD42" s="419">
        <v>294.89999999999998</v>
      </c>
      <c r="AE42" s="419">
        <v>278.8</v>
      </c>
      <c r="AF42" s="419">
        <v>247.6</v>
      </c>
      <c r="AG42" s="419">
        <v>267.7</v>
      </c>
      <c r="AH42" s="419"/>
      <c r="AI42" s="3">
        <f t="shared" ref="AI42:AI61" si="11">SUM(D42:AH42)</f>
        <v>7783.4</v>
      </c>
    </row>
    <row r="43" spans="1:35" ht="15.75" x14ac:dyDescent="0.25">
      <c r="B43" s="1" t="s">
        <v>8</v>
      </c>
      <c r="C43" s="1" t="s">
        <v>6</v>
      </c>
      <c r="D43" s="419">
        <v>297.7</v>
      </c>
      <c r="E43" s="419">
        <v>292.39999999999998</v>
      </c>
      <c r="F43" s="419">
        <v>279.5</v>
      </c>
      <c r="G43" s="419">
        <v>261.89999999999998</v>
      </c>
      <c r="H43" s="419">
        <v>233.3</v>
      </c>
      <c r="I43" s="419">
        <v>169.6</v>
      </c>
      <c r="J43" s="419">
        <v>198.2</v>
      </c>
      <c r="K43" s="419">
        <v>265.2</v>
      </c>
      <c r="L43" s="419">
        <v>290.2</v>
      </c>
      <c r="M43" s="419">
        <v>318.60000000000002</v>
      </c>
      <c r="N43" s="419">
        <v>272.2</v>
      </c>
      <c r="O43" s="419">
        <v>250.3</v>
      </c>
      <c r="P43" s="419">
        <v>283.8</v>
      </c>
      <c r="Q43" s="419">
        <v>284.3</v>
      </c>
      <c r="R43" s="419">
        <v>249.6</v>
      </c>
      <c r="S43" s="188">
        <v>259.5</v>
      </c>
      <c r="T43" s="419">
        <v>200.4</v>
      </c>
      <c r="U43" s="419">
        <v>275.39999999999998</v>
      </c>
      <c r="V43" s="419">
        <v>304.89999999999998</v>
      </c>
      <c r="W43" s="419">
        <v>147.69999999999999</v>
      </c>
      <c r="X43" s="419">
        <v>243.1</v>
      </c>
      <c r="Y43" s="419">
        <v>208.6</v>
      </c>
      <c r="Z43" s="419">
        <v>145.9</v>
      </c>
      <c r="AA43" s="419">
        <v>313.2</v>
      </c>
      <c r="AB43" s="419">
        <v>307.89999999999998</v>
      </c>
      <c r="AC43" s="419">
        <v>309.60000000000002</v>
      </c>
      <c r="AD43" s="419">
        <v>294.39999999999998</v>
      </c>
      <c r="AE43" s="419">
        <v>279.8</v>
      </c>
      <c r="AF43" s="419">
        <v>248.3</v>
      </c>
      <c r="AG43" s="419">
        <v>268</v>
      </c>
      <c r="AH43" s="419"/>
      <c r="AI43" s="3">
        <f t="shared" si="11"/>
        <v>7753.4999999999991</v>
      </c>
    </row>
    <row r="44" spans="1:35" ht="15.75" x14ac:dyDescent="0.25">
      <c r="B44" s="1" t="s">
        <v>9</v>
      </c>
      <c r="C44" s="1" t="s">
        <v>6</v>
      </c>
      <c r="D44" s="419">
        <v>296</v>
      </c>
      <c r="E44" s="419">
        <v>290.7</v>
      </c>
      <c r="F44" s="419">
        <v>278.89999999999998</v>
      </c>
      <c r="G44" s="419">
        <v>260.89999999999998</v>
      </c>
      <c r="H44" s="419">
        <v>258.8</v>
      </c>
      <c r="I44" s="419">
        <v>169.8</v>
      </c>
      <c r="J44" s="419">
        <v>199.3</v>
      </c>
      <c r="K44" s="419">
        <v>264.7</v>
      </c>
      <c r="L44" s="419">
        <v>287.89999999999998</v>
      </c>
      <c r="M44" s="419">
        <v>312.60000000000002</v>
      </c>
      <c r="N44" s="419">
        <v>301.2</v>
      </c>
      <c r="O44" s="419">
        <v>250.2</v>
      </c>
      <c r="P44" s="419">
        <v>282.2</v>
      </c>
      <c r="Q44" s="419">
        <v>282.60000000000002</v>
      </c>
      <c r="R44" s="419">
        <v>248.4</v>
      </c>
      <c r="S44" s="188">
        <v>257</v>
      </c>
      <c r="T44" s="419">
        <v>200.4</v>
      </c>
      <c r="U44" s="419">
        <v>271.3</v>
      </c>
      <c r="V44" s="419">
        <v>301.60000000000002</v>
      </c>
      <c r="W44" s="419">
        <v>148.80000000000001</v>
      </c>
      <c r="X44" s="419">
        <v>244.7</v>
      </c>
      <c r="Y44" s="419">
        <v>205.9</v>
      </c>
      <c r="Z44" s="419">
        <v>144.6</v>
      </c>
      <c r="AA44" s="419">
        <v>309.2</v>
      </c>
      <c r="AB44" s="419">
        <v>301.3</v>
      </c>
      <c r="AC44" s="419">
        <v>305.3</v>
      </c>
      <c r="AD44" s="419">
        <v>290.89999999999998</v>
      </c>
      <c r="AE44" s="419">
        <v>279.8</v>
      </c>
      <c r="AF44" s="419">
        <v>251</v>
      </c>
      <c r="AG44" s="419">
        <v>267.60000000000002</v>
      </c>
      <c r="AH44" s="419"/>
      <c r="AI44" s="3">
        <f t="shared" si="11"/>
        <v>7763.5999999999995</v>
      </c>
    </row>
    <row r="45" spans="1:35" ht="15.75" x14ac:dyDescent="0.25">
      <c r="B45" s="1" t="s">
        <v>10</v>
      </c>
      <c r="C45" s="1" t="s">
        <v>6</v>
      </c>
      <c r="D45" s="419">
        <v>302.39999999999998</v>
      </c>
      <c r="E45" s="419">
        <v>296.7</v>
      </c>
      <c r="F45" s="419">
        <v>283.8</v>
      </c>
      <c r="G45" s="419">
        <v>264.3</v>
      </c>
      <c r="H45" s="419">
        <v>255.3</v>
      </c>
      <c r="I45" s="419">
        <v>173.1</v>
      </c>
      <c r="J45" s="419">
        <v>202.2</v>
      </c>
      <c r="K45" s="419">
        <v>270.39999999999998</v>
      </c>
      <c r="L45" s="419">
        <v>295.60000000000002</v>
      </c>
      <c r="M45" s="419">
        <v>320.3</v>
      </c>
      <c r="N45" s="419">
        <v>309.10000000000002</v>
      </c>
      <c r="O45" s="419">
        <v>255.2</v>
      </c>
      <c r="P45" s="419">
        <v>288</v>
      </c>
      <c r="Q45" s="419">
        <v>280.39999999999998</v>
      </c>
      <c r="R45" s="419">
        <v>246.7</v>
      </c>
      <c r="S45" s="188">
        <v>260.89999999999998</v>
      </c>
      <c r="T45" s="419">
        <v>203.7</v>
      </c>
      <c r="U45" s="419">
        <v>269.60000000000002</v>
      </c>
      <c r="V45" s="419">
        <v>311</v>
      </c>
      <c r="W45" s="419">
        <v>151</v>
      </c>
      <c r="X45" s="419">
        <v>246.9</v>
      </c>
      <c r="Y45" s="419">
        <v>211.8</v>
      </c>
      <c r="Z45" s="419">
        <v>149</v>
      </c>
      <c r="AA45" s="419">
        <v>317.7</v>
      </c>
      <c r="AB45" s="419">
        <v>312</v>
      </c>
      <c r="AC45" s="419">
        <v>314.39999999999998</v>
      </c>
      <c r="AD45" s="419">
        <v>298.39999999999998</v>
      </c>
      <c r="AE45" s="419">
        <v>285.8</v>
      </c>
      <c r="AF45" s="419">
        <v>253.7</v>
      </c>
      <c r="AG45" s="419">
        <v>272.8</v>
      </c>
      <c r="AH45" s="419"/>
      <c r="AI45" s="3">
        <f t="shared" si="11"/>
        <v>7902.1999999999989</v>
      </c>
    </row>
    <row r="46" spans="1:35" ht="15.75" x14ac:dyDescent="0.25">
      <c r="B46" s="1" t="s">
        <v>11</v>
      </c>
      <c r="C46" s="1" t="s">
        <v>6</v>
      </c>
      <c r="D46" s="419">
        <v>302.10000000000002</v>
      </c>
      <c r="E46" s="419">
        <v>295.89999999999998</v>
      </c>
      <c r="F46" s="419">
        <v>283.5</v>
      </c>
      <c r="G46" s="419">
        <v>263.2</v>
      </c>
      <c r="H46" s="419">
        <v>249.8</v>
      </c>
      <c r="I46" s="419">
        <v>171.9</v>
      </c>
      <c r="J46" s="419">
        <v>201.2</v>
      </c>
      <c r="K46" s="419">
        <v>269.5</v>
      </c>
      <c r="L46" s="419">
        <v>294.60000000000002</v>
      </c>
      <c r="M46" s="419">
        <v>317.7</v>
      </c>
      <c r="N46" s="419">
        <v>307.39999999999998</v>
      </c>
      <c r="O46" s="419">
        <v>254.3</v>
      </c>
      <c r="P46" s="419">
        <v>286.89999999999998</v>
      </c>
      <c r="Q46" s="419">
        <v>279.5</v>
      </c>
      <c r="R46" s="419">
        <v>245.6</v>
      </c>
      <c r="S46" s="188">
        <v>246.5</v>
      </c>
      <c r="T46" s="419">
        <v>203</v>
      </c>
      <c r="U46" s="419">
        <v>273.10000000000002</v>
      </c>
      <c r="V46" s="419">
        <v>309.60000000000002</v>
      </c>
      <c r="W46" s="419">
        <v>150</v>
      </c>
      <c r="X46" s="419">
        <v>245.4</v>
      </c>
      <c r="Y46" s="419">
        <v>210.6</v>
      </c>
      <c r="Z46" s="419">
        <v>148.19999999999999</v>
      </c>
      <c r="AA46" s="419">
        <v>315</v>
      </c>
      <c r="AB46" s="419">
        <v>309.89999999999998</v>
      </c>
      <c r="AC46" s="419">
        <v>312</v>
      </c>
      <c r="AD46" s="419">
        <v>293.89999999999998</v>
      </c>
      <c r="AE46" s="419">
        <v>286.3</v>
      </c>
      <c r="AF46" s="419">
        <v>253.3</v>
      </c>
      <c r="AG46" s="419">
        <v>272.8</v>
      </c>
      <c r="AH46" s="419"/>
      <c r="AI46" s="3">
        <f t="shared" si="11"/>
        <v>7852.7000000000007</v>
      </c>
    </row>
    <row r="47" spans="1:35" ht="15.75" x14ac:dyDescent="0.25">
      <c r="B47" s="1" t="s">
        <v>12</v>
      </c>
      <c r="C47" s="1" t="s">
        <v>6</v>
      </c>
      <c r="D47" s="419">
        <v>302.8</v>
      </c>
      <c r="E47" s="419">
        <v>296.7</v>
      </c>
      <c r="F47" s="419">
        <v>284.3</v>
      </c>
      <c r="G47" s="419">
        <v>262.89999999999998</v>
      </c>
      <c r="H47" s="419">
        <v>248.9</v>
      </c>
      <c r="I47" s="419">
        <v>172.2</v>
      </c>
      <c r="J47" s="419">
        <v>201.8</v>
      </c>
      <c r="K47" s="419">
        <v>270.39999999999998</v>
      </c>
      <c r="L47" s="419">
        <v>295.39999999999998</v>
      </c>
      <c r="M47" s="419">
        <v>313.8</v>
      </c>
      <c r="N47" s="419">
        <v>303.5</v>
      </c>
      <c r="O47" s="419">
        <v>260.5</v>
      </c>
      <c r="P47" s="419">
        <v>294.2</v>
      </c>
      <c r="Q47" s="419">
        <v>286.7</v>
      </c>
      <c r="R47" s="419">
        <v>252.1</v>
      </c>
      <c r="S47" s="188">
        <v>252.8</v>
      </c>
      <c r="T47" s="419">
        <v>203.8</v>
      </c>
      <c r="U47" s="419">
        <v>273.5</v>
      </c>
      <c r="V47" s="419">
        <v>310.60000000000002</v>
      </c>
      <c r="W47" s="419">
        <v>150.30000000000001</v>
      </c>
      <c r="X47" s="419">
        <v>245.4</v>
      </c>
      <c r="Y47" s="419">
        <v>210.4</v>
      </c>
      <c r="Z47" s="419">
        <v>148</v>
      </c>
      <c r="AA47" s="419">
        <v>315.3</v>
      </c>
      <c r="AB47" s="419">
        <v>310.60000000000002</v>
      </c>
      <c r="AC47" s="419">
        <v>312.2</v>
      </c>
      <c r="AD47" s="419">
        <v>286.3</v>
      </c>
      <c r="AE47" s="419">
        <v>286.89999999999998</v>
      </c>
      <c r="AF47" s="419">
        <v>253.4</v>
      </c>
      <c r="AG47" s="419">
        <v>272.8</v>
      </c>
      <c r="AH47" s="419"/>
      <c r="AI47" s="3">
        <f t="shared" si="11"/>
        <v>7878.5</v>
      </c>
    </row>
    <row r="48" spans="1:35" ht="15.75" x14ac:dyDescent="0.25">
      <c r="B48" s="1" t="s">
        <v>13</v>
      </c>
      <c r="C48" s="1" t="s">
        <v>6</v>
      </c>
      <c r="D48" s="419">
        <v>301.5</v>
      </c>
      <c r="E48" s="419">
        <v>295.60000000000002</v>
      </c>
      <c r="F48" s="419">
        <v>283.2</v>
      </c>
      <c r="G48" s="419">
        <v>261.8</v>
      </c>
      <c r="H48" s="419">
        <v>249.5</v>
      </c>
      <c r="I48" s="419">
        <v>173.2</v>
      </c>
      <c r="J48" s="419">
        <v>202.4</v>
      </c>
      <c r="K48" s="419">
        <v>271.39999999999998</v>
      </c>
      <c r="L48" s="419">
        <v>296.7</v>
      </c>
      <c r="M48" s="419">
        <v>313.3</v>
      </c>
      <c r="N48" s="419">
        <v>304.60000000000002</v>
      </c>
      <c r="O48" s="419">
        <v>260.10000000000002</v>
      </c>
      <c r="P48" s="419">
        <v>294.10000000000002</v>
      </c>
      <c r="Q48" s="419">
        <v>286.60000000000002</v>
      </c>
      <c r="R48" s="419">
        <v>252</v>
      </c>
      <c r="S48" s="188">
        <v>252.2</v>
      </c>
      <c r="T48" s="419">
        <v>203.5</v>
      </c>
      <c r="U48" s="419">
        <v>274.5</v>
      </c>
      <c r="V48" s="419">
        <v>314.3</v>
      </c>
      <c r="W48" s="419">
        <v>151.6</v>
      </c>
      <c r="X48" s="419">
        <v>247</v>
      </c>
      <c r="Y48" s="419">
        <v>211.1</v>
      </c>
      <c r="Z48" s="419">
        <v>148.6</v>
      </c>
      <c r="AA48" s="419">
        <v>316.60000000000002</v>
      </c>
      <c r="AB48" s="419">
        <v>311.7</v>
      </c>
      <c r="AC48" s="419">
        <v>313.39999999999998</v>
      </c>
      <c r="AD48" s="419">
        <v>286.5</v>
      </c>
      <c r="AE48" s="419">
        <v>288</v>
      </c>
      <c r="AF48" s="419">
        <v>254.5</v>
      </c>
      <c r="AG48" s="419">
        <v>188.7</v>
      </c>
      <c r="AH48" s="419"/>
      <c r="AI48" s="3">
        <f t="shared" si="11"/>
        <v>7808.2000000000007</v>
      </c>
    </row>
    <row r="49" spans="2:37" ht="15.75" x14ac:dyDescent="0.25">
      <c r="B49" s="1" t="s">
        <v>14</v>
      </c>
      <c r="C49" s="1" t="s">
        <v>6</v>
      </c>
      <c r="D49" s="419">
        <v>302.60000000000002</v>
      </c>
      <c r="E49" s="419">
        <v>296</v>
      </c>
      <c r="F49" s="419">
        <v>283.8</v>
      </c>
      <c r="G49" s="419">
        <v>260.8</v>
      </c>
      <c r="H49" s="419">
        <v>248.3</v>
      </c>
      <c r="I49" s="419">
        <v>171.6</v>
      </c>
      <c r="J49" s="419">
        <v>201.2</v>
      </c>
      <c r="K49" s="419">
        <v>269.5</v>
      </c>
      <c r="L49" s="419">
        <v>292.39999999999998</v>
      </c>
      <c r="M49" s="419">
        <v>308.2</v>
      </c>
      <c r="N49" s="419">
        <v>304.60000000000002</v>
      </c>
      <c r="O49" s="419">
        <v>259</v>
      </c>
      <c r="P49" s="419">
        <v>293.2</v>
      </c>
      <c r="Q49" s="419">
        <v>287.3</v>
      </c>
      <c r="R49" s="419">
        <v>253.3</v>
      </c>
      <c r="S49" s="188">
        <v>254.3</v>
      </c>
      <c r="T49" s="419">
        <v>204.5</v>
      </c>
      <c r="U49" s="419">
        <v>272.60000000000002</v>
      </c>
      <c r="V49" s="419">
        <v>312.60000000000002</v>
      </c>
      <c r="W49" s="419">
        <v>150.1</v>
      </c>
      <c r="X49" s="419">
        <v>247</v>
      </c>
      <c r="Y49" s="419">
        <v>210.7</v>
      </c>
      <c r="Z49" s="419">
        <v>147.5</v>
      </c>
      <c r="AA49" s="419">
        <v>316.3</v>
      </c>
      <c r="AB49" s="419">
        <v>311.2</v>
      </c>
      <c r="AC49" s="419">
        <v>312.89999999999998</v>
      </c>
      <c r="AD49" s="419">
        <v>286.39999999999998</v>
      </c>
      <c r="AE49" s="419">
        <v>288.5</v>
      </c>
      <c r="AF49" s="419">
        <v>254.8</v>
      </c>
      <c r="AG49" s="419">
        <v>274.2</v>
      </c>
      <c r="AH49" s="419"/>
      <c r="AI49" s="3">
        <f t="shared" si="11"/>
        <v>7875.4</v>
      </c>
    </row>
    <row r="50" spans="2:37" ht="15.75" x14ac:dyDescent="0.25">
      <c r="B50" s="1" t="s">
        <v>15</v>
      </c>
      <c r="C50" s="1" t="s">
        <v>6</v>
      </c>
      <c r="D50" s="419">
        <v>301.7</v>
      </c>
      <c r="E50" s="419">
        <v>294.7</v>
      </c>
      <c r="F50" s="419">
        <v>282.8</v>
      </c>
      <c r="G50" s="419">
        <v>259</v>
      </c>
      <c r="H50" s="419">
        <v>247.4</v>
      </c>
      <c r="I50" s="419">
        <v>172.2</v>
      </c>
      <c r="J50" s="419">
        <v>201.2</v>
      </c>
      <c r="K50" s="419">
        <v>269.7</v>
      </c>
      <c r="L50" s="419">
        <v>295.10000000000002</v>
      </c>
      <c r="M50" s="419">
        <v>309.2</v>
      </c>
      <c r="N50" s="419">
        <v>308</v>
      </c>
      <c r="O50" s="419">
        <v>257.89999999999998</v>
      </c>
      <c r="P50" s="419">
        <v>291.39999999999998</v>
      </c>
      <c r="Q50" s="419">
        <v>284.39999999999998</v>
      </c>
      <c r="R50" s="419">
        <v>250.5</v>
      </c>
      <c r="S50" s="188">
        <v>250.6</v>
      </c>
      <c r="T50" s="419">
        <v>202.3</v>
      </c>
      <c r="U50" s="419">
        <v>272.3</v>
      </c>
      <c r="V50" s="419">
        <v>311.8</v>
      </c>
      <c r="W50" s="419">
        <v>150.69999999999999</v>
      </c>
      <c r="X50" s="419">
        <v>245.7</v>
      </c>
      <c r="Y50" s="419">
        <v>210.2</v>
      </c>
      <c r="Z50" s="419">
        <v>148.19999999999999</v>
      </c>
      <c r="AA50" s="419">
        <v>315.2</v>
      </c>
      <c r="AB50" s="419">
        <v>310.2</v>
      </c>
      <c r="AC50" s="419">
        <v>312</v>
      </c>
      <c r="AD50" s="419">
        <v>284.7</v>
      </c>
      <c r="AE50" s="419">
        <v>288.60000000000002</v>
      </c>
      <c r="AF50" s="419">
        <v>254.7</v>
      </c>
      <c r="AG50" s="419">
        <v>274.89999999999998</v>
      </c>
      <c r="AH50" s="419"/>
      <c r="AI50" s="3">
        <f t="shared" si="11"/>
        <v>7857.2999999999993</v>
      </c>
    </row>
    <row r="51" spans="2:37" ht="15.75" x14ac:dyDescent="0.25">
      <c r="B51" s="1" t="s">
        <v>16</v>
      </c>
      <c r="C51" s="1" t="s">
        <v>6</v>
      </c>
      <c r="D51" s="419">
        <v>303.39999999999998</v>
      </c>
      <c r="E51" s="419">
        <v>296.2</v>
      </c>
      <c r="F51" s="419">
        <v>284.10000000000002</v>
      </c>
      <c r="G51" s="419">
        <v>259.10000000000002</v>
      </c>
      <c r="H51" s="419">
        <v>248.5</v>
      </c>
      <c r="I51" s="419">
        <v>171.1</v>
      </c>
      <c r="J51" s="419">
        <v>201.6</v>
      </c>
      <c r="K51" s="419">
        <v>270.5</v>
      </c>
      <c r="L51" s="419">
        <v>295.5</v>
      </c>
      <c r="M51" s="419">
        <v>308.3</v>
      </c>
      <c r="N51" s="419">
        <v>311.2</v>
      </c>
      <c r="O51" s="419">
        <v>258.5</v>
      </c>
      <c r="P51" s="419">
        <v>292.60000000000002</v>
      </c>
      <c r="Q51" s="419">
        <v>285.60000000000002</v>
      </c>
      <c r="R51" s="419">
        <v>251.9</v>
      </c>
      <c r="S51" s="188">
        <v>252.2</v>
      </c>
      <c r="T51" s="419">
        <v>199.8</v>
      </c>
      <c r="U51" s="419">
        <v>264.7</v>
      </c>
      <c r="V51" s="419">
        <v>311.10000000000002</v>
      </c>
      <c r="W51" s="419">
        <v>151.1</v>
      </c>
      <c r="X51" s="419">
        <v>246.2</v>
      </c>
      <c r="Y51" s="419">
        <v>211</v>
      </c>
      <c r="Z51" s="419">
        <v>148.80000000000001</v>
      </c>
      <c r="AA51" s="419">
        <v>316.8</v>
      </c>
      <c r="AB51" s="419">
        <v>312.3</v>
      </c>
      <c r="AC51" s="419">
        <v>313.10000000000002</v>
      </c>
      <c r="AD51" s="419">
        <v>285.39999999999998</v>
      </c>
      <c r="AE51" s="419">
        <v>289.7</v>
      </c>
      <c r="AF51" s="419">
        <v>255.7</v>
      </c>
      <c r="AG51" s="419">
        <v>275.8</v>
      </c>
      <c r="AH51" s="419"/>
      <c r="AI51" s="3">
        <f t="shared" si="11"/>
        <v>7871.8000000000011</v>
      </c>
    </row>
    <row r="52" spans="2:37" ht="15.75" x14ac:dyDescent="0.25">
      <c r="B52" s="1" t="s">
        <v>17</v>
      </c>
      <c r="C52" s="1" t="s">
        <v>6</v>
      </c>
      <c r="D52" s="419">
        <v>300.60000000000002</v>
      </c>
      <c r="E52" s="419">
        <v>294.7</v>
      </c>
      <c r="F52" s="419">
        <v>283.60000000000002</v>
      </c>
      <c r="G52" s="419">
        <v>259</v>
      </c>
      <c r="H52" s="419">
        <v>248.2</v>
      </c>
      <c r="I52" s="419">
        <v>168.7</v>
      </c>
      <c r="J52" s="419">
        <v>200.6</v>
      </c>
      <c r="K52" s="419">
        <v>268.8</v>
      </c>
      <c r="L52" s="419">
        <v>294.5</v>
      </c>
      <c r="M52" s="419">
        <v>302.2</v>
      </c>
      <c r="N52" s="419">
        <v>305.60000000000002</v>
      </c>
      <c r="O52" s="419">
        <v>252.3</v>
      </c>
      <c r="P52" s="419">
        <v>286</v>
      </c>
      <c r="Q52" s="419">
        <v>279.60000000000002</v>
      </c>
      <c r="R52" s="419">
        <v>247.1</v>
      </c>
      <c r="S52" s="188">
        <v>247.2</v>
      </c>
      <c r="T52" s="419">
        <v>196.9</v>
      </c>
      <c r="U52" s="419">
        <v>261.7</v>
      </c>
      <c r="V52" s="419">
        <v>307.8</v>
      </c>
      <c r="W52" s="419">
        <v>150.30000000000001</v>
      </c>
      <c r="X52" s="419">
        <v>244.8</v>
      </c>
      <c r="Y52" s="419">
        <v>210.3</v>
      </c>
      <c r="Z52" s="419">
        <v>148.1</v>
      </c>
      <c r="AA52" s="419">
        <v>316</v>
      </c>
      <c r="AB52" s="419">
        <v>311.7</v>
      </c>
      <c r="AC52" s="419">
        <v>312.10000000000002</v>
      </c>
      <c r="AD52" s="419">
        <v>284.89999999999998</v>
      </c>
      <c r="AE52" s="419">
        <v>286.39999999999998</v>
      </c>
      <c r="AF52" s="419">
        <v>254</v>
      </c>
      <c r="AG52" s="419">
        <v>274.10000000000002</v>
      </c>
      <c r="AH52" s="419"/>
      <c r="AI52" s="3">
        <f t="shared" si="11"/>
        <v>7797.8</v>
      </c>
    </row>
    <row r="53" spans="2:37" ht="15.75" x14ac:dyDescent="0.25">
      <c r="B53" s="1" t="s">
        <v>18</v>
      </c>
      <c r="C53" s="1" t="s">
        <v>6</v>
      </c>
      <c r="D53" s="419">
        <v>300.10000000000002</v>
      </c>
      <c r="E53" s="419">
        <v>295.39999999999998</v>
      </c>
      <c r="F53" s="419">
        <v>284.8</v>
      </c>
      <c r="G53" s="419">
        <v>259.5</v>
      </c>
      <c r="H53" s="419">
        <v>249.2</v>
      </c>
      <c r="I53" s="419">
        <v>168.5</v>
      </c>
      <c r="J53" s="419">
        <v>201</v>
      </c>
      <c r="K53" s="419">
        <v>269.39999999999998</v>
      </c>
      <c r="L53" s="419">
        <v>295.8</v>
      </c>
      <c r="M53" s="419">
        <v>300.89999999999998</v>
      </c>
      <c r="N53" s="419">
        <v>306.39999999999998</v>
      </c>
      <c r="O53" s="419">
        <v>252.8</v>
      </c>
      <c r="P53" s="419">
        <v>286.8</v>
      </c>
      <c r="Q53" s="419">
        <v>280.5</v>
      </c>
      <c r="R53" s="419">
        <v>248.3</v>
      </c>
      <c r="S53" s="188">
        <v>248.1</v>
      </c>
      <c r="T53" s="419">
        <v>197.4</v>
      </c>
      <c r="U53" s="419">
        <v>262.7</v>
      </c>
      <c r="V53" s="419">
        <v>292.5</v>
      </c>
      <c r="W53" s="419">
        <v>150.80000000000001</v>
      </c>
      <c r="X53" s="419">
        <v>244.3</v>
      </c>
      <c r="Y53" s="419">
        <v>210.2</v>
      </c>
      <c r="Z53" s="419">
        <v>148.4</v>
      </c>
      <c r="AA53" s="419">
        <v>316.39999999999998</v>
      </c>
      <c r="AB53" s="419">
        <v>312.39999999999998</v>
      </c>
      <c r="AC53" s="419">
        <v>312.89999999999998</v>
      </c>
      <c r="AD53" s="419">
        <v>285.3</v>
      </c>
      <c r="AE53" s="419">
        <v>285.89999999999998</v>
      </c>
      <c r="AF53" s="419">
        <v>254.6</v>
      </c>
      <c r="AG53" s="419">
        <v>274.7</v>
      </c>
      <c r="AH53" s="419"/>
      <c r="AI53" s="3">
        <f t="shared" si="11"/>
        <v>7795.9999999999991</v>
      </c>
    </row>
    <row r="54" spans="2:37" ht="15.75" x14ac:dyDescent="0.25">
      <c r="B54" s="1" t="s">
        <v>19</v>
      </c>
      <c r="C54" s="1" t="s">
        <v>6</v>
      </c>
      <c r="D54" s="419">
        <v>296.39999999999998</v>
      </c>
      <c r="E54" s="419">
        <v>299</v>
      </c>
      <c r="F54" s="419">
        <v>292.89999999999998</v>
      </c>
      <c r="G54" s="419">
        <v>266.60000000000002</v>
      </c>
      <c r="H54" s="419">
        <v>256.89999999999998</v>
      </c>
      <c r="I54" s="419">
        <v>166.1</v>
      </c>
      <c r="J54" s="419">
        <v>200.3</v>
      </c>
      <c r="K54" s="419">
        <v>268.3</v>
      </c>
      <c r="L54" s="419">
        <v>294.8</v>
      </c>
      <c r="M54" s="419">
        <v>298.60000000000002</v>
      </c>
      <c r="N54" s="419">
        <v>304.3</v>
      </c>
      <c r="O54" s="419">
        <v>251.2</v>
      </c>
      <c r="P54" s="419">
        <v>285.89999999999998</v>
      </c>
      <c r="Q54" s="419">
        <v>279.89999999999998</v>
      </c>
      <c r="R54" s="419">
        <v>248.4</v>
      </c>
      <c r="S54" s="188">
        <v>248.2</v>
      </c>
      <c r="T54" s="419">
        <v>196.7</v>
      </c>
      <c r="U54" s="419">
        <v>262.3</v>
      </c>
      <c r="V54" s="419">
        <v>291.5</v>
      </c>
      <c r="W54" s="419">
        <v>149.9</v>
      </c>
      <c r="X54" s="419">
        <v>242.1</v>
      </c>
      <c r="Y54" s="419">
        <v>206.9</v>
      </c>
      <c r="Z54" s="419">
        <v>146.6</v>
      </c>
      <c r="AA54" s="419">
        <v>314</v>
      </c>
      <c r="AB54" s="419">
        <v>309.10000000000002</v>
      </c>
      <c r="AC54" s="419">
        <v>308.8</v>
      </c>
      <c r="AD54" s="419">
        <v>281.89999999999998</v>
      </c>
      <c r="AE54" s="419">
        <v>280.39999999999998</v>
      </c>
      <c r="AF54" s="419">
        <v>253.2</v>
      </c>
      <c r="AG54" s="419">
        <v>271.2</v>
      </c>
      <c r="AH54" s="419"/>
      <c r="AI54" s="3">
        <f t="shared" si="11"/>
        <v>7772.4</v>
      </c>
    </row>
    <row r="55" spans="2:37" ht="15.75" x14ac:dyDescent="0.25">
      <c r="B55" s="1" t="s">
        <v>20</v>
      </c>
      <c r="C55" s="1" t="s">
        <v>6</v>
      </c>
      <c r="D55" s="419">
        <v>318.60000000000002</v>
      </c>
      <c r="E55" s="419">
        <v>311.7</v>
      </c>
      <c r="F55" s="419">
        <v>300.2</v>
      </c>
      <c r="G55" s="419">
        <v>272.7</v>
      </c>
      <c r="H55" s="419">
        <v>261.39999999999998</v>
      </c>
      <c r="I55" s="419">
        <v>169.4</v>
      </c>
      <c r="J55" s="419">
        <v>213.5</v>
      </c>
      <c r="K55" s="419">
        <v>285.5</v>
      </c>
      <c r="L55" s="419">
        <v>314.2</v>
      </c>
      <c r="M55" s="419">
        <v>317.10000000000002</v>
      </c>
      <c r="N55" s="419">
        <v>323.89999999999998</v>
      </c>
      <c r="O55" s="419">
        <v>267.2</v>
      </c>
      <c r="P55" s="419">
        <v>303.5</v>
      </c>
      <c r="Q55" s="419">
        <v>296.89999999999998</v>
      </c>
      <c r="R55" s="419">
        <v>262.5</v>
      </c>
      <c r="S55" s="188">
        <v>262.39999999999998</v>
      </c>
      <c r="T55" s="419">
        <v>209.6</v>
      </c>
      <c r="U55" s="419">
        <v>277.10000000000002</v>
      </c>
      <c r="V55" s="419">
        <v>305.89999999999998</v>
      </c>
      <c r="W55" s="419">
        <v>160.1</v>
      </c>
      <c r="X55" s="419">
        <v>259.2</v>
      </c>
      <c r="Y55" s="419">
        <v>221.9</v>
      </c>
      <c r="Z55" s="419">
        <v>157.4</v>
      </c>
      <c r="AA55" s="419">
        <v>333.4</v>
      </c>
      <c r="AB55" s="419">
        <v>329.3</v>
      </c>
      <c r="AC55" s="419">
        <v>329.1</v>
      </c>
      <c r="AD55" s="419">
        <v>300.8</v>
      </c>
      <c r="AE55" s="419">
        <v>291.8</v>
      </c>
      <c r="AF55" s="419">
        <v>269.60000000000002</v>
      </c>
      <c r="AG55" s="419">
        <v>290.60000000000002</v>
      </c>
      <c r="AH55" s="419"/>
      <c r="AI55" s="3">
        <f t="shared" si="11"/>
        <v>8216.5</v>
      </c>
    </row>
    <row r="56" spans="2:37" ht="15.75" x14ac:dyDescent="0.25">
      <c r="B56" s="1" t="s">
        <v>21</v>
      </c>
      <c r="C56" s="1" t="s">
        <v>6</v>
      </c>
      <c r="D56" s="419">
        <v>318.10000000000002</v>
      </c>
      <c r="E56" s="419">
        <v>312.39999999999998</v>
      </c>
      <c r="F56" s="419">
        <v>300.89999999999998</v>
      </c>
      <c r="G56" s="419">
        <v>273.89999999999998</v>
      </c>
      <c r="H56" s="419">
        <v>264.3</v>
      </c>
      <c r="I56" s="419">
        <v>168.8</v>
      </c>
      <c r="J56" s="419">
        <v>202.9</v>
      </c>
      <c r="K56" s="419">
        <v>289.89999999999998</v>
      </c>
      <c r="L56" s="419">
        <v>320.2</v>
      </c>
      <c r="M56" s="419">
        <v>322.2</v>
      </c>
      <c r="N56" s="419">
        <v>322.7</v>
      </c>
      <c r="O56" s="419">
        <v>265.5</v>
      </c>
      <c r="P56" s="419">
        <v>301.39999999999998</v>
      </c>
      <c r="Q56" s="419">
        <v>296</v>
      </c>
      <c r="R56" s="419">
        <v>261.60000000000002</v>
      </c>
      <c r="S56" s="188">
        <v>262.2</v>
      </c>
      <c r="T56" s="419">
        <v>207.8</v>
      </c>
      <c r="U56" s="419">
        <v>275.60000000000002</v>
      </c>
      <c r="V56" s="419">
        <v>302</v>
      </c>
      <c r="W56" s="419">
        <v>157.1</v>
      </c>
      <c r="X56" s="419">
        <v>255.3</v>
      </c>
      <c r="Y56" s="419">
        <v>218.1</v>
      </c>
      <c r="Z56" s="419">
        <v>154.69999999999999</v>
      </c>
      <c r="AA56" s="419">
        <v>329.6</v>
      </c>
      <c r="AB56" s="419">
        <v>324.7</v>
      </c>
      <c r="AC56" s="419">
        <v>324.3</v>
      </c>
      <c r="AD56" s="419">
        <v>296.2</v>
      </c>
      <c r="AE56" s="419">
        <v>282.7</v>
      </c>
      <c r="AF56" s="419">
        <v>266.5</v>
      </c>
      <c r="AG56" s="419">
        <v>285.39999999999998</v>
      </c>
      <c r="AH56" s="419"/>
      <c r="AI56" s="3">
        <f t="shared" si="11"/>
        <v>8163</v>
      </c>
    </row>
    <row r="57" spans="2:37" ht="15.75" x14ac:dyDescent="0.25">
      <c r="B57" s="1" t="s">
        <v>22</v>
      </c>
      <c r="C57" s="1" t="s">
        <v>6</v>
      </c>
      <c r="D57" s="419">
        <v>315.89999999999998</v>
      </c>
      <c r="E57" s="419">
        <v>309.2</v>
      </c>
      <c r="F57" s="419">
        <v>304.2</v>
      </c>
      <c r="G57" s="419">
        <v>279.7</v>
      </c>
      <c r="H57" s="419">
        <v>270.10000000000002</v>
      </c>
      <c r="I57" s="419">
        <v>173.3</v>
      </c>
      <c r="J57" s="419">
        <v>203.1</v>
      </c>
      <c r="K57" s="419">
        <v>297</v>
      </c>
      <c r="L57" s="419">
        <v>327.7</v>
      </c>
      <c r="M57" s="419">
        <v>330.2</v>
      </c>
      <c r="N57" s="419">
        <v>325.60000000000002</v>
      </c>
      <c r="O57" s="419">
        <v>268.7</v>
      </c>
      <c r="P57" s="419">
        <v>304.89999999999998</v>
      </c>
      <c r="Q57" s="419">
        <v>299.10000000000002</v>
      </c>
      <c r="R57" s="419">
        <v>263.8</v>
      </c>
      <c r="S57" s="188">
        <v>264.5</v>
      </c>
      <c r="T57" s="419">
        <v>210.6</v>
      </c>
      <c r="U57" s="419">
        <v>277.89999999999998</v>
      </c>
      <c r="V57" s="419">
        <v>305.7</v>
      </c>
      <c r="W57" s="419">
        <v>158.9</v>
      </c>
      <c r="X57" s="419">
        <v>258.60000000000002</v>
      </c>
      <c r="Y57" s="419">
        <v>221.2</v>
      </c>
      <c r="Z57" s="419">
        <v>156.6</v>
      </c>
      <c r="AA57" s="419">
        <v>332</v>
      </c>
      <c r="AB57" s="419">
        <v>327.10000000000002</v>
      </c>
      <c r="AC57" s="419">
        <v>327.10000000000002</v>
      </c>
      <c r="AD57" s="419">
        <v>298.8</v>
      </c>
      <c r="AE57" s="419">
        <v>284.5</v>
      </c>
      <c r="AF57" s="419">
        <v>268.8</v>
      </c>
      <c r="AG57" s="419">
        <v>288.39999999999998</v>
      </c>
      <c r="AH57" s="419"/>
      <c r="AI57" s="3">
        <f t="shared" si="11"/>
        <v>8253.2000000000007</v>
      </c>
    </row>
    <row r="58" spans="2:37" ht="15.75" x14ac:dyDescent="0.25">
      <c r="B58" s="1" t="s">
        <v>23</v>
      </c>
      <c r="C58" s="1" t="s">
        <v>6</v>
      </c>
      <c r="D58" s="419">
        <v>323.5</v>
      </c>
      <c r="E58" s="419">
        <v>317.2</v>
      </c>
      <c r="F58" s="419">
        <v>316.60000000000002</v>
      </c>
      <c r="G58" s="419">
        <v>294.10000000000002</v>
      </c>
      <c r="H58" s="419">
        <v>279.7</v>
      </c>
      <c r="I58" s="419">
        <v>178.8</v>
      </c>
      <c r="J58" s="419">
        <v>210.4</v>
      </c>
      <c r="K58" s="419">
        <v>306.5</v>
      </c>
      <c r="L58" s="419">
        <v>338.3</v>
      </c>
      <c r="M58" s="419">
        <v>340.1</v>
      </c>
      <c r="N58" s="419">
        <v>334</v>
      </c>
      <c r="O58" s="419">
        <v>275.7</v>
      </c>
      <c r="P58" s="419">
        <v>312.60000000000002</v>
      </c>
      <c r="Q58" s="419">
        <v>308.2</v>
      </c>
      <c r="R58" s="419">
        <v>271.60000000000002</v>
      </c>
      <c r="S58" s="188">
        <v>273.89999999999998</v>
      </c>
      <c r="T58" s="419">
        <v>217</v>
      </c>
      <c r="U58" s="419">
        <v>286.5</v>
      </c>
      <c r="V58" s="419">
        <v>314.5</v>
      </c>
      <c r="W58" s="419">
        <v>162.19999999999999</v>
      </c>
      <c r="X58" s="419">
        <v>266.2</v>
      </c>
      <c r="Y58" s="419">
        <v>226</v>
      </c>
      <c r="Z58" s="419">
        <v>159.5</v>
      </c>
      <c r="AA58" s="419">
        <v>339.9</v>
      </c>
      <c r="AB58" s="419">
        <v>334.7</v>
      </c>
      <c r="AC58" s="419">
        <v>336.2</v>
      </c>
      <c r="AD58" s="419">
        <v>306.2</v>
      </c>
      <c r="AE58" s="419">
        <v>291.7</v>
      </c>
      <c r="AF58" s="419">
        <v>276.5</v>
      </c>
      <c r="AG58" s="419">
        <v>295.5</v>
      </c>
      <c r="AH58" s="419"/>
      <c r="AI58" s="3">
        <f t="shared" si="11"/>
        <v>8493.7999999999993</v>
      </c>
    </row>
    <row r="59" spans="2:37" x14ac:dyDescent="0.25">
      <c r="B59" s="1" t="s">
        <v>24</v>
      </c>
      <c r="C59" s="1" t="s">
        <v>6</v>
      </c>
      <c r="D59" s="419">
        <v>5482.2</v>
      </c>
      <c r="E59" s="419">
        <v>5382.0000000001182</v>
      </c>
      <c r="F59" s="419">
        <v>5192.9999999999836</v>
      </c>
      <c r="G59" s="419">
        <v>4787.9999999998399</v>
      </c>
      <c r="H59" s="8">
        <v>4598.9999999999609</v>
      </c>
      <c r="I59" s="419">
        <v>3104.99999999999</v>
      </c>
      <c r="J59" s="419">
        <v>3645.00000000001</v>
      </c>
      <c r="K59" s="419">
        <v>4932.0000000000164</v>
      </c>
      <c r="L59" s="419">
        <v>5408.9999999999918</v>
      </c>
      <c r="M59" s="419">
        <v>5652.0000000001291</v>
      </c>
      <c r="N59" s="419">
        <v>5526.0000000000391</v>
      </c>
      <c r="O59" s="187">
        <v>4625.9999999998345</v>
      </c>
      <c r="P59" s="187">
        <v>5246.9999999999854</v>
      </c>
      <c r="Q59" s="419">
        <v>5148.0000000000246</v>
      </c>
      <c r="R59" s="419">
        <v>4554.0000000000018</v>
      </c>
      <c r="S59" s="419">
        <v>4608.0000000000036</v>
      </c>
      <c r="T59" s="419">
        <v>3654.0000000000532</v>
      </c>
      <c r="U59" s="419">
        <v>4896.0000000001</v>
      </c>
      <c r="V59" s="419">
        <v>5498.99999999991</v>
      </c>
      <c r="W59" s="419">
        <v>2754.0000000001046</v>
      </c>
      <c r="X59" s="419">
        <v>4455.0000000000409</v>
      </c>
      <c r="Y59" s="419">
        <v>3815.9999999998035</v>
      </c>
      <c r="Z59" s="419">
        <v>2700.0000000001023</v>
      </c>
      <c r="AA59" s="419">
        <v>5742.0000000000473</v>
      </c>
      <c r="AB59" s="419">
        <v>5625</v>
      </c>
      <c r="AC59" s="419">
        <v>5642.9999999998299</v>
      </c>
      <c r="AD59" s="187">
        <v>5229.0000000001555</v>
      </c>
      <c r="AE59" s="419">
        <v>5120.9999999998954</v>
      </c>
      <c r="AF59" s="419">
        <v>4617.0000000000473</v>
      </c>
      <c r="AG59" s="419">
        <v>4859.9999999999281</v>
      </c>
      <c r="AH59" s="419"/>
      <c r="AI59" s="3">
        <f t="shared" si="11"/>
        <v>142507.19999999998</v>
      </c>
      <c r="AJ59">
        <v>865651.75998141791</v>
      </c>
      <c r="AK59" s="180" t="e">
        <f>+(AJ59+AI59)/999.4/#REF!/24</f>
        <v>#REF!</v>
      </c>
    </row>
    <row r="60" spans="2:37" x14ac:dyDescent="0.25">
      <c r="B60" s="1" t="s">
        <v>25</v>
      </c>
      <c r="C60" s="1" t="s">
        <v>26</v>
      </c>
      <c r="D60" s="8">
        <v>7.4471172384818392</v>
      </c>
      <c r="E60" s="8">
        <v>7.3927495475212739</v>
      </c>
      <c r="F60" s="8">
        <v>7.0452965928951894</v>
      </c>
      <c r="G60" s="8">
        <v>6.4318919891595829</v>
      </c>
      <c r="H60" s="8">
        <v>6.3493124981641778</v>
      </c>
      <c r="I60" s="8">
        <v>4.189172204120954</v>
      </c>
      <c r="J60" s="8">
        <v>5.0547104181369145</v>
      </c>
      <c r="K60" s="8">
        <v>6.8534931638765331</v>
      </c>
      <c r="L60" s="8">
        <v>7.7283786693414047</v>
      </c>
      <c r="M60" s="8">
        <v>7.8210664344787597</v>
      </c>
      <c r="N60" s="8">
        <v>7.5590507000366847</v>
      </c>
      <c r="O60" s="8">
        <v>6.2456026914755505</v>
      </c>
      <c r="P60" s="8">
        <v>7.200006948415437</v>
      </c>
      <c r="Q60" s="8">
        <v>7.1627422309954953</v>
      </c>
      <c r="R60" s="8">
        <v>6.3352636961301165</v>
      </c>
      <c r="S60" s="8">
        <v>6.4826599999999956</v>
      </c>
      <c r="T60" s="8">
        <v>5.7229989667415619</v>
      </c>
      <c r="U60" s="8">
        <v>7.3720738369146988</v>
      </c>
      <c r="V60" s="8">
        <v>7.5356931755781167</v>
      </c>
      <c r="W60" s="8">
        <v>3.67499090089798</v>
      </c>
      <c r="X60" s="8">
        <v>6.7619088908751808</v>
      </c>
      <c r="Y60" s="8">
        <v>6.7203491351604461</v>
      </c>
      <c r="Z60" s="8">
        <v>3.5666137185891476</v>
      </c>
      <c r="AA60" s="8">
        <v>7.7069627964178729</v>
      </c>
      <c r="AB60" s="8">
        <v>7.8853710538228352</v>
      </c>
      <c r="AC60" s="8">
        <v>7.9161230974435801</v>
      </c>
      <c r="AD60" s="8">
        <v>7.3446638345003121</v>
      </c>
      <c r="AE60" s="8">
        <v>7.1071204213539749</v>
      </c>
      <c r="AF60" s="8">
        <v>6.2585093072811757</v>
      </c>
      <c r="AG60" s="8">
        <v>6.7514757809003196</v>
      </c>
      <c r="AH60" s="8"/>
      <c r="AI60" s="13">
        <f>AVERAGEIF(D60:AE60,"&gt;0")</f>
        <v>6.6647637446973436</v>
      </c>
    </row>
    <row r="61" spans="2:37" x14ac:dyDescent="0.25">
      <c r="B61" s="1" t="s">
        <v>27</v>
      </c>
      <c r="C61" s="1" t="s">
        <v>6</v>
      </c>
      <c r="D61" s="420">
        <v>97556.200000000041</v>
      </c>
      <c r="E61" s="420">
        <v>129654.26400000011</v>
      </c>
      <c r="F61" s="187">
        <v>110635.67999999996</v>
      </c>
      <c r="G61" s="187">
        <v>108590.36799999981</v>
      </c>
      <c r="H61" s="27">
        <v>103423.84</v>
      </c>
      <c r="I61" s="27">
        <v>107820.10399999999</v>
      </c>
      <c r="J61" s="420">
        <v>109753.55200000001</v>
      </c>
      <c r="K61" s="420">
        <v>76604.800000000017</v>
      </c>
      <c r="L61" s="420">
        <v>76999.679999999935</v>
      </c>
      <c r="M61" s="420">
        <v>66250.656000000148</v>
      </c>
      <c r="N61" s="420">
        <v>41024.968000000066</v>
      </c>
      <c r="O61" s="420">
        <v>4284.4959999998264</v>
      </c>
      <c r="P61" s="187">
        <v>3875.1359999999895</v>
      </c>
      <c r="Q61" s="187">
        <v>4577.2079999999887</v>
      </c>
      <c r="R61" s="187">
        <v>58597.848000000042</v>
      </c>
      <c r="S61" s="187">
        <v>96466.047999999981</v>
      </c>
      <c r="T61" s="187">
        <v>65246.928000000044</v>
      </c>
      <c r="U61" s="420">
        <v>56159.344000000085</v>
      </c>
      <c r="V61" s="420">
        <v>54779.231999999931</v>
      </c>
      <c r="W61" s="420">
        <v>47499.040000000081</v>
      </c>
      <c r="X61" s="420">
        <v>64530.78400000008</v>
      </c>
      <c r="Y61" s="420">
        <v>55840.16799999975</v>
      </c>
      <c r="Z61" s="420">
        <v>91473.880000000107</v>
      </c>
      <c r="AA61" s="420">
        <v>44103.736000000077</v>
      </c>
      <c r="AB61" s="187">
        <v>4741.7840000000042</v>
      </c>
      <c r="AC61" s="420">
        <v>53834.511999999784</v>
      </c>
      <c r="AD61" s="420">
        <v>45322.240000000224</v>
      </c>
      <c r="AE61" s="420">
        <v>6641.1359999998522</v>
      </c>
      <c r="AF61" s="420">
        <v>94828.880000000092</v>
      </c>
      <c r="AG61" s="420">
        <v>51768.967999999848</v>
      </c>
      <c r="AH61" s="420"/>
      <c r="AI61" s="3">
        <f t="shared" si="11"/>
        <v>1932885.4799999997</v>
      </c>
    </row>
    <row r="62" spans="2:37" x14ac:dyDescent="0.25">
      <c r="B62" s="5" t="s">
        <v>28</v>
      </c>
      <c r="C62" s="1" t="s">
        <v>0</v>
      </c>
      <c r="D62" s="425">
        <v>0.23262040587467075</v>
      </c>
      <c r="E62" s="425">
        <v>0.22978264037797602</v>
      </c>
      <c r="F62" s="425">
        <v>0.22261016903580352</v>
      </c>
      <c r="G62" s="425">
        <v>0.20263358178646709</v>
      </c>
      <c r="H62" s="425">
        <v>0.19636188967309978</v>
      </c>
      <c r="I62" s="425">
        <v>0.13120939556701255</v>
      </c>
      <c r="J62" s="425">
        <v>0.15641789967225067</v>
      </c>
      <c r="K62" s="425">
        <v>0.2153454633174369</v>
      </c>
      <c r="L62" s="425">
        <v>0.23902346537305139</v>
      </c>
      <c r="M62" s="425">
        <v>0.24321620939312719</v>
      </c>
      <c r="N62" s="425">
        <v>0.23475356366656461</v>
      </c>
      <c r="O62" s="425">
        <v>0.1941698052233975</v>
      </c>
      <c r="P62" s="425">
        <v>0.22247110918211938</v>
      </c>
      <c r="Q62" s="425">
        <v>0.21984022744466969</v>
      </c>
      <c r="R62" s="425">
        <v>0.19504854276211667</v>
      </c>
      <c r="S62" s="425">
        <v>0.19918684857315869</v>
      </c>
      <c r="T62" s="425">
        <v>0.17858889737410821</v>
      </c>
      <c r="U62" s="425">
        <v>0.22824229159327744</v>
      </c>
      <c r="V62" s="425">
        <v>0.23288985120307287</v>
      </c>
      <c r="W62" s="425">
        <v>0.11596570710253465</v>
      </c>
      <c r="X62" s="425">
        <v>0.21121286032826875</v>
      </c>
      <c r="Y62" s="425">
        <v>0.21417630772126356</v>
      </c>
      <c r="Z62" s="425">
        <v>0.11456893615111464</v>
      </c>
      <c r="AA62" s="425">
        <v>0.24308916674613523</v>
      </c>
      <c r="AB62" s="425">
        <v>0.24435295582013086</v>
      </c>
      <c r="AC62" s="425">
        <v>0.24303634580948272</v>
      </c>
      <c r="AD62" s="425">
        <v>0.22551436804031197</v>
      </c>
      <c r="AE62" s="425">
        <v>0.21680752598601724</v>
      </c>
      <c r="AF62" s="425">
        <v>0.19389130730105553</v>
      </c>
      <c r="AG62" s="425">
        <v>0.20789741558507727</v>
      </c>
      <c r="AH62" s="425"/>
      <c r="AI62" s="14">
        <f>AVERAGE(D62:AH62)</f>
        <v>0.20683083845615913</v>
      </c>
      <c r="AK62" s="362">
        <f>4887/999.4/24</f>
        <v>0.2037472483490094</v>
      </c>
    </row>
    <row r="63" spans="2:37" x14ac:dyDescent="0.25">
      <c r="B63" s="5" t="s">
        <v>35</v>
      </c>
      <c r="C63" s="1" t="s">
        <v>0</v>
      </c>
      <c r="D63" s="425">
        <v>0.22856213728236943</v>
      </c>
      <c r="E63" s="425">
        <v>0.22438463077847201</v>
      </c>
      <c r="F63" s="425">
        <v>0.21650490294176439</v>
      </c>
      <c r="G63" s="425">
        <v>0.19961977186311122</v>
      </c>
      <c r="H63" s="425">
        <v>0.19174004402641423</v>
      </c>
      <c r="I63" s="425">
        <v>0.12945267160296137</v>
      </c>
      <c r="J63" s="425">
        <v>0.15196617970782511</v>
      </c>
      <c r="K63" s="425">
        <v>0.20562337402441536</v>
      </c>
      <c r="L63" s="425">
        <v>0.2255103061837099</v>
      </c>
      <c r="M63" s="425">
        <v>0.23564138483090394</v>
      </c>
      <c r="N63" s="425">
        <v>0.23038823293976551</v>
      </c>
      <c r="O63" s="425">
        <v>0.19286571943165209</v>
      </c>
      <c r="P63" s="425">
        <v>0.21875625375225075</v>
      </c>
      <c r="Q63" s="425">
        <v>0.21462877726636084</v>
      </c>
      <c r="R63" s="425">
        <v>0.18986391835101069</v>
      </c>
      <c r="S63" s="425">
        <v>0.19211526916149707</v>
      </c>
      <c r="T63" s="425">
        <v>0.15234140484290798</v>
      </c>
      <c r="U63" s="425">
        <v>0.20412247348409462</v>
      </c>
      <c r="V63" s="425">
        <v>0.22926255753451696</v>
      </c>
      <c r="W63" s="425">
        <v>0.11481889133480525</v>
      </c>
      <c r="X63" s="421">
        <v>0.18573644186512078</v>
      </c>
      <c r="Y63" s="421">
        <v>0.15909545727435645</v>
      </c>
      <c r="Z63" s="421">
        <v>0.11256754052431886</v>
      </c>
      <c r="AA63" s="421">
        <v>0.239393636181711</v>
      </c>
      <c r="AB63" s="421">
        <v>0.23451570942565542</v>
      </c>
      <c r="AC63" s="425">
        <v>0.23526615969581041</v>
      </c>
      <c r="AD63" s="421">
        <v>0.21800580348209575</v>
      </c>
      <c r="AE63" s="421">
        <v>0.21350310186111232</v>
      </c>
      <c r="AF63" s="421">
        <v>0.19249049429657994</v>
      </c>
      <c r="AG63" s="421">
        <v>0.20262157294376329</v>
      </c>
      <c r="AH63" s="421"/>
      <c r="AI63" s="14">
        <f>AVERAGE(D63:AE63)</f>
        <v>0.19808045541610678</v>
      </c>
    </row>
    <row r="64" spans="2:37" ht="15.75" x14ac:dyDescent="0.25">
      <c r="B64" s="5" t="s">
        <v>113</v>
      </c>
      <c r="C64" s="1"/>
      <c r="D64" s="425">
        <v>4.0582685923013229E-3</v>
      </c>
      <c r="E64" s="425">
        <v>5.3980095995040112E-3</v>
      </c>
      <c r="F64" s="425">
        <v>6.1052660940391357E-3</v>
      </c>
      <c r="G64" s="425">
        <v>3.0138099233558702E-3</v>
      </c>
      <c r="H64" s="425">
        <v>4.6218456466855518E-3</v>
      </c>
      <c r="I64" s="425">
        <v>1.7567239640511878E-3</v>
      </c>
      <c r="J64" s="425">
        <v>4.4517199644255601E-3</v>
      </c>
      <c r="K64" s="425">
        <v>9.7220892930215408E-3</v>
      </c>
      <c r="L64" s="425">
        <v>1.3513159189341484E-2</v>
      </c>
      <c r="M64" s="425">
        <v>7.574824562223248E-3</v>
      </c>
      <c r="N64" s="425">
        <v>4.3653307267990937E-3</v>
      </c>
      <c r="O64" s="425">
        <v>1.3040857917454018E-3</v>
      </c>
      <c r="P64" s="425">
        <v>3.7148554298686298E-3</v>
      </c>
      <c r="Q64" s="425">
        <v>5.2114501783088463E-3</v>
      </c>
      <c r="R64" s="425">
        <v>5.1846244111059814E-3</v>
      </c>
      <c r="S64" s="425">
        <v>7.071579411661616E-3</v>
      </c>
      <c r="T64" s="425">
        <v>2.6247492531200234E-2</v>
      </c>
      <c r="U64" s="425">
        <v>2.4119818109182817E-2</v>
      </c>
      <c r="V64" s="425">
        <v>3.6272936685559087E-3</v>
      </c>
      <c r="W64" s="425">
        <v>1.1468157677294033E-3</v>
      </c>
      <c r="X64" s="425">
        <v>2.5476418463147965E-2</v>
      </c>
      <c r="Y64" s="425">
        <v>5.5080850446907109E-2</v>
      </c>
      <c r="Z64" s="425">
        <v>2.001395626795785E-3</v>
      </c>
      <c r="AA64" s="425">
        <v>3.695530564424232E-3</v>
      </c>
      <c r="AB64" s="425">
        <v>9.8372463944754462E-3</v>
      </c>
      <c r="AC64" s="425">
        <v>7.770186113672306E-3</v>
      </c>
      <c r="AD64" s="425">
        <v>7.5085645582162186E-3</v>
      </c>
      <c r="AE64" s="425">
        <v>3.30442412490492E-3</v>
      </c>
      <c r="AF64" s="425">
        <v>1.4008130044755873E-3</v>
      </c>
      <c r="AG64" s="421">
        <v>5.275842641313977E-3</v>
      </c>
      <c r="AH64" s="421"/>
      <c r="AI64" s="49">
        <f>AVERAGEIF(D64:AE64,"&gt;0")</f>
        <v>9.1744171124161032E-3</v>
      </c>
    </row>
    <row r="65" spans="1:37" ht="15.75" x14ac:dyDescent="0.25">
      <c r="B65" s="5" t="s">
        <v>29</v>
      </c>
      <c r="C65" s="1"/>
      <c r="D65" s="422">
        <v>0.73659257926428612</v>
      </c>
      <c r="E65" s="422">
        <v>0.72844766403441197</v>
      </c>
      <c r="F65" s="422">
        <v>0.73753001056653256</v>
      </c>
      <c r="G65" s="422">
        <v>0.7448624032849569</v>
      </c>
      <c r="H65" s="422">
        <v>0.72476524946039145</v>
      </c>
      <c r="I65" s="422">
        <v>0.74164153849173398</v>
      </c>
      <c r="J65" s="422">
        <v>0.7215424843926268</v>
      </c>
      <c r="K65" s="422">
        <v>0.7200650615072054</v>
      </c>
      <c r="L65" s="422">
        <v>0.70030825092454452</v>
      </c>
      <c r="M65" s="422">
        <v>0.72309745522812474</v>
      </c>
      <c r="N65" s="422">
        <v>0.73148306711681899</v>
      </c>
      <c r="O65" s="422">
        <v>0.74112579602243034</v>
      </c>
      <c r="P65" s="422">
        <v>0.72918680880015818</v>
      </c>
      <c r="Q65" s="422">
        <v>0.71915063927642542</v>
      </c>
      <c r="R65" s="422">
        <v>0.71926509439658026</v>
      </c>
      <c r="S65" s="422">
        <v>0.71124607180940114</v>
      </c>
      <c r="T65" s="422">
        <v>0.63885975473301126</v>
      </c>
      <c r="U65" s="422">
        <v>0.66452662737688151</v>
      </c>
      <c r="V65" s="422">
        <v>0.73016526185811526</v>
      </c>
      <c r="W65" s="422">
        <v>0.74983951425892914</v>
      </c>
      <c r="X65" s="422">
        <v>0.65923316576747759</v>
      </c>
      <c r="Y65" s="422">
        <v>0.5681685427037555</v>
      </c>
      <c r="Z65" s="422">
        <v>0.75747506899971717</v>
      </c>
      <c r="AA65" s="422">
        <v>0.74548786858443072</v>
      </c>
      <c r="AB65" s="422">
        <v>0.71377453106497601</v>
      </c>
      <c r="AC65" s="422">
        <v>0.71327691133591453</v>
      </c>
      <c r="AD65" s="422">
        <v>0.71237287389427029</v>
      </c>
      <c r="AE65" s="422">
        <v>0.72097757472505442</v>
      </c>
      <c r="AF65" s="422">
        <v>0.73815850329458743</v>
      </c>
      <c r="AG65" s="421">
        <v>0.72027478264934852</v>
      </c>
      <c r="AH65" s="421"/>
      <c r="AI65" s="49">
        <f>AVERAGEIF(D65:AE65,"&gt;0")</f>
        <v>0.71444528106711302</v>
      </c>
    </row>
    <row r="66" spans="1:37" x14ac:dyDescent="0.25">
      <c r="B66" s="5" t="s">
        <v>109</v>
      </c>
      <c r="C66" s="1" t="s">
        <v>59</v>
      </c>
      <c r="D66" s="420">
        <v>5579.5400071475024</v>
      </c>
      <c r="E66" s="420">
        <v>5511.4744990499812</v>
      </c>
      <c r="F66" s="420">
        <v>5339.4384704251688</v>
      </c>
      <c r="G66" s="420">
        <v>4860.2880392974848</v>
      </c>
      <c r="H66" s="420">
        <v>4709.8577409431018</v>
      </c>
      <c r="I66" s="420">
        <v>3147.1360783121363</v>
      </c>
      <c r="J66" s="420">
        <v>3751.7771743787353</v>
      </c>
      <c r="K66" s="420">
        <v>5165.1901449467141</v>
      </c>
      <c r="L66" s="420">
        <v>5733.1212310518613</v>
      </c>
      <c r="M66" s="420">
        <v>5833.6867120197912</v>
      </c>
      <c r="N66" s="420">
        <v>5630.7050766807515</v>
      </c>
      <c r="O66" s="420">
        <v>4657.2792801663227</v>
      </c>
      <c r="P66" s="420">
        <v>5336.1030363986429</v>
      </c>
      <c r="Q66" s="420">
        <v>5272.9997593968692</v>
      </c>
      <c r="R66" s="420">
        <v>4678.3563272750253</v>
      </c>
      <c r="S66" s="420">
        <v>4777.616075136355</v>
      </c>
      <c r="T66" s="420">
        <v>4283.5618568564096</v>
      </c>
      <c r="U66" s="420">
        <v>5474.5283092397149</v>
      </c>
      <c r="V66" s="420">
        <v>5586.0028150164253</v>
      </c>
      <c r="W66" s="420">
        <v>2781.5070642785549</v>
      </c>
      <c r="X66" s="420">
        <v>5066.0671826897233</v>
      </c>
      <c r="Y66" s="420">
        <v>5137.1472464791395</v>
      </c>
      <c r="Z66" s="420">
        <v>2748.0046749461753</v>
      </c>
      <c r="AA66" s="420">
        <v>5830.639517906101</v>
      </c>
      <c r="AB66" s="420">
        <v>5860.9522571193302</v>
      </c>
      <c r="AC66" s="420">
        <v>5829.3725760479283</v>
      </c>
      <c r="AD66" s="420">
        <v>5409.0974260677067</v>
      </c>
      <c r="AE66" s="420">
        <v>5200.2585952902155</v>
      </c>
      <c r="AF66" s="420">
        <v>4650.5993404001974</v>
      </c>
      <c r="AG66" s="420">
        <v>4986.5442512574291</v>
      </c>
      <c r="AH66" s="420"/>
      <c r="AI66" s="3">
        <f t="shared" ref="AI66" si="12">SUM(D66:AH66)</f>
        <v>148828.85276622151</v>
      </c>
      <c r="AJ66">
        <v>865651.75998141791</v>
      </c>
      <c r="AK66" s="4">
        <f>+AJ66+AI66</f>
        <v>1014480.6127476394</v>
      </c>
    </row>
    <row r="67" spans="1:37" x14ac:dyDescent="0.25">
      <c r="B67" s="5" t="s">
        <v>213</v>
      </c>
      <c r="C67" s="1"/>
      <c r="D67" s="225">
        <v>31</v>
      </c>
      <c r="E67" s="225">
        <v>32</v>
      </c>
      <c r="F67" s="225">
        <v>28.66</v>
      </c>
      <c r="G67" s="225">
        <v>29.26</v>
      </c>
      <c r="H67" s="225">
        <v>33.01</v>
      </c>
      <c r="I67" s="225">
        <v>30.45</v>
      </c>
      <c r="J67" s="225">
        <v>32.89</v>
      </c>
      <c r="K67" s="225">
        <v>29.8</v>
      </c>
      <c r="L67" s="225">
        <v>33</v>
      </c>
      <c r="M67" s="225">
        <v>31.9</v>
      </c>
      <c r="N67" s="225">
        <v>32.17</v>
      </c>
      <c r="O67" s="225">
        <v>31.955365599291131</v>
      </c>
      <c r="P67" s="225">
        <v>33.19</v>
      </c>
      <c r="Q67" s="225">
        <v>34.53</v>
      </c>
      <c r="R67" s="225">
        <v>33.909999999999997</v>
      </c>
      <c r="S67" s="225">
        <v>34.31</v>
      </c>
      <c r="T67" s="225">
        <v>31.2</v>
      </c>
      <c r="U67" s="225">
        <v>32.79</v>
      </c>
      <c r="V67" s="225">
        <v>33.15</v>
      </c>
      <c r="W67" s="225">
        <v>28.93</v>
      </c>
      <c r="X67" s="225">
        <v>31.004001231565976</v>
      </c>
      <c r="Y67" s="225">
        <v>26.89</v>
      </c>
      <c r="Z67" s="225">
        <v>25.25</v>
      </c>
      <c r="AA67" s="225">
        <v>29.02</v>
      </c>
      <c r="AB67" s="225">
        <v>32.61</v>
      </c>
      <c r="AC67" s="225">
        <v>34.47</v>
      </c>
      <c r="AD67" s="225">
        <v>34.450000000000003</v>
      </c>
      <c r="AE67" s="225">
        <v>35.74</v>
      </c>
      <c r="AF67" s="225">
        <v>32.659999999999997</v>
      </c>
      <c r="AG67" s="225">
        <v>33.876716393690842</v>
      </c>
      <c r="AH67" s="225"/>
      <c r="AI67" s="13">
        <f>AVERAGEIF(D67:AE67,"&gt;0")</f>
        <v>31.697834529673464</v>
      </c>
    </row>
    <row r="68" spans="1:37" ht="15" customHeight="1" x14ac:dyDescent="0.25">
      <c r="B68" s="219" t="s">
        <v>100</v>
      </c>
      <c r="C68" s="1" t="s">
        <v>59</v>
      </c>
      <c r="D68" s="222">
        <v>49</v>
      </c>
      <c r="E68" s="222">
        <v>81</v>
      </c>
      <c r="F68" s="222">
        <v>98</v>
      </c>
      <c r="G68" s="222">
        <v>24</v>
      </c>
      <c r="H68" s="222">
        <v>30</v>
      </c>
      <c r="I68" s="222"/>
      <c r="J68" s="222">
        <v>17</v>
      </c>
      <c r="K68" s="222">
        <v>185</v>
      </c>
      <c r="L68" s="222">
        <v>276</v>
      </c>
      <c r="M68" s="222">
        <v>133</v>
      </c>
      <c r="N68" s="222">
        <v>28</v>
      </c>
      <c r="O68" s="222"/>
      <c r="P68" s="222">
        <v>41</v>
      </c>
      <c r="Q68" s="222">
        <v>77</v>
      </c>
      <c r="R68" s="222">
        <v>77</v>
      </c>
      <c r="S68" s="222">
        <v>121</v>
      </c>
      <c r="T68" s="222">
        <v>76</v>
      </c>
      <c r="U68" s="222">
        <v>115</v>
      </c>
      <c r="V68" s="222">
        <v>39</v>
      </c>
      <c r="W68" s="222">
        <v>0</v>
      </c>
      <c r="X68" s="222">
        <v>0</v>
      </c>
      <c r="Y68" s="222"/>
      <c r="Z68" s="222"/>
      <c r="AA68" s="222">
        <v>40</v>
      </c>
      <c r="AB68" s="222">
        <v>82</v>
      </c>
      <c r="AC68" s="222">
        <v>138</v>
      </c>
      <c r="AD68" s="222">
        <v>132</v>
      </c>
      <c r="AE68" s="222">
        <v>31</v>
      </c>
      <c r="AF68" s="222"/>
      <c r="AG68" s="222"/>
      <c r="AH68" s="222"/>
      <c r="AI68" s="13">
        <f t="shared" ref="AI68:AI73" si="13">SUM(D68:AH68)</f>
        <v>1890</v>
      </c>
    </row>
    <row r="69" spans="1:37" ht="15" customHeight="1" x14ac:dyDescent="0.25">
      <c r="B69" s="219" t="s">
        <v>101</v>
      </c>
      <c r="C69" s="1" t="s">
        <v>59</v>
      </c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13">
        <f t="shared" si="13"/>
        <v>0</v>
      </c>
    </row>
    <row r="70" spans="1:37" ht="15" customHeight="1" x14ac:dyDescent="0.25">
      <c r="B70" s="219" t="s">
        <v>102</v>
      </c>
      <c r="C70" s="1" t="s">
        <v>59</v>
      </c>
      <c r="D70" s="222"/>
      <c r="E70" s="222"/>
      <c r="F70" s="222"/>
      <c r="G70" s="222"/>
      <c r="H70" s="222">
        <v>33</v>
      </c>
      <c r="I70" s="222"/>
      <c r="J70" s="222"/>
      <c r="K70" s="222"/>
      <c r="L70" s="222"/>
      <c r="M70" s="222"/>
      <c r="N70" s="222">
        <v>28</v>
      </c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>
        <v>86</v>
      </c>
      <c r="AH70" s="222"/>
      <c r="AI70" s="13">
        <f t="shared" si="13"/>
        <v>147</v>
      </c>
    </row>
    <row r="71" spans="1:37" ht="15" customHeight="1" x14ac:dyDescent="0.25">
      <c r="B71" s="219" t="s">
        <v>103</v>
      </c>
      <c r="C71" s="1" t="s">
        <v>59</v>
      </c>
      <c r="D71" s="222"/>
      <c r="E71" s="222"/>
      <c r="F71" s="222"/>
      <c r="G71" s="222"/>
      <c r="H71" s="222"/>
      <c r="I71" s="222"/>
      <c r="J71" s="222">
        <v>41</v>
      </c>
      <c r="K71" s="222"/>
      <c r="L71" s="222"/>
      <c r="M71" s="222"/>
      <c r="N71" s="222"/>
      <c r="O71" s="222"/>
      <c r="P71" s="222"/>
      <c r="Q71" s="222"/>
      <c r="R71" s="222"/>
      <c r="S71" s="222"/>
      <c r="T71" s="222">
        <v>506</v>
      </c>
      <c r="U71" s="222">
        <v>415</v>
      </c>
      <c r="V71" s="222"/>
      <c r="W71" s="222"/>
      <c r="X71" s="222">
        <v>559</v>
      </c>
      <c r="Y71" s="222">
        <v>1273</v>
      </c>
      <c r="Z71" s="222"/>
      <c r="AA71" s="222"/>
      <c r="AB71" s="222">
        <v>105</v>
      </c>
      <c r="AC71" s="222"/>
      <c r="AD71" s="222"/>
      <c r="AE71" s="222"/>
      <c r="AF71" s="222"/>
      <c r="AG71" s="222"/>
      <c r="AH71" s="222"/>
      <c r="AI71" s="13">
        <f t="shared" si="13"/>
        <v>2899</v>
      </c>
    </row>
    <row r="72" spans="1:37" x14ac:dyDescent="0.25">
      <c r="B72" s="5" t="s">
        <v>218</v>
      </c>
      <c r="C72" s="1" t="s">
        <v>59</v>
      </c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13">
        <f t="shared" si="13"/>
        <v>0</v>
      </c>
    </row>
    <row r="73" spans="1:37" x14ac:dyDescent="0.25">
      <c r="B73" s="220" t="s">
        <v>86</v>
      </c>
      <c r="C73" s="1" t="s">
        <v>59</v>
      </c>
      <c r="D73" s="222">
        <f t="shared" ref="D73:E73" si="14">+SUM(D68:D72)</f>
        <v>49</v>
      </c>
      <c r="E73" s="222">
        <f t="shared" si="14"/>
        <v>81</v>
      </c>
      <c r="F73" s="222">
        <f t="shared" ref="F73:G73" si="15">+SUM(F68:F72)</f>
        <v>98</v>
      </c>
      <c r="G73" s="222">
        <f t="shared" si="15"/>
        <v>24</v>
      </c>
      <c r="H73" s="222">
        <f t="shared" ref="H73:AG73" si="16">+SUM(H68:H72)</f>
        <v>63</v>
      </c>
      <c r="I73" s="222">
        <f t="shared" si="16"/>
        <v>0</v>
      </c>
      <c r="J73" s="222">
        <f t="shared" si="16"/>
        <v>58</v>
      </c>
      <c r="K73" s="222">
        <f t="shared" si="16"/>
        <v>185</v>
      </c>
      <c r="L73" s="222">
        <f t="shared" si="16"/>
        <v>276</v>
      </c>
      <c r="M73" s="222">
        <f t="shared" si="16"/>
        <v>133</v>
      </c>
      <c r="N73" s="222">
        <f t="shared" si="16"/>
        <v>56</v>
      </c>
      <c r="O73" s="222">
        <f t="shared" si="16"/>
        <v>0</v>
      </c>
      <c r="P73" s="222">
        <f t="shared" si="16"/>
        <v>41</v>
      </c>
      <c r="Q73" s="222">
        <f t="shared" si="16"/>
        <v>77</v>
      </c>
      <c r="R73" s="222">
        <f t="shared" si="16"/>
        <v>77</v>
      </c>
      <c r="S73" s="222">
        <f t="shared" si="16"/>
        <v>121</v>
      </c>
      <c r="T73" s="222">
        <f t="shared" si="16"/>
        <v>582</v>
      </c>
      <c r="U73" s="222">
        <f t="shared" si="16"/>
        <v>530</v>
      </c>
      <c r="V73" s="222">
        <f t="shared" si="16"/>
        <v>39</v>
      </c>
      <c r="W73" s="222">
        <f t="shared" si="16"/>
        <v>0</v>
      </c>
      <c r="X73" s="222">
        <f t="shared" si="16"/>
        <v>559</v>
      </c>
      <c r="Y73" s="222">
        <f t="shared" si="16"/>
        <v>1273</v>
      </c>
      <c r="Z73" s="222">
        <f t="shared" si="16"/>
        <v>0</v>
      </c>
      <c r="AA73" s="222">
        <f t="shared" si="16"/>
        <v>40</v>
      </c>
      <c r="AB73" s="222">
        <f t="shared" si="16"/>
        <v>187</v>
      </c>
      <c r="AC73" s="222">
        <f t="shared" si="16"/>
        <v>138</v>
      </c>
      <c r="AD73" s="222">
        <f t="shared" si="16"/>
        <v>132</v>
      </c>
      <c r="AE73" s="222">
        <f t="shared" si="16"/>
        <v>31</v>
      </c>
      <c r="AF73" s="222">
        <f t="shared" si="16"/>
        <v>0</v>
      </c>
      <c r="AG73" s="222">
        <f t="shared" si="16"/>
        <v>86</v>
      </c>
      <c r="AH73" s="222"/>
      <c r="AI73" s="13">
        <f t="shared" si="13"/>
        <v>4936</v>
      </c>
    </row>
    <row r="74" spans="1:37" x14ac:dyDescent="0.25">
      <c r="B74" s="220" t="s">
        <v>86</v>
      </c>
      <c r="C74" s="1" t="s">
        <v>59</v>
      </c>
      <c r="D74" s="422">
        <f>+D73/999.4/24</f>
        <v>2.0428924021079317E-3</v>
      </c>
      <c r="E74" s="422">
        <f>+E73/999.4/24</f>
        <v>3.3770262157294378E-3</v>
      </c>
      <c r="F74" s="422">
        <f>+F73/999.4/24</f>
        <v>4.0857848042158635E-3</v>
      </c>
      <c r="G74" s="422">
        <f>+G73/999.4/24</f>
        <v>1.0006003602161296E-3</v>
      </c>
      <c r="H74" s="422">
        <f t="shared" ref="H74:AG74" si="17">+H73/999.4/24</f>
        <v>2.6265759455673405E-3</v>
      </c>
      <c r="I74" s="422">
        <f t="shared" si="17"/>
        <v>0</v>
      </c>
      <c r="J74" s="422">
        <f t="shared" si="17"/>
        <v>2.4181175371889804E-3</v>
      </c>
      <c r="K74" s="422">
        <f t="shared" si="17"/>
        <v>7.7129611099993334E-3</v>
      </c>
      <c r="L74" s="422">
        <f t="shared" si="17"/>
        <v>1.1506904142485492E-2</v>
      </c>
      <c r="M74" s="422">
        <f t="shared" si="17"/>
        <v>5.5449936628643856E-3</v>
      </c>
      <c r="N74" s="422">
        <f t="shared" si="17"/>
        <v>2.3347341738376359E-3</v>
      </c>
      <c r="O74" s="422">
        <f t="shared" si="17"/>
        <v>0</v>
      </c>
      <c r="P74" s="422">
        <f t="shared" si="17"/>
        <v>1.7093589487025549E-3</v>
      </c>
      <c r="Q74" s="422">
        <f t="shared" si="17"/>
        <v>3.2102594890267497E-3</v>
      </c>
      <c r="R74" s="422">
        <f t="shared" si="17"/>
        <v>3.2102594890267497E-3</v>
      </c>
      <c r="S74" s="422">
        <f t="shared" si="17"/>
        <v>5.0446934827563204E-3</v>
      </c>
      <c r="T74" s="422">
        <f t="shared" si="17"/>
        <v>2.4264558735241148E-2</v>
      </c>
      <c r="U74" s="422">
        <f t="shared" si="17"/>
        <v>2.2096591288106201E-2</v>
      </c>
      <c r="V74" s="422">
        <f t="shared" si="17"/>
        <v>1.6259755853512109E-3</v>
      </c>
      <c r="W74" s="422">
        <f t="shared" si="17"/>
        <v>0</v>
      </c>
      <c r="X74" s="422">
        <f t="shared" si="17"/>
        <v>2.3305650056700686E-2</v>
      </c>
      <c r="Y74" s="422">
        <f t="shared" si="17"/>
        <v>5.307351077313055E-2</v>
      </c>
      <c r="Z74" s="422">
        <f t="shared" si="17"/>
        <v>0</v>
      </c>
      <c r="AA74" s="422">
        <f t="shared" si="17"/>
        <v>1.6676672670268829E-3</v>
      </c>
      <c r="AB74" s="422">
        <f t="shared" si="17"/>
        <v>7.7963444733506774E-3</v>
      </c>
      <c r="AC74" s="422">
        <f t="shared" si="17"/>
        <v>5.7534520712427461E-3</v>
      </c>
      <c r="AD74" s="422">
        <f t="shared" si="17"/>
        <v>5.5033019811887131E-3</v>
      </c>
      <c r="AE74" s="422">
        <f t="shared" si="17"/>
        <v>1.2924421319458342E-3</v>
      </c>
      <c r="AF74" s="422">
        <f t="shared" si="17"/>
        <v>0</v>
      </c>
      <c r="AG74" s="422">
        <f t="shared" si="17"/>
        <v>3.5854846241077983E-3</v>
      </c>
      <c r="AH74" s="422"/>
      <c r="AI74" s="13">
        <f>AVERAGE(D74:AE74)</f>
        <v>7.2215948616789136E-3</v>
      </c>
    </row>
    <row r="75" spans="1:37" x14ac:dyDescent="0.25">
      <c r="B75" s="5" t="s">
        <v>116</v>
      </c>
      <c r="C75" s="1" t="s">
        <v>60</v>
      </c>
      <c r="D75" s="423">
        <f t="shared" ref="D75:AG75" si="18">+D62-D63-D74</f>
        <v>2.0153761901933911E-3</v>
      </c>
      <c r="E75" s="423">
        <f t="shared" si="18"/>
        <v>2.0209833837745734E-3</v>
      </c>
      <c r="F75" s="423">
        <f t="shared" si="18"/>
        <v>2.0194812898232722E-3</v>
      </c>
      <c r="G75" s="423">
        <f t="shared" si="18"/>
        <v>2.0132095631397407E-3</v>
      </c>
      <c r="H75" s="423">
        <f t="shared" si="18"/>
        <v>1.9952697011182113E-3</v>
      </c>
      <c r="I75" s="423">
        <f t="shared" si="18"/>
        <v>1.7567239640511878E-3</v>
      </c>
      <c r="J75" s="423">
        <f t="shared" si="18"/>
        <v>2.0336024272365797E-3</v>
      </c>
      <c r="K75" s="423">
        <f t="shared" si="18"/>
        <v>2.0091281830222074E-3</v>
      </c>
      <c r="L75" s="423">
        <f t="shared" si="18"/>
        <v>2.0062550468559915E-3</v>
      </c>
      <c r="M75" s="423">
        <f t="shared" si="18"/>
        <v>2.0298308993588624E-3</v>
      </c>
      <c r="N75" s="423">
        <f t="shared" si="18"/>
        <v>2.0305965529614578E-3</v>
      </c>
      <c r="O75" s="423">
        <f t="shared" si="18"/>
        <v>1.3040857917454018E-3</v>
      </c>
      <c r="P75" s="423">
        <f t="shared" si="18"/>
        <v>2.0054964811660747E-3</v>
      </c>
      <c r="Q75" s="423">
        <f t="shared" si="18"/>
        <v>2.0011906892820966E-3</v>
      </c>
      <c r="R75" s="423">
        <f t="shared" si="18"/>
        <v>1.9743649220792317E-3</v>
      </c>
      <c r="S75" s="423">
        <f t="shared" si="18"/>
        <v>2.0268859289052955E-3</v>
      </c>
      <c r="T75" s="423">
        <f t="shared" si="18"/>
        <v>1.9829337959590861E-3</v>
      </c>
      <c r="U75" s="423">
        <f t="shared" si="18"/>
        <v>2.0232268210766159E-3</v>
      </c>
      <c r="V75" s="423">
        <f t="shared" si="18"/>
        <v>2.0013180832046977E-3</v>
      </c>
      <c r="W75" s="423">
        <f t="shared" si="18"/>
        <v>1.1468157677294033E-3</v>
      </c>
      <c r="X75" s="423">
        <f t="shared" si="18"/>
        <v>2.1707684064472786E-3</v>
      </c>
      <c r="Y75" s="423">
        <f t="shared" si="18"/>
        <v>2.0073396737765592E-3</v>
      </c>
      <c r="Z75" s="423">
        <f t="shared" si="18"/>
        <v>2.001395626795785E-3</v>
      </c>
      <c r="AA75" s="423">
        <f t="shared" si="18"/>
        <v>2.0278632973973493E-3</v>
      </c>
      <c r="AB75" s="423">
        <f t="shared" si="18"/>
        <v>2.0409019211247688E-3</v>
      </c>
      <c r="AC75" s="423">
        <f t="shared" si="18"/>
        <v>2.0167340424295599E-3</v>
      </c>
      <c r="AD75" s="423">
        <f t="shared" si="18"/>
        <v>2.0052625770275055E-3</v>
      </c>
      <c r="AE75" s="423">
        <f t="shared" si="18"/>
        <v>2.011981992959086E-3</v>
      </c>
      <c r="AF75" s="423">
        <f t="shared" si="18"/>
        <v>1.4008130044755873E-3</v>
      </c>
      <c r="AG75" s="423">
        <f t="shared" si="18"/>
        <v>1.6903580172061786E-3</v>
      </c>
      <c r="AH75" s="423"/>
      <c r="AI75" s="224">
        <f>AVERAGE(D75:AE75)</f>
        <v>1.9528222507371881E-3</v>
      </c>
    </row>
    <row r="76" spans="1:37" x14ac:dyDescent="0.25">
      <c r="A76" s="218" t="s">
        <v>31</v>
      </c>
      <c r="B76" s="649" t="s">
        <v>31</v>
      </c>
      <c r="C76" s="650"/>
      <c r="D76" s="650"/>
      <c r="E76" s="650"/>
      <c r="F76" s="650"/>
      <c r="G76" s="650"/>
      <c r="H76" s="650"/>
      <c r="I76" s="650"/>
      <c r="J76" s="650"/>
      <c r="K76" s="650"/>
      <c r="L76" s="650"/>
      <c r="M76" s="650"/>
      <c r="N76" s="650"/>
      <c r="O76" s="650"/>
      <c r="P76" s="650"/>
      <c r="Q76" s="650"/>
      <c r="R76" s="650"/>
      <c r="S76" s="650"/>
      <c r="T76" s="650"/>
      <c r="U76" s="650"/>
      <c r="V76" s="650"/>
      <c r="W76" s="650"/>
      <c r="X76" s="650"/>
      <c r="Y76" s="650"/>
      <c r="Z76" s="650"/>
      <c r="AA76" s="650"/>
      <c r="AB76" s="650"/>
      <c r="AC76" s="650"/>
      <c r="AD76" s="650"/>
      <c r="AE76" s="650"/>
      <c r="AF76" s="650"/>
      <c r="AG76" s="650"/>
      <c r="AH76" s="650"/>
      <c r="AI76" s="651"/>
    </row>
    <row r="77" spans="1:37" x14ac:dyDescent="0.25">
      <c r="B77" s="1" t="s">
        <v>2</v>
      </c>
      <c r="C77" s="1" t="s">
        <v>3</v>
      </c>
      <c r="D77" s="187">
        <v>1</v>
      </c>
      <c r="E77" s="187">
        <v>2</v>
      </c>
      <c r="F77" s="187">
        <v>3</v>
      </c>
      <c r="G77" s="187">
        <v>4</v>
      </c>
      <c r="H77" s="187">
        <v>5</v>
      </c>
      <c r="I77" s="187">
        <v>6</v>
      </c>
      <c r="J77" s="187">
        <v>7</v>
      </c>
      <c r="K77" s="187">
        <v>8</v>
      </c>
      <c r="L77" s="187">
        <v>9</v>
      </c>
      <c r="M77" s="187">
        <v>10</v>
      </c>
      <c r="N77" s="187">
        <v>11</v>
      </c>
      <c r="O77" s="187">
        <v>12</v>
      </c>
      <c r="P77" s="187">
        <v>13</v>
      </c>
      <c r="Q77" s="187">
        <v>14</v>
      </c>
      <c r="R77" s="187">
        <v>15</v>
      </c>
      <c r="S77" s="187">
        <v>16</v>
      </c>
      <c r="T77" s="187">
        <v>17</v>
      </c>
      <c r="U77" s="187">
        <v>18</v>
      </c>
      <c r="V77" s="187">
        <v>19</v>
      </c>
      <c r="W77" s="187">
        <v>20</v>
      </c>
      <c r="X77" s="187">
        <v>21</v>
      </c>
      <c r="Y77" s="187">
        <v>22</v>
      </c>
      <c r="Z77" s="187">
        <v>23</v>
      </c>
      <c r="AA77" s="187">
        <v>24</v>
      </c>
      <c r="AB77" s="187">
        <v>25</v>
      </c>
      <c r="AC77" s="187">
        <v>26</v>
      </c>
      <c r="AD77" s="187">
        <v>27</v>
      </c>
      <c r="AE77" s="187">
        <v>28</v>
      </c>
      <c r="AF77" s="187">
        <v>29</v>
      </c>
      <c r="AG77" s="187">
        <v>30</v>
      </c>
      <c r="AH77" s="187"/>
      <c r="AI77" s="187" t="s">
        <v>4</v>
      </c>
    </row>
    <row r="78" spans="1:37" x14ac:dyDescent="0.25">
      <c r="B78" s="1" t="s">
        <v>5</v>
      </c>
      <c r="C78" s="1" t="s">
        <v>6</v>
      </c>
      <c r="D78" s="419">
        <v>314.79998999999998</v>
      </c>
      <c r="E78" s="419">
        <v>332.39999</v>
      </c>
      <c r="F78" s="419">
        <v>325.20001000000002</v>
      </c>
      <c r="G78" s="419">
        <v>322.10001</v>
      </c>
      <c r="H78" s="419">
        <v>262.5</v>
      </c>
      <c r="I78" s="419">
        <v>234.5</v>
      </c>
      <c r="J78" s="419">
        <v>274.39999</v>
      </c>
      <c r="K78" s="419">
        <v>324.60001</v>
      </c>
      <c r="L78" s="419">
        <v>333.89999</v>
      </c>
      <c r="M78" s="419">
        <v>321.89999</v>
      </c>
      <c r="N78" s="419">
        <v>309.5</v>
      </c>
      <c r="O78" s="419">
        <v>289.79998999999998</v>
      </c>
      <c r="P78" s="419">
        <v>301.70001000000002</v>
      </c>
      <c r="Q78" s="419">
        <v>279.39999</v>
      </c>
      <c r="R78" s="419">
        <v>266</v>
      </c>
      <c r="S78" s="419">
        <v>219.39999</v>
      </c>
      <c r="T78" s="419">
        <v>267</v>
      </c>
      <c r="U78" s="419">
        <v>301</v>
      </c>
      <c r="V78" s="187">
        <v>308</v>
      </c>
      <c r="W78" s="419">
        <v>156.5</v>
      </c>
      <c r="X78" s="419">
        <v>278.70001000000002</v>
      </c>
      <c r="Y78" s="419">
        <v>285</v>
      </c>
      <c r="Z78" s="419">
        <v>236.89999</v>
      </c>
      <c r="AA78" s="419">
        <v>342.39999</v>
      </c>
      <c r="AB78" s="419">
        <v>329.60001</v>
      </c>
      <c r="AC78" s="419">
        <v>308.20001000000002</v>
      </c>
      <c r="AD78" s="419">
        <v>276.89999</v>
      </c>
      <c r="AE78" s="419">
        <v>233.5</v>
      </c>
      <c r="AF78" s="419">
        <v>194.3</v>
      </c>
      <c r="AG78" s="419">
        <v>237.39999</v>
      </c>
      <c r="AH78" s="419"/>
      <c r="AI78" s="3">
        <f>SUM(D78:AH78)</f>
        <v>8467.4999499999994</v>
      </c>
    </row>
    <row r="79" spans="1:37" x14ac:dyDescent="0.25">
      <c r="B79" s="1" t="s">
        <v>7</v>
      </c>
      <c r="C79" s="1" t="s">
        <v>6</v>
      </c>
      <c r="D79" s="419">
        <v>188.60001</v>
      </c>
      <c r="E79" s="419">
        <v>332.70001000000002</v>
      </c>
      <c r="F79" s="419">
        <v>328.5</v>
      </c>
      <c r="G79" s="419">
        <v>324.20001000000002</v>
      </c>
      <c r="H79" s="419">
        <v>264.29998999999998</v>
      </c>
      <c r="I79" s="419">
        <v>235.7</v>
      </c>
      <c r="J79" s="419">
        <v>253.89999</v>
      </c>
      <c r="K79" s="419">
        <v>326</v>
      </c>
      <c r="L79" s="419">
        <v>336.60001</v>
      </c>
      <c r="M79" s="419">
        <v>322.29998999999998</v>
      </c>
      <c r="N79" s="419">
        <v>308.39999</v>
      </c>
      <c r="O79" s="419">
        <v>291.89999</v>
      </c>
      <c r="P79" s="419">
        <v>303.79998999999998</v>
      </c>
      <c r="Q79" s="419">
        <v>213.60001</v>
      </c>
      <c r="R79" s="419">
        <v>132.60001</v>
      </c>
      <c r="S79" s="419">
        <v>221.2</v>
      </c>
      <c r="T79" s="419">
        <v>266.29998999999998</v>
      </c>
      <c r="U79" s="419">
        <v>302.5</v>
      </c>
      <c r="V79" s="187">
        <v>241</v>
      </c>
      <c r="W79" s="419">
        <v>154.19999999999999</v>
      </c>
      <c r="X79" s="419">
        <v>123.5</v>
      </c>
      <c r="Y79" s="419">
        <v>278</v>
      </c>
      <c r="Z79" s="419">
        <v>232.3</v>
      </c>
      <c r="AA79" s="419">
        <v>342.20001000000002</v>
      </c>
      <c r="AB79" s="419">
        <v>212.3</v>
      </c>
      <c r="AC79" s="419">
        <v>301.39999</v>
      </c>
      <c r="AD79" s="419">
        <v>141.39999</v>
      </c>
      <c r="AE79" s="419">
        <v>234.8</v>
      </c>
      <c r="AF79" s="419">
        <v>191.60001</v>
      </c>
      <c r="AG79" s="419">
        <v>205.2</v>
      </c>
      <c r="AH79" s="419"/>
      <c r="AI79" s="3">
        <f t="shared" ref="AI79:AI98" si="19">SUM(D79:AH79)</f>
        <v>7610.9999900000012</v>
      </c>
    </row>
    <row r="80" spans="1:37" x14ac:dyDescent="0.25">
      <c r="B80" s="1" t="s">
        <v>8</v>
      </c>
      <c r="C80" s="1" t="s">
        <v>6</v>
      </c>
      <c r="D80" s="419">
        <v>189.3</v>
      </c>
      <c r="E80" s="419">
        <v>328.70001000000002</v>
      </c>
      <c r="F80" s="419">
        <v>326</v>
      </c>
      <c r="G80" s="419">
        <v>318.89999</v>
      </c>
      <c r="H80" s="419">
        <v>261.79998999999998</v>
      </c>
      <c r="I80" s="419">
        <v>234</v>
      </c>
      <c r="J80" s="419">
        <v>256.29998999999998</v>
      </c>
      <c r="K80" s="419">
        <v>321.89999</v>
      </c>
      <c r="L80" s="419">
        <v>332.89999</v>
      </c>
      <c r="M80" s="419">
        <v>317.79998999999998</v>
      </c>
      <c r="N80" s="419">
        <v>304.39999</v>
      </c>
      <c r="O80" s="419">
        <v>288.79998999999998</v>
      </c>
      <c r="P80" s="419">
        <v>299.89999</v>
      </c>
      <c r="Q80" s="419">
        <v>215.60001</v>
      </c>
      <c r="R80" s="419">
        <v>136.10001</v>
      </c>
      <c r="S80" s="419">
        <v>219</v>
      </c>
      <c r="T80" s="419">
        <v>265.5</v>
      </c>
      <c r="U80" s="419">
        <v>299.39999</v>
      </c>
      <c r="V80" s="187">
        <v>243.10001</v>
      </c>
      <c r="W80" s="419">
        <v>154.10001</v>
      </c>
      <c r="X80" s="419">
        <v>137.5</v>
      </c>
      <c r="Y80" s="419">
        <v>274.79998999999998</v>
      </c>
      <c r="Z80" s="419">
        <v>232.39999</v>
      </c>
      <c r="AA80" s="419">
        <v>336.39999</v>
      </c>
      <c r="AB80" s="419">
        <v>211.89999</v>
      </c>
      <c r="AC80" s="419">
        <v>299</v>
      </c>
      <c r="AD80" s="419">
        <v>151.60001</v>
      </c>
      <c r="AE80" s="419">
        <v>230.8</v>
      </c>
      <c r="AF80" s="419">
        <v>192.7</v>
      </c>
      <c r="AG80" s="419">
        <v>209</v>
      </c>
      <c r="AH80" s="419"/>
      <c r="AI80" s="3">
        <f t="shared" si="19"/>
        <v>7589.5999199999987</v>
      </c>
    </row>
    <row r="81" spans="2:36" x14ac:dyDescent="0.25">
      <c r="B81" s="1" t="s">
        <v>9</v>
      </c>
      <c r="C81" s="1" t="s">
        <v>6</v>
      </c>
      <c r="D81" s="419">
        <v>187.2</v>
      </c>
      <c r="E81" s="419">
        <v>326.79998999999998</v>
      </c>
      <c r="F81" s="419">
        <v>323.70001000000002</v>
      </c>
      <c r="G81" s="419">
        <v>317.89999</v>
      </c>
      <c r="H81" s="419">
        <v>260.60001</v>
      </c>
      <c r="I81" s="419">
        <v>232.8</v>
      </c>
      <c r="J81" s="419">
        <v>252.39999</v>
      </c>
      <c r="K81" s="419">
        <v>320.10001</v>
      </c>
      <c r="L81" s="419">
        <v>329.39999</v>
      </c>
      <c r="M81" s="419">
        <v>316.10001</v>
      </c>
      <c r="N81" s="419">
        <v>301.10001</v>
      </c>
      <c r="O81" s="419">
        <v>286</v>
      </c>
      <c r="P81" s="419">
        <v>296.20001000000002</v>
      </c>
      <c r="Q81" s="419">
        <v>212.7</v>
      </c>
      <c r="R81" s="419">
        <v>132.60001</v>
      </c>
      <c r="S81" s="419">
        <v>217</v>
      </c>
      <c r="T81" s="419">
        <v>265.5</v>
      </c>
      <c r="U81" s="419">
        <v>297.5</v>
      </c>
      <c r="V81" s="187">
        <v>240.3</v>
      </c>
      <c r="W81" s="419">
        <v>152.39999</v>
      </c>
      <c r="X81" s="419">
        <v>122.8</v>
      </c>
      <c r="Y81" s="419">
        <v>273.70001000000002</v>
      </c>
      <c r="Z81" s="419">
        <v>231.10001</v>
      </c>
      <c r="AA81" s="419">
        <v>330.79998999999998</v>
      </c>
      <c r="AB81" s="419">
        <v>214.8</v>
      </c>
      <c r="AC81" s="419">
        <v>296.5</v>
      </c>
      <c r="AD81" s="419">
        <v>142.89999</v>
      </c>
      <c r="AE81" s="419">
        <v>229.8</v>
      </c>
      <c r="AF81" s="419">
        <v>189.89999</v>
      </c>
      <c r="AG81" s="419">
        <v>204.7</v>
      </c>
      <c r="AH81" s="419"/>
      <c r="AI81" s="3">
        <f t="shared" si="19"/>
        <v>7505.3000099999999</v>
      </c>
    </row>
    <row r="82" spans="2:36" x14ac:dyDescent="0.25">
      <c r="B82" s="1" t="s">
        <v>10</v>
      </c>
      <c r="C82" s="1" t="s">
        <v>6</v>
      </c>
      <c r="D82" s="419">
        <v>183.39999</v>
      </c>
      <c r="E82" s="419">
        <v>298.29998999999998</v>
      </c>
      <c r="F82" s="419">
        <v>288.29998999999998</v>
      </c>
      <c r="G82" s="419">
        <v>292.70001000000002</v>
      </c>
      <c r="H82" s="419">
        <v>243.3</v>
      </c>
      <c r="I82" s="419">
        <v>218.3</v>
      </c>
      <c r="J82" s="419">
        <v>237.8</v>
      </c>
      <c r="K82" s="419">
        <v>300.5</v>
      </c>
      <c r="L82" s="419">
        <v>311.20001000000002</v>
      </c>
      <c r="M82" s="419">
        <v>294.79998999999998</v>
      </c>
      <c r="N82" s="419">
        <v>283.20001000000002</v>
      </c>
      <c r="O82" s="419">
        <v>268.20001000000002</v>
      </c>
      <c r="P82" s="419">
        <v>277.89999</v>
      </c>
      <c r="Q82" s="419">
        <v>203.8</v>
      </c>
      <c r="R82" s="419">
        <v>126.2</v>
      </c>
      <c r="S82" s="419">
        <v>201.8</v>
      </c>
      <c r="T82" s="419">
        <v>247.10001</v>
      </c>
      <c r="U82" s="419">
        <v>276.10001</v>
      </c>
      <c r="V82" s="187">
        <v>230.3</v>
      </c>
      <c r="W82" s="419">
        <v>141.60001</v>
      </c>
      <c r="X82" s="419">
        <v>120.9</v>
      </c>
      <c r="Y82" s="419">
        <v>255.7</v>
      </c>
      <c r="Z82" s="419">
        <v>216.8</v>
      </c>
      <c r="AA82" s="419">
        <v>314.20001000000002</v>
      </c>
      <c r="AB82" s="419">
        <v>208.2</v>
      </c>
      <c r="AC82" s="419">
        <v>277.79998999999998</v>
      </c>
      <c r="AD82" s="419">
        <v>137.69999999999999</v>
      </c>
      <c r="AE82" s="419">
        <v>214</v>
      </c>
      <c r="AF82" s="419">
        <v>175.7</v>
      </c>
      <c r="AG82" s="419">
        <v>194.7</v>
      </c>
      <c r="AH82" s="419"/>
      <c r="AI82" s="3">
        <f t="shared" si="19"/>
        <v>7040.5000200000004</v>
      </c>
    </row>
    <row r="83" spans="2:36" x14ac:dyDescent="0.25">
      <c r="B83" s="1" t="s">
        <v>11</v>
      </c>
      <c r="C83" s="1" t="s">
        <v>6</v>
      </c>
      <c r="D83" s="419">
        <v>180.8</v>
      </c>
      <c r="E83" s="419">
        <v>292.20001000000002</v>
      </c>
      <c r="F83" s="419">
        <v>295.10001</v>
      </c>
      <c r="G83" s="419">
        <v>288.79998999999998</v>
      </c>
      <c r="H83" s="419">
        <v>237.10001</v>
      </c>
      <c r="I83" s="419">
        <v>213.5</v>
      </c>
      <c r="J83" s="419">
        <v>233.60001</v>
      </c>
      <c r="K83" s="419">
        <v>294.70001000000002</v>
      </c>
      <c r="L83" s="419">
        <v>303.10001</v>
      </c>
      <c r="M83" s="419">
        <v>289</v>
      </c>
      <c r="N83" s="419">
        <v>275.79998999999998</v>
      </c>
      <c r="O83" s="419">
        <v>261.89999</v>
      </c>
      <c r="P83" s="419">
        <v>270.89999</v>
      </c>
      <c r="Q83" s="419">
        <v>200.8</v>
      </c>
      <c r="R83" s="419">
        <v>125.9</v>
      </c>
      <c r="S83" s="419">
        <v>197.89999</v>
      </c>
      <c r="T83" s="419">
        <v>243.2</v>
      </c>
      <c r="U83" s="419">
        <v>270</v>
      </c>
      <c r="V83" s="187">
        <v>227.10001</v>
      </c>
      <c r="W83" s="419">
        <v>138.30000000000001</v>
      </c>
      <c r="X83" s="419">
        <v>119.4</v>
      </c>
      <c r="Y83" s="419">
        <v>249.8</v>
      </c>
      <c r="Z83" s="419">
        <v>212.5</v>
      </c>
      <c r="AA83" s="419">
        <v>303.70001000000002</v>
      </c>
      <c r="AB83" s="419">
        <v>205.60001</v>
      </c>
      <c r="AC83" s="419">
        <v>270.89999</v>
      </c>
      <c r="AD83" s="419">
        <v>136.5</v>
      </c>
      <c r="AE83" s="419">
        <v>208.89999</v>
      </c>
      <c r="AF83" s="419">
        <v>172.3</v>
      </c>
      <c r="AG83" s="419">
        <v>190.8</v>
      </c>
      <c r="AH83" s="419"/>
      <c r="AI83" s="3">
        <f t="shared" si="19"/>
        <v>6910.1000199999999</v>
      </c>
    </row>
    <row r="84" spans="2:36" x14ac:dyDescent="0.25">
      <c r="B84" s="1" t="s">
        <v>12</v>
      </c>
      <c r="C84" s="1" t="s">
        <v>6</v>
      </c>
      <c r="D84" s="419">
        <v>176.3</v>
      </c>
      <c r="E84" s="419">
        <v>272.60001</v>
      </c>
      <c r="F84" s="419">
        <v>283.5</v>
      </c>
      <c r="G84" s="419">
        <v>275.60001</v>
      </c>
      <c r="H84" s="419">
        <v>229.10001</v>
      </c>
      <c r="I84" s="419">
        <v>206.7</v>
      </c>
      <c r="J84" s="419">
        <v>224.39999</v>
      </c>
      <c r="K84" s="419">
        <v>281.89999</v>
      </c>
      <c r="L84" s="419">
        <v>293</v>
      </c>
      <c r="M84" s="419">
        <v>277.60001</v>
      </c>
      <c r="N84" s="419">
        <v>267</v>
      </c>
      <c r="O84" s="419">
        <v>253.89999</v>
      </c>
      <c r="P84" s="419">
        <v>261.29998999999998</v>
      </c>
      <c r="Q84" s="419">
        <v>197.7</v>
      </c>
      <c r="R84" s="419">
        <v>122.3</v>
      </c>
      <c r="S84" s="419">
        <v>193.3</v>
      </c>
      <c r="T84" s="419">
        <v>234.60001</v>
      </c>
      <c r="U84" s="419">
        <v>262.29998999999998</v>
      </c>
      <c r="V84" s="187">
        <v>222.39999</v>
      </c>
      <c r="W84" s="419">
        <v>135.69999999999999</v>
      </c>
      <c r="X84" s="419">
        <v>119</v>
      </c>
      <c r="Y84" s="419">
        <v>250.8</v>
      </c>
      <c r="Z84" s="419">
        <v>212.60001</v>
      </c>
      <c r="AA84" s="419">
        <v>306.39999</v>
      </c>
      <c r="AB84" s="419">
        <v>205.89999</v>
      </c>
      <c r="AC84" s="419">
        <v>273.10001</v>
      </c>
      <c r="AD84" s="419">
        <v>136.39999</v>
      </c>
      <c r="AE84" s="419">
        <v>210.89999</v>
      </c>
      <c r="AF84" s="419">
        <v>174</v>
      </c>
      <c r="AG84" s="419">
        <v>192.89999</v>
      </c>
      <c r="AH84" s="419"/>
      <c r="AI84" s="3">
        <f t="shared" si="19"/>
        <v>6753.1999599999999</v>
      </c>
    </row>
    <row r="85" spans="2:36" x14ac:dyDescent="0.25">
      <c r="B85" s="1" t="s">
        <v>13</v>
      </c>
      <c r="C85" s="1" t="s">
        <v>6</v>
      </c>
      <c r="D85" s="419">
        <v>181.89999</v>
      </c>
      <c r="E85" s="419">
        <v>277.29998999999998</v>
      </c>
      <c r="F85" s="419">
        <v>291.20001000000002</v>
      </c>
      <c r="G85" s="419">
        <v>284.5</v>
      </c>
      <c r="H85" s="419">
        <v>236</v>
      </c>
      <c r="I85" s="419">
        <v>212.60001</v>
      </c>
      <c r="J85" s="419">
        <v>232.7</v>
      </c>
      <c r="K85" s="419">
        <v>289.70001000000002</v>
      </c>
      <c r="L85" s="419">
        <v>300.70001000000002</v>
      </c>
      <c r="M85" s="419">
        <v>285.10001</v>
      </c>
      <c r="N85" s="419">
        <v>273.79998999999998</v>
      </c>
      <c r="O85" s="419">
        <v>260.5</v>
      </c>
      <c r="P85" s="419">
        <v>268.5</v>
      </c>
      <c r="Q85" s="419">
        <v>205.2</v>
      </c>
      <c r="R85" s="419">
        <v>128.10001</v>
      </c>
      <c r="S85" s="419">
        <v>197.7</v>
      </c>
      <c r="T85" s="419">
        <v>242.60001</v>
      </c>
      <c r="U85" s="419">
        <v>269.70001000000002</v>
      </c>
      <c r="V85" s="187">
        <v>227.10001</v>
      </c>
      <c r="W85" s="419">
        <v>140.10001</v>
      </c>
      <c r="X85" s="419">
        <v>131.80000000000001</v>
      </c>
      <c r="Y85" s="419">
        <v>251.89999</v>
      </c>
      <c r="Z85" s="419">
        <v>215.89999</v>
      </c>
      <c r="AA85" s="419">
        <v>305.60001</v>
      </c>
      <c r="AB85" s="419">
        <v>206.2</v>
      </c>
      <c r="AC85" s="419">
        <v>273.10001</v>
      </c>
      <c r="AD85" s="419">
        <v>144.89999</v>
      </c>
      <c r="AE85" s="419">
        <v>210</v>
      </c>
      <c r="AF85" s="419">
        <v>174.89999</v>
      </c>
      <c r="AG85" s="419">
        <v>194.7</v>
      </c>
      <c r="AH85" s="419"/>
      <c r="AI85" s="3">
        <f t="shared" si="19"/>
        <v>6914.0000499999996</v>
      </c>
    </row>
    <row r="86" spans="2:36" x14ac:dyDescent="0.25">
      <c r="B86" s="1" t="s">
        <v>14</v>
      </c>
      <c r="C86" s="1" t="s">
        <v>6</v>
      </c>
      <c r="D86" s="419">
        <v>174.39999</v>
      </c>
      <c r="E86" s="419">
        <v>259.29998999999998</v>
      </c>
      <c r="F86" s="419">
        <v>289.70001000000002</v>
      </c>
      <c r="G86" s="419">
        <v>279.39999</v>
      </c>
      <c r="H86" s="419">
        <v>233.8</v>
      </c>
      <c r="I86" s="419">
        <v>210.2</v>
      </c>
      <c r="J86" s="419">
        <v>230.2</v>
      </c>
      <c r="K86" s="419">
        <v>284.20001000000002</v>
      </c>
      <c r="L86" s="419">
        <v>299.60001</v>
      </c>
      <c r="M86" s="419">
        <v>281.39999</v>
      </c>
      <c r="N86" s="419">
        <v>270.29998999999998</v>
      </c>
      <c r="O86" s="419">
        <v>257.39999</v>
      </c>
      <c r="P86" s="419">
        <v>263.60001</v>
      </c>
      <c r="Q86" s="419">
        <v>200.10001</v>
      </c>
      <c r="R86" s="419">
        <v>123</v>
      </c>
      <c r="S86" s="419">
        <v>196.5</v>
      </c>
      <c r="T86" s="419">
        <v>237.60001</v>
      </c>
      <c r="U86" s="419">
        <v>265.5</v>
      </c>
      <c r="V86" s="187">
        <v>223</v>
      </c>
      <c r="W86" s="419">
        <v>136.80000000000001</v>
      </c>
      <c r="X86" s="419">
        <v>118.2</v>
      </c>
      <c r="Y86" s="419">
        <v>248.10001</v>
      </c>
      <c r="Z86" s="419">
        <v>210.10001</v>
      </c>
      <c r="AA86" s="419">
        <v>300</v>
      </c>
      <c r="AB86" s="419">
        <v>201.2</v>
      </c>
      <c r="AC86" s="419">
        <v>265.79998999999998</v>
      </c>
      <c r="AD86" s="419">
        <v>134.30000000000001</v>
      </c>
      <c r="AE86" s="419">
        <v>206.3</v>
      </c>
      <c r="AF86" s="419">
        <v>170.5</v>
      </c>
      <c r="AG86" s="419">
        <v>189.2</v>
      </c>
      <c r="AH86" s="419"/>
      <c r="AI86" s="3">
        <f t="shared" si="19"/>
        <v>6759.7000100000014</v>
      </c>
    </row>
    <row r="87" spans="2:36" x14ac:dyDescent="0.25">
      <c r="B87" s="1" t="s">
        <v>15</v>
      </c>
      <c r="C87" s="1" t="s">
        <v>6</v>
      </c>
      <c r="D87" s="419">
        <v>175.39999</v>
      </c>
      <c r="E87" s="419">
        <v>294.79998999999998</v>
      </c>
      <c r="F87" s="419">
        <v>292.89999</v>
      </c>
      <c r="G87" s="419">
        <v>288.29998999999998</v>
      </c>
      <c r="H87" s="419">
        <v>234.60001</v>
      </c>
      <c r="I87" s="419">
        <v>215.2</v>
      </c>
      <c r="J87" s="419">
        <v>234.89999</v>
      </c>
      <c r="K87" s="419">
        <v>289.60001</v>
      </c>
      <c r="L87" s="419">
        <v>307.29998999999998</v>
      </c>
      <c r="M87" s="419">
        <v>288.10001</v>
      </c>
      <c r="N87" s="419">
        <v>273.5</v>
      </c>
      <c r="O87" s="419">
        <v>265.60001</v>
      </c>
      <c r="P87" s="419">
        <v>272.29998999999998</v>
      </c>
      <c r="Q87" s="419">
        <v>203.7</v>
      </c>
      <c r="R87" s="419">
        <v>127.4</v>
      </c>
      <c r="S87" s="419">
        <v>201.60001</v>
      </c>
      <c r="T87" s="419">
        <v>245.60001</v>
      </c>
      <c r="U87" s="419">
        <v>273.39999</v>
      </c>
      <c r="V87" s="187">
        <v>226.7</v>
      </c>
      <c r="W87" s="419">
        <v>140.80000000000001</v>
      </c>
      <c r="X87" s="419">
        <v>119.7</v>
      </c>
      <c r="Y87" s="419">
        <v>253.89999</v>
      </c>
      <c r="Z87" s="419">
        <v>216.39999</v>
      </c>
      <c r="AA87" s="419">
        <v>308.10001</v>
      </c>
      <c r="AB87" s="419">
        <v>204</v>
      </c>
      <c r="AC87" s="419">
        <v>271.79998999999998</v>
      </c>
      <c r="AD87" s="419">
        <v>136.69999999999999</v>
      </c>
      <c r="AE87" s="419">
        <v>210.3</v>
      </c>
      <c r="AF87" s="419">
        <v>176.10001</v>
      </c>
      <c r="AG87" s="419">
        <v>192.89999</v>
      </c>
      <c r="AH87" s="419"/>
      <c r="AI87" s="3">
        <f t="shared" si="19"/>
        <v>6941.5999599999996</v>
      </c>
    </row>
    <row r="88" spans="2:36" x14ac:dyDescent="0.25">
      <c r="B88" s="1" t="s">
        <v>16</v>
      </c>
      <c r="C88" s="1" t="s">
        <v>6</v>
      </c>
      <c r="D88" s="419">
        <v>171</v>
      </c>
      <c r="E88" s="419">
        <v>279.70001000000002</v>
      </c>
      <c r="F88" s="419">
        <v>283.60001</v>
      </c>
      <c r="G88" s="419">
        <v>273</v>
      </c>
      <c r="H88" s="419">
        <v>227.3</v>
      </c>
      <c r="I88" s="419">
        <v>209.8</v>
      </c>
      <c r="J88" s="419">
        <v>228.7</v>
      </c>
      <c r="K88" s="419">
        <v>280.29998999999998</v>
      </c>
      <c r="L88" s="419">
        <v>299.70001000000002</v>
      </c>
      <c r="M88" s="419">
        <v>279.39999</v>
      </c>
      <c r="N88" s="419">
        <v>265.79998999999998</v>
      </c>
      <c r="O88" s="419">
        <v>257.10001</v>
      </c>
      <c r="P88" s="419">
        <v>260.79998999999998</v>
      </c>
      <c r="Q88" s="419">
        <v>197.5</v>
      </c>
      <c r="R88" s="419">
        <v>124.3</v>
      </c>
      <c r="S88" s="419">
        <v>196.60001</v>
      </c>
      <c r="T88" s="419">
        <v>236</v>
      </c>
      <c r="U88" s="419">
        <v>264.60001</v>
      </c>
      <c r="V88" s="187">
        <v>221.3</v>
      </c>
      <c r="W88" s="419">
        <v>135.80000000000001</v>
      </c>
      <c r="X88" s="419">
        <v>118</v>
      </c>
      <c r="Y88" s="419">
        <v>247.10001</v>
      </c>
      <c r="Z88" s="419">
        <v>209.8</v>
      </c>
      <c r="AA88" s="419">
        <v>299.10001</v>
      </c>
      <c r="AB88" s="419">
        <v>199.89999</v>
      </c>
      <c r="AC88" s="419">
        <v>262.5</v>
      </c>
      <c r="AD88" s="419">
        <v>133.5</v>
      </c>
      <c r="AE88" s="419">
        <v>204</v>
      </c>
      <c r="AF88" s="419">
        <v>167.3</v>
      </c>
      <c r="AG88" s="419">
        <v>188.2</v>
      </c>
      <c r="AH88" s="419"/>
      <c r="AI88" s="3">
        <f t="shared" si="19"/>
        <v>6721.7000300000009</v>
      </c>
    </row>
    <row r="89" spans="2:36" x14ac:dyDescent="0.25">
      <c r="B89" s="1" t="s">
        <v>17</v>
      </c>
      <c r="C89" s="1" t="s">
        <v>6</v>
      </c>
      <c r="D89" s="419">
        <v>176.8</v>
      </c>
      <c r="E89" s="419">
        <v>285.60001</v>
      </c>
      <c r="F89" s="419">
        <v>295.5</v>
      </c>
      <c r="G89" s="419">
        <v>282</v>
      </c>
      <c r="H89" s="419">
        <v>238.60001</v>
      </c>
      <c r="I89" s="419">
        <v>219.60001</v>
      </c>
      <c r="J89" s="419">
        <v>238.2</v>
      </c>
      <c r="K89" s="419">
        <v>293.60001</v>
      </c>
      <c r="L89" s="419">
        <v>310.60001</v>
      </c>
      <c r="M89" s="419">
        <v>292.20001000000002</v>
      </c>
      <c r="N89" s="419">
        <v>275.89999</v>
      </c>
      <c r="O89" s="419">
        <v>268.20001000000002</v>
      </c>
      <c r="P89" s="419">
        <v>273.29998999999998</v>
      </c>
      <c r="Q89" s="419">
        <v>202.8</v>
      </c>
      <c r="R89" s="419">
        <v>129.60001</v>
      </c>
      <c r="S89" s="419">
        <v>204.2</v>
      </c>
      <c r="T89" s="419">
        <v>247.3</v>
      </c>
      <c r="U89" s="419">
        <v>277.70001000000002</v>
      </c>
      <c r="V89" s="187">
        <v>227.89999</v>
      </c>
      <c r="W89" s="419">
        <v>143.10001</v>
      </c>
      <c r="X89" s="419">
        <v>121.2</v>
      </c>
      <c r="Y89" s="419">
        <v>258.20001000000002</v>
      </c>
      <c r="Z89" s="419">
        <v>219.2</v>
      </c>
      <c r="AA89" s="419">
        <v>313.39999</v>
      </c>
      <c r="AB89" s="419">
        <v>206.7</v>
      </c>
      <c r="AC89" s="419">
        <v>274.70001000000002</v>
      </c>
      <c r="AD89" s="419">
        <v>137.80000000000001</v>
      </c>
      <c r="AE89" s="419">
        <v>213.10001</v>
      </c>
      <c r="AF89" s="419">
        <v>176.10001</v>
      </c>
      <c r="AG89" s="419">
        <v>194.89999</v>
      </c>
      <c r="AH89" s="419"/>
      <c r="AI89" s="3">
        <f t="shared" si="19"/>
        <v>6998.0000900000005</v>
      </c>
    </row>
    <row r="90" spans="2:36" x14ac:dyDescent="0.25">
      <c r="B90" s="1" t="s">
        <v>18</v>
      </c>
      <c r="C90" s="1" t="s">
        <v>6</v>
      </c>
      <c r="D90" s="419">
        <v>175.60001</v>
      </c>
      <c r="E90" s="419">
        <v>283.10001</v>
      </c>
      <c r="F90" s="419">
        <v>300.60001</v>
      </c>
      <c r="G90" s="419">
        <v>279.5</v>
      </c>
      <c r="H90" s="419">
        <v>241.8</v>
      </c>
      <c r="I90" s="419">
        <v>223.39999</v>
      </c>
      <c r="J90" s="419">
        <v>243.5</v>
      </c>
      <c r="K90" s="419">
        <v>297.70001000000002</v>
      </c>
      <c r="L90" s="419">
        <v>313.89999</v>
      </c>
      <c r="M90" s="419">
        <v>295.89999</v>
      </c>
      <c r="N90" s="419">
        <v>281.10001</v>
      </c>
      <c r="O90" s="419">
        <v>272</v>
      </c>
      <c r="P90" s="419">
        <v>274.10001</v>
      </c>
      <c r="Q90" s="419">
        <v>205.8</v>
      </c>
      <c r="R90" s="419">
        <v>131.10001</v>
      </c>
      <c r="S90" s="419">
        <v>207.7</v>
      </c>
      <c r="T90" s="419">
        <v>250.2</v>
      </c>
      <c r="U90" s="419">
        <v>280.89999</v>
      </c>
      <c r="V90" s="187">
        <v>229.2</v>
      </c>
      <c r="W90" s="419">
        <v>147.39999</v>
      </c>
      <c r="X90" s="419">
        <v>133.60001</v>
      </c>
      <c r="Y90" s="419">
        <v>261.60001</v>
      </c>
      <c r="Z90" s="419">
        <v>222.8</v>
      </c>
      <c r="AA90" s="419">
        <v>314.5</v>
      </c>
      <c r="AB90" s="419">
        <v>205.39999</v>
      </c>
      <c r="AC90" s="419">
        <v>276.60001</v>
      </c>
      <c r="AD90" s="419">
        <v>144.19999999999999</v>
      </c>
      <c r="AE90" s="419">
        <v>215.89999</v>
      </c>
      <c r="AF90" s="419">
        <v>181</v>
      </c>
      <c r="AG90" s="419">
        <v>198.7</v>
      </c>
      <c r="AH90" s="419"/>
      <c r="AI90" s="3">
        <f t="shared" si="19"/>
        <v>7088.8000299999994</v>
      </c>
    </row>
    <row r="91" spans="2:36" x14ac:dyDescent="0.25">
      <c r="B91" s="1" t="s">
        <v>19</v>
      </c>
      <c r="C91" s="1" t="s">
        <v>6</v>
      </c>
      <c r="D91" s="419">
        <v>181.10001</v>
      </c>
      <c r="E91" s="419">
        <v>285.60001</v>
      </c>
      <c r="F91" s="419">
        <v>308.39999</v>
      </c>
      <c r="G91" s="419">
        <v>278.39999</v>
      </c>
      <c r="H91" s="419">
        <v>244.2</v>
      </c>
      <c r="I91" s="419">
        <v>224.3</v>
      </c>
      <c r="J91" s="419">
        <v>244.10001</v>
      </c>
      <c r="K91" s="419">
        <v>303.70001000000002</v>
      </c>
      <c r="L91" s="419">
        <v>316.5</v>
      </c>
      <c r="M91" s="419">
        <v>299.39999</v>
      </c>
      <c r="N91" s="419">
        <v>284.29998999999998</v>
      </c>
      <c r="O91" s="419">
        <v>274.70001000000002</v>
      </c>
      <c r="P91" s="419">
        <v>275.89999</v>
      </c>
      <c r="Q91" s="419">
        <v>204.2</v>
      </c>
      <c r="R91" s="419">
        <v>130.69999999999999</v>
      </c>
      <c r="S91" s="419">
        <v>208.10001</v>
      </c>
      <c r="T91" s="419">
        <v>252</v>
      </c>
      <c r="U91" s="419">
        <v>282.5</v>
      </c>
      <c r="V91" s="187">
        <v>228</v>
      </c>
      <c r="W91" s="419">
        <v>145.39999</v>
      </c>
      <c r="X91" s="419">
        <v>121.2</v>
      </c>
      <c r="Y91" s="419">
        <v>262.39999</v>
      </c>
      <c r="Z91" s="419">
        <v>222.10001</v>
      </c>
      <c r="AA91" s="419">
        <v>316.10001</v>
      </c>
      <c r="AB91" s="419">
        <v>206.60001</v>
      </c>
      <c r="AC91" s="419">
        <v>276.70001000000002</v>
      </c>
      <c r="AD91" s="419">
        <v>137.69999999999999</v>
      </c>
      <c r="AE91" s="419">
        <v>216.10001</v>
      </c>
      <c r="AF91" s="419">
        <v>179.60001</v>
      </c>
      <c r="AG91" s="419">
        <v>198</v>
      </c>
      <c r="AH91" s="419"/>
      <c r="AI91" s="3">
        <f t="shared" si="19"/>
        <v>7108.0000499999996</v>
      </c>
    </row>
    <row r="92" spans="2:36" x14ac:dyDescent="0.25">
      <c r="B92" s="1" t="s">
        <v>20</v>
      </c>
      <c r="C92" s="1" t="s">
        <v>6</v>
      </c>
      <c r="D92" s="419">
        <v>192.7</v>
      </c>
      <c r="E92" s="419">
        <v>287.29998999999998</v>
      </c>
      <c r="F92" s="419">
        <v>304.89999</v>
      </c>
      <c r="G92" s="419">
        <v>277.5</v>
      </c>
      <c r="H92" s="419">
        <v>245.39999</v>
      </c>
      <c r="I92" s="419">
        <v>226.10001</v>
      </c>
      <c r="J92" s="419">
        <v>246.8</v>
      </c>
      <c r="K92" s="419">
        <v>306.20001000000002</v>
      </c>
      <c r="L92" s="419">
        <v>319.10001</v>
      </c>
      <c r="M92" s="419">
        <v>301.79998999999998</v>
      </c>
      <c r="N92" s="419">
        <v>285.70001000000002</v>
      </c>
      <c r="O92" s="419">
        <v>276.79998999999998</v>
      </c>
      <c r="P92" s="419">
        <v>276.20001000000002</v>
      </c>
      <c r="Q92" s="419">
        <v>204.39999</v>
      </c>
      <c r="R92" s="419">
        <v>132.69999999999999</v>
      </c>
      <c r="S92" s="419">
        <v>208.89999</v>
      </c>
      <c r="T92" s="419">
        <v>256.39999</v>
      </c>
      <c r="U92" s="419">
        <v>286</v>
      </c>
      <c r="V92" s="187">
        <v>230.2</v>
      </c>
      <c r="W92" s="419">
        <v>147.60001</v>
      </c>
      <c r="X92" s="419">
        <v>123</v>
      </c>
      <c r="Y92" s="419">
        <v>265.10001</v>
      </c>
      <c r="Z92" s="419">
        <v>224.89999</v>
      </c>
      <c r="AA92" s="419">
        <v>319.79998999999998</v>
      </c>
      <c r="AB92" s="419">
        <v>210.2</v>
      </c>
      <c r="AC92" s="419">
        <v>278.89999</v>
      </c>
      <c r="AD92" s="419">
        <v>139.39999</v>
      </c>
      <c r="AE92" s="419">
        <v>219.39999</v>
      </c>
      <c r="AF92" s="419">
        <v>181.5</v>
      </c>
      <c r="AG92" s="419">
        <v>200.39999</v>
      </c>
      <c r="AH92" s="419"/>
      <c r="AI92" s="3">
        <f t="shared" si="19"/>
        <v>7175.2999299999983</v>
      </c>
    </row>
    <row r="93" spans="2:36" x14ac:dyDescent="0.25">
      <c r="B93" s="1" t="s">
        <v>21</v>
      </c>
      <c r="C93" s="1" t="s">
        <v>6</v>
      </c>
      <c r="D93" s="419">
        <v>170.7</v>
      </c>
      <c r="E93" s="419">
        <v>280.5</v>
      </c>
      <c r="F93" s="419">
        <v>295.5</v>
      </c>
      <c r="G93" s="419">
        <v>277</v>
      </c>
      <c r="H93" s="419">
        <v>237</v>
      </c>
      <c r="I93" s="419">
        <v>216.10001</v>
      </c>
      <c r="J93" s="419">
        <v>235.3</v>
      </c>
      <c r="K93" s="419">
        <v>293.60001</v>
      </c>
      <c r="L93" s="419">
        <v>304.29998999999998</v>
      </c>
      <c r="M93" s="419">
        <v>284.60001</v>
      </c>
      <c r="N93" s="419">
        <v>274.5</v>
      </c>
      <c r="O93" s="419">
        <v>261.20001000000002</v>
      </c>
      <c r="P93" s="419">
        <v>256.29998999999998</v>
      </c>
      <c r="Q93" s="419">
        <v>189.2</v>
      </c>
      <c r="R93" s="419">
        <v>125.2</v>
      </c>
      <c r="S93" s="419">
        <v>215.39999</v>
      </c>
      <c r="T93" s="419">
        <v>256.10001</v>
      </c>
      <c r="U93" s="419">
        <v>286.70001000000002</v>
      </c>
      <c r="V93" s="187">
        <v>228</v>
      </c>
      <c r="W93" s="419">
        <v>146.10001</v>
      </c>
      <c r="X93" s="419">
        <v>120.9</v>
      </c>
      <c r="Y93" s="419">
        <v>264.60001</v>
      </c>
      <c r="Z93" s="419">
        <v>222.3</v>
      </c>
      <c r="AA93" s="419">
        <v>313.70001000000002</v>
      </c>
      <c r="AB93" s="419">
        <v>202.89999</v>
      </c>
      <c r="AC93" s="419">
        <v>270.70001000000002</v>
      </c>
      <c r="AD93" s="419">
        <v>134.80000000000001</v>
      </c>
      <c r="AE93" s="419">
        <v>214.60001</v>
      </c>
      <c r="AF93" s="419">
        <v>175.7</v>
      </c>
      <c r="AG93" s="419">
        <v>195.3</v>
      </c>
      <c r="AH93" s="419"/>
      <c r="AI93" s="3">
        <f t="shared" si="19"/>
        <v>6948.8000700000002</v>
      </c>
    </row>
    <row r="94" spans="2:36" x14ac:dyDescent="0.25">
      <c r="B94" s="1" t="s">
        <v>22</v>
      </c>
      <c r="C94" s="1" t="s">
        <v>6</v>
      </c>
      <c r="D94" s="419">
        <v>155.80000000000001</v>
      </c>
      <c r="E94" s="419">
        <v>265.5</v>
      </c>
      <c r="F94" s="419">
        <v>281.89999</v>
      </c>
      <c r="G94" s="419">
        <v>250.89999</v>
      </c>
      <c r="H94" s="419">
        <v>227.2</v>
      </c>
      <c r="I94" s="419">
        <v>206.3</v>
      </c>
      <c r="J94" s="419">
        <v>223.2</v>
      </c>
      <c r="K94" s="419">
        <v>275.60001</v>
      </c>
      <c r="L94" s="419">
        <v>287.39999</v>
      </c>
      <c r="M94" s="419">
        <v>263.60001</v>
      </c>
      <c r="N94" s="419">
        <v>256.5</v>
      </c>
      <c r="O94" s="419">
        <v>245.3</v>
      </c>
      <c r="P94" s="419">
        <v>236.39999</v>
      </c>
      <c r="Q94" s="419">
        <v>180.10001</v>
      </c>
      <c r="R94" s="419">
        <v>119.2</v>
      </c>
      <c r="S94" s="419">
        <v>212.2</v>
      </c>
      <c r="T94" s="419">
        <v>239.2</v>
      </c>
      <c r="U94" s="419">
        <v>273.10001</v>
      </c>
      <c r="V94" s="187">
        <v>215.8</v>
      </c>
      <c r="W94" s="419">
        <v>141.10001</v>
      </c>
      <c r="X94" s="419">
        <v>118.9</v>
      </c>
      <c r="Y94" s="419">
        <v>252.39999</v>
      </c>
      <c r="Z94" s="419">
        <v>211.2</v>
      </c>
      <c r="AA94" s="419">
        <v>295.10001</v>
      </c>
      <c r="AB94" s="419">
        <v>189.5</v>
      </c>
      <c r="AC94" s="419">
        <v>254.7</v>
      </c>
      <c r="AD94" s="419">
        <v>126.6</v>
      </c>
      <c r="AE94" s="419">
        <v>205</v>
      </c>
      <c r="AF94" s="419">
        <v>165.10001</v>
      </c>
      <c r="AG94" s="419">
        <v>185.60001</v>
      </c>
      <c r="AH94" s="419"/>
      <c r="AI94" s="3">
        <f t="shared" si="19"/>
        <v>6560.4000299999998</v>
      </c>
    </row>
    <row r="95" spans="2:36" x14ac:dyDescent="0.25">
      <c r="B95" s="1" t="s">
        <v>23</v>
      </c>
      <c r="C95" s="1" t="s">
        <v>6</v>
      </c>
      <c r="D95" s="419">
        <v>158.19999999999999</v>
      </c>
      <c r="E95" s="419">
        <v>282.29998999999998</v>
      </c>
      <c r="F95" s="419">
        <v>300.89999</v>
      </c>
      <c r="G95" s="419">
        <v>274</v>
      </c>
      <c r="H95" s="419">
        <v>249.39999</v>
      </c>
      <c r="I95" s="419">
        <v>222.60001</v>
      </c>
      <c r="J95" s="419">
        <v>235.7</v>
      </c>
      <c r="K95" s="419">
        <v>297</v>
      </c>
      <c r="L95" s="419">
        <v>313.39999</v>
      </c>
      <c r="M95" s="419">
        <v>285</v>
      </c>
      <c r="N95" s="419">
        <v>275.89999</v>
      </c>
      <c r="O95" s="419">
        <v>265.60001</v>
      </c>
      <c r="P95" s="419">
        <v>259.39999</v>
      </c>
      <c r="Q95" s="419">
        <v>190.39999</v>
      </c>
      <c r="R95" s="419">
        <v>123.9</v>
      </c>
      <c r="S95" s="419">
        <v>228.60001</v>
      </c>
      <c r="T95" s="419">
        <v>250.2</v>
      </c>
      <c r="U95" s="419">
        <v>287.70001000000002</v>
      </c>
      <c r="V95" s="187">
        <v>220.7</v>
      </c>
      <c r="W95" s="419">
        <v>149.89999</v>
      </c>
      <c r="X95" s="419">
        <v>119.4</v>
      </c>
      <c r="Y95" s="419">
        <v>266.70001000000002</v>
      </c>
      <c r="Z95" s="419">
        <v>222.7</v>
      </c>
      <c r="AA95" s="419">
        <v>315.29998999999998</v>
      </c>
      <c r="AB95" s="419">
        <v>190</v>
      </c>
      <c r="AC95" s="419">
        <v>272.60001</v>
      </c>
      <c r="AD95" s="419">
        <v>127.8</v>
      </c>
      <c r="AE95" s="419">
        <v>217.39999</v>
      </c>
      <c r="AF95" s="419">
        <v>175.39999</v>
      </c>
      <c r="AG95" s="419">
        <v>192</v>
      </c>
      <c r="AH95" s="419"/>
      <c r="AI95" s="3">
        <f t="shared" si="19"/>
        <v>6970.0999499999989</v>
      </c>
      <c r="AJ95" s="4">
        <f>+SUM(AI78:AI95)</f>
        <v>128063.60007000001</v>
      </c>
    </row>
    <row r="96" spans="2:36" ht="15.75" x14ac:dyDescent="0.25">
      <c r="B96" s="1" t="s">
        <v>24</v>
      </c>
      <c r="C96" s="1" t="s">
        <v>6</v>
      </c>
      <c r="D96" s="419">
        <v>3357.0000200001309</v>
      </c>
      <c r="E96" s="419">
        <v>5227.2999900000432</v>
      </c>
      <c r="F96" s="419">
        <v>5386.7000099999423</v>
      </c>
      <c r="G96" s="8">
        <v>5157.6999800000576</v>
      </c>
      <c r="H96" s="8">
        <v>4352.4000100000003</v>
      </c>
      <c r="I96" s="419">
        <v>3952.6999899999128</v>
      </c>
      <c r="J96" s="419">
        <v>4313.2000099997676</v>
      </c>
      <c r="K96" s="419">
        <v>5349.6000100003057</v>
      </c>
      <c r="L96" s="419">
        <v>5567.3999899999999</v>
      </c>
      <c r="M96" s="419">
        <v>5257.6999799996793</v>
      </c>
      <c r="N96" s="211">
        <v>5034.6999600002036</v>
      </c>
      <c r="O96" s="419">
        <v>4810.3999900000144</v>
      </c>
      <c r="P96" s="419">
        <v>4889.0999999999858</v>
      </c>
      <c r="Q96" s="419">
        <v>3713.900020000131</v>
      </c>
      <c r="R96" s="419">
        <v>2456.0999999997816</v>
      </c>
      <c r="S96" s="419">
        <v>3733.9999999999127</v>
      </c>
      <c r="T96" s="419">
        <v>4475.8000200001461</v>
      </c>
      <c r="U96" s="419">
        <v>5019.8999999998832</v>
      </c>
      <c r="V96" s="187">
        <v>4185.1000000000586</v>
      </c>
      <c r="W96" s="419">
        <v>2627.7000200002331</v>
      </c>
      <c r="X96" s="213">
        <v>2415.0000199999708</v>
      </c>
      <c r="Y96" s="419">
        <v>4682.1999799997084</v>
      </c>
      <c r="Z96" s="419">
        <v>3964.5999900002762</v>
      </c>
      <c r="AA96" s="419">
        <v>5626.8000199997241</v>
      </c>
      <c r="AB96" s="419">
        <v>3831.8999900001454</v>
      </c>
      <c r="AC96" s="419">
        <v>4969.6999800000867</v>
      </c>
      <c r="AD96" s="419">
        <v>2648.7000000000871</v>
      </c>
      <c r="AE96" s="419">
        <v>3881.0000199998835</v>
      </c>
      <c r="AF96" s="419">
        <v>3213.8999800000875</v>
      </c>
      <c r="AG96" s="419">
        <v>3566.4999799997818</v>
      </c>
      <c r="AH96" s="419"/>
      <c r="AI96" s="3">
        <f t="shared" si="19"/>
        <v>127668.69995999995</v>
      </c>
      <c r="AJ96" s="180"/>
    </row>
    <row r="97" spans="2:37" x14ac:dyDescent="0.25">
      <c r="B97" s="1" t="s">
        <v>25</v>
      </c>
      <c r="C97" s="1" t="s">
        <v>26</v>
      </c>
      <c r="D97" s="8">
        <v>7.5174176353333406</v>
      </c>
      <c r="E97" s="8">
        <v>7.4657867085000129</v>
      </c>
      <c r="F97" s="8">
        <v>7.4453718666666733</v>
      </c>
      <c r="G97" s="8">
        <v>7.3435803230000074</v>
      </c>
      <c r="H97" s="8">
        <v>6.13845229283333</v>
      </c>
      <c r="I97" s="8">
        <v>5.3724619830000044</v>
      </c>
      <c r="J97" s="8">
        <v>6.3619141093333402</v>
      </c>
      <c r="K97" s="8">
        <v>7.4453153055000048</v>
      </c>
      <c r="L97" s="8">
        <v>7.6654112338333436</v>
      </c>
      <c r="M97" s="8">
        <v>7.355455991166667</v>
      </c>
      <c r="N97" s="8">
        <v>7.1371131701666695</v>
      </c>
      <c r="O97" s="8">
        <v>6.7050646665000011</v>
      </c>
      <c r="P97" s="8">
        <v>6.9909292070000086</v>
      </c>
      <c r="Q97" s="8">
        <v>6.5083808026666707</v>
      </c>
      <c r="R97" s="8">
        <v>6.419482876</v>
      </c>
      <c r="S97" s="8">
        <v>5.1796620300000091</v>
      </c>
      <c r="T97" s="8">
        <v>6.1516490078333295</v>
      </c>
      <c r="U97" s="8">
        <v>7.0130971404999976</v>
      </c>
      <c r="V97" s="187">
        <v>7.1820366923050933</v>
      </c>
      <c r="W97" s="8">
        <v>3.5997624645000044</v>
      </c>
      <c r="X97" s="8">
        <v>6.5734414408333466</v>
      </c>
      <c r="Y97" s="8">
        <v>6.6901352408333352</v>
      </c>
      <c r="Z97" s="90">
        <v>5.3071841988333333</v>
      </c>
      <c r="AA97" s="8">
        <v>7.8685984268333335</v>
      </c>
      <c r="AB97" s="424">
        <v>7.6177388365000116</v>
      </c>
      <c r="AC97" s="7">
        <v>7.2554175565000163</v>
      </c>
      <c r="AD97" s="7">
        <v>6.5561097201666669</v>
      </c>
      <c r="AE97" s="8">
        <v>5.5787413675000019</v>
      </c>
      <c r="AF97" s="8">
        <v>4.7282166031666719</v>
      </c>
      <c r="AG97" s="8">
        <v>5.6693924043333288</v>
      </c>
      <c r="AH97" s="424"/>
      <c r="AI97" s="13">
        <f>AVERAGE(D97:AE97)</f>
        <v>6.6587754390942351</v>
      </c>
    </row>
    <row r="98" spans="2:37" x14ac:dyDescent="0.25">
      <c r="B98" s="1" t="s">
        <v>27</v>
      </c>
      <c r="C98" s="1" t="s">
        <v>6</v>
      </c>
      <c r="D98" s="420">
        <v>89082.299999996627</v>
      </c>
      <c r="E98" s="420">
        <v>135155.99999999214</v>
      </c>
      <c r="F98" s="187">
        <v>156099.9999999869</v>
      </c>
      <c r="G98" s="187">
        <v>144868.00000000076</v>
      </c>
      <c r="H98" s="187">
        <v>5396.9000000000087</v>
      </c>
      <c r="I98" s="420">
        <v>147276.00000000457</v>
      </c>
      <c r="J98" s="420">
        <v>138490.50000001374</v>
      </c>
      <c r="K98" s="420">
        <v>6664.0000000003056</v>
      </c>
      <c r="L98" s="420">
        <v>152891.99999999837</v>
      </c>
      <c r="M98" s="420">
        <v>154055.99999998594</v>
      </c>
      <c r="N98" s="419">
        <v>94474.100000011837</v>
      </c>
      <c r="O98" s="187">
        <v>131899.99999999744</v>
      </c>
      <c r="P98" s="187">
        <v>144379.99999999558</v>
      </c>
      <c r="Q98" s="187">
        <v>78980.69999999665</v>
      </c>
      <c r="R98" s="187">
        <v>42950.699999991397</v>
      </c>
      <c r="S98" s="187">
        <v>120432.00000001016</v>
      </c>
      <c r="T98" s="187">
        <v>131792.00000000783</v>
      </c>
      <c r="U98" s="420">
        <v>156083.99999999965</v>
      </c>
      <c r="V98" s="187">
        <v>108958.39999999074</v>
      </c>
      <c r="W98" s="420">
        <v>89163.300000000934</v>
      </c>
      <c r="X98" s="420">
        <v>13167.099999987171</v>
      </c>
      <c r="Y98" s="420">
        <v>145926.99999999342</v>
      </c>
      <c r="Z98" s="420">
        <v>105690.99999998863</v>
      </c>
      <c r="AA98" s="7">
        <v>154172.00000000483</v>
      </c>
      <c r="AB98" s="187">
        <v>75220.499999992695</v>
      </c>
      <c r="AC98" s="187">
        <v>96249.600000009857</v>
      </c>
      <c r="AD98" s="187">
        <v>12049.300000001953</v>
      </c>
      <c r="AE98" s="187">
        <v>126208.00000000454</v>
      </c>
      <c r="AF98" s="187">
        <v>128067.09999999939</v>
      </c>
      <c r="AG98" s="187">
        <v>67180.59999999209</v>
      </c>
      <c r="AH98" s="187"/>
      <c r="AI98" s="3">
        <f t="shared" si="19"/>
        <v>3153029.0999999559</v>
      </c>
    </row>
    <row r="99" spans="2:37" x14ac:dyDescent="0.25">
      <c r="B99" s="5" t="s">
        <v>28</v>
      </c>
      <c r="C99" s="1" t="s">
        <v>0</v>
      </c>
      <c r="D99" s="421">
        <v>0.23889602135890606</v>
      </c>
      <c r="E99" s="421">
        <v>0.23579375425416085</v>
      </c>
      <c r="F99" s="421">
        <v>0.23582608968342486</v>
      </c>
      <c r="G99" s="421">
        <v>0.23021353012902171</v>
      </c>
      <c r="H99" s="421">
        <v>0.19345590895209513</v>
      </c>
      <c r="I99" s="421">
        <v>0.17145193161585576</v>
      </c>
      <c r="J99" s="421">
        <v>0.19880191803316644</v>
      </c>
      <c r="K99" s="421">
        <v>0.23417172195799943</v>
      </c>
      <c r="L99" s="421">
        <v>0.23886110261753452</v>
      </c>
      <c r="M99" s="421">
        <v>0.22860171985676619</v>
      </c>
      <c r="N99" s="421">
        <v>0.22071568268272876</v>
      </c>
      <c r="O99" s="421">
        <v>0.20673937067536918</v>
      </c>
      <c r="P99" s="421">
        <v>0.21559148765302569</v>
      </c>
      <c r="Q99" s="421">
        <v>0.19957668065641707</v>
      </c>
      <c r="R99" s="421">
        <v>0.19683087420094217</v>
      </c>
      <c r="S99" s="421">
        <v>0.16160252212134243</v>
      </c>
      <c r="T99" s="421">
        <v>0.19396663062077871</v>
      </c>
      <c r="U99" s="421">
        <v>0.21800471918158668</v>
      </c>
      <c r="V99" s="421">
        <v>0.22596851697765313</v>
      </c>
      <c r="W99" s="421">
        <v>0.11510663719164041</v>
      </c>
      <c r="X99" s="421">
        <v>0.20209861737552637</v>
      </c>
      <c r="Y99" s="421">
        <v>0.21269862313597415</v>
      </c>
      <c r="Z99" s="423">
        <v>0.1712175089080917</v>
      </c>
      <c r="AA99" s="421">
        <v>0.24725447256011623</v>
      </c>
      <c r="AB99" s="421">
        <v>0.23788049377039852</v>
      </c>
      <c r="AC99" s="421">
        <v>0.22326708545245735</v>
      </c>
      <c r="AD99" s="421">
        <v>0.2005956208400117</v>
      </c>
      <c r="AE99" s="421">
        <v>0.16939286854204511</v>
      </c>
      <c r="AF99" s="421">
        <v>0.14474092108819692</v>
      </c>
      <c r="AG99" s="421">
        <v>0.17418620529243292</v>
      </c>
      <c r="AH99" s="421"/>
      <c r="AI99" s="14">
        <f>AVERAGE(D99:AE99)</f>
        <v>0.20802078967875132</v>
      </c>
    </row>
    <row r="100" spans="2:37" x14ac:dyDescent="0.25">
      <c r="B100" s="5" t="s">
        <v>35</v>
      </c>
      <c r="C100" s="1" t="s">
        <v>0</v>
      </c>
      <c r="D100" s="421">
        <v>0.13995897621907025</v>
      </c>
      <c r="E100" s="421">
        <v>0.2179349272063256</v>
      </c>
      <c r="F100" s="421">
        <v>0.22458058209925716</v>
      </c>
      <c r="G100" s="421">
        <v>0.21503318574478261</v>
      </c>
      <c r="H100" s="421">
        <v>0.18145887574211195</v>
      </c>
      <c r="I100" s="421">
        <v>0.16479470974250854</v>
      </c>
      <c r="J100" s="421">
        <v>0.17982456182041592</v>
      </c>
      <c r="K100" s="421">
        <v>0.22303382070910488</v>
      </c>
      <c r="L100" s="421">
        <v>0.23211426814421987</v>
      </c>
      <c r="M100" s="421">
        <v>0.21920235391233406</v>
      </c>
      <c r="N100" s="421">
        <v>0.20990510806484741</v>
      </c>
      <c r="O100" s="421">
        <v>0.20055366511573672</v>
      </c>
      <c r="P100" s="421">
        <v>0.20383480088052774</v>
      </c>
      <c r="Q100" s="421">
        <v>0.1548387374091176</v>
      </c>
      <c r="R100" s="421">
        <v>0.10239893936360907</v>
      </c>
      <c r="S100" s="421">
        <v>0.15567673937695589</v>
      </c>
      <c r="T100" s="421">
        <v>0.1866036296778128</v>
      </c>
      <c r="U100" s="421">
        <v>0.20928807284370138</v>
      </c>
      <c r="V100" s="421">
        <v>0.17448385698085764</v>
      </c>
      <c r="W100" s="421">
        <v>0.10955323277300685</v>
      </c>
      <c r="X100" s="421">
        <v>0.10068541208058047</v>
      </c>
      <c r="Y100" s="421">
        <v>0.19520879110798597</v>
      </c>
      <c r="Z100" s="423">
        <v>0.16529084075446421</v>
      </c>
      <c r="AA100" s="421">
        <v>0.23459075528649376</v>
      </c>
      <c r="AB100" s="421">
        <v>0.15975835459609705</v>
      </c>
      <c r="AC100" s="421">
        <v>0.20719514958975749</v>
      </c>
      <c r="AD100" s="421">
        <v>0.11042875725435625</v>
      </c>
      <c r="AE100" s="421">
        <v>0.1618054174171121</v>
      </c>
      <c r="AF100" s="421">
        <v>0.13399289490361249</v>
      </c>
      <c r="AG100" s="421">
        <v>0.14869338186244171</v>
      </c>
      <c r="AH100" s="421"/>
      <c r="AI100" s="14">
        <f>AVERAGE(D100:AE100)</f>
        <v>0.18000130435404113</v>
      </c>
    </row>
    <row r="101" spans="2:37" ht="15.75" x14ac:dyDescent="0.25">
      <c r="B101" s="5" t="s">
        <v>113</v>
      </c>
      <c r="C101" s="1"/>
      <c r="D101" s="425">
        <v>9.8937045139835811E-2</v>
      </c>
      <c r="E101" s="425">
        <v>1.7858827047835257E-2</v>
      </c>
      <c r="F101" s="425">
        <v>1.1245507584167702E-2</v>
      </c>
      <c r="G101" s="425">
        <v>1.5180344384239097E-2</v>
      </c>
      <c r="H101" s="425">
        <v>1.1997033209983188E-2</v>
      </c>
      <c r="I101" s="425">
        <v>6.6572218733472188E-3</v>
      </c>
      <c r="J101" s="425">
        <v>1.8977356212750512E-2</v>
      </c>
      <c r="K101" s="425">
        <v>1.1137901248894549E-2</v>
      </c>
      <c r="L101" s="425">
        <v>6.7468344733146446E-3</v>
      </c>
      <c r="M101" s="425">
        <v>9.3993659444321365E-3</v>
      </c>
      <c r="N101" s="425">
        <v>1.0810574617881347E-2</v>
      </c>
      <c r="O101" s="425">
        <v>6.185705559632465E-3</v>
      </c>
      <c r="P101" s="425">
        <v>1.1756686772497943E-2</v>
      </c>
      <c r="Q101" s="425">
        <v>4.4737943247299461E-2</v>
      </c>
      <c r="R101" s="425">
        <v>9.4431934837333101E-2</v>
      </c>
      <c r="S101" s="425">
        <v>5.925782744386543E-3</v>
      </c>
      <c r="T101" s="425">
        <v>7.3630009429659082E-3</v>
      </c>
      <c r="U101" s="425">
        <v>8.7166463378852976E-3</v>
      </c>
      <c r="V101" s="425">
        <v>5.1484659996795495E-2</v>
      </c>
      <c r="W101" s="425">
        <v>5.5534044186335563E-3</v>
      </c>
      <c r="X101" s="425">
        <v>0.10141320529494589</v>
      </c>
      <c r="Y101" s="425">
        <v>1.7489832027988178E-2</v>
      </c>
      <c r="Z101" s="425">
        <v>5.9266681536274957E-3</v>
      </c>
      <c r="AA101" s="425">
        <v>1.2663717273622477E-2</v>
      </c>
      <c r="AB101" s="425">
        <v>7.8122139174301469E-2</v>
      </c>
      <c r="AC101" s="425">
        <v>1.6071935862699865E-2</v>
      </c>
      <c r="AD101" s="425">
        <v>9.0166863585655455E-2</v>
      </c>
      <c r="AE101" s="425">
        <v>7.5874511249330034E-3</v>
      </c>
      <c r="AF101" s="425">
        <v>1.0748026184584425E-2</v>
      </c>
      <c r="AG101" s="425">
        <v>2.5492823429991207E-2</v>
      </c>
      <c r="AH101" s="425"/>
      <c r="AI101" s="49">
        <f>AVERAGEIF(D101:AE101,"&gt;0")</f>
        <v>2.8019485324710176E-2</v>
      </c>
    </row>
    <row r="102" spans="2:37" ht="15.75" x14ac:dyDescent="0.25">
      <c r="B102" s="1" t="s">
        <v>111</v>
      </c>
      <c r="C102" s="1"/>
      <c r="D102" s="422">
        <v>0.44683102525389207</v>
      </c>
      <c r="E102" s="422">
        <v>0.70058768850130826</v>
      </c>
      <c r="F102" s="422">
        <v>0.72393079444603603</v>
      </c>
      <c r="G102" s="422">
        <v>0.70276298901657397</v>
      </c>
      <c r="H102" s="422">
        <v>0.70946434215920906</v>
      </c>
      <c r="I102" s="422">
        <v>0.7361751551402651</v>
      </c>
      <c r="J102" s="422">
        <v>0.67837908678434355</v>
      </c>
      <c r="K102" s="422">
        <v>0.71895030329532006</v>
      </c>
      <c r="L102" s="422">
        <v>0.72673758335016847</v>
      </c>
      <c r="M102" s="422">
        <v>0.71523186328813582</v>
      </c>
      <c r="N102" s="422">
        <v>0.7058487757506996</v>
      </c>
      <c r="O102" s="422">
        <v>0.71785854457540754</v>
      </c>
      <c r="P102" s="422">
        <v>0.6997689543522021</v>
      </c>
      <c r="Q102" s="422">
        <v>0.57097607077573231</v>
      </c>
      <c r="R102" s="422">
        <v>0.38283060991011481</v>
      </c>
      <c r="S102" s="422">
        <v>0.72132925341596743</v>
      </c>
      <c r="T102" s="422">
        <v>0.72801408314497984</v>
      </c>
      <c r="U102" s="422">
        <v>0.71621904668081138</v>
      </c>
      <c r="V102" s="425">
        <v>0.58306755408632671</v>
      </c>
      <c r="W102" s="422">
        <v>0.73040307867018184</v>
      </c>
      <c r="X102" s="422">
        <v>0.36760803479943777</v>
      </c>
      <c r="Y102" s="422">
        <v>0.70028643935277013</v>
      </c>
      <c r="Z102" s="422">
        <v>0.74747361868072959</v>
      </c>
      <c r="AA102" s="422">
        <v>0.71552490309785433</v>
      </c>
      <c r="AB102" s="422">
        <v>0.5033252770408656</v>
      </c>
      <c r="AC102" s="422">
        <v>0.68537524566028996</v>
      </c>
      <c r="AD102" s="422">
        <v>0.40424737950193657</v>
      </c>
      <c r="AE102" s="422">
        <v>0.69609429120226896</v>
      </c>
      <c r="AF102" s="422">
        <v>0.68013582024413444</v>
      </c>
      <c r="AG102" s="422">
        <v>0.62945742862514775</v>
      </c>
      <c r="AH102" s="422"/>
      <c r="AI102" s="49">
        <f>AVERAGEIF(D102:AE102,"&gt;0")</f>
        <v>0.65126078542620813</v>
      </c>
      <c r="AK102" s="19"/>
    </row>
    <row r="103" spans="2:37" x14ac:dyDescent="0.25">
      <c r="B103" s="5" t="s">
        <v>109</v>
      </c>
      <c r="C103" s="1" t="s">
        <v>59</v>
      </c>
      <c r="D103" s="420">
        <v>5730.0644099061765</v>
      </c>
      <c r="E103" s="420">
        <v>5655.6546720386004</v>
      </c>
      <c r="F103" s="420">
        <v>5656.4302567107552</v>
      </c>
      <c r="G103" s="420">
        <v>5521.8096482626624</v>
      </c>
      <c r="H103" s="420">
        <v>4640.1560497613727</v>
      </c>
      <c r="I103" s="420">
        <v>4112.3774509652694</v>
      </c>
      <c r="J103" s="420">
        <v>4768.3832851763173</v>
      </c>
      <c r="K103" s="420">
        <v>5616.7492541957909</v>
      </c>
      <c r="L103" s="420">
        <v>5729.2268629431355</v>
      </c>
      <c r="M103" s="420">
        <v>5483.1494117964512</v>
      </c>
      <c r="N103" s="420">
        <v>5293.9980785548587</v>
      </c>
      <c r="O103" s="420">
        <v>4958.7678492711348</v>
      </c>
      <c r="P103" s="420">
        <v>5171.0911862504126</v>
      </c>
      <c r="Q103" s="420">
        <v>4786.966431552557</v>
      </c>
      <c r="R103" s="420">
        <v>4721.1066162341176</v>
      </c>
      <c r="S103" s="420">
        <v>3876.1334545936711</v>
      </c>
      <c r="T103" s="420">
        <v>4652.4060154177496</v>
      </c>
      <c r="U103" s="420">
        <v>5228.973992401865</v>
      </c>
      <c r="V103" s="420">
        <v>5419.9904608191973</v>
      </c>
      <c r="W103" s="420">
        <v>2760.9017570238102</v>
      </c>
      <c r="X103" s="420">
        <v>4847.456596922425</v>
      </c>
      <c r="Y103" s="420">
        <v>5101.704095090221</v>
      </c>
      <c r="Z103" s="420">
        <v>4106.7546816659242</v>
      </c>
      <c r="AA103" s="420">
        <v>5930.5468770379239</v>
      </c>
      <c r="AB103" s="420">
        <v>5705.7063713792704</v>
      </c>
      <c r="AC103" s="420">
        <v>5355.1950048284607</v>
      </c>
      <c r="AD103" s="420">
        <v>4811.4063232201843</v>
      </c>
      <c r="AE103" s="420">
        <v>4062.9895877020772</v>
      </c>
      <c r="AF103" s="420">
        <v>3471.6978368530558</v>
      </c>
      <c r="AG103" s="420">
        <v>4177.9606456621786</v>
      </c>
      <c r="AH103" s="420"/>
      <c r="AI103" s="3">
        <f t="shared" ref="AI103" si="20">SUM(D103:AH103)</f>
        <v>147355.75516423766</v>
      </c>
    </row>
    <row r="104" spans="2:37" x14ac:dyDescent="0.25">
      <c r="B104" s="5" t="s">
        <v>213</v>
      </c>
      <c r="C104" s="1"/>
      <c r="D104" s="225">
        <v>28.29</v>
      </c>
      <c r="E104" s="225">
        <v>29.56</v>
      </c>
      <c r="F104" s="225">
        <v>28.97</v>
      </c>
      <c r="G104" s="225">
        <v>31.08</v>
      </c>
      <c r="H104" s="225">
        <v>30</v>
      </c>
      <c r="I104" s="225">
        <v>27.42</v>
      </c>
      <c r="J104" s="225">
        <v>31.73</v>
      </c>
      <c r="K104" s="225">
        <v>30.41</v>
      </c>
      <c r="L104" s="225">
        <v>32.299999999999997</v>
      </c>
      <c r="M104" s="225">
        <v>32.83</v>
      </c>
      <c r="N104" s="225">
        <v>33.83</v>
      </c>
      <c r="O104" s="225">
        <v>34.425232142857105</v>
      </c>
      <c r="P104" s="225">
        <v>34.39</v>
      </c>
      <c r="Q104" s="225">
        <v>35.520000000000003</v>
      </c>
      <c r="R104" s="225">
        <v>35.54</v>
      </c>
      <c r="S104" s="225">
        <v>32.049999999999997</v>
      </c>
      <c r="T104" s="225">
        <v>29.9</v>
      </c>
      <c r="U104" s="225">
        <v>32.79</v>
      </c>
      <c r="V104" s="225">
        <v>30.34</v>
      </c>
      <c r="W104" s="225">
        <v>27.010808035714302</v>
      </c>
      <c r="X104" s="225">
        <v>35</v>
      </c>
      <c r="Y104" s="225">
        <v>28.2</v>
      </c>
      <c r="Z104" s="225">
        <v>25.16</v>
      </c>
      <c r="AA104" s="225">
        <v>30.6</v>
      </c>
      <c r="AB104" s="225">
        <v>31.87</v>
      </c>
      <c r="AC104" s="225">
        <v>34.82</v>
      </c>
      <c r="AD104" s="225">
        <v>35.96</v>
      </c>
      <c r="AE104" s="225">
        <v>37.47</v>
      </c>
      <c r="AF104" s="225">
        <v>35.86</v>
      </c>
      <c r="AG104" s="225">
        <v>35.134660714285687</v>
      </c>
      <c r="AH104" s="225"/>
      <c r="AI104" s="13">
        <f>AVERAGE(D104:AE104)</f>
        <v>31.695215720663267</v>
      </c>
    </row>
    <row r="105" spans="2:37" ht="15" customHeight="1" x14ac:dyDescent="0.25">
      <c r="B105" s="219" t="s">
        <v>100</v>
      </c>
      <c r="C105" s="1" t="s">
        <v>59</v>
      </c>
      <c r="D105" s="222">
        <v>110</v>
      </c>
      <c r="E105" s="222">
        <v>380</v>
      </c>
      <c r="F105" s="222">
        <v>222</v>
      </c>
      <c r="G105" s="222">
        <v>316</v>
      </c>
      <c r="H105" s="222">
        <v>69</v>
      </c>
      <c r="I105" s="222">
        <v>112</v>
      </c>
      <c r="J105" s="222">
        <v>195</v>
      </c>
      <c r="K105" s="222">
        <v>219</v>
      </c>
      <c r="L105" s="222">
        <v>114</v>
      </c>
      <c r="M105" s="222">
        <v>177</v>
      </c>
      <c r="N105" s="222">
        <v>187</v>
      </c>
      <c r="O105" s="222">
        <v>100</v>
      </c>
      <c r="P105" s="222">
        <v>234</v>
      </c>
      <c r="Q105" s="222">
        <v>112</v>
      </c>
      <c r="R105" s="222">
        <v>113</v>
      </c>
      <c r="S105" s="222">
        <v>94</v>
      </c>
      <c r="T105" s="222">
        <v>129</v>
      </c>
      <c r="U105" s="222">
        <v>161</v>
      </c>
      <c r="V105" s="222">
        <v>87</v>
      </c>
      <c r="W105" s="222">
        <v>65</v>
      </c>
      <c r="X105" s="222">
        <v>199</v>
      </c>
      <c r="Y105" s="222">
        <v>147</v>
      </c>
      <c r="Z105" s="222">
        <v>94</v>
      </c>
      <c r="AA105" s="222">
        <v>256</v>
      </c>
      <c r="AB105" s="222">
        <v>136</v>
      </c>
      <c r="AC105" s="222">
        <v>210</v>
      </c>
      <c r="AD105" s="222">
        <v>144</v>
      </c>
      <c r="AE105" s="222">
        <v>134</v>
      </c>
      <c r="AF105" s="222">
        <v>121</v>
      </c>
      <c r="AG105" s="222">
        <v>122</v>
      </c>
      <c r="AH105" s="222"/>
      <c r="AI105" s="13">
        <f t="shared" ref="AI105:AI110" si="21">SUM(D105:AH105)</f>
        <v>4759</v>
      </c>
    </row>
    <row r="106" spans="2:37" ht="15" customHeight="1" x14ac:dyDescent="0.25">
      <c r="B106" s="219" t="s">
        <v>101</v>
      </c>
      <c r="C106" s="1" t="s">
        <v>59</v>
      </c>
      <c r="D106" s="222">
        <v>2113</v>
      </c>
      <c r="E106" s="222"/>
      <c r="F106" s="222"/>
      <c r="G106" s="222"/>
      <c r="H106" s="222">
        <v>171</v>
      </c>
      <c r="I106" s="222"/>
      <c r="J106" s="222">
        <v>174</v>
      </c>
      <c r="K106" s="222"/>
      <c r="L106" s="222"/>
      <c r="M106" s="222"/>
      <c r="N106" s="222">
        <v>24</v>
      </c>
      <c r="O106" s="222"/>
      <c r="P106" s="222"/>
      <c r="Q106" s="222">
        <v>871</v>
      </c>
      <c r="R106" s="222">
        <v>2053</v>
      </c>
      <c r="S106" s="222"/>
      <c r="T106" s="222"/>
      <c r="U106" s="222"/>
      <c r="V106" s="222">
        <v>1058</v>
      </c>
      <c r="W106" s="222">
        <v>20</v>
      </c>
      <c r="X106" s="222">
        <v>2185</v>
      </c>
      <c r="Y106" s="222">
        <v>113</v>
      </c>
      <c r="Z106" s="222"/>
      <c r="AA106" s="222"/>
      <c r="AB106" s="222">
        <v>1690</v>
      </c>
      <c r="AC106" s="222">
        <v>128</v>
      </c>
      <c r="AD106" s="222">
        <v>1971</v>
      </c>
      <c r="AE106" s="222">
        <v>0</v>
      </c>
      <c r="AF106" s="222"/>
      <c r="AG106" s="222">
        <v>441</v>
      </c>
      <c r="AH106" s="222"/>
      <c r="AI106" s="13">
        <f t="shared" si="21"/>
        <v>13012</v>
      </c>
      <c r="AJ106" s="301">
        <f>AI106+AI169</f>
        <v>15772</v>
      </c>
    </row>
    <row r="107" spans="2:37" ht="15" customHeight="1" x14ac:dyDescent="0.25">
      <c r="B107" s="219" t="s">
        <v>102</v>
      </c>
      <c r="C107" s="1" t="s">
        <v>59</v>
      </c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13">
        <f t="shared" si="21"/>
        <v>0</v>
      </c>
    </row>
    <row r="108" spans="2:37" ht="15" customHeight="1" x14ac:dyDescent="0.25">
      <c r="B108" s="219" t="s">
        <v>103</v>
      </c>
      <c r="C108" s="1" t="s">
        <v>59</v>
      </c>
      <c r="D108" s="222">
        <v>102</v>
      </c>
      <c r="E108" s="222"/>
      <c r="F108" s="222"/>
      <c r="G108" s="222"/>
      <c r="H108" s="222"/>
      <c r="I108" s="222"/>
      <c r="J108" s="222">
        <v>38</v>
      </c>
      <c r="K108" s="222"/>
      <c r="L108" s="222"/>
      <c r="M108" s="222"/>
      <c r="N108" s="222"/>
      <c r="O108" s="222"/>
      <c r="P108" s="222"/>
      <c r="Q108" s="222">
        <v>42</v>
      </c>
      <c r="R108" s="222">
        <v>51</v>
      </c>
      <c r="S108" s="222"/>
      <c r="T108" s="222"/>
      <c r="U108" s="222"/>
      <c r="V108" s="222">
        <v>42</v>
      </c>
      <c r="W108" s="222"/>
      <c r="X108" s="222"/>
      <c r="Y108" s="222">
        <v>112</v>
      </c>
      <c r="Z108" s="222"/>
      <c r="AA108" s="222"/>
      <c r="AB108" s="222"/>
      <c r="AC108" s="222"/>
      <c r="AD108" s="222"/>
      <c r="AE108" s="222"/>
      <c r="AF108" s="222">
        <v>89</v>
      </c>
      <c r="AG108" s="222"/>
      <c r="AH108" s="222"/>
      <c r="AI108" s="13">
        <f t="shared" si="21"/>
        <v>476</v>
      </c>
      <c r="AJ108" s="301"/>
    </row>
    <row r="109" spans="2:37" x14ac:dyDescent="0.25">
      <c r="B109" s="5" t="s">
        <v>218</v>
      </c>
      <c r="C109" s="1" t="s">
        <v>59</v>
      </c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13">
        <f t="shared" si="21"/>
        <v>0</v>
      </c>
    </row>
    <row r="110" spans="2:37" x14ac:dyDescent="0.25">
      <c r="B110" s="220" t="s">
        <v>86</v>
      </c>
      <c r="C110" s="1" t="s">
        <v>59</v>
      </c>
      <c r="D110" s="222">
        <f t="shared" ref="D110:E110" si="22">+SUM(D105:D109)</f>
        <v>2325</v>
      </c>
      <c r="E110" s="222">
        <f t="shared" si="22"/>
        <v>380</v>
      </c>
      <c r="F110" s="222">
        <f t="shared" ref="F110:G110" si="23">+SUM(F105:F109)</f>
        <v>222</v>
      </c>
      <c r="G110" s="222">
        <f t="shared" si="23"/>
        <v>316</v>
      </c>
      <c r="H110" s="222">
        <f t="shared" ref="H110:AG110" si="24">+SUM(H105:H109)</f>
        <v>240</v>
      </c>
      <c r="I110" s="222">
        <f t="shared" si="24"/>
        <v>112</v>
      </c>
      <c r="J110" s="222">
        <f t="shared" si="24"/>
        <v>407</v>
      </c>
      <c r="K110" s="222">
        <f t="shared" si="24"/>
        <v>219</v>
      </c>
      <c r="L110" s="222">
        <f t="shared" si="24"/>
        <v>114</v>
      </c>
      <c r="M110" s="222">
        <f t="shared" si="24"/>
        <v>177</v>
      </c>
      <c r="N110" s="222">
        <f t="shared" si="24"/>
        <v>211</v>
      </c>
      <c r="O110" s="222">
        <f t="shared" si="24"/>
        <v>100</v>
      </c>
      <c r="P110" s="222">
        <f t="shared" si="24"/>
        <v>234</v>
      </c>
      <c r="Q110" s="222">
        <f t="shared" si="24"/>
        <v>1025</v>
      </c>
      <c r="R110" s="222">
        <f t="shared" si="24"/>
        <v>2217</v>
      </c>
      <c r="S110" s="222">
        <f t="shared" si="24"/>
        <v>94</v>
      </c>
      <c r="T110" s="222">
        <f t="shared" si="24"/>
        <v>129</v>
      </c>
      <c r="U110" s="222">
        <f t="shared" si="24"/>
        <v>161</v>
      </c>
      <c r="V110" s="222">
        <f t="shared" si="24"/>
        <v>1187</v>
      </c>
      <c r="W110" s="222">
        <f t="shared" si="24"/>
        <v>85</v>
      </c>
      <c r="X110" s="222">
        <f t="shared" si="24"/>
        <v>2384</v>
      </c>
      <c r="Y110" s="222">
        <f t="shared" si="24"/>
        <v>372</v>
      </c>
      <c r="Z110" s="222">
        <f t="shared" si="24"/>
        <v>94</v>
      </c>
      <c r="AA110" s="222">
        <f t="shared" si="24"/>
        <v>256</v>
      </c>
      <c r="AB110" s="222">
        <f t="shared" si="24"/>
        <v>1826</v>
      </c>
      <c r="AC110" s="222">
        <f t="shared" si="24"/>
        <v>338</v>
      </c>
      <c r="AD110" s="222">
        <f t="shared" si="24"/>
        <v>2115</v>
      </c>
      <c r="AE110" s="222">
        <f t="shared" si="24"/>
        <v>134</v>
      </c>
      <c r="AF110" s="222">
        <f t="shared" si="24"/>
        <v>210</v>
      </c>
      <c r="AG110" s="222">
        <f t="shared" si="24"/>
        <v>563</v>
      </c>
      <c r="AH110" s="222"/>
      <c r="AI110" s="13">
        <f t="shared" si="21"/>
        <v>18247</v>
      </c>
    </row>
    <row r="111" spans="2:37" x14ac:dyDescent="0.25">
      <c r="B111" s="220" t="s">
        <v>86</v>
      </c>
      <c r="C111" s="1" t="s">
        <v>59</v>
      </c>
      <c r="D111" s="423">
        <f t="shared" ref="D111:AG111" si="25">+D110/999.4/24</f>
        <v>9.6933159895937551E-2</v>
      </c>
      <c r="E111" s="423">
        <f t="shared" si="25"/>
        <v>1.5842839036755388E-2</v>
      </c>
      <c r="F111" s="423">
        <f t="shared" si="25"/>
        <v>9.2555533319992004E-3</v>
      </c>
      <c r="G111" s="423">
        <f t="shared" si="25"/>
        <v>1.3174571409512373E-2</v>
      </c>
      <c r="H111" s="423">
        <f t="shared" si="25"/>
        <v>1.0006003602161298E-2</v>
      </c>
      <c r="I111" s="423">
        <f t="shared" si="25"/>
        <v>4.6694683476752718E-3</v>
      </c>
      <c r="J111" s="423">
        <f t="shared" si="25"/>
        <v>1.6968514441998532E-2</v>
      </c>
      <c r="K111" s="423">
        <f t="shared" si="25"/>
        <v>9.130478286972183E-3</v>
      </c>
      <c r="L111" s="423">
        <f t="shared" si="25"/>
        <v>4.7528517110266158E-3</v>
      </c>
      <c r="M111" s="423">
        <f t="shared" si="25"/>
        <v>7.3794276565939563E-3</v>
      </c>
      <c r="N111" s="423">
        <f t="shared" si="25"/>
        <v>8.7969448335668068E-3</v>
      </c>
      <c r="O111" s="423">
        <f t="shared" si="25"/>
        <v>4.1691681675672066E-3</v>
      </c>
      <c r="P111" s="423">
        <f t="shared" si="25"/>
        <v>9.7558535121072647E-3</v>
      </c>
      <c r="Q111" s="423">
        <f t="shared" si="25"/>
        <v>4.2733973717563871E-2</v>
      </c>
      <c r="R111" s="423">
        <f t="shared" si="25"/>
        <v>9.2430458274964988E-2</v>
      </c>
      <c r="S111" s="423">
        <f t="shared" si="25"/>
        <v>3.9190180775131745E-3</v>
      </c>
      <c r="T111" s="423">
        <f t="shared" si="25"/>
        <v>5.3782269361616966E-3</v>
      </c>
      <c r="U111" s="423">
        <f t="shared" si="25"/>
        <v>6.712360749783204E-3</v>
      </c>
      <c r="V111" s="423">
        <f t="shared" si="25"/>
        <v>4.948802614902275E-2</v>
      </c>
      <c r="W111" s="423">
        <f t="shared" si="25"/>
        <v>3.5437929424321259E-3</v>
      </c>
      <c r="X111" s="423">
        <f t="shared" si="25"/>
        <v>9.9392969114802221E-2</v>
      </c>
      <c r="Y111" s="423">
        <f t="shared" si="25"/>
        <v>1.550930558335001E-2</v>
      </c>
      <c r="Z111" s="423">
        <f t="shared" si="25"/>
        <v>3.9190180775131745E-3</v>
      </c>
      <c r="AA111" s="423">
        <f t="shared" si="25"/>
        <v>1.067307050897205E-2</v>
      </c>
      <c r="AB111" s="423">
        <f t="shared" si="25"/>
        <v>7.6129010739777195E-2</v>
      </c>
      <c r="AC111" s="423">
        <f t="shared" si="25"/>
        <v>1.409178840637716E-2</v>
      </c>
      <c r="AD111" s="423">
        <f t="shared" si="25"/>
        <v>8.8177906744046422E-2</v>
      </c>
      <c r="AE111" s="423">
        <f t="shared" si="25"/>
        <v>5.5866853445400572E-3</v>
      </c>
      <c r="AF111" s="423">
        <f t="shared" si="25"/>
        <v>8.7552531518911344E-3</v>
      </c>
      <c r="AG111" s="423">
        <f t="shared" si="25"/>
        <v>2.3472416783403376E-2</v>
      </c>
      <c r="AH111" s="423"/>
      <c r="AI111" s="13">
        <f>AVERAGE(D111:AH111)</f>
        <v>2.535827051786628E-2</v>
      </c>
    </row>
    <row r="112" spans="2:37" x14ac:dyDescent="0.25">
      <c r="B112" s="5" t="s">
        <v>116</v>
      </c>
      <c r="C112" s="1" t="s">
        <v>60</v>
      </c>
      <c r="D112" s="423">
        <f t="shared" ref="D112:AG112" si="26">+D99-D100-D111</f>
        <v>2.0038852438982596E-3</v>
      </c>
      <c r="E112" s="423">
        <f t="shared" si="26"/>
        <v>2.0159880110798695E-3</v>
      </c>
      <c r="F112" s="423">
        <f t="shared" si="26"/>
        <v>1.9899542521685017E-3</v>
      </c>
      <c r="G112" s="423">
        <f t="shared" si="26"/>
        <v>2.0057729747267241E-3</v>
      </c>
      <c r="H112" s="423">
        <f t="shared" si="26"/>
        <v>1.9910296078218901E-3</v>
      </c>
      <c r="I112" s="423">
        <f t="shared" si="26"/>
        <v>1.987753525671947E-3</v>
      </c>
      <c r="J112" s="423">
        <f t="shared" si="26"/>
        <v>2.0088417707519804E-3</v>
      </c>
      <c r="K112" s="423">
        <f t="shared" si="26"/>
        <v>2.0074229619223664E-3</v>
      </c>
      <c r="L112" s="423">
        <f t="shared" si="26"/>
        <v>1.9939827622880288E-3</v>
      </c>
      <c r="M112" s="423">
        <f t="shared" si="26"/>
        <v>2.0199382878381801E-3</v>
      </c>
      <c r="N112" s="423">
        <f t="shared" si="26"/>
        <v>2.0136297843145398E-3</v>
      </c>
      <c r="O112" s="423">
        <f t="shared" si="26"/>
        <v>2.0165373920652584E-3</v>
      </c>
      <c r="P112" s="423">
        <f t="shared" si="26"/>
        <v>2.0008332603906782E-3</v>
      </c>
      <c r="Q112" s="423">
        <f t="shared" si="26"/>
        <v>2.00396952973559E-3</v>
      </c>
      <c r="R112" s="423">
        <f t="shared" si="26"/>
        <v>2.0014765623681124E-3</v>
      </c>
      <c r="S112" s="423">
        <f t="shared" si="26"/>
        <v>2.0067646668733684E-3</v>
      </c>
      <c r="T112" s="423">
        <f t="shared" si="26"/>
        <v>1.9847740068042116E-3</v>
      </c>
      <c r="U112" s="423">
        <f t="shared" si="26"/>
        <v>2.0042855881020937E-3</v>
      </c>
      <c r="V112" s="423">
        <f t="shared" si="26"/>
        <v>1.9966338477727455E-3</v>
      </c>
      <c r="W112" s="423">
        <f t="shared" si="26"/>
        <v>2.0096114762014304E-3</v>
      </c>
      <c r="X112" s="423">
        <f t="shared" si="26"/>
        <v>2.0202361801436725E-3</v>
      </c>
      <c r="Y112" s="423">
        <f t="shared" si="26"/>
        <v>1.9805264446381681E-3</v>
      </c>
      <c r="Z112" s="423">
        <f t="shared" si="26"/>
        <v>2.0076500761143212E-3</v>
      </c>
      <c r="AA112" s="423">
        <f t="shared" si="26"/>
        <v>1.9906467646504267E-3</v>
      </c>
      <c r="AB112" s="423">
        <f t="shared" si="26"/>
        <v>1.9931284345242745E-3</v>
      </c>
      <c r="AC112" s="423">
        <f t="shared" si="26"/>
        <v>1.9801474563227051E-3</v>
      </c>
      <c r="AD112" s="423">
        <f t="shared" si="26"/>
        <v>1.9889568416090325E-3</v>
      </c>
      <c r="AE112" s="423">
        <f t="shared" si="26"/>
        <v>2.0007657803929463E-3</v>
      </c>
      <c r="AF112" s="423">
        <f t="shared" si="26"/>
        <v>1.9927730326932905E-3</v>
      </c>
      <c r="AG112" s="423">
        <f t="shared" si="26"/>
        <v>2.0204066465878308E-3</v>
      </c>
      <c r="AH112" s="423"/>
      <c r="AI112" s="224">
        <f>AVERAGE(D112:AE112)</f>
        <v>2.0008979818282617E-3</v>
      </c>
    </row>
    <row r="113" spans="1:35" x14ac:dyDescent="0.25">
      <c r="A113" s="218" t="s">
        <v>228</v>
      </c>
      <c r="B113" s="672" t="s">
        <v>36</v>
      </c>
      <c r="C113" s="673"/>
      <c r="D113" s="673"/>
      <c r="E113" s="673"/>
      <c r="F113" s="673"/>
      <c r="G113" s="673"/>
      <c r="H113" s="673"/>
      <c r="I113" s="673"/>
      <c r="J113" s="673"/>
      <c r="K113" s="673"/>
      <c r="L113" s="673"/>
      <c r="M113" s="673"/>
      <c r="N113" s="673"/>
      <c r="O113" s="673"/>
      <c r="P113" s="673"/>
      <c r="Q113" s="673"/>
      <c r="R113" s="673"/>
      <c r="S113" s="673"/>
      <c r="T113" s="673"/>
      <c r="U113" s="673"/>
      <c r="V113" s="673"/>
      <c r="W113" s="673"/>
      <c r="X113" s="673"/>
      <c r="Y113" s="673"/>
      <c r="Z113" s="673"/>
      <c r="AA113" s="673"/>
      <c r="AB113" s="673"/>
      <c r="AC113" s="673"/>
      <c r="AD113" s="673"/>
      <c r="AE113" s="673"/>
      <c r="AF113" s="673"/>
      <c r="AG113" s="673"/>
      <c r="AH113" s="673"/>
      <c r="AI113" s="674"/>
    </row>
    <row r="114" spans="1:35" x14ac:dyDescent="0.25">
      <c r="B114" s="1" t="s">
        <v>2</v>
      </c>
      <c r="C114" s="1" t="s">
        <v>3</v>
      </c>
      <c r="D114" s="187">
        <v>1</v>
      </c>
      <c r="E114" s="187">
        <v>2</v>
      </c>
      <c r="F114" s="187">
        <v>3</v>
      </c>
      <c r="G114" s="187">
        <v>4</v>
      </c>
      <c r="H114" s="187">
        <v>5</v>
      </c>
      <c r="I114" s="187">
        <v>6</v>
      </c>
      <c r="J114" s="187">
        <v>7</v>
      </c>
      <c r="K114" s="187">
        <v>8</v>
      </c>
      <c r="L114" s="187">
        <v>9</v>
      </c>
      <c r="M114" s="187">
        <v>10</v>
      </c>
      <c r="N114" s="187">
        <v>11</v>
      </c>
      <c r="O114" s="187">
        <v>12</v>
      </c>
      <c r="P114" s="187">
        <v>13</v>
      </c>
      <c r="Q114" s="187">
        <v>14</v>
      </c>
      <c r="R114" s="187">
        <v>15</v>
      </c>
      <c r="S114" s="187">
        <v>16</v>
      </c>
      <c r="T114" s="187">
        <v>17</v>
      </c>
      <c r="U114" s="187">
        <v>18</v>
      </c>
      <c r="V114" s="187">
        <v>19</v>
      </c>
      <c r="W114" s="187">
        <v>20</v>
      </c>
      <c r="X114" s="187">
        <v>21</v>
      </c>
      <c r="Y114" s="187">
        <v>22</v>
      </c>
      <c r="Z114" s="187">
        <v>23</v>
      </c>
      <c r="AA114" s="187">
        <v>24</v>
      </c>
      <c r="AB114" s="187">
        <v>25</v>
      </c>
      <c r="AC114" s="187">
        <v>26</v>
      </c>
      <c r="AD114" s="187">
        <v>27</v>
      </c>
      <c r="AE114" s="187">
        <v>28</v>
      </c>
      <c r="AF114" s="187">
        <v>29</v>
      </c>
      <c r="AG114" s="187">
        <v>30</v>
      </c>
      <c r="AH114" s="187"/>
      <c r="AI114" s="187" t="s">
        <v>4</v>
      </c>
    </row>
    <row r="115" spans="1:35" x14ac:dyDescent="0.25">
      <c r="B115" s="1" t="s">
        <v>5</v>
      </c>
      <c r="C115" s="1" t="s">
        <v>6</v>
      </c>
      <c r="D115" s="419">
        <v>443.79998779296875</v>
      </c>
      <c r="E115" s="419">
        <v>456.20001220703125</v>
      </c>
      <c r="F115" s="419">
        <v>429.60000610351562</v>
      </c>
      <c r="G115" s="419">
        <v>399</v>
      </c>
      <c r="H115" s="419">
        <v>470</v>
      </c>
      <c r="I115" s="419">
        <v>442.1</v>
      </c>
      <c r="J115" s="419">
        <v>397.79998779296875</v>
      </c>
      <c r="K115" s="419">
        <v>326.10000000000002</v>
      </c>
      <c r="L115" s="419">
        <v>269.5</v>
      </c>
      <c r="M115" s="419">
        <v>432</v>
      </c>
      <c r="N115" s="419">
        <v>350.60000610351562</v>
      </c>
      <c r="O115" s="419">
        <v>395.10000610351562</v>
      </c>
      <c r="P115" s="419">
        <v>457.10000610351562</v>
      </c>
      <c r="Q115" s="419">
        <v>421.29998779296875</v>
      </c>
      <c r="R115" s="419">
        <v>325.89999389648437</v>
      </c>
      <c r="S115" s="419">
        <v>301.79998779296875</v>
      </c>
      <c r="T115" s="419">
        <v>421.39999389648437</v>
      </c>
      <c r="U115" s="419">
        <v>396.10000610351562</v>
      </c>
      <c r="V115" s="419">
        <v>493.60000610351562</v>
      </c>
      <c r="W115" s="419">
        <v>460.79998779296875</v>
      </c>
      <c r="X115" s="419">
        <v>426.20001220703125</v>
      </c>
      <c r="Y115" s="419">
        <v>289.39999389648437</v>
      </c>
      <c r="Z115" s="419">
        <v>418.60000610351562</v>
      </c>
      <c r="AA115" s="419">
        <v>451.60000610351562</v>
      </c>
      <c r="AB115" s="419">
        <v>403.79998779296875</v>
      </c>
      <c r="AC115" s="419">
        <v>439.10000610351562</v>
      </c>
      <c r="AD115" s="419">
        <v>493.20001220703125</v>
      </c>
      <c r="AE115" s="419">
        <v>464.29998779296875</v>
      </c>
      <c r="AF115" s="419">
        <v>457</v>
      </c>
      <c r="AG115" s="419">
        <v>440.29998779296875</v>
      </c>
      <c r="AH115" s="419"/>
      <c r="AI115" s="3">
        <f>SUM(D115:AH115)</f>
        <v>12373.299975585938</v>
      </c>
    </row>
    <row r="116" spans="1:35" x14ac:dyDescent="0.25">
      <c r="B116" s="1" t="s">
        <v>7</v>
      </c>
      <c r="C116" s="1" t="s">
        <v>6</v>
      </c>
      <c r="D116" s="419">
        <v>442.5</v>
      </c>
      <c r="E116" s="419">
        <v>467.79998779296875</v>
      </c>
      <c r="F116" s="419">
        <v>427.39999389648438</v>
      </c>
      <c r="G116" s="419">
        <v>396.39999389648437</v>
      </c>
      <c r="H116" s="419">
        <v>470.9</v>
      </c>
      <c r="I116" s="419">
        <v>452.5</v>
      </c>
      <c r="J116" s="419">
        <v>395</v>
      </c>
      <c r="K116" s="419">
        <v>343.8</v>
      </c>
      <c r="L116" s="419">
        <v>282.89999389648437</v>
      </c>
      <c r="M116" s="419">
        <v>445</v>
      </c>
      <c r="N116" s="419">
        <v>355.29998779296875</v>
      </c>
      <c r="O116" s="419">
        <v>404.70001220703125</v>
      </c>
      <c r="P116" s="419">
        <v>459.5</v>
      </c>
      <c r="Q116" s="419">
        <v>428</v>
      </c>
      <c r="R116" s="419">
        <v>327.89999389648438</v>
      </c>
      <c r="S116" s="419">
        <v>268.10000610351562</v>
      </c>
      <c r="T116" s="419">
        <v>406.5</v>
      </c>
      <c r="U116" s="419">
        <v>374.79998779296875</v>
      </c>
      <c r="V116" s="419">
        <v>465.10000610351562</v>
      </c>
      <c r="W116" s="419">
        <v>444.89999389648437</v>
      </c>
      <c r="X116" s="419">
        <v>406.79998779296875</v>
      </c>
      <c r="Y116" s="419">
        <v>274.79998779296875</v>
      </c>
      <c r="Z116" s="419">
        <v>404.5</v>
      </c>
      <c r="AA116" s="419">
        <v>438.10000610351562</v>
      </c>
      <c r="AB116" s="419">
        <v>391</v>
      </c>
      <c r="AC116" s="419">
        <v>423.79998779296875</v>
      </c>
      <c r="AD116" s="419">
        <v>466.79998779296875</v>
      </c>
      <c r="AE116" s="419">
        <v>439.89999389648437</v>
      </c>
      <c r="AF116" s="419">
        <v>426.29998779296875</v>
      </c>
      <c r="AG116" s="419">
        <v>418.79998779296875</v>
      </c>
      <c r="AH116" s="419"/>
      <c r="AI116" s="3">
        <f t="shared" ref="AI116:AI133" si="27">SUM(D116:AH116)</f>
        <v>12149.799884033204</v>
      </c>
    </row>
    <row r="117" spans="1:35" x14ac:dyDescent="0.25">
      <c r="B117" s="1" t="s">
        <v>8</v>
      </c>
      <c r="C117" s="1" t="s">
        <v>6</v>
      </c>
      <c r="D117" s="419">
        <v>445.10000610351562</v>
      </c>
      <c r="E117" s="419">
        <v>460</v>
      </c>
      <c r="F117" s="419">
        <v>432.77254863225357</v>
      </c>
      <c r="G117" s="419">
        <v>400.60000610351562</v>
      </c>
      <c r="H117" s="419">
        <v>461.6</v>
      </c>
      <c r="I117" s="419">
        <v>472.9</v>
      </c>
      <c r="J117" s="419">
        <v>406.39999389648437</v>
      </c>
      <c r="K117" s="419">
        <v>340.1</v>
      </c>
      <c r="L117" s="419">
        <v>277.60000610351562</v>
      </c>
      <c r="M117" s="419">
        <v>443.20001220703125</v>
      </c>
      <c r="N117" s="419">
        <v>364</v>
      </c>
      <c r="O117" s="419">
        <v>410.60000610351562</v>
      </c>
      <c r="P117" s="419">
        <v>451.79998779296875</v>
      </c>
      <c r="Q117" s="419">
        <v>424.39999389648438</v>
      </c>
      <c r="R117" s="419">
        <v>325.39999389648437</v>
      </c>
      <c r="S117" s="419">
        <v>272.79998779296875</v>
      </c>
      <c r="T117" s="419">
        <v>406.70001220703125</v>
      </c>
      <c r="U117" s="419">
        <v>378.5</v>
      </c>
      <c r="V117" s="419">
        <v>470</v>
      </c>
      <c r="W117" s="419">
        <v>458.10000610351562</v>
      </c>
      <c r="X117" s="419">
        <v>417.39999389648437</v>
      </c>
      <c r="Y117" s="419">
        <v>282.5</v>
      </c>
      <c r="Z117" s="419">
        <v>413.5</v>
      </c>
      <c r="AA117" s="419">
        <v>443</v>
      </c>
      <c r="AB117" s="419">
        <v>396</v>
      </c>
      <c r="AC117" s="419">
        <v>428.10000610351562</v>
      </c>
      <c r="AD117" s="419">
        <v>471.79998779296875</v>
      </c>
      <c r="AE117" s="419">
        <v>455.79998779296875</v>
      </c>
      <c r="AF117" s="419">
        <v>440.39999389648437</v>
      </c>
      <c r="AG117" s="419">
        <v>428.20001220703125</v>
      </c>
      <c r="AH117" s="419"/>
      <c r="AI117" s="3">
        <f t="shared" si="27"/>
        <v>12279.272542528739</v>
      </c>
    </row>
    <row r="118" spans="1:35" x14ac:dyDescent="0.25">
      <c r="B118" s="1" t="s">
        <v>9</v>
      </c>
      <c r="C118" s="1" t="s">
        <v>6</v>
      </c>
      <c r="D118" s="419">
        <v>462.5</v>
      </c>
      <c r="E118" s="419">
        <v>469.70001220703125</v>
      </c>
      <c r="F118" s="419">
        <v>439.9725625052543</v>
      </c>
      <c r="G118" s="419">
        <v>403.79998779296875</v>
      </c>
      <c r="H118" s="419">
        <v>455.1</v>
      </c>
      <c r="I118" s="419">
        <v>472.4</v>
      </c>
      <c r="J118" s="419">
        <v>405.60000610351562</v>
      </c>
      <c r="K118" s="419">
        <v>341.3</v>
      </c>
      <c r="L118" s="419">
        <v>280.10000610351562</v>
      </c>
      <c r="M118" s="419">
        <v>444.70001220703125</v>
      </c>
      <c r="N118" s="419">
        <v>352.29998779296875</v>
      </c>
      <c r="O118" s="419">
        <v>424.10000610351562</v>
      </c>
      <c r="P118" s="419">
        <v>463.5</v>
      </c>
      <c r="Q118" s="419">
        <v>428.70001220703125</v>
      </c>
      <c r="R118" s="419">
        <v>324.29998779296875</v>
      </c>
      <c r="S118" s="419">
        <v>278.79998779296875</v>
      </c>
      <c r="T118" s="419">
        <v>390.79998779296875</v>
      </c>
      <c r="U118" s="419">
        <v>382.10000610351562</v>
      </c>
      <c r="V118" s="419">
        <v>475.89999389648437</v>
      </c>
      <c r="W118" s="419">
        <v>421.79998779296875</v>
      </c>
      <c r="X118" s="419">
        <v>385.5</v>
      </c>
      <c r="Y118" s="419">
        <v>295.10000610351562</v>
      </c>
      <c r="Z118" s="419">
        <v>421.70001220703125</v>
      </c>
      <c r="AA118" s="419">
        <v>452.60000610351562</v>
      </c>
      <c r="AB118" s="419">
        <v>403.70001220703125</v>
      </c>
      <c r="AC118" s="419">
        <v>412.70001220703125</v>
      </c>
      <c r="AD118" s="419">
        <v>486.70001220703125</v>
      </c>
      <c r="AE118" s="419">
        <v>445.5</v>
      </c>
      <c r="AF118" s="419">
        <v>430.60000610351562</v>
      </c>
      <c r="AG118" s="419">
        <v>425.20001220703125</v>
      </c>
      <c r="AH118" s="419"/>
      <c r="AI118" s="3">
        <f t="shared" si="27"/>
        <v>12276.772623540412</v>
      </c>
    </row>
    <row r="119" spans="1:35" x14ac:dyDescent="0.25">
      <c r="B119" s="1" t="s">
        <v>10</v>
      </c>
      <c r="C119" s="1" t="s">
        <v>6</v>
      </c>
      <c r="D119" s="419">
        <v>443.70001220703125</v>
      </c>
      <c r="E119" s="419">
        <v>454.20001220703125</v>
      </c>
      <c r="F119" s="419">
        <v>415.5</v>
      </c>
      <c r="G119" s="419">
        <v>386.20001220703125</v>
      </c>
      <c r="H119" s="419">
        <v>459.9</v>
      </c>
      <c r="I119" s="419">
        <v>432.4</v>
      </c>
      <c r="J119" s="419">
        <v>403.5</v>
      </c>
      <c r="K119" s="419">
        <v>330.5</v>
      </c>
      <c r="L119" s="419">
        <v>270.60000610351562</v>
      </c>
      <c r="M119" s="419">
        <v>427.70001220703125</v>
      </c>
      <c r="N119" s="419">
        <v>349.20001220703125</v>
      </c>
      <c r="O119" s="419">
        <v>397.79998779296875</v>
      </c>
      <c r="P119" s="419">
        <v>455.39999389648437</v>
      </c>
      <c r="Q119" s="419">
        <v>467.89999389648437</v>
      </c>
      <c r="R119" s="419">
        <v>341.79998779296801</v>
      </c>
      <c r="S119" s="419">
        <v>291.20001220703125</v>
      </c>
      <c r="T119" s="419">
        <v>413.70001220703125</v>
      </c>
      <c r="U119" s="419">
        <v>395.29998779296875</v>
      </c>
      <c r="V119" s="419">
        <v>499.5</v>
      </c>
      <c r="W119" s="419">
        <v>452.5</v>
      </c>
      <c r="X119" s="419">
        <v>420.79998779296875</v>
      </c>
      <c r="Y119" s="419">
        <v>288.89999389648437</v>
      </c>
      <c r="Z119" s="419">
        <v>419.20001220703125</v>
      </c>
      <c r="AA119" s="419">
        <v>456.20001220703125</v>
      </c>
      <c r="AB119" s="419">
        <v>409.70001220703125</v>
      </c>
      <c r="AC119" s="419">
        <v>413.89999389648437</v>
      </c>
      <c r="AD119" s="419">
        <v>500.20001220703125</v>
      </c>
      <c r="AE119" s="419">
        <v>464.20001220703125</v>
      </c>
      <c r="AF119" s="419">
        <v>448.20001220703125</v>
      </c>
      <c r="AG119" s="419">
        <v>415.60000610351562</v>
      </c>
      <c r="AH119" s="419"/>
      <c r="AI119" s="3">
        <f t="shared" si="27"/>
        <v>12325.400097656249</v>
      </c>
    </row>
    <row r="120" spans="1:35" x14ac:dyDescent="0.25">
      <c r="B120" s="1" t="s">
        <v>11</v>
      </c>
      <c r="C120" s="1" t="s">
        <v>6</v>
      </c>
      <c r="D120" s="419">
        <v>444.10000610351562</v>
      </c>
      <c r="E120" s="419">
        <v>458.20001220703125</v>
      </c>
      <c r="F120" s="419">
        <v>411.56922469547834</v>
      </c>
      <c r="G120" s="419">
        <v>396.29998779296875</v>
      </c>
      <c r="H120" s="419">
        <v>464.9</v>
      </c>
      <c r="I120" s="419">
        <v>439.1</v>
      </c>
      <c r="J120" s="419">
        <v>399.39999389648437</v>
      </c>
      <c r="K120" s="419">
        <v>331.8</v>
      </c>
      <c r="L120" s="419">
        <v>282.10000610351562</v>
      </c>
      <c r="M120" s="419">
        <v>443.10000610351562</v>
      </c>
      <c r="N120" s="419">
        <v>361.29998779296875</v>
      </c>
      <c r="O120" s="419">
        <v>404.39999389648438</v>
      </c>
      <c r="P120" s="419">
        <v>464.5</v>
      </c>
      <c r="Q120" s="419">
        <v>433.70001220703125</v>
      </c>
      <c r="R120" s="419">
        <v>316.60000610351562</v>
      </c>
      <c r="S120" s="419">
        <v>259</v>
      </c>
      <c r="T120" s="419">
        <v>382.79998779296875</v>
      </c>
      <c r="U120" s="419">
        <v>363.89999389648437</v>
      </c>
      <c r="V120" s="419">
        <v>460</v>
      </c>
      <c r="W120" s="419">
        <v>419.10000610351562</v>
      </c>
      <c r="X120" s="419">
        <v>386.70001220703125</v>
      </c>
      <c r="Y120" s="419">
        <v>268.60000610351562</v>
      </c>
      <c r="Z120" s="419">
        <v>392.39999389648437</v>
      </c>
      <c r="AA120" s="419">
        <v>444</v>
      </c>
      <c r="AB120" s="419">
        <v>409.10000610351562</v>
      </c>
      <c r="AC120" s="419">
        <v>412.10000610351562</v>
      </c>
      <c r="AD120" s="419">
        <v>473.70001220703125</v>
      </c>
      <c r="AE120" s="419">
        <v>439.20001220703125</v>
      </c>
      <c r="AF120" s="419">
        <v>425.60000610351562</v>
      </c>
      <c r="AG120" s="419">
        <v>395.10000610351562</v>
      </c>
      <c r="AH120" s="419"/>
      <c r="AI120" s="3">
        <f t="shared" si="27"/>
        <v>11982.369285730634</v>
      </c>
    </row>
    <row r="121" spans="1:35" x14ac:dyDescent="0.25">
      <c r="B121" s="1" t="s">
        <v>12</v>
      </c>
      <c r="C121" s="1" t="s">
        <v>6</v>
      </c>
      <c r="D121" s="419">
        <v>441.60000610351562</v>
      </c>
      <c r="E121" s="419">
        <v>461.79998779296875</v>
      </c>
      <c r="F121" s="419">
        <v>414.10000610351562</v>
      </c>
      <c r="G121" s="419">
        <v>401.60000610351562</v>
      </c>
      <c r="H121" s="419">
        <v>460.8</v>
      </c>
      <c r="I121" s="419">
        <v>435.7</v>
      </c>
      <c r="J121" s="419">
        <v>404.70001220703125</v>
      </c>
      <c r="K121" s="419">
        <v>340.1</v>
      </c>
      <c r="L121" s="419">
        <v>273.20001220703125</v>
      </c>
      <c r="M121" s="419">
        <v>431.20001220703125</v>
      </c>
      <c r="N121" s="419">
        <v>354.39999389648437</v>
      </c>
      <c r="O121" s="419">
        <v>397.10000610351562</v>
      </c>
      <c r="P121" s="419">
        <v>445.89999389648437</v>
      </c>
      <c r="Q121" s="419">
        <v>422.39999389648437</v>
      </c>
      <c r="R121" s="419">
        <v>311.79998779296801</v>
      </c>
      <c r="S121" s="419">
        <v>259.89999389648438</v>
      </c>
      <c r="T121" s="419">
        <v>381</v>
      </c>
      <c r="U121" s="419">
        <v>363.20001220703125</v>
      </c>
      <c r="V121" s="419">
        <v>457.29998779296875</v>
      </c>
      <c r="W121" s="419">
        <v>431</v>
      </c>
      <c r="X121" s="419">
        <v>397.10000610351562</v>
      </c>
      <c r="Y121" s="419">
        <v>268.89999389648437</v>
      </c>
      <c r="Z121" s="419">
        <v>389.5</v>
      </c>
      <c r="AA121" s="419">
        <v>423.79998779296875</v>
      </c>
      <c r="AB121" s="419">
        <v>379.5</v>
      </c>
      <c r="AC121" s="419">
        <v>396.70001220703125</v>
      </c>
      <c r="AD121" s="419">
        <v>465.29998779296875</v>
      </c>
      <c r="AE121" s="419">
        <v>430.20001220703125</v>
      </c>
      <c r="AF121" s="419">
        <v>416.29998779296875</v>
      </c>
      <c r="AG121" s="419">
        <v>393.79998779296875</v>
      </c>
      <c r="AH121" s="419"/>
      <c r="AI121" s="3">
        <f t="shared" si="27"/>
        <v>11849.899987792967</v>
      </c>
    </row>
    <row r="122" spans="1:35" x14ac:dyDescent="0.25">
      <c r="B122" s="1" t="s">
        <v>13</v>
      </c>
      <c r="C122" s="1" t="s">
        <v>6</v>
      </c>
      <c r="D122" s="419">
        <v>439</v>
      </c>
      <c r="E122" s="419">
        <v>463.29998779296875</v>
      </c>
      <c r="F122" s="419">
        <v>419</v>
      </c>
      <c r="G122" s="419">
        <v>411.89999389648437</v>
      </c>
      <c r="H122" s="419">
        <v>464.6</v>
      </c>
      <c r="I122" s="419">
        <v>435.9</v>
      </c>
      <c r="J122" s="419">
        <v>407.20001220703125</v>
      </c>
      <c r="K122" s="419">
        <v>337.2</v>
      </c>
      <c r="L122" s="419">
        <v>274.89999389648437</v>
      </c>
      <c r="M122" s="419">
        <v>434</v>
      </c>
      <c r="N122" s="419">
        <v>357.70001220703125</v>
      </c>
      <c r="O122" s="419">
        <v>409.29998779296875</v>
      </c>
      <c r="P122" s="419">
        <v>453.60000610351562</v>
      </c>
      <c r="Q122" s="419">
        <v>431</v>
      </c>
      <c r="R122" s="419">
        <v>316</v>
      </c>
      <c r="S122" s="419">
        <v>270</v>
      </c>
      <c r="T122" s="419">
        <v>370.29998779296875</v>
      </c>
      <c r="U122" s="419">
        <v>355.5</v>
      </c>
      <c r="V122" s="419">
        <v>453.60000610351562</v>
      </c>
      <c r="W122" s="419">
        <v>411</v>
      </c>
      <c r="X122" s="419">
        <v>395.89999389648438</v>
      </c>
      <c r="Y122" s="419">
        <v>283.20001220703125</v>
      </c>
      <c r="Z122" s="419">
        <v>410.29998779296875</v>
      </c>
      <c r="AA122" s="419">
        <v>441.60000610351562</v>
      </c>
      <c r="AB122" s="419">
        <v>388.5</v>
      </c>
      <c r="AC122" s="419">
        <v>391.70001220703125</v>
      </c>
      <c r="AD122" s="419">
        <v>465.89999389648437</v>
      </c>
      <c r="AE122" s="419">
        <v>431.39999389648437</v>
      </c>
      <c r="AF122" s="419">
        <v>417.39999389648437</v>
      </c>
      <c r="AG122" s="419">
        <v>408.5</v>
      </c>
      <c r="AH122" s="419"/>
      <c r="AI122" s="3">
        <f t="shared" si="27"/>
        <v>11949.399981689454</v>
      </c>
    </row>
    <row r="123" spans="1:35" x14ac:dyDescent="0.25">
      <c r="B123" s="1" t="s">
        <v>14</v>
      </c>
      <c r="C123" s="1" t="s">
        <v>6</v>
      </c>
      <c r="D123" s="419">
        <v>463.55578989367768</v>
      </c>
      <c r="E123" s="419">
        <v>466.5</v>
      </c>
      <c r="F123" s="419">
        <v>421.16588353844185</v>
      </c>
      <c r="G123" s="419">
        <v>407.60000610351562</v>
      </c>
      <c r="H123" s="419">
        <v>459.8</v>
      </c>
      <c r="I123" s="419">
        <v>435.4</v>
      </c>
      <c r="J123" s="419">
        <v>403.89999389648437</v>
      </c>
      <c r="K123" s="419">
        <v>334.7</v>
      </c>
      <c r="L123" s="419">
        <v>277</v>
      </c>
      <c r="M123" s="419">
        <v>445.29998779296875</v>
      </c>
      <c r="N123" s="419">
        <v>355.5</v>
      </c>
      <c r="O123" s="419">
        <v>407.5</v>
      </c>
      <c r="P123" s="419">
        <v>461.60000610351562</v>
      </c>
      <c r="Q123" s="419">
        <v>432</v>
      </c>
      <c r="R123" s="419">
        <v>320.70001220703125</v>
      </c>
      <c r="S123" s="419">
        <v>263.5</v>
      </c>
      <c r="T123" s="419">
        <v>375.89999389648438</v>
      </c>
      <c r="U123" s="419">
        <v>372.60000610351562</v>
      </c>
      <c r="V123" s="419">
        <v>475.89999389648437</v>
      </c>
      <c r="W123" s="419">
        <v>432.70001220703125</v>
      </c>
      <c r="X123" s="419">
        <v>409.89999389648437</v>
      </c>
      <c r="Y123" s="419">
        <v>274.79998779296875</v>
      </c>
      <c r="Z123" s="419">
        <v>398.39999389648437</v>
      </c>
      <c r="AA123" s="419">
        <v>435.79998779296875</v>
      </c>
      <c r="AB123" s="419">
        <v>410.10000610351562</v>
      </c>
      <c r="AC123" s="419">
        <v>413.20001220703125</v>
      </c>
      <c r="AD123" s="419">
        <v>469.79998779296875</v>
      </c>
      <c r="AE123" s="419">
        <v>440.10000610351562</v>
      </c>
      <c r="AF123" s="419">
        <v>428.10000610351562</v>
      </c>
      <c r="AG123" s="419">
        <v>397.39999389648437</v>
      </c>
      <c r="AH123" s="419"/>
      <c r="AI123" s="3">
        <f t="shared" si="27"/>
        <v>12090.421661225089</v>
      </c>
    </row>
    <row r="124" spans="1:35" x14ac:dyDescent="0.25">
      <c r="B124" s="1" t="s">
        <v>15</v>
      </c>
      <c r="C124" s="1" t="s">
        <v>6</v>
      </c>
      <c r="D124" s="419">
        <v>460.56246586409083</v>
      </c>
      <c r="E124" s="419">
        <v>468.89999389648437</v>
      </c>
      <c r="F124" s="419">
        <v>423.79998779296875</v>
      </c>
      <c r="G124" s="419">
        <v>411.89999389648437</v>
      </c>
      <c r="H124" s="419">
        <v>465.8</v>
      </c>
      <c r="I124" s="419">
        <v>448</v>
      </c>
      <c r="J124" s="419">
        <v>408.39999389648437</v>
      </c>
      <c r="K124" s="419">
        <v>341.9</v>
      </c>
      <c r="L124" s="419">
        <v>276.29998779296875</v>
      </c>
      <c r="M124" s="419">
        <v>445.39999389648437</v>
      </c>
      <c r="N124" s="419">
        <v>355.5</v>
      </c>
      <c r="O124" s="419">
        <v>404.89999389648437</v>
      </c>
      <c r="P124" s="419">
        <v>451.39999389648437</v>
      </c>
      <c r="Q124" s="419">
        <v>421.5</v>
      </c>
      <c r="R124" s="419">
        <v>322.70001220703125</v>
      </c>
      <c r="S124" s="419">
        <v>264.5</v>
      </c>
      <c r="T124" s="419">
        <v>377.39999389648437</v>
      </c>
      <c r="U124" s="419">
        <v>375.60000610351562</v>
      </c>
      <c r="V124" s="419">
        <v>476</v>
      </c>
      <c r="W124" s="419">
        <v>431.79998779296875</v>
      </c>
      <c r="X124" s="419">
        <v>417.70001220703125</v>
      </c>
      <c r="Y124" s="419">
        <v>276.10000610351562</v>
      </c>
      <c r="Z124" s="419">
        <v>399.29998779296875</v>
      </c>
      <c r="AA124" s="419">
        <v>441.89999389648437</v>
      </c>
      <c r="AB124" s="419">
        <v>413.29998779296875</v>
      </c>
      <c r="AC124" s="419">
        <v>417.10000610351562</v>
      </c>
      <c r="AD124" s="419">
        <v>469</v>
      </c>
      <c r="AE124" s="419">
        <v>445.79998779296875</v>
      </c>
      <c r="AF124" s="419">
        <v>432.20001220703125</v>
      </c>
      <c r="AG124" s="419">
        <v>401.29998779296875</v>
      </c>
      <c r="AH124" s="419"/>
      <c r="AI124" s="3">
        <f t="shared" si="27"/>
        <v>12145.962386518388</v>
      </c>
    </row>
    <row r="125" spans="1:35" x14ac:dyDescent="0.25">
      <c r="B125" s="1" t="s">
        <v>16</v>
      </c>
      <c r="C125" s="1" t="s">
        <v>6</v>
      </c>
      <c r="D125" s="419">
        <v>417.89999389648437</v>
      </c>
      <c r="E125" s="419">
        <v>428.10000610351562</v>
      </c>
      <c r="F125" s="419">
        <v>389.35247953294709</v>
      </c>
      <c r="G125" s="419">
        <v>379.17234155642285</v>
      </c>
      <c r="H125" s="419">
        <v>426.9</v>
      </c>
      <c r="I125" s="419">
        <v>420.6</v>
      </c>
      <c r="J125" s="419">
        <v>373.60000610351562</v>
      </c>
      <c r="K125" s="419">
        <v>313</v>
      </c>
      <c r="L125" s="419">
        <v>254.10000610351563</v>
      </c>
      <c r="M125" s="419">
        <v>414.5</v>
      </c>
      <c r="N125" s="419">
        <v>330.10000610351562</v>
      </c>
      <c r="O125" s="419">
        <v>372</v>
      </c>
      <c r="P125" s="419">
        <v>412.89999389648438</v>
      </c>
      <c r="Q125" s="419">
        <v>390.60000610351562</v>
      </c>
      <c r="R125" s="419">
        <v>303.70001220703102</v>
      </c>
      <c r="S125" s="419">
        <v>242.30000305175781</v>
      </c>
      <c r="T125" s="419">
        <v>349.70001220703125</v>
      </c>
      <c r="U125" s="419">
        <v>348.39999389648437</v>
      </c>
      <c r="V125" s="419">
        <v>435.89999389648438</v>
      </c>
      <c r="W125" s="419">
        <v>393.79998779296875</v>
      </c>
      <c r="X125" s="419">
        <v>379.89999389648437</v>
      </c>
      <c r="Y125" s="419">
        <v>252.19999694824219</v>
      </c>
      <c r="Z125" s="419">
        <v>373.70001220703125</v>
      </c>
      <c r="AA125" s="419">
        <v>406.20001220703125</v>
      </c>
      <c r="AB125" s="419">
        <v>360.89999389648437</v>
      </c>
      <c r="AC125" s="419">
        <v>363.79998779296875</v>
      </c>
      <c r="AD125" s="419">
        <v>404.29998779296875</v>
      </c>
      <c r="AE125" s="419">
        <v>388.10000610351562</v>
      </c>
      <c r="AF125" s="419">
        <v>377.10000610351562</v>
      </c>
      <c r="AG125" s="419">
        <v>350.89999389648437</v>
      </c>
      <c r="AH125" s="419"/>
      <c r="AI125" s="3">
        <f t="shared" si="27"/>
        <v>11053.724833296401</v>
      </c>
    </row>
    <row r="126" spans="1:35" x14ac:dyDescent="0.25">
      <c r="B126" s="1" t="s">
        <v>17</v>
      </c>
      <c r="C126" s="1" t="s">
        <v>6</v>
      </c>
      <c r="D126" s="419">
        <v>414.86246366601074</v>
      </c>
      <c r="E126" s="419">
        <v>429.29998779296875</v>
      </c>
      <c r="F126" s="419">
        <v>393.70001220703125</v>
      </c>
      <c r="G126" s="419">
        <v>377.10000610351562</v>
      </c>
      <c r="H126" s="419">
        <v>427.2</v>
      </c>
      <c r="I126" s="419">
        <v>421.3</v>
      </c>
      <c r="J126" s="419">
        <v>370.60000610351562</v>
      </c>
      <c r="K126" s="419">
        <v>309.89999999999998</v>
      </c>
      <c r="L126" s="419">
        <v>255.5</v>
      </c>
      <c r="M126" s="419">
        <v>414.60000610351562</v>
      </c>
      <c r="N126" s="419">
        <v>329.79998779296875</v>
      </c>
      <c r="O126" s="419">
        <v>371.79998779296875</v>
      </c>
      <c r="P126" s="419">
        <v>411.20001220703125</v>
      </c>
      <c r="Q126" s="419">
        <v>405.89999389648437</v>
      </c>
      <c r="R126" s="419">
        <v>297.79998779296801</v>
      </c>
      <c r="S126" s="419">
        <v>242.60000610351562</v>
      </c>
      <c r="T126" s="419">
        <v>405</v>
      </c>
      <c r="U126" s="419">
        <v>370.79998779296875</v>
      </c>
      <c r="V126" s="419">
        <v>466.70001220703125</v>
      </c>
      <c r="W126" s="419">
        <v>420.60000610351562</v>
      </c>
      <c r="X126" s="419">
        <v>388</v>
      </c>
      <c r="Y126" s="419">
        <v>269</v>
      </c>
      <c r="Z126" s="419">
        <v>390.70001220703125</v>
      </c>
      <c r="AA126" s="419">
        <v>422.89999389648437</v>
      </c>
      <c r="AB126" s="419">
        <v>383.10000610351562</v>
      </c>
      <c r="AC126" s="419">
        <v>385.79998779296875</v>
      </c>
      <c r="AD126" s="419">
        <v>423.60000610351562</v>
      </c>
      <c r="AE126" s="419">
        <v>414</v>
      </c>
      <c r="AF126" s="419">
        <v>400.10000610351562</v>
      </c>
      <c r="AG126" s="419">
        <v>372.70001220703125</v>
      </c>
      <c r="AH126" s="419"/>
      <c r="AI126" s="3">
        <f t="shared" si="27"/>
        <v>11386.162488080074</v>
      </c>
    </row>
    <row r="127" spans="1:35" x14ac:dyDescent="0.25">
      <c r="B127" s="1" t="s">
        <v>18</v>
      </c>
      <c r="C127" s="1" t="s">
        <v>6</v>
      </c>
      <c r="D127" s="419">
        <v>468.70001220703125</v>
      </c>
      <c r="E127" s="419">
        <v>474.20001220703125</v>
      </c>
      <c r="F127" s="419">
        <v>430.79998779296875</v>
      </c>
      <c r="G127" s="419">
        <v>422.10000610351562</v>
      </c>
      <c r="H127" s="419">
        <v>477.2</v>
      </c>
      <c r="I127" s="419">
        <v>448.1</v>
      </c>
      <c r="J127" s="419">
        <v>398.39999389648437</v>
      </c>
      <c r="K127" s="419">
        <v>353.1</v>
      </c>
      <c r="L127" s="419">
        <v>280</v>
      </c>
      <c r="M127" s="419">
        <v>447.79998779296875</v>
      </c>
      <c r="N127" s="419">
        <v>368.89999389648437</v>
      </c>
      <c r="O127" s="419">
        <v>414</v>
      </c>
      <c r="P127" s="419">
        <v>459.70001220703125</v>
      </c>
      <c r="Q127" s="419">
        <v>430.20001220703125</v>
      </c>
      <c r="R127" s="419">
        <v>314.20001220703125</v>
      </c>
      <c r="S127" s="419">
        <v>256</v>
      </c>
      <c r="T127" s="419">
        <v>370.60000610351562</v>
      </c>
      <c r="U127" s="419">
        <v>376.10000610351562</v>
      </c>
      <c r="V127" s="419">
        <v>480.10000610351562</v>
      </c>
      <c r="W127" s="419">
        <v>438</v>
      </c>
      <c r="X127" s="419">
        <v>418.89999389648438</v>
      </c>
      <c r="Y127" s="419">
        <v>275.70001220703125</v>
      </c>
      <c r="Z127" s="419">
        <v>399</v>
      </c>
      <c r="AA127" s="419">
        <v>435.29998779296875</v>
      </c>
      <c r="AB127" s="419">
        <v>404.10000610351562</v>
      </c>
      <c r="AC127" s="419">
        <v>407.29998779296875</v>
      </c>
      <c r="AD127" s="419">
        <v>448.60000610351562</v>
      </c>
      <c r="AE127" s="419">
        <v>445.79998779296875</v>
      </c>
      <c r="AF127" s="419">
        <v>446.79998779296875</v>
      </c>
      <c r="AG127" s="419">
        <v>413.89999389648437</v>
      </c>
      <c r="AH127" s="419"/>
      <c r="AI127" s="3">
        <f t="shared" si="27"/>
        <v>12203.600012207031</v>
      </c>
    </row>
    <row r="128" spans="1:35" x14ac:dyDescent="0.25">
      <c r="B128" s="1" t="s">
        <v>19</v>
      </c>
      <c r="C128" s="1" t="s">
        <v>6</v>
      </c>
      <c r="D128" s="419">
        <v>430.89999389648437</v>
      </c>
      <c r="E128" s="419">
        <v>440.89999389648437</v>
      </c>
      <c r="F128" s="419">
        <v>398.70001220703125</v>
      </c>
      <c r="G128" s="419">
        <v>386.20001220703125</v>
      </c>
      <c r="H128" s="419">
        <v>436.6</v>
      </c>
      <c r="I128" s="419">
        <v>415</v>
      </c>
      <c r="J128" s="419">
        <v>369.70001220703125</v>
      </c>
      <c r="K128" s="419">
        <v>327.7</v>
      </c>
      <c r="L128" s="419">
        <v>257.20001220703125</v>
      </c>
      <c r="M128" s="419">
        <v>409.29998779296875</v>
      </c>
      <c r="N128" s="419">
        <v>336.29998779296875</v>
      </c>
      <c r="O128" s="419">
        <v>377.39999389648437</v>
      </c>
      <c r="P128" s="419">
        <v>420.10000610351562</v>
      </c>
      <c r="Q128" s="419">
        <v>393.39999389648438</v>
      </c>
      <c r="R128" s="419">
        <v>286.39999389648437</v>
      </c>
      <c r="S128" s="419">
        <v>242.5</v>
      </c>
      <c r="T128" s="419">
        <v>346</v>
      </c>
      <c r="U128" s="419">
        <v>351.79998779296875</v>
      </c>
      <c r="V128" s="419">
        <v>445.70001220703125</v>
      </c>
      <c r="W128" s="419">
        <v>405.70001220703125</v>
      </c>
      <c r="X128" s="419">
        <v>384.70001220703125</v>
      </c>
      <c r="Y128" s="419">
        <v>255.80000305175781</v>
      </c>
      <c r="Z128" s="419">
        <v>371.60000610351562</v>
      </c>
      <c r="AA128" s="419">
        <v>402.70001220703125</v>
      </c>
      <c r="AB128" s="419">
        <v>370.10000610351562</v>
      </c>
      <c r="AC128" s="419">
        <v>373.29998779296875</v>
      </c>
      <c r="AD128" s="419">
        <v>413.20001220703125</v>
      </c>
      <c r="AE128" s="419">
        <v>404.60000610351562</v>
      </c>
      <c r="AF128" s="419">
        <v>416.29998779296875</v>
      </c>
      <c r="AG128" s="419">
        <v>386.29998779296875</v>
      </c>
      <c r="AH128" s="419"/>
      <c r="AI128" s="3">
        <f t="shared" si="27"/>
        <v>11256.100033569335</v>
      </c>
    </row>
    <row r="129" spans="2:35" x14ac:dyDescent="0.25">
      <c r="B129" s="1" t="s">
        <v>20</v>
      </c>
      <c r="C129" s="1" t="s">
        <v>6</v>
      </c>
      <c r="D129" s="419">
        <v>429.20001220703125</v>
      </c>
      <c r="E129" s="419">
        <v>441</v>
      </c>
      <c r="F129" s="419">
        <v>399.10000610351562</v>
      </c>
      <c r="G129" s="419">
        <v>381.29998779296875</v>
      </c>
      <c r="H129" s="419">
        <v>433.3</v>
      </c>
      <c r="I129" s="419">
        <v>430.2</v>
      </c>
      <c r="J129" s="419">
        <v>382.89999389648437</v>
      </c>
      <c r="K129" s="419">
        <v>325.7</v>
      </c>
      <c r="L129" s="419">
        <v>258</v>
      </c>
      <c r="M129" s="419">
        <v>410.89999389648437</v>
      </c>
      <c r="N129" s="419">
        <v>339.29998779296875</v>
      </c>
      <c r="O129" s="419">
        <v>377.10000610351562</v>
      </c>
      <c r="P129" s="419">
        <v>420.5</v>
      </c>
      <c r="Q129" s="419">
        <v>392.89999389648437</v>
      </c>
      <c r="R129" s="419">
        <v>285</v>
      </c>
      <c r="S129" s="419">
        <v>242.89999389648437</v>
      </c>
      <c r="T129" s="419">
        <v>344.89999389648438</v>
      </c>
      <c r="U129" s="419">
        <v>350.5</v>
      </c>
      <c r="V129" s="419">
        <v>444.70001220703125</v>
      </c>
      <c r="W129" s="419">
        <v>404.29998779296875</v>
      </c>
      <c r="X129" s="419">
        <v>382.89999389648437</v>
      </c>
      <c r="Y129" s="419">
        <v>256.39999389648437</v>
      </c>
      <c r="Z129" s="419">
        <v>371</v>
      </c>
      <c r="AA129" s="419">
        <v>427.29998779296875</v>
      </c>
      <c r="AB129" s="419">
        <v>378.79998779296875</v>
      </c>
      <c r="AC129" s="419">
        <v>380.60000610351562</v>
      </c>
      <c r="AD129" s="419">
        <v>419.20001220703125</v>
      </c>
      <c r="AE129" s="419">
        <v>418.5</v>
      </c>
      <c r="AF129" s="419">
        <v>414</v>
      </c>
      <c r="AG129" s="419">
        <v>399.79998779296875</v>
      </c>
      <c r="AH129" s="419"/>
      <c r="AI129" s="3">
        <f t="shared" si="27"/>
        <v>11342.199938964844</v>
      </c>
    </row>
    <row r="130" spans="2:35" x14ac:dyDescent="0.25">
      <c r="B130" s="1" t="s">
        <v>21</v>
      </c>
      <c r="C130" s="1" t="s">
        <v>6</v>
      </c>
      <c r="D130" s="419">
        <v>429.5</v>
      </c>
      <c r="E130" s="419">
        <v>437.29998779296875</v>
      </c>
      <c r="F130" s="419">
        <v>393.79998779296875</v>
      </c>
      <c r="G130" s="419">
        <v>385.89999389648437</v>
      </c>
      <c r="H130" s="419">
        <v>437.3</v>
      </c>
      <c r="I130" s="419">
        <v>414.7</v>
      </c>
      <c r="J130" s="419">
        <v>367.70001220703125</v>
      </c>
      <c r="K130" s="419">
        <v>316.60000000000002</v>
      </c>
      <c r="L130" s="419">
        <v>255.60000610351562</v>
      </c>
      <c r="M130" s="419">
        <v>415.29998779296875</v>
      </c>
      <c r="N130" s="419">
        <v>333.10000610351562</v>
      </c>
      <c r="O130" s="419">
        <v>373</v>
      </c>
      <c r="P130" s="419">
        <v>420.10000610351562</v>
      </c>
      <c r="Q130" s="419">
        <v>393.29998779296875</v>
      </c>
      <c r="R130" s="419">
        <v>285.20001220703125</v>
      </c>
      <c r="S130" s="419">
        <v>237.19999694824219</v>
      </c>
      <c r="T130" s="419">
        <v>337.89999389648437</v>
      </c>
      <c r="U130" s="419">
        <v>340.79998779296875</v>
      </c>
      <c r="V130" s="419">
        <v>443.60000610351562</v>
      </c>
      <c r="W130" s="419">
        <v>401.20001220703125</v>
      </c>
      <c r="X130" s="419">
        <v>371.79998779296875</v>
      </c>
      <c r="Y130" s="419">
        <v>252.80000305175781</v>
      </c>
      <c r="Z130" s="419">
        <v>390.60000610351562</v>
      </c>
      <c r="AA130" s="419">
        <v>420.89999389648437</v>
      </c>
      <c r="AB130" s="419">
        <v>372.79998779296875</v>
      </c>
      <c r="AC130" s="419">
        <v>373.5</v>
      </c>
      <c r="AD130" s="419">
        <v>411.39999389648437</v>
      </c>
      <c r="AE130" s="419">
        <v>401.39999389648437</v>
      </c>
      <c r="AF130" s="419">
        <v>387.39999389648438</v>
      </c>
      <c r="AG130" s="419">
        <v>359.79998779296875</v>
      </c>
      <c r="AH130" s="419"/>
      <c r="AI130" s="3">
        <f t="shared" si="27"/>
        <v>11161.499932861328</v>
      </c>
    </row>
    <row r="131" spans="2:35" x14ac:dyDescent="0.25">
      <c r="B131" s="1" t="s">
        <v>22</v>
      </c>
      <c r="C131" s="1" t="s">
        <v>6</v>
      </c>
      <c r="D131" s="419">
        <v>405.79998779296875</v>
      </c>
      <c r="E131" s="419">
        <v>439.10000610351562</v>
      </c>
      <c r="F131" s="419">
        <v>411.5</v>
      </c>
      <c r="G131" s="419">
        <v>387.10000610351562</v>
      </c>
      <c r="H131" s="419">
        <v>440.2</v>
      </c>
      <c r="I131" s="419">
        <v>416.9</v>
      </c>
      <c r="J131" s="419">
        <v>376.20001220703125</v>
      </c>
      <c r="K131" s="419">
        <v>332</v>
      </c>
      <c r="L131" s="419">
        <v>258.39999389648437</v>
      </c>
      <c r="M131" s="419">
        <v>411.60000610351562</v>
      </c>
      <c r="N131" s="419">
        <v>329.70001220703125</v>
      </c>
      <c r="O131" s="419">
        <v>379.5</v>
      </c>
      <c r="P131" s="419">
        <v>422.29998779296875</v>
      </c>
      <c r="Q131" s="419">
        <v>396.89999389648437</v>
      </c>
      <c r="R131" s="419">
        <v>291.29998779296875</v>
      </c>
      <c r="S131" s="419">
        <v>239.69999694824219</v>
      </c>
      <c r="T131" s="419">
        <v>342.10000610351562</v>
      </c>
      <c r="U131" s="419">
        <v>349.10000610351562</v>
      </c>
      <c r="V131" s="419">
        <v>447.5</v>
      </c>
      <c r="W131" s="419">
        <v>409.39999389648437</v>
      </c>
      <c r="X131" s="419">
        <v>384.10000610351562</v>
      </c>
      <c r="Y131" s="419">
        <v>257.10000610351562</v>
      </c>
      <c r="Z131" s="419">
        <v>372.70001220703125</v>
      </c>
      <c r="AA131" s="419">
        <v>406.20001220703125</v>
      </c>
      <c r="AB131" s="419">
        <v>375.70001220703125</v>
      </c>
      <c r="AC131" s="419">
        <v>381.5</v>
      </c>
      <c r="AD131" s="419">
        <v>421.20001220703125</v>
      </c>
      <c r="AE131" s="419">
        <v>399.89999389648437</v>
      </c>
      <c r="AF131" s="419">
        <v>398.79998779296875</v>
      </c>
      <c r="AG131" s="419">
        <v>369.39999389648437</v>
      </c>
      <c r="AH131" s="419"/>
      <c r="AI131" s="3">
        <f t="shared" si="27"/>
        <v>11252.900033569336</v>
      </c>
    </row>
    <row r="132" spans="2:35" x14ac:dyDescent="0.25">
      <c r="B132" s="1" t="s">
        <v>23</v>
      </c>
      <c r="C132" s="1" t="s">
        <v>6</v>
      </c>
      <c r="D132" s="419">
        <v>405.89999389648437</v>
      </c>
      <c r="E132" s="419">
        <v>440.29998779296875</v>
      </c>
      <c r="F132" s="419">
        <v>410.36585853337385</v>
      </c>
      <c r="G132" s="419">
        <v>385.29998779296875</v>
      </c>
      <c r="H132" s="419">
        <v>438.2</v>
      </c>
      <c r="I132" s="419">
        <v>415.4</v>
      </c>
      <c r="J132" s="419">
        <v>371.89999389648437</v>
      </c>
      <c r="K132" s="419">
        <v>332.1</v>
      </c>
      <c r="L132" s="419">
        <v>259.79998779296875</v>
      </c>
      <c r="M132" s="419">
        <v>414.39999389648437</v>
      </c>
      <c r="N132" s="419">
        <v>331.79998779296875</v>
      </c>
      <c r="O132" s="419">
        <v>380.89999389648437</v>
      </c>
      <c r="P132" s="419">
        <v>424.5</v>
      </c>
      <c r="Q132" s="419">
        <v>398.39999389648437</v>
      </c>
      <c r="R132" s="419">
        <v>291.79998779296875</v>
      </c>
      <c r="S132" s="419">
        <v>245.60000610351562</v>
      </c>
      <c r="T132" s="419">
        <v>350.60000610351562</v>
      </c>
      <c r="U132" s="419">
        <v>348.20001220703125</v>
      </c>
      <c r="V132" s="419">
        <v>449.29998779296875</v>
      </c>
      <c r="W132" s="419">
        <v>410.39999389648438</v>
      </c>
      <c r="X132" s="419">
        <v>384.10000610351562</v>
      </c>
      <c r="Y132" s="419">
        <v>256.70001220703125</v>
      </c>
      <c r="Z132" s="419">
        <v>373.5</v>
      </c>
      <c r="AA132" s="419">
        <v>406.29998779296875</v>
      </c>
      <c r="AB132" s="419">
        <v>373.5</v>
      </c>
      <c r="AC132" s="419">
        <v>378.10000610351562</v>
      </c>
      <c r="AD132" s="419">
        <v>418.29998779296875</v>
      </c>
      <c r="AE132" s="419">
        <v>394.70001220703125</v>
      </c>
      <c r="AF132" s="419">
        <v>397.20001220703125</v>
      </c>
      <c r="AG132" s="419">
        <v>368.29998779296875</v>
      </c>
      <c r="AH132" s="419"/>
      <c r="AI132" s="3">
        <f t="shared" si="27"/>
        <v>11255.865785291186</v>
      </c>
    </row>
    <row r="133" spans="2:35" x14ac:dyDescent="0.25">
      <c r="B133" s="1" t="s">
        <v>37</v>
      </c>
      <c r="C133" s="1" t="s">
        <v>6</v>
      </c>
      <c r="D133" s="419">
        <v>401.89999389648438</v>
      </c>
      <c r="E133" s="419">
        <v>448</v>
      </c>
      <c r="F133" s="419">
        <v>410.89999389648437</v>
      </c>
      <c r="G133" s="419">
        <v>386.5</v>
      </c>
      <c r="H133" s="419">
        <v>440.5</v>
      </c>
      <c r="I133" s="419">
        <v>419.6</v>
      </c>
      <c r="J133" s="419">
        <v>377.10000610351562</v>
      </c>
      <c r="K133" s="419">
        <v>324.5</v>
      </c>
      <c r="L133" s="419">
        <v>261.39999389648437</v>
      </c>
      <c r="M133" s="419">
        <v>415.29998779296875</v>
      </c>
      <c r="N133" s="419">
        <v>331.29998779296875</v>
      </c>
      <c r="O133" s="419">
        <v>383</v>
      </c>
      <c r="P133" s="419">
        <v>426.39999389648437</v>
      </c>
      <c r="Q133" s="419">
        <v>401.10000610351562</v>
      </c>
      <c r="R133" s="419">
        <v>292.60000610351562</v>
      </c>
      <c r="S133" s="419">
        <v>247.5</v>
      </c>
      <c r="T133" s="419">
        <v>361.20001220703125</v>
      </c>
      <c r="U133" s="419">
        <v>351.5</v>
      </c>
      <c r="V133" s="419">
        <v>460</v>
      </c>
      <c r="W133" s="419">
        <v>419.10000610351562</v>
      </c>
      <c r="X133" s="419">
        <v>392.10000610351562</v>
      </c>
      <c r="Y133" s="419">
        <v>260.39999389648437</v>
      </c>
      <c r="Z133" s="419">
        <v>378.89999389648438</v>
      </c>
      <c r="AA133" s="419">
        <v>412.89999389648438</v>
      </c>
      <c r="AB133" s="419">
        <v>379.60000610351562</v>
      </c>
      <c r="AC133" s="419">
        <v>384.39999389648437</v>
      </c>
      <c r="AD133" s="419">
        <v>423.5</v>
      </c>
      <c r="AE133" s="419">
        <v>397.89999389648437</v>
      </c>
      <c r="AF133" s="419">
        <v>408.70001220703125</v>
      </c>
      <c r="AG133" s="419">
        <v>384.60000610351562</v>
      </c>
      <c r="AH133" s="419"/>
      <c r="AI133" s="3">
        <f t="shared" si="27"/>
        <v>11382.399987792969</v>
      </c>
    </row>
    <row r="134" spans="2:35" x14ac:dyDescent="0.25">
      <c r="B134" s="1" t="s">
        <v>38</v>
      </c>
      <c r="C134" s="1" t="s">
        <v>6</v>
      </c>
      <c r="D134" s="8">
        <v>424.89999389648437</v>
      </c>
      <c r="E134" s="8">
        <v>451</v>
      </c>
      <c r="F134" s="8">
        <v>405.29998779296875</v>
      </c>
      <c r="G134" s="8">
        <v>385.70001220703125</v>
      </c>
      <c r="H134" s="8">
        <v>433.1</v>
      </c>
      <c r="I134" s="8">
        <v>429.7</v>
      </c>
      <c r="J134" s="8">
        <v>384.5</v>
      </c>
      <c r="K134" s="8">
        <v>324.8</v>
      </c>
      <c r="L134" s="8">
        <v>260.5</v>
      </c>
      <c r="M134" s="8">
        <v>414.79998779296875</v>
      </c>
      <c r="N134" s="419">
        <v>331.60000610351562</v>
      </c>
      <c r="O134" s="8">
        <v>380.20001220703125</v>
      </c>
      <c r="P134" s="8">
        <v>424</v>
      </c>
      <c r="Q134" s="8">
        <v>398.39999389648437</v>
      </c>
      <c r="R134" s="419">
        <v>290.60000610351562</v>
      </c>
      <c r="S134" s="419">
        <v>243.5</v>
      </c>
      <c r="T134" s="419">
        <v>363.10000610351562</v>
      </c>
      <c r="U134" s="419">
        <v>352.39999389648437</v>
      </c>
      <c r="V134" s="419">
        <v>455.29998779296875</v>
      </c>
      <c r="W134" s="420">
        <v>413.39999389648437</v>
      </c>
      <c r="X134" s="8">
        <v>386.20001220703125</v>
      </c>
      <c r="Y134" s="8">
        <v>259.79998779296875</v>
      </c>
      <c r="Z134" s="8">
        <v>377.79998779296875</v>
      </c>
      <c r="AA134" s="8">
        <v>410.20001220703125</v>
      </c>
      <c r="AB134" s="419">
        <v>374.70001220703125</v>
      </c>
      <c r="AC134" s="419">
        <v>375.79998779296875</v>
      </c>
      <c r="AD134" s="7">
        <v>413.5</v>
      </c>
      <c r="AE134" s="419">
        <v>391</v>
      </c>
      <c r="AF134" s="419">
        <v>399.5</v>
      </c>
      <c r="AG134" s="419">
        <v>388.20001220703125</v>
      </c>
      <c r="AH134" s="419"/>
      <c r="AI134" s="3">
        <f>SUM(D134:AH134)</f>
        <v>11343.499993896485</v>
      </c>
    </row>
    <row r="135" spans="2:35" x14ac:dyDescent="0.25">
      <c r="B135" s="1" t="s">
        <v>39</v>
      </c>
      <c r="C135" s="1" t="s">
        <v>6</v>
      </c>
      <c r="D135" s="420">
        <v>421</v>
      </c>
      <c r="E135" s="420">
        <v>443.39999389648437</v>
      </c>
      <c r="F135" s="420">
        <v>400.10000610351562</v>
      </c>
      <c r="G135" s="420">
        <v>380.79998779296875</v>
      </c>
      <c r="H135" s="420">
        <v>438.5</v>
      </c>
      <c r="I135" s="420">
        <v>414.9</v>
      </c>
      <c r="J135" s="420">
        <v>384.89999389648438</v>
      </c>
      <c r="K135" s="420">
        <v>322.5</v>
      </c>
      <c r="L135" s="420">
        <v>259.39999389648438</v>
      </c>
      <c r="M135" s="420">
        <v>413.60000610351562</v>
      </c>
      <c r="N135" s="419">
        <v>331.29998779296875</v>
      </c>
      <c r="O135" s="187">
        <v>380.5</v>
      </c>
      <c r="P135" s="187">
        <v>424.89999389648437</v>
      </c>
      <c r="Q135" s="420">
        <v>398.79998779296875</v>
      </c>
      <c r="R135" s="419">
        <v>290.89999389648438</v>
      </c>
      <c r="S135" s="187">
        <v>242.10000610351562</v>
      </c>
      <c r="T135" s="419">
        <v>353.60000610351562</v>
      </c>
      <c r="U135" s="420">
        <v>347.89999389648438</v>
      </c>
      <c r="V135" s="420">
        <v>455.10000610351562</v>
      </c>
      <c r="W135" s="420">
        <v>414.10000610351562</v>
      </c>
      <c r="X135" s="420">
        <v>386.5</v>
      </c>
      <c r="Y135" s="420">
        <v>257.70001220703125</v>
      </c>
      <c r="Z135" s="420">
        <v>375.60000610351562</v>
      </c>
      <c r="AA135" s="7">
        <v>408</v>
      </c>
      <c r="AB135" s="419">
        <v>374.89999389648437</v>
      </c>
      <c r="AC135" s="419">
        <v>377.70001220703125</v>
      </c>
      <c r="AD135" s="187">
        <v>415.89999389648438</v>
      </c>
      <c r="AE135" s="419">
        <v>392.10000610351562</v>
      </c>
      <c r="AF135" s="419">
        <v>402.89999389648437</v>
      </c>
      <c r="AG135" s="419">
        <v>397.89999389648437</v>
      </c>
      <c r="AH135" s="419"/>
      <c r="AI135" s="3">
        <f>SUM(D135:AH135)</f>
        <v>11307.499975585937</v>
      </c>
    </row>
    <row r="136" spans="2:35" x14ac:dyDescent="0.25">
      <c r="B136" s="1" t="s">
        <v>24</v>
      </c>
      <c r="C136" s="1" t="s">
        <v>6</v>
      </c>
      <c r="D136" s="211">
        <v>9020</v>
      </c>
      <c r="E136" s="211">
        <v>9350</v>
      </c>
      <c r="F136" s="211">
        <v>8570</v>
      </c>
      <c r="G136" s="211">
        <v>8170</v>
      </c>
      <c r="H136" s="211">
        <v>9320</v>
      </c>
      <c r="I136" s="211">
        <v>8980</v>
      </c>
      <c r="J136" s="211">
        <v>8070</v>
      </c>
      <c r="K136" s="211">
        <v>6860</v>
      </c>
      <c r="L136" s="211">
        <v>5570</v>
      </c>
      <c r="M136" s="211">
        <v>8840</v>
      </c>
      <c r="N136" s="211">
        <v>7160</v>
      </c>
      <c r="O136" s="211">
        <v>8130</v>
      </c>
      <c r="P136" s="211">
        <v>9090</v>
      </c>
      <c r="Q136" s="211">
        <v>8590</v>
      </c>
      <c r="R136" s="211">
        <v>6390</v>
      </c>
      <c r="S136" s="211">
        <v>5360</v>
      </c>
      <c r="T136" s="211">
        <v>7730</v>
      </c>
      <c r="U136" s="211">
        <v>7540</v>
      </c>
      <c r="V136" s="211">
        <v>9570</v>
      </c>
      <c r="W136" s="211">
        <v>8770</v>
      </c>
      <c r="X136" s="211">
        <v>8210</v>
      </c>
      <c r="Y136" s="211">
        <v>5590</v>
      </c>
      <c r="Z136" s="211">
        <v>8120</v>
      </c>
      <c r="AA136" s="211">
        <v>8860</v>
      </c>
      <c r="AB136" s="211">
        <v>8040</v>
      </c>
      <c r="AC136" s="211">
        <v>8210</v>
      </c>
      <c r="AD136" s="211">
        <v>9220</v>
      </c>
      <c r="AE136" s="211">
        <v>8780</v>
      </c>
      <c r="AF136" s="211">
        <v>8640</v>
      </c>
      <c r="AG136" s="211">
        <v>8190</v>
      </c>
      <c r="AH136" s="211"/>
      <c r="AI136" s="3">
        <f>SUM(D136:AH136)</f>
        <v>242940</v>
      </c>
    </row>
    <row r="137" spans="2:35" x14ac:dyDescent="0.25">
      <c r="B137" s="1" t="s">
        <v>25</v>
      </c>
      <c r="C137" s="1" t="s">
        <v>26</v>
      </c>
      <c r="D137" s="236">
        <v>6.4601986917964762</v>
      </c>
      <c r="E137" s="236">
        <v>6.62</v>
      </c>
      <c r="F137" s="236">
        <v>6.0166053358356155</v>
      </c>
      <c r="G137" s="237">
        <v>5.6970271201611764</v>
      </c>
      <c r="H137" s="237">
        <v>6.62</v>
      </c>
      <c r="I137" s="237">
        <v>6.33</v>
      </c>
      <c r="J137" s="237">
        <v>5.7932268794781967</v>
      </c>
      <c r="K137" s="237">
        <v>5.05</v>
      </c>
      <c r="L137" s="237">
        <v>3.7540433591859976</v>
      </c>
      <c r="M137" s="427">
        <v>6.3069157206782638</v>
      </c>
      <c r="N137" s="427">
        <v>5.0921382143644784</v>
      </c>
      <c r="O137" s="427">
        <v>5.6531963939310517</v>
      </c>
      <c r="P137" s="427">
        <v>6.57368062909919</v>
      </c>
      <c r="Q137" s="427">
        <v>6.0754360180011062</v>
      </c>
      <c r="R137" s="427">
        <v>4.4379743508607437</v>
      </c>
      <c r="S137" s="427">
        <v>3.8393477563975424</v>
      </c>
      <c r="T137" s="212">
        <v>5.7113959208719312</v>
      </c>
      <c r="U137" s="427">
        <v>5.4114541740600988</v>
      </c>
      <c r="V137" s="427">
        <v>6.8657177342205564</v>
      </c>
      <c r="W137" s="427">
        <v>6.3850027374074667</v>
      </c>
      <c r="X137" s="427">
        <v>5.9587823646525937</v>
      </c>
      <c r="Y137" s="427">
        <v>3.8808466236234209</v>
      </c>
      <c r="Z137" s="427">
        <v>5.6811409028772326</v>
      </c>
      <c r="AA137" s="427">
        <v>6.3279554029265013</v>
      </c>
      <c r="AB137" s="427">
        <v>5.8228764389214875</v>
      </c>
      <c r="AC137" s="427">
        <v>6.3575998188014911</v>
      </c>
      <c r="AD137" s="427">
        <v>6.6456957901163385</v>
      </c>
      <c r="AE137" s="427">
        <v>6.257655999999999</v>
      </c>
      <c r="AF137" s="427">
        <v>6.1963898038817824</v>
      </c>
      <c r="AG137" s="427">
        <v>5.7016715508847957</v>
      </c>
      <c r="AH137" s="427"/>
      <c r="AI137" s="234">
        <f>AVERAGE(D137:AE137)</f>
        <v>5.7723540849381783</v>
      </c>
    </row>
    <row r="138" spans="2:35" x14ac:dyDescent="0.25">
      <c r="B138" s="1" t="s">
        <v>27</v>
      </c>
      <c r="C138" s="1" t="s">
        <v>6</v>
      </c>
      <c r="D138" s="419">
        <v>204540</v>
      </c>
      <c r="E138" s="419">
        <v>240768</v>
      </c>
      <c r="F138" s="419">
        <v>107260</v>
      </c>
      <c r="G138" s="419">
        <v>279818</v>
      </c>
      <c r="H138" s="419">
        <v>284732</v>
      </c>
      <c r="I138" s="419">
        <v>247270</v>
      </c>
      <c r="J138" s="419">
        <v>165830</v>
      </c>
      <c r="K138" s="187">
        <v>252564</v>
      </c>
      <c r="L138" s="419">
        <v>209208</v>
      </c>
      <c r="M138" s="419">
        <v>129664</v>
      </c>
      <c r="N138" s="419">
        <v>265838</v>
      </c>
      <c r="O138" s="419">
        <v>186892</v>
      </c>
      <c r="P138" s="419">
        <v>226758</v>
      </c>
      <c r="Q138" s="419">
        <v>178940</v>
      </c>
      <c r="R138" s="419">
        <v>232524</v>
      </c>
      <c r="S138" s="419">
        <v>265964</v>
      </c>
      <c r="T138" s="419">
        <v>61384</v>
      </c>
      <c r="U138" s="187">
        <v>111556</v>
      </c>
      <c r="V138" s="419">
        <v>250276</v>
      </c>
      <c r="W138" s="419">
        <v>251308</v>
      </c>
      <c r="X138" s="419">
        <v>261162</v>
      </c>
      <c r="Y138" s="419">
        <v>71060</v>
      </c>
      <c r="Z138" s="419">
        <v>28490</v>
      </c>
      <c r="AA138" s="419">
        <v>276620</v>
      </c>
      <c r="AB138" s="419">
        <v>135510</v>
      </c>
      <c r="AC138" s="419">
        <v>19480</v>
      </c>
      <c r="AD138" s="419">
        <v>94390</v>
      </c>
      <c r="AE138" s="419">
        <v>204040</v>
      </c>
      <c r="AF138" s="419">
        <v>22310</v>
      </c>
      <c r="AG138" s="419">
        <v>18970</v>
      </c>
      <c r="AH138" s="419"/>
      <c r="AI138" s="3">
        <f>SUM(D138:AH138)</f>
        <v>5285126</v>
      </c>
    </row>
    <row r="139" spans="2:35" x14ac:dyDescent="0.25">
      <c r="B139" s="1" t="s">
        <v>28</v>
      </c>
      <c r="C139" s="1" t="s">
        <v>0</v>
      </c>
      <c r="D139" s="423">
        <v>0.19925116544638277</v>
      </c>
      <c r="E139" s="423">
        <v>0.2032105224400263</v>
      </c>
      <c r="F139" s="423">
        <v>0.18793431082896797</v>
      </c>
      <c r="G139" s="423">
        <v>0.17828567515930158</v>
      </c>
      <c r="H139" s="423">
        <v>0.20270032434473681</v>
      </c>
      <c r="I139" s="423">
        <v>0.19577209499621051</v>
      </c>
      <c r="J139" s="423">
        <v>0.17814405530453328</v>
      </c>
      <c r="K139" s="423">
        <v>0.1585198854611842</v>
      </c>
      <c r="L139" s="423">
        <v>0.11768926060799692</v>
      </c>
      <c r="M139" s="423">
        <v>0.1940860143462366</v>
      </c>
      <c r="N139" s="423">
        <v>0.15748792515582877</v>
      </c>
      <c r="O139" s="423">
        <v>0.175413639101308</v>
      </c>
      <c r="P139" s="423">
        <v>0.2028526014499612</v>
      </c>
      <c r="Q139" s="423">
        <v>0.1873933391188938</v>
      </c>
      <c r="R139" s="423">
        <v>0.13668839518659467</v>
      </c>
      <c r="S139" s="423">
        <v>0.11845578066088162</v>
      </c>
      <c r="T139" s="423">
        <v>0.17627037258519782</v>
      </c>
      <c r="U139" s="423">
        <v>0.16818939269796454</v>
      </c>
      <c r="V139" s="423">
        <v>0.20957850494422192</v>
      </c>
      <c r="W139" s="423">
        <v>0.19513086668820137</v>
      </c>
      <c r="X139" s="422">
        <v>0.18167819277835506</v>
      </c>
      <c r="Y139" s="422">
        <v>0.1220952379768159</v>
      </c>
      <c r="Z139" s="422">
        <v>0.1765800826688339</v>
      </c>
      <c r="AA139" s="422">
        <v>0.19532846183803379</v>
      </c>
      <c r="AB139" s="422">
        <v>0.17883140896534805</v>
      </c>
      <c r="AC139" s="422">
        <v>0.19425421324136607</v>
      </c>
      <c r="AD139" s="422">
        <v>0.20395831779158688</v>
      </c>
      <c r="AE139" s="422">
        <v>0.19167309229937959</v>
      </c>
      <c r="AF139" s="422">
        <v>0.19063698745270688</v>
      </c>
      <c r="AG139" s="422">
        <v>0.17951988529059865</v>
      </c>
      <c r="AH139" s="422"/>
      <c r="AI139" s="14">
        <f>AVERAGE(D139:AE139)</f>
        <v>0.17812332621729823</v>
      </c>
    </row>
    <row r="140" spans="2:35" x14ac:dyDescent="0.25">
      <c r="B140" s="5" t="s">
        <v>35</v>
      </c>
      <c r="C140" s="1" t="s">
        <v>0</v>
      </c>
      <c r="D140" s="425">
        <v>0.18802948435728103</v>
      </c>
      <c r="E140" s="423">
        <v>0.19490861183376693</v>
      </c>
      <c r="F140" s="425">
        <v>0.17864885598025482</v>
      </c>
      <c r="G140" s="425">
        <v>0.17031051964512042</v>
      </c>
      <c r="H140" s="425">
        <v>0.19428323660863187</v>
      </c>
      <c r="I140" s="425">
        <v>0.18719565072376759</v>
      </c>
      <c r="J140" s="425">
        <v>0.1682259355613368</v>
      </c>
      <c r="K140" s="425">
        <v>0.14300246814755521</v>
      </c>
      <c r="L140" s="425">
        <v>0.11611133346674672</v>
      </c>
      <c r="M140" s="425">
        <v>0.18427723300647056</v>
      </c>
      <c r="N140" s="425">
        <v>0.14925622039890601</v>
      </c>
      <c r="O140" s="425">
        <v>0.16947668601160698</v>
      </c>
      <c r="P140" s="425">
        <v>0.18948869321592957</v>
      </c>
      <c r="Q140" s="425">
        <v>0.17906577279701155</v>
      </c>
      <c r="R140" s="425">
        <v>0.13320492295377226</v>
      </c>
      <c r="S140" s="425">
        <v>0.11173370689080116</v>
      </c>
      <c r="T140" s="425">
        <v>0.16113834967647256</v>
      </c>
      <c r="U140" s="425">
        <v>0.1571776399172837</v>
      </c>
      <c r="V140" s="425">
        <v>0.19949469681809087</v>
      </c>
      <c r="W140" s="425">
        <v>0.18281802414782203</v>
      </c>
      <c r="X140" s="421">
        <v>0.17114435327863387</v>
      </c>
      <c r="Y140" s="421">
        <v>0.11652825028350344</v>
      </c>
      <c r="Z140" s="421">
        <v>0.16926822760322863</v>
      </c>
      <c r="AA140" s="421">
        <v>0.18469414982322729</v>
      </c>
      <c r="AB140" s="421">
        <v>0.16760056033620174</v>
      </c>
      <c r="AC140" s="421">
        <v>0.17114435327863387</v>
      </c>
      <c r="AD140" s="421">
        <v>0.19219865252484825</v>
      </c>
      <c r="AE140" s="421">
        <v>0.18302648255620041</v>
      </c>
      <c r="AF140" s="421">
        <v>0.18010806483890335</v>
      </c>
      <c r="AG140" s="421">
        <v>0.17072743646187713</v>
      </c>
      <c r="AH140" s="421"/>
      <c r="AI140" s="14">
        <f>AVERAGE(D140:AE140)</f>
        <v>0.16833760970868236</v>
      </c>
    </row>
    <row r="141" spans="2:35" ht="15.75" x14ac:dyDescent="0.25">
      <c r="B141" s="5" t="s">
        <v>113</v>
      </c>
      <c r="C141" s="1"/>
      <c r="D141" s="425">
        <v>1.1221681089101737E-2</v>
      </c>
      <c r="E141" s="425">
        <v>8.3019106062593717E-3</v>
      </c>
      <c r="F141" s="425">
        <v>9.2854548487131539E-3</v>
      </c>
      <c r="G141" s="425">
        <v>7.9751555141811536E-3</v>
      </c>
      <c r="H141" s="425">
        <v>8.4170877361049445E-3</v>
      </c>
      <c r="I141" s="425">
        <v>8.576444272442918E-3</v>
      </c>
      <c r="J141" s="425">
        <v>9.9181197431964796E-3</v>
      </c>
      <c r="K141" s="425">
        <v>1.5517417313628989E-2</v>
      </c>
      <c r="L141" s="425">
        <v>1.5779271412501988E-3</v>
      </c>
      <c r="M141" s="425">
        <v>1.2190519149497508E-2</v>
      </c>
      <c r="N141" s="425">
        <v>8.2317047569227531E-3</v>
      </c>
      <c r="O141" s="425">
        <v>5.9369530897010192E-3</v>
      </c>
      <c r="P141" s="425">
        <v>1.3363908234031635E-2</v>
      </c>
      <c r="Q141" s="425">
        <v>8.3275663218822515E-3</v>
      </c>
      <c r="R141" s="425">
        <v>3.4834722328224155E-3</v>
      </c>
      <c r="S141" s="425">
        <v>6.7220737700804667E-3</v>
      </c>
      <c r="T141" s="425">
        <v>1.5132022908725257E-2</v>
      </c>
      <c r="U141" s="425">
        <v>1.1011752780680839E-2</v>
      </c>
      <c r="V141" s="425">
        <v>1.008380812613105E-2</v>
      </c>
      <c r="W141" s="425">
        <v>1.2312842540379343E-2</v>
      </c>
      <c r="X141" s="425">
        <v>1.0533839499721198E-2</v>
      </c>
      <c r="Y141" s="425">
        <v>5.5669876933124585E-3</v>
      </c>
      <c r="Z141" s="425">
        <v>7.3118550656052772E-3</v>
      </c>
      <c r="AA141" s="425">
        <v>1.0634312014806496E-2</v>
      </c>
      <c r="AB141" s="425">
        <v>1.1230848629146306E-2</v>
      </c>
      <c r="AC141" s="425">
        <v>2.310985996273221E-2</v>
      </c>
      <c r="AD141" s="425">
        <v>1.1759665266738634E-2</v>
      </c>
      <c r="AE141" s="425">
        <v>8.6466097431791844E-3</v>
      </c>
      <c r="AF141" s="421">
        <v>1.0528922613803532E-2</v>
      </c>
      <c r="AG141" s="421">
        <v>8.7924488287215163E-3</v>
      </c>
      <c r="AH141" s="421"/>
      <c r="AI141" s="49">
        <f>AVERAGEIF(D141:AE141,"&gt;0")</f>
        <v>9.870778573249115E-3</v>
      </c>
    </row>
    <row r="142" spans="2:35" ht="15.75" x14ac:dyDescent="0.25">
      <c r="B142" s="5" t="s">
        <v>112</v>
      </c>
      <c r="C142" s="1"/>
      <c r="D142" s="422">
        <v>0.69854006662445767</v>
      </c>
      <c r="E142" s="422">
        <v>0.7066173238686414</v>
      </c>
      <c r="F142" s="422">
        <v>0.7126231993294998</v>
      </c>
      <c r="G142" s="422">
        <v>0.71747112753208209</v>
      </c>
      <c r="H142" s="422">
        <v>0.70435010250863506</v>
      </c>
      <c r="I142" s="422">
        <v>0.70974654302850271</v>
      </c>
      <c r="J142" s="422">
        <v>0.69692116974982676</v>
      </c>
      <c r="K142" s="422">
        <v>0.67961569020620305</v>
      </c>
      <c r="L142" s="422">
        <v>0.74231215161195285</v>
      </c>
      <c r="M142" s="422">
        <v>0.70123873348345123</v>
      </c>
      <c r="N142" s="422">
        <v>0.70346662615496436</v>
      </c>
      <c r="O142" s="422">
        <v>0.71949392535612922</v>
      </c>
      <c r="P142" s="422">
        <v>0.69180857631738912</v>
      </c>
      <c r="Q142" s="422">
        <v>0.70736956728617373</v>
      </c>
      <c r="R142" s="422">
        <v>0.72035525628274377</v>
      </c>
      <c r="S142" s="422">
        <v>0.6984543040965322</v>
      </c>
      <c r="T142" s="422">
        <v>0.67712349937122485</v>
      </c>
      <c r="U142" s="422">
        <v>0.6970886635420882</v>
      </c>
      <c r="V142" s="422">
        <v>0.69735938892013494</v>
      </c>
      <c r="W142" s="422">
        <v>0.68717786976693762</v>
      </c>
      <c r="X142" s="422">
        <v>0.68931271983562104</v>
      </c>
      <c r="Y142" s="422">
        <v>0.72063605651926399</v>
      </c>
      <c r="Z142" s="422">
        <v>0.71507423102638623</v>
      </c>
      <c r="AA142" s="422">
        <v>0.70048843797278881</v>
      </c>
      <c r="AB142" s="422">
        <v>0.69079491729930509</v>
      </c>
      <c r="AC142" s="422">
        <v>0.64607156721945658</v>
      </c>
      <c r="AD142" s="422">
        <v>0.69409852726882149</v>
      </c>
      <c r="AE142" s="422">
        <v>0.70196181786739487</v>
      </c>
      <c r="AF142" s="421">
        <v>0.69759871359702941</v>
      </c>
      <c r="AG142" s="421">
        <v>0.71864161913170876</v>
      </c>
      <c r="AH142" s="421"/>
      <c r="AI142" s="49">
        <f>AVERAGEIF(D142:AE142,"&gt;0")</f>
        <v>0.70098471643023619</v>
      </c>
    </row>
    <row r="143" spans="2:35" x14ac:dyDescent="0.25">
      <c r="B143" s="5" t="s">
        <v>109</v>
      </c>
      <c r="C143" s="1" t="s">
        <v>59</v>
      </c>
      <c r="D143" s="420">
        <v>9558.3175078615168</v>
      </c>
      <c r="E143" s="420">
        <v>9748.2526140749887</v>
      </c>
      <c r="F143" s="420">
        <v>9015.4344116385873</v>
      </c>
      <c r="G143" s="420">
        <v>8552.5777802018874</v>
      </c>
      <c r="H143" s="420">
        <v>9723.7777992062383</v>
      </c>
      <c r="I143" s="420">
        <v>9391.422323482213</v>
      </c>
      <c r="J143" s="420">
        <v>8545.7841058248268</v>
      </c>
      <c r="K143" s="420">
        <v>7604.3891294355599</v>
      </c>
      <c r="L143" s="420">
        <v>5645.6950584783417</v>
      </c>
      <c r="M143" s="420">
        <v>9424.7938322243754</v>
      </c>
      <c r="N143" s="420">
        <v>7554.8847552352927</v>
      </c>
      <c r="O143" s="420">
        <v>8414.802764056667</v>
      </c>
      <c r="P143" s="420">
        <v>9731.0827146763786</v>
      </c>
      <c r="Q143" s="420">
        <v>8989.4833495402781</v>
      </c>
      <c r="R143" s="420">
        <v>6557.1063431751709</v>
      </c>
      <c r="S143" s="420">
        <v>5682.4659452392843</v>
      </c>
      <c r="T143" s="420">
        <v>8455.9012973590397</v>
      </c>
      <c r="U143" s="420">
        <v>8068.2469949925962</v>
      </c>
      <c r="V143" s="420">
        <v>10053.73237638026</v>
      </c>
      <c r="W143" s="420">
        <v>9360.6618320730449</v>
      </c>
      <c r="X143" s="420">
        <v>8715.3209214090257</v>
      </c>
      <c r="Y143" s="420">
        <v>5857.0550800334304</v>
      </c>
      <c r="Z143" s="420">
        <v>8470.7584617231641</v>
      </c>
      <c r="AA143" s="420">
        <v>9370.1407085246865</v>
      </c>
      <c r="AB143" s="420">
        <v>8578.7572857585037</v>
      </c>
      <c r="AC143" s="420">
        <v>9318.6077142442191</v>
      </c>
      <c r="AD143" s="420">
        <v>9784.1252544437721</v>
      </c>
      <c r="AE143" s="420">
        <v>9194.7882453119983</v>
      </c>
      <c r="AF143" s="420">
        <v>9145.085052491293</v>
      </c>
      <c r="AG143" s="420">
        <v>8611.7843212523658</v>
      </c>
      <c r="AH143" s="420"/>
      <c r="AI143" s="3">
        <f t="shared" ref="AI143" si="28">SUM(D143:AH143)</f>
        <v>257125.23598034901</v>
      </c>
    </row>
    <row r="144" spans="2:35" x14ac:dyDescent="0.25">
      <c r="B144" s="5" t="s">
        <v>213</v>
      </c>
      <c r="C144" s="1"/>
      <c r="D144" s="235">
        <v>33.549999999999997</v>
      </c>
      <c r="E144" s="235">
        <v>34.5</v>
      </c>
      <c r="F144" s="235">
        <v>31</v>
      </c>
      <c r="G144" s="235">
        <v>30.62</v>
      </c>
      <c r="H144" s="235">
        <v>35</v>
      </c>
      <c r="I144" s="235">
        <v>33</v>
      </c>
      <c r="J144" s="235">
        <v>34.15</v>
      </c>
      <c r="K144" s="235">
        <v>30</v>
      </c>
      <c r="L144" s="235">
        <v>30.26</v>
      </c>
      <c r="M144" s="226">
        <v>31.55</v>
      </c>
      <c r="N144" s="225">
        <v>33</v>
      </c>
      <c r="O144" s="225">
        <v>32.341848306551157</v>
      </c>
      <c r="P144" s="225">
        <v>33.450000000000003</v>
      </c>
      <c r="Q144" s="225">
        <v>33.54</v>
      </c>
      <c r="R144" s="226">
        <v>33.83</v>
      </c>
      <c r="S144" s="226">
        <v>33.483727834587377</v>
      </c>
      <c r="T144" s="227">
        <v>33.42</v>
      </c>
      <c r="U144" s="228">
        <v>32.01</v>
      </c>
      <c r="V144" s="228">
        <v>35.61</v>
      </c>
      <c r="W144" s="228">
        <v>35.380000000000003</v>
      </c>
      <c r="X144" s="228">
        <v>35.84493625574747</v>
      </c>
      <c r="Y144" s="228">
        <v>29.54</v>
      </c>
      <c r="Z144" s="228">
        <v>32</v>
      </c>
      <c r="AA144" s="228">
        <v>33.39</v>
      </c>
      <c r="AB144" s="225">
        <v>34.4</v>
      </c>
      <c r="AC144" s="225">
        <v>35.42</v>
      </c>
      <c r="AD144" s="226">
        <v>34.54</v>
      </c>
      <c r="AE144" s="226">
        <v>34.93</v>
      </c>
      <c r="AF144" s="226">
        <v>34.049999999999997</v>
      </c>
      <c r="AG144" s="226">
        <v>33.381029455832532</v>
      </c>
      <c r="AH144" s="226"/>
      <c r="AI144" s="13">
        <f>AVERAGE(D144:AE144)</f>
        <v>33.205732585603059</v>
      </c>
    </row>
    <row r="145" spans="1:36" ht="15" customHeight="1" x14ac:dyDescent="0.25">
      <c r="B145" s="219" t="s">
        <v>100</v>
      </c>
      <c r="C145" s="1" t="s">
        <v>59</v>
      </c>
      <c r="D145" s="222">
        <v>442</v>
      </c>
      <c r="E145" s="222">
        <v>272</v>
      </c>
      <c r="F145" s="222">
        <v>349</v>
      </c>
      <c r="G145" s="222">
        <v>287</v>
      </c>
      <c r="H145" s="222">
        <v>308</v>
      </c>
      <c r="I145" s="222">
        <v>315</v>
      </c>
      <c r="J145" s="222">
        <v>380</v>
      </c>
      <c r="K145" s="222">
        <v>525</v>
      </c>
      <c r="L145" s="222"/>
      <c r="M145" s="222">
        <v>375</v>
      </c>
      <c r="N145" s="222">
        <v>299</v>
      </c>
      <c r="O145" s="222">
        <v>189</v>
      </c>
      <c r="P145" s="222">
        <v>307</v>
      </c>
      <c r="Q145" s="222">
        <v>304</v>
      </c>
      <c r="R145" s="222">
        <v>71</v>
      </c>
      <c r="S145" s="222">
        <v>227</v>
      </c>
      <c r="T145" s="222">
        <v>580</v>
      </c>
      <c r="U145" s="222">
        <v>432</v>
      </c>
      <c r="V145" s="222">
        <v>388</v>
      </c>
      <c r="W145" s="222">
        <v>495</v>
      </c>
      <c r="X145" s="222">
        <v>409</v>
      </c>
      <c r="Y145" s="222">
        <v>171</v>
      </c>
      <c r="Z145" s="222">
        <v>255</v>
      </c>
      <c r="AA145" s="222">
        <v>414</v>
      </c>
      <c r="AB145" s="222">
        <v>443</v>
      </c>
      <c r="AC145" s="222">
        <v>325</v>
      </c>
      <c r="AD145" s="222">
        <v>468</v>
      </c>
      <c r="AE145" s="222">
        <v>319</v>
      </c>
      <c r="AF145" s="222">
        <v>308</v>
      </c>
      <c r="AG145" s="222">
        <v>326</v>
      </c>
      <c r="AH145" s="222"/>
      <c r="AI145" s="13">
        <f t="shared" ref="AI145:AI150" si="29">SUM(D145:AH145)</f>
        <v>9983</v>
      </c>
    </row>
    <row r="146" spans="1:36" ht="15" customHeight="1" x14ac:dyDescent="0.25">
      <c r="B146" s="219" t="s">
        <v>101</v>
      </c>
      <c r="C146" s="1" t="s">
        <v>59</v>
      </c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  <c r="AF146" s="222"/>
      <c r="AG146" s="222"/>
      <c r="AH146" s="222"/>
      <c r="AI146" s="13">
        <f t="shared" si="29"/>
        <v>0</v>
      </c>
    </row>
    <row r="147" spans="1:36" ht="15" customHeight="1" x14ac:dyDescent="0.25">
      <c r="B147" s="219" t="s">
        <v>102</v>
      </c>
      <c r="C147" s="1" t="s">
        <v>59</v>
      </c>
      <c r="D147" s="222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>
        <v>0</v>
      </c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  <c r="AF147" s="222"/>
      <c r="AG147" s="222"/>
      <c r="AH147" s="222"/>
      <c r="AI147" s="13">
        <f t="shared" si="29"/>
        <v>0</v>
      </c>
    </row>
    <row r="148" spans="1:36" ht="15" customHeight="1" x14ac:dyDescent="0.25">
      <c r="B148" s="219" t="s">
        <v>103</v>
      </c>
      <c r="C148" s="1" t="s">
        <v>59</v>
      </c>
      <c r="D148" s="222"/>
      <c r="E148" s="222">
        <v>30</v>
      </c>
      <c r="F148" s="222"/>
      <c r="G148" s="222"/>
      <c r="H148" s="222"/>
      <c r="I148" s="222"/>
      <c r="J148" s="222"/>
      <c r="K148" s="222">
        <v>123</v>
      </c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  <c r="AF148" s="222"/>
      <c r="AG148" s="222"/>
      <c r="AH148" s="222"/>
      <c r="AI148" s="13">
        <f t="shared" si="29"/>
        <v>153</v>
      </c>
      <c r="AJ148" s="301">
        <f>AI148+AI149</f>
        <v>1229</v>
      </c>
    </row>
    <row r="149" spans="1:36" x14ac:dyDescent="0.25">
      <c r="B149" s="5" t="s">
        <v>218</v>
      </c>
      <c r="C149" s="1" t="s">
        <v>59</v>
      </c>
      <c r="D149" s="222"/>
      <c r="E149" s="222"/>
      <c r="F149" s="222"/>
      <c r="G149" s="222"/>
      <c r="H149" s="222"/>
      <c r="I149" s="222"/>
      <c r="J149" s="222"/>
      <c r="K149" s="222"/>
      <c r="L149" s="222"/>
      <c r="M149" s="222"/>
      <c r="N149" s="222"/>
      <c r="O149" s="222"/>
      <c r="P149" s="222">
        <v>238</v>
      </c>
      <c r="Q149" s="222"/>
      <c r="R149" s="222"/>
      <c r="S149" s="222"/>
      <c r="T149" s="222">
        <v>49</v>
      </c>
      <c r="U149" s="222"/>
      <c r="V149" s="222"/>
      <c r="W149" s="222"/>
      <c r="X149" s="222"/>
      <c r="Y149" s="222"/>
      <c r="Z149" s="222"/>
      <c r="AA149" s="222"/>
      <c r="AB149" s="222"/>
      <c r="AC149" s="222">
        <v>688</v>
      </c>
      <c r="AD149" s="222"/>
      <c r="AE149" s="222"/>
      <c r="AF149" s="222">
        <v>101</v>
      </c>
      <c r="AG149" s="222"/>
      <c r="AH149" s="222"/>
      <c r="AI149" s="13">
        <f t="shared" si="29"/>
        <v>1076</v>
      </c>
    </row>
    <row r="150" spans="1:36" x14ac:dyDescent="0.25">
      <c r="B150" s="220" t="s">
        <v>86</v>
      </c>
      <c r="C150" s="1" t="s">
        <v>59</v>
      </c>
      <c r="D150" s="222">
        <f t="shared" ref="D150:I150" si="30">+SUM(D145:D149)</f>
        <v>442</v>
      </c>
      <c r="E150" s="222">
        <f t="shared" si="30"/>
        <v>302</v>
      </c>
      <c r="F150" s="222">
        <f t="shared" si="30"/>
        <v>349</v>
      </c>
      <c r="G150" s="222">
        <f t="shared" si="30"/>
        <v>287</v>
      </c>
      <c r="H150" s="222">
        <f t="shared" si="30"/>
        <v>308</v>
      </c>
      <c r="I150" s="222">
        <f t="shared" si="30"/>
        <v>315</v>
      </c>
      <c r="J150" s="222">
        <f t="shared" ref="J150:K150" si="31">+SUM(J145:J149)</f>
        <v>380</v>
      </c>
      <c r="K150" s="222">
        <f t="shared" si="31"/>
        <v>648</v>
      </c>
      <c r="L150" s="222">
        <f t="shared" ref="L150:AH150" si="32">+SUM(L145:L149)</f>
        <v>0</v>
      </c>
      <c r="M150" s="222">
        <f t="shared" si="32"/>
        <v>375</v>
      </c>
      <c r="N150" s="222">
        <f t="shared" si="32"/>
        <v>299</v>
      </c>
      <c r="O150" s="222">
        <f t="shared" si="32"/>
        <v>189</v>
      </c>
      <c r="P150" s="222">
        <f t="shared" si="32"/>
        <v>545</v>
      </c>
      <c r="Q150" s="222">
        <f t="shared" si="32"/>
        <v>304</v>
      </c>
      <c r="R150" s="222">
        <f t="shared" si="32"/>
        <v>71</v>
      </c>
      <c r="S150" s="222">
        <f t="shared" si="32"/>
        <v>227</v>
      </c>
      <c r="T150" s="222">
        <f t="shared" si="32"/>
        <v>629</v>
      </c>
      <c r="U150" s="222">
        <f t="shared" si="32"/>
        <v>432</v>
      </c>
      <c r="V150" s="222">
        <f t="shared" si="32"/>
        <v>388</v>
      </c>
      <c r="W150" s="222">
        <f t="shared" si="32"/>
        <v>495</v>
      </c>
      <c r="X150" s="222">
        <f t="shared" si="32"/>
        <v>409</v>
      </c>
      <c r="Y150" s="222">
        <f t="shared" si="32"/>
        <v>171</v>
      </c>
      <c r="Z150" s="222">
        <f t="shared" si="32"/>
        <v>255</v>
      </c>
      <c r="AA150" s="222">
        <f t="shared" si="32"/>
        <v>414</v>
      </c>
      <c r="AB150" s="222">
        <f t="shared" si="32"/>
        <v>443</v>
      </c>
      <c r="AC150" s="222">
        <f t="shared" si="32"/>
        <v>1013</v>
      </c>
      <c r="AD150" s="222">
        <f t="shared" si="32"/>
        <v>468</v>
      </c>
      <c r="AE150" s="222">
        <f t="shared" si="32"/>
        <v>319</v>
      </c>
      <c r="AF150" s="222">
        <f t="shared" si="32"/>
        <v>409</v>
      </c>
      <c r="AG150" s="222">
        <f t="shared" si="32"/>
        <v>326</v>
      </c>
      <c r="AH150" s="222">
        <f t="shared" si="32"/>
        <v>0</v>
      </c>
      <c r="AI150" s="13">
        <f t="shared" si="29"/>
        <v>11212</v>
      </c>
    </row>
    <row r="151" spans="1:36" x14ac:dyDescent="0.25">
      <c r="B151" s="220" t="s">
        <v>86</v>
      </c>
      <c r="C151" s="1" t="s">
        <v>59</v>
      </c>
      <c r="D151" s="423">
        <f t="shared" ref="D151:I151" si="33">+D150/1999.8/24</f>
        <v>9.2092542587592103E-3</v>
      </c>
      <c r="E151" s="423">
        <f t="shared" si="33"/>
        <v>6.2922958962562921E-3</v>
      </c>
      <c r="F151" s="423">
        <f t="shared" si="33"/>
        <v>7.2715604893822715E-3</v>
      </c>
      <c r="G151" s="423">
        <f t="shared" si="33"/>
        <v>5.9797646431309802E-3</v>
      </c>
      <c r="H151" s="423">
        <f t="shared" si="33"/>
        <v>6.4173083975064176E-3</v>
      </c>
      <c r="I151" s="423">
        <f t="shared" si="33"/>
        <v>6.5631563156315631E-3</v>
      </c>
      <c r="J151" s="423">
        <f>+J150/1999.8/24</f>
        <v>7.9174584125079172E-3</v>
      </c>
      <c r="K151" s="423">
        <f t="shared" ref="K151:AH151" si="34">+K150/1999.8/24</f>
        <v>1.3501350135013503E-2</v>
      </c>
      <c r="L151" s="423">
        <f t="shared" si="34"/>
        <v>0</v>
      </c>
      <c r="M151" s="423">
        <f t="shared" si="34"/>
        <v>7.8132813281328126E-3</v>
      </c>
      <c r="N151" s="423">
        <f t="shared" si="34"/>
        <v>6.2297896456312294E-3</v>
      </c>
      <c r="O151" s="423">
        <f t="shared" si="34"/>
        <v>3.9378937893789377E-3</v>
      </c>
      <c r="P151" s="423">
        <f t="shared" si="34"/>
        <v>1.1355302196886354E-2</v>
      </c>
      <c r="Q151" s="423">
        <f t="shared" si="34"/>
        <v>6.3339667300063339E-3</v>
      </c>
      <c r="R151" s="423">
        <f t="shared" si="34"/>
        <v>1.4793145981264794E-3</v>
      </c>
      <c r="S151" s="423">
        <f t="shared" si="34"/>
        <v>4.7296396306297298E-3</v>
      </c>
      <c r="T151" s="423">
        <f t="shared" si="34"/>
        <v>1.3105477214388107E-2</v>
      </c>
      <c r="U151" s="423">
        <f t="shared" si="34"/>
        <v>9.0009000900090012E-3</v>
      </c>
      <c r="V151" s="423">
        <f t="shared" si="34"/>
        <v>8.0841417475080845E-3</v>
      </c>
      <c r="W151" s="423">
        <f t="shared" si="34"/>
        <v>1.0313531353135313E-2</v>
      </c>
      <c r="X151" s="423">
        <f t="shared" si="34"/>
        <v>8.5216855018835219E-3</v>
      </c>
      <c r="Y151" s="423">
        <f t="shared" si="34"/>
        <v>3.5628562856285626E-3</v>
      </c>
      <c r="Z151" s="423">
        <f t="shared" si="34"/>
        <v>5.3130313031303127E-3</v>
      </c>
      <c r="AA151" s="423">
        <f t="shared" si="34"/>
        <v>8.6258625862586265E-3</v>
      </c>
      <c r="AB151" s="423">
        <f t="shared" si="34"/>
        <v>9.2300896756342312E-3</v>
      </c>
      <c r="AC151" s="423">
        <f t="shared" si="34"/>
        <v>2.1106277294396108E-2</v>
      </c>
      <c r="AD151" s="423">
        <f t="shared" si="34"/>
        <v>9.7509750975097505E-3</v>
      </c>
      <c r="AE151" s="423">
        <f t="shared" si="34"/>
        <v>6.6464979831316467E-3</v>
      </c>
      <c r="AF151" s="423">
        <f t="shared" si="34"/>
        <v>8.5216855018835219E-3</v>
      </c>
      <c r="AG151" s="423">
        <f t="shared" si="34"/>
        <v>6.7923459012567923E-3</v>
      </c>
      <c r="AH151" s="423">
        <f t="shared" si="34"/>
        <v>0</v>
      </c>
      <c r="AI151" s="13">
        <f>AVERAGE(D151:AE151)</f>
        <v>7.7961665214140458E-3</v>
      </c>
    </row>
    <row r="152" spans="1:36" x14ac:dyDescent="0.25">
      <c r="B152" s="5" t="s">
        <v>116</v>
      </c>
      <c r="C152" s="1" t="s">
        <v>60</v>
      </c>
      <c r="D152" s="423">
        <f t="shared" ref="D152:AH152" si="35">+D139-D140-D151</f>
        <v>2.0124268303425268E-3</v>
      </c>
      <c r="E152" s="423">
        <f t="shared" si="35"/>
        <v>2.0096147100030796E-3</v>
      </c>
      <c r="F152" s="423">
        <f t="shared" si="35"/>
        <v>2.0138943593308823E-3</v>
      </c>
      <c r="G152" s="423">
        <f t="shared" si="35"/>
        <v>1.9953908710501735E-3</v>
      </c>
      <c r="H152" s="423">
        <f t="shared" si="35"/>
        <v>1.999779338598527E-3</v>
      </c>
      <c r="I152" s="423">
        <f t="shared" si="35"/>
        <v>2.0132879568113549E-3</v>
      </c>
      <c r="J152" s="423">
        <f t="shared" si="35"/>
        <v>2.0006613306885624E-3</v>
      </c>
      <c r="K152" s="423">
        <f t="shared" si="35"/>
        <v>2.0160671786154868E-3</v>
      </c>
      <c r="L152" s="423">
        <f t="shared" si="35"/>
        <v>1.5779271412501988E-3</v>
      </c>
      <c r="M152" s="423">
        <f t="shared" si="35"/>
        <v>1.9955000116332246E-3</v>
      </c>
      <c r="N152" s="423">
        <f t="shared" si="35"/>
        <v>2.0019151112915237E-3</v>
      </c>
      <c r="O152" s="423">
        <f t="shared" si="35"/>
        <v>1.9990593003220815E-3</v>
      </c>
      <c r="P152" s="423">
        <f t="shared" si="35"/>
        <v>2.0086060371452812E-3</v>
      </c>
      <c r="Q152" s="423">
        <f t="shared" si="35"/>
        <v>1.9935995918759176E-3</v>
      </c>
      <c r="R152" s="423">
        <f t="shared" si="35"/>
        <v>2.0041576346959359E-3</v>
      </c>
      <c r="S152" s="423">
        <f t="shared" si="35"/>
        <v>1.9924341394507369E-3</v>
      </c>
      <c r="T152" s="423">
        <f t="shared" si="35"/>
        <v>2.0265456943371497E-3</v>
      </c>
      <c r="U152" s="423">
        <f t="shared" si="35"/>
        <v>2.0108526906718379E-3</v>
      </c>
      <c r="V152" s="423">
        <f t="shared" si="35"/>
        <v>1.9996663786229652E-3</v>
      </c>
      <c r="W152" s="423">
        <f t="shared" si="35"/>
        <v>1.9993111872440295E-3</v>
      </c>
      <c r="X152" s="423">
        <f t="shared" si="35"/>
        <v>2.0121539978376762E-3</v>
      </c>
      <c r="Y152" s="423">
        <f t="shared" si="35"/>
        <v>2.0041314076838959E-3</v>
      </c>
      <c r="Z152" s="423">
        <f t="shared" si="35"/>
        <v>1.9988237624749645E-3</v>
      </c>
      <c r="AA152" s="423">
        <f t="shared" si="35"/>
        <v>2.0084494285478698E-3</v>
      </c>
      <c r="AB152" s="423">
        <f t="shared" si="35"/>
        <v>2.0007589535120749E-3</v>
      </c>
      <c r="AC152" s="423">
        <f t="shared" si="35"/>
        <v>2.003582668336102E-3</v>
      </c>
      <c r="AD152" s="423">
        <f t="shared" si="35"/>
        <v>2.0086901692288831E-3</v>
      </c>
      <c r="AE152" s="423">
        <f t="shared" si="35"/>
        <v>2.0001117600475377E-3</v>
      </c>
      <c r="AF152" s="423">
        <f t="shared" si="35"/>
        <v>2.00723711192001E-3</v>
      </c>
      <c r="AG152" s="423">
        <f t="shared" si="35"/>
        <v>2.0001029274647241E-3</v>
      </c>
      <c r="AH152" s="423">
        <f t="shared" si="35"/>
        <v>0</v>
      </c>
      <c r="AI152" s="224">
        <f>AVERAGE(D152:AE152)</f>
        <v>1.9895499872018027E-3</v>
      </c>
    </row>
    <row r="153" spans="1:36" x14ac:dyDescent="0.25">
      <c r="A153" t="s">
        <v>229</v>
      </c>
      <c r="B153" s="652" t="s">
        <v>227</v>
      </c>
      <c r="C153" s="653"/>
      <c r="D153" s="653"/>
      <c r="E153" s="653"/>
      <c r="F153" s="653"/>
      <c r="G153" s="653"/>
      <c r="H153" s="653"/>
      <c r="I153" s="653"/>
      <c r="J153" s="653"/>
      <c r="K153" s="653"/>
      <c r="L153" s="653"/>
      <c r="M153" s="653"/>
      <c r="N153" s="653"/>
      <c r="O153" s="653"/>
      <c r="P153" s="653"/>
      <c r="Q153" s="653"/>
      <c r="R153" s="653"/>
      <c r="S153" s="653"/>
      <c r="T153" s="653"/>
      <c r="U153" s="653"/>
      <c r="V153" s="653"/>
      <c r="W153" s="653"/>
      <c r="X153" s="653"/>
      <c r="Y153" s="653"/>
      <c r="Z153" s="653"/>
      <c r="AA153" s="653"/>
      <c r="AB153" s="653"/>
      <c r="AC153" s="653"/>
      <c r="AD153" s="653"/>
      <c r="AE153" s="653"/>
      <c r="AF153" s="653"/>
      <c r="AG153" s="653"/>
      <c r="AH153" s="653"/>
      <c r="AI153" s="654"/>
    </row>
    <row r="154" spans="1:36" x14ac:dyDescent="0.25">
      <c r="B154" s="1" t="s">
        <v>2</v>
      </c>
      <c r="C154" s="1" t="s">
        <v>3</v>
      </c>
      <c r="D154" s="187">
        <v>1</v>
      </c>
      <c r="E154" s="187">
        <v>2</v>
      </c>
      <c r="F154" s="187">
        <v>3</v>
      </c>
      <c r="G154" s="187">
        <v>4</v>
      </c>
      <c r="H154" s="187">
        <v>5</v>
      </c>
      <c r="I154" s="187">
        <v>6</v>
      </c>
      <c r="J154" s="187">
        <v>7</v>
      </c>
      <c r="K154" s="187">
        <v>8</v>
      </c>
      <c r="L154" s="187">
        <v>9</v>
      </c>
      <c r="M154" s="187">
        <v>10</v>
      </c>
      <c r="N154" s="187">
        <v>11</v>
      </c>
      <c r="O154" s="187">
        <v>12</v>
      </c>
      <c r="P154" s="187">
        <v>13</v>
      </c>
      <c r="Q154" s="187">
        <v>14</v>
      </c>
      <c r="R154" s="187">
        <v>15</v>
      </c>
      <c r="S154" s="187">
        <v>16</v>
      </c>
      <c r="T154" s="187">
        <v>17</v>
      </c>
      <c r="U154" s="187">
        <v>18</v>
      </c>
      <c r="V154" s="187">
        <v>19</v>
      </c>
      <c r="W154" s="187">
        <v>20</v>
      </c>
      <c r="X154" s="187">
        <v>21</v>
      </c>
      <c r="Y154" s="187">
        <v>22</v>
      </c>
      <c r="Z154" s="187">
        <v>23</v>
      </c>
      <c r="AA154" s="187">
        <v>24</v>
      </c>
      <c r="AB154" s="187">
        <v>25</v>
      </c>
      <c r="AC154" s="187">
        <v>26</v>
      </c>
      <c r="AD154" s="187">
        <v>27</v>
      </c>
      <c r="AE154" s="187">
        <v>28</v>
      </c>
      <c r="AF154" s="187">
        <v>29</v>
      </c>
      <c r="AG154" s="187">
        <v>30</v>
      </c>
      <c r="AH154" s="187">
        <v>31</v>
      </c>
      <c r="AI154" s="187" t="s">
        <v>4</v>
      </c>
    </row>
    <row r="155" spans="1:36" x14ac:dyDescent="0.25">
      <c r="B155" s="1" t="s">
        <v>5</v>
      </c>
      <c r="C155" s="1" t="s">
        <v>6</v>
      </c>
      <c r="D155" s="419">
        <v>326.79998999999998</v>
      </c>
      <c r="E155" s="419">
        <v>335.10001</v>
      </c>
      <c r="F155" s="419">
        <v>322.89999</v>
      </c>
      <c r="G155" s="419">
        <v>325.20001000000002</v>
      </c>
      <c r="H155" s="419">
        <v>266.60001</v>
      </c>
      <c r="I155" s="419">
        <v>241.10001</v>
      </c>
      <c r="J155" s="419">
        <v>281.79998999999998</v>
      </c>
      <c r="K155" s="419">
        <v>333.89999</v>
      </c>
      <c r="L155" s="419">
        <v>339.10001</v>
      </c>
      <c r="M155" s="419">
        <v>328.10001</v>
      </c>
      <c r="N155" s="419">
        <v>316.20001000000002</v>
      </c>
      <c r="O155" s="419">
        <v>299</v>
      </c>
      <c r="P155" s="419">
        <v>311.10001</v>
      </c>
      <c r="Q155" s="419">
        <v>286.5</v>
      </c>
      <c r="R155" s="419">
        <v>267.10001</v>
      </c>
      <c r="S155" s="419">
        <v>219.3</v>
      </c>
      <c r="T155" s="419">
        <v>271.29998999999998</v>
      </c>
      <c r="U155" s="419">
        <v>304.70001000000002</v>
      </c>
      <c r="V155" s="419">
        <v>310.79998999999998</v>
      </c>
      <c r="W155" s="90">
        <v>161.89999</v>
      </c>
      <c r="X155" s="419">
        <v>286.79998999999998</v>
      </c>
      <c r="Y155" s="419">
        <v>290.20001000000002</v>
      </c>
      <c r="Z155" s="419">
        <v>242.2</v>
      </c>
      <c r="AA155" s="419">
        <v>351.79998999999998</v>
      </c>
      <c r="AB155" s="419">
        <v>342.20001000000002</v>
      </c>
      <c r="AC155" s="419">
        <v>318.70001000000002</v>
      </c>
      <c r="AD155" s="419">
        <v>288</v>
      </c>
      <c r="AE155" s="419">
        <v>241.39999</v>
      </c>
      <c r="AF155" s="419">
        <v>202.2</v>
      </c>
      <c r="AG155" s="419">
        <v>239.3</v>
      </c>
      <c r="AH155" s="419"/>
      <c r="AI155" s="3">
        <f>SUM(D155:AH155)</f>
        <v>8651.3000300000022</v>
      </c>
    </row>
    <row r="156" spans="1:36" x14ac:dyDescent="0.25">
      <c r="B156" s="1" t="s">
        <v>7</v>
      </c>
      <c r="C156" s="1" t="s">
        <v>6</v>
      </c>
      <c r="D156" s="419">
        <v>192.89999</v>
      </c>
      <c r="E156" s="419">
        <v>317</v>
      </c>
      <c r="F156" s="419">
        <v>308</v>
      </c>
      <c r="G156" s="419">
        <v>310.10001</v>
      </c>
      <c r="H156" s="419">
        <v>255.2</v>
      </c>
      <c r="I156" s="419">
        <v>229.89999</v>
      </c>
      <c r="J156" s="419">
        <v>250.5</v>
      </c>
      <c r="K156" s="419">
        <v>318.10001</v>
      </c>
      <c r="L156" s="419">
        <v>323.60001</v>
      </c>
      <c r="M156" s="419">
        <v>314.60001</v>
      </c>
      <c r="N156" s="419">
        <v>301.20001000000002</v>
      </c>
      <c r="O156" s="419">
        <v>286.10001</v>
      </c>
      <c r="P156" s="419">
        <v>297.79998999999998</v>
      </c>
      <c r="Q156" s="419">
        <v>214.39999</v>
      </c>
      <c r="R156" s="419">
        <v>136.69999999999999</v>
      </c>
      <c r="S156" s="419">
        <v>207.60001</v>
      </c>
      <c r="T156" s="419">
        <v>260.89999</v>
      </c>
      <c r="U156" s="419">
        <v>289.5</v>
      </c>
      <c r="V156" s="419">
        <v>241.3</v>
      </c>
      <c r="W156" s="419">
        <v>152.5</v>
      </c>
      <c r="X156" s="419">
        <v>141.39999</v>
      </c>
      <c r="Y156" s="419">
        <v>272.79998999999998</v>
      </c>
      <c r="Z156" s="419">
        <v>226.60001</v>
      </c>
      <c r="AA156" s="419">
        <v>337.70001000000002</v>
      </c>
      <c r="AB156" s="419">
        <v>220.7</v>
      </c>
      <c r="AC156" s="419">
        <v>299</v>
      </c>
      <c r="AD156" s="419">
        <v>153.39999</v>
      </c>
      <c r="AE156" s="419">
        <v>230.7</v>
      </c>
      <c r="AF156" s="419">
        <v>190.2</v>
      </c>
      <c r="AG156" s="419">
        <v>205.60001</v>
      </c>
      <c r="AH156" s="419"/>
      <c r="AI156" s="3">
        <f>SUM(D156:AH156)</f>
        <v>7486.0000200000004</v>
      </c>
    </row>
    <row r="157" spans="1:36" x14ac:dyDescent="0.25">
      <c r="B157" s="1" t="s">
        <v>8</v>
      </c>
      <c r="C157" s="1" t="s">
        <v>6</v>
      </c>
      <c r="D157" s="419">
        <v>187.3</v>
      </c>
      <c r="E157" s="419">
        <v>337.39999</v>
      </c>
      <c r="F157" s="419">
        <v>325.60001</v>
      </c>
      <c r="G157" s="419">
        <v>325.60001</v>
      </c>
      <c r="H157" s="419">
        <v>267.39999</v>
      </c>
      <c r="I157" s="419">
        <v>240.7</v>
      </c>
      <c r="J157" s="419">
        <v>256.60001</v>
      </c>
      <c r="K157" s="419">
        <v>334</v>
      </c>
      <c r="L157" s="419">
        <v>339</v>
      </c>
      <c r="M157" s="419">
        <v>329.70001000000002</v>
      </c>
      <c r="N157" s="419">
        <v>315.20001000000002</v>
      </c>
      <c r="O157" s="419">
        <v>298.70001000000002</v>
      </c>
      <c r="P157" s="419">
        <v>312.5</v>
      </c>
      <c r="Q157" s="419">
        <v>218.89999</v>
      </c>
      <c r="R157" s="419">
        <v>140.89999</v>
      </c>
      <c r="S157" s="419">
        <v>221.39999</v>
      </c>
      <c r="T157" s="419">
        <v>276</v>
      </c>
      <c r="U157" s="419">
        <v>312</v>
      </c>
      <c r="V157" s="419">
        <v>249.60001</v>
      </c>
      <c r="W157" s="419">
        <v>159.89999</v>
      </c>
      <c r="X157" s="419">
        <v>143.5</v>
      </c>
      <c r="Y157" s="419">
        <v>290.70001000000002</v>
      </c>
      <c r="Z157" s="419">
        <v>237.3</v>
      </c>
      <c r="AA157" s="419">
        <v>355.79998999999998</v>
      </c>
      <c r="AB157" s="419">
        <v>226.2</v>
      </c>
      <c r="AC157" s="419">
        <v>316.10001</v>
      </c>
      <c r="AD157" s="419">
        <v>156.80000000000001</v>
      </c>
      <c r="AE157" s="419">
        <v>244.5</v>
      </c>
      <c r="AF157" s="419">
        <v>205.10001</v>
      </c>
      <c r="AG157" s="419">
        <v>218.10001</v>
      </c>
      <c r="AH157" s="419"/>
      <c r="AI157" s="3">
        <f>SUM(D157:AH157)</f>
        <v>7842.5000400000008</v>
      </c>
    </row>
    <row r="158" spans="1:36" x14ac:dyDescent="0.25">
      <c r="B158" s="1" t="s">
        <v>9</v>
      </c>
      <c r="C158" s="1" t="s">
        <v>6</v>
      </c>
      <c r="D158" s="419">
        <v>192</v>
      </c>
      <c r="E158" s="419">
        <v>335.20001000000002</v>
      </c>
      <c r="F158" s="419">
        <v>320.79998999999998</v>
      </c>
      <c r="G158" s="419">
        <v>317.39999</v>
      </c>
      <c r="H158" s="419">
        <v>258.39999</v>
      </c>
      <c r="I158" s="419">
        <v>231.60001</v>
      </c>
      <c r="J158" s="419">
        <v>253.89999</v>
      </c>
      <c r="K158" s="419">
        <v>328.39999</v>
      </c>
      <c r="L158" s="419">
        <v>330.89999</v>
      </c>
      <c r="M158" s="419">
        <v>321.89999</v>
      </c>
      <c r="N158" s="419">
        <v>308.70001000000002</v>
      </c>
      <c r="O158" s="419">
        <v>289.79998999999998</v>
      </c>
      <c r="P158" s="419">
        <v>305.5</v>
      </c>
      <c r="Q158" s="419">
        <v>222.3</v>
      </c>
      <c r="R158" s="419">
        <v>139.19999999999999</v>
      </c>
      <c r="S158" s="419">
        <v>213.7</v>
      </c>
      <c r="T158" s="419">
        <v>256</v>
      </c>
      <c r="U158" s="419">
        <v>301.89999</v>
      </c>
      <c r="V158" s="419">
        <v>249.2</v>
      </c>
      <c r="W158" s="419">
        <v>142</v>
      </c>
      <c r="X158" s="419">
        <v>145.30000000000001</v>
      </c>
      <c r="Y158" s="419">
        <v>284.10001</v>
      </c>
      <c r="Z158" s="419">
        <v>225.3</v>
      </c>
      <c r="AA158" s="419">
        <v>331.89999</v>
      </c>
      <c r="AB158" s="419">
        <v>219</v>
      </c>
      <c r="AC158" s="419">
        <v>300.5</v>
      </c>
      <c r="AD158" s="419">
        <v>157.10001</v>
      </c>
      <c r="AE158" s="419">
        <v>230.39999</v>
      </c>
      <c r="AF158" s="419">
        <v>192.60001</v>
      </c>
      <c r="AG158" s="419">
        <v>210.5</v>
      </c>
      <c r="AH158" s="419"/>
      <c r="AI158" s="3">
        <f>SUM(D158:AH158)</f>
        <v>7615.4999499999994</v>
      </c>
    </row>
    <row r="159" spans="1:36" x14ac:dyDescent="0.25">
      <c r="A159" s="345"/>
      <c r="B159" s="1" t="s">
        <v>24</v>
      </c>
      <c r="C159" s="1" t="s">
        <v>6</v>
      </c>
      <c r="D159" s="216">
        <v>898.99998000000005</v>
      </c>
      <c r="E159" s="216">
        <v>1324.70001</v>
      </c>
      <c r="F159" s="216">
        <v>1277.29999</v>
      </c>
      <c r="G159" s="216">
        <v>1278.3000200000001</v>
      </c>
      <c r="H159" s="216">
        <v>1047.5999899999999</v>
      </c>
      <c r="I159" s="216">
        <v>943.30001000000004</v>
      </c>
      <c r="J159" s="216">
        <v>1042.79999</v>
      </c>
      <c r="K159" s="216">
        <v>1314.3999899999999</v>
      </c>
      <c r="L159" s="216">
        <v>1332.6000100000001</v>
      </c>
      <c r="M159" s="216">
        <v>1294.3000200000001</v>
      </c>
      <c r="N159" s="216">
        <v>1241.3000400000001</v>
      </c>
      <c r="O159" s="216">
        <v>1173.6000100000001</v>
      </c>
      <c r="P159" s="216">
        <v>1226.9000000000001</v>
      </c>
      <c r="Q159" s="216">
        <v>942.09997999999996</v>
      </c>
      <c r="R159" s="216">
        <v>683.90000000000009</v>
      </c>
      <c r="S159" s="216">
        <v>862</v>
      </c>
      <c r="T159" s="216">
        <v>1064.1999799999999</v>
      </c>
      <c r="U159" s="216">
        <v>1208.0999999999999</v>
      </c>
      <c r="V159" s="216">
        <v>1050.8999999999999</v>
      </c>
      <c r="W159" s="216">
        <v>616.29998000000001</v>
      </c>
      <c r="X159" s="216">
        <v>716.99998000000005</v>
      </c>
      <c r="Y159" s="216">
        <v>1137.8000200000001</v>
      </c>
      <c r="Z159" s="216">
        <v>931.40001000000007</v>
      </c>
      <c r="AA159" s="216">
        <v>1377.1999799999999</v>
      </c>
      <c r="AB159" s="216">
        <v>1008.1000100000001</v>
      </c>
      <c r="AC159" s="216">
        <v>1234.3000200000001</v>
      </c>
      <c r="AD159" s="216">
        <v>755.30000000000007</v>
      </c>
      <c r="AE159" s="216">
        <v>946.99997999999994</v>
      </c>
      <c r="AF159" s="216">
        <v>790.10001999999997</v>
      </c>
      <c r="AG159" s="216">
        <v>873.50001999999995</v>
      </c>
      <c r="AH159" s="216"/>
      <c r="AI159" s="3">
        <f>SUM(D159:AH159)</f>
        <v>31595.300040000006</v>
      </c>
    </row>
    <row r="160" spans="1:36" x14ac:dyDescent="0.25">
      <c r="B160" s="1" t="s">
        <v>25</v>
      </c>
      <c r="C160" s="1" t="s">
        <v>26</v>
      </c>
      <c r="D160" s="90">
        <v>7.4750166666666669</v>
      </c>
      <c r="E160" s="90">
        <v>7.3311499999999992</v>
      </c>
      <c r="F160" s="90">
        <v>7.1021166666666664</v>
      </c>
      <c r="G160" s="90">
        <v>7.1310666666666664</v>
      </c>
      <c r="H160" s="90">
        <v>5.8785333333333325</v>
      </c>
      <c r="I160" s="90">
        <v>5.2708166666666658</v>
      </c>
      <c r="J160" s="90">
        <v>6.2141666666666637</v>
      </c>
      <c r="K160" s="90">
        <v>7.3359000000000005</v>
      </c>
      <c r="L160" s="90">
        <v>7.3647810452426503</v>
      </c>
      <c r="M160" s="90">
        <v>7.0916499999999996</v>
      </c>
      <c r="N160" s="90">
        <v>7.0245500000000005</v>
      </c>
      <c r="O160" s="90">
        <v>6.6010488082519378</v>
      </c>
      <c r="P160" s="90">
        <v>6.9137833333333329</v>
      </c>
      <c r="Q160" s="90">
        <v>6.5571833333333336</v>
      </c>
      <c r="R160" s="90">
        <v>6.1567014875101034</v>
      </c>
      <c r="S160" s="90">
        <v>4.8825489904598962</v>
      </c>
      <c r="T160" s="90">
        <v>5.93</v>
      </c>
      <c r="U160" s="90">
        <v>6.72</v>
      </c>
      <c r="V160" s="90">
        <v>6.8981584230279598</v>
      </c>
      <c r="W160" s="90">
        <v>3.5821000000000001</v>
      </c>
      <c r="X160" s="90">
        <v>6.218134893728771</v>
      </c>
      <c r="Y160" s="206">
        <v>6.4473615485204361</v>
      </c>
      <c r="Z160" s="206">
        <v>5.0924468400256764</v>
      </c>
      <c r="AA160" s="232">
        <v>7.6335999999999995</v>
      </c>
      <c r="AB160" s="206">
        <v>7.6224999999999996</v>
      </c>
      <c r="AC160" s="206">
        <v>7.1929537557282854</v>
      </c>
      <c r="AD160" s="206">
        <v>6.5213666666666672</v>
      </c>
      <c r="AE160" s="206">
        <v>5.507883333333333</v>
      </c>
      <c r="AF160" s="206">
        <v>4.6804058663966117</v>
      </c>
      <c r="AG160" s="206">
        <v>5.4840461210049529</v>
      </c>
      <c r="AH160" s="206"/>
      <c r="AI160" s="3">
        <f>AVERAGE(D160:AH160)</f>
        <v>6.3953990371076861</v>
      </c>
    </row>
    <row r="161" spans="2:35" x14ac:dyDescent="0.25">
      <c r="B161" s="1" t="s">
        <v>27</v>
      </c>
      <c r="C161" s="1" t="s">
        <v>6</v>
      </c>
      <c r="D161" s="419"/>
      <c r="E161" s="419"/>
      <c r="F161" s="419"/>
      <c r="G161" s="419"/>
      <c r="H161" s="419"/>
      <c r="I161" s="419"/>
      <c r="J161" s="419"/>
      <c r="K161" s="419"/>
      <c r="L161" s="419"/>
      <c r="M161" s="419"/>
      <c r="N161" s="419"/>
      <c r="O161" s="419"/>
      <c r="P161" s="419"/>
      <c r="Q161" s="419"/>
      <c r="R161" s="419"/>
      <c r="S161" s="419"/>
      <c r="T161" s="419"/>
      <c r="U161" s="419"/>
      <c r="V161" s="419"/>
      <c r="W161" s="419"/>
      <c r="X161" s="419"/>
      <c r="Y161" s="187"/>
      <c r="Z161" s="187"/>
      <c r="AA161" s="187"/>
      <c r="AB161" s="187"/>
      <c r="AC161" s="187"/>
      <c r="AD161" s="187"/>
      <c r="AE161" s="187"/>
      <c r="AF161" s="187"/>
      <c r="AG161" s="187"/>
      <c r="AH161" s="187"/>
      <c r="AI161" s="187"/>
    </row>
    <row r="162" spans="2:35" x14ac:dyDescent="0.25">
      <c r="B162" s="5" t="s">
        <v>28</v>
      </c>
      <c r="C162" s="1" t="s">
        <v>0</v>
      </c>
      <c r="D162" s="421">
        <v>0.23462259745448699</v>
      </c>
      <c r="E162" s="421">
        <v>0.22868951797203924</v>
      </c>
      <c r="F162" s="421">
        <v>0.22218293159788807</v>
      </c>
      <c r="G162" s="421">
        <v>0.22079789372226127</v>
      </c>
      <c r="H162" s="421">
        <v>0.18298249049277829</v>
      </c>
      <c r="I162" s="421">
        <v>0.16613623971002189</v>
      </c>
      <c r="J162" s="421">
        <v>0.19179315365148158</v>
      </c>
      <c r="K162" s="421">
        <v>0.22788838574159664</v>
      </c>
      <c r="L162" s="421">
        <v>0.22749209570027845</v>
      </c>
      <c r="M162" s="421">
        <v>0.21768806553252326</v>
      </c>
      <c r="N162" s="421">
        <v>0.21455890892132123</v>
      </c>
      <c r="O162" s="421">
        <v>0.2010252439301477</v>
      </c>
      <c r="P162" s="421">
        <v>0.21058619859273689</v>
      </c>
      <c r="Q162" s="421">
        <v>0.19859650476323448</v>
      </c>
      <c r="R162" s="421">
        <v>0.18644842036335982</v>
      </c>
      <c r="S162" s="421">
        <v>0.15045643096313707</v>
      </c>
      <c r="T162" s="421">
        <v>0.18467478480709934</v>
      </c>
      <c r="U162" s="421">
        <v>0.20632067413436306</v>
      </c>
      <c r="V162" s="421">
        <v>0.21436353714274536</v>
      </c>
      <c r="W162" s="421">
        <v>0.11313100950100186</v>
      </c>
      <c r="X162" s="421">
        <v>0.19508315726952097</v>
      </c>
      <c r="Y162" s="421">
        <v>0.20265165349389058</v>
      </c>
      <c r="Z162" s="423">
        <v>0.16226615734624858</v>
      </c>
      <c r="AA162" s="421">
        <v>0.23865879998824002</v>
      </c>
      <c r="AB162" s="421">
        <v>0.23509728815200881</v>
      </c>
      <c r="AC162" s="421">
        <v>0.21861854237396242</v>
      </c>
      <c r="AD162" s="421">
        <v>0.19703517515006053</v>
      </c>
      <c r="AE162" s="421">
        <v>0.16518136928179156</v>
      </c>
      <c r="AF162" s="421">
        <v>0.14151253733585711</v>
      </c>
      <c r="AG162" s="421">
        <v>0.16641626618111338</v>
      </c>
      <c r="AH162" s="421"/>
      <c r="AI162" s="14">
        <f>AVERAGE(D162:AF162)</f>
        <v>0.19850137120986491</v>
      </c>
    </row>
    <row r="163" spans="2:35" x14ac:dyDescent="0.25">
      <c r="B163" s="5" t="s">
        <v>35</v>
      </c>
      <c r="C163" s="1" t="s">
        <v>0</v>
      </c>
      <c r="D163" s="421">
        <v>0.15104166330645163</v>
      </c>
      <c r="E163" s="421">
        <v>0.22256384576612903</v>
      </c>
      <c r="F163" s="421">
        <v>0.21460013272849462</v>
      </c>
      <c r="G163" s="421">
        <v>0.21476814852150539</v>
      </c>
      <c r="H163" s="421">
        <v>0.17600806283602149</v>
      </c>
      <c r="I163" s="421">
        <v>0.15848454469086024</v>
      </c>
      <c r="J163" s="421">
        <v>0.17520161122311828</v>
      </c>
      <c r="K163" s="421">
        <v>0.2208333316532258</v>
      </c>
      <c r="L163" s="421">
        <v>0.2238911307123656</v>
      </c>
      <c r="M163" s="421">
        <v>0.21745632056451616</v>
      </c>
      <c r="N163" s="421">
        <v>0.20855175403225809</v>
      </c>
      <c r="O163" s="421">
        <v>0.19717742103494626</v>
      </c>
      <c r="P163" s="421">
        <v>0.20613239247311829</v>
      </c>
      <c r="Q163" s="421">
        <v>0.15828292674731181</v>
      </c>
      <c r="R163" s="421">
        <v>0.11490255376344087</v>
      </c>
      <c r="S163" s="421">
        <v>0.14482526881720431</v>
      </c>
      <c r="T163" s="421">
        <v>0.17879703965053761</v>
      </c>
      <c r="U163" s="421">
        <v>0.20297379032258062</v>
      </c>
      <c r="V163" s="421">
        <v>0.17656249999999998</v>
      </c>
      <c r="W163" s="421">
        <v>0.10354502352150538</v>
      </c>
      <c r="X163" s="421">
        <v>0.12046370631720431</v>
      </c>
      <c r="Y163" s="421">
        <v>0.19116263776881723</v>
      </c>
      <c r="Z163" s="421">
        <v>0.15648521673387097</v>
      </c>
      <c r="AA163" s="421">
        <v>0.23138440524193546</v>
      </c>
      <c r="AB163" s="421">
        <v>0.16937164146505379</v>
      </c>
      <c r="AC163" s="421">
        <v>0.20737567540322582</v>
      </c>
      <c r="AD163" s="421">
        <v>0.12689852150537637</v>
      </c>
      <c r="AE163" s="421">
        <v>0.15910617943548386</v>
      </c>
      <c r="AF163" s="421">
        <v>0.13274529905913979</v>
      </c>
      <c r="AG163" s="421">
        <v>0.14675739583333333</v>
      </c>
      <c r="AH163" s="421"/>
      <c r="AI163" s="14">
        <f>AVERAGE(D163:AE163)</f>
        <v>0.17960169450844851</v>
      </c>
    </row>
    <row r="164" spans="2:35" ht="15.75" x14ac:dyDescent="0.25">
      <c r="B164" s="5" t="s">
        <v>113</v>
      </c>
      <c r="C164" s="1"/>
      <c r="D164" s="425">
        <v>8.3580934148035357E-2</v>
      </c>
      <c r="E164" s="425">
        <v>6.1256722059102042E-3</v>
      </c>
      <c r="F164" s="425">
        <v>7.5827988693934478E-3</v>
      </c>
      <c r="G164" s="425">
        <v>6.0297452007558872E-3</v>
      </c>
      <c r="H164" s="425">
        <v>6.9744276567567931E-3</v>
      </c>
      <c r="I164" s="425">
        <v>7.6516950191616584E-3</v>
      </c>
      <c r="J164" s="425">
        <v>1.6591542428363304E-2</v>
      </c>
      <c r="K164" s="425">
        <v>7.0550540883708435E-3</v>
      </c>
      <c r="L164" s="425">
        <v>3.6009649879128469E-3</v>
      </c>
      <c r="M164" s="425">
        <v>2.317449680070971E-4</v>
      </c>
      <c r="N164" s="425">
        <v>6.0071548890631432E-3</v>
      </c>
      <c r="O164" s="425">
        <v>3.8478228952014415E-3</v>
      </c>
      <c r="P164" s="425">
        <v>4.4538061196185974E-3</v>
      </c>
      <c r="Q164" s="425">
        <v>4.0313578015922669E-2</v>
      </c>
      <c r="R164" s="425">
        <v>7.1545866599918947E-2</v>
      </c>
      <c r="S164" s="425">
        <v>5.631162145932761E-3</v>
      </c>
      <c r="T164" s="425">
        <v>5.8777451565617256E-3</v>
      </c>
      <c r="U164" s="425">
        <v>3.3468838117824418E-3</v>
      </c>
      <c r="V164" s="425">
        <v>3.7801037142745381E-2</v>
      </c>
      <c r="W164" s="425">
        <v>9.5859859794964752E-3</v>
      </c>
      <c r="X164" s="425">
        <v>7.461945095231666E-2</v>
      </c>
      <c r="Y164" s="425">
        <v>1.1489015725073354E-2</v>
      </c>
      <c r="Z164" s="425">
        <v>5.7809406123776053E-3</v>
      </c>
      <c r="AA164" s="425">
        <v>7.2743947463045633E-3</v>
      </c>
      <c r="AB164" s="425">
        <v>6.5725646686955019E-2</v>
      </c>
      <c r="AC164" s="425">
        <v>1.1242866970736592E-2</v>
      </c>
      <c r="AD164" s="425">
        <v>7.013665364468416E-2</v>
      </c>
      <c r="AE164" s="425">
        <v>6.0751898463076992E-3</v>
      </c>
      <c r="AF164" s="425">
        <v>8.7672382767173263E-3</v>
      </c>
      <c r="AG164" s="425">
        <v>1.965887034778005E-2</v>
      </c>
      <c r="AH164" s="425"/>
      <c r="AI164" s="49">
        <f>AVERAGEIF(D164:AE164,"&gt;0")</f>
        <v>2.0934992196916666E-2</v>
      </c>
    </row>
    <row r="165" spans="2:35" ht="15.75" x14ac:dyDescent="0.25">
      <c r="B165" s="1" t="s">
        <v>111</v>
      </c>
      <c r="C165" s="1"/>
      <c r="D165" s="422">
        <v>0.1203394913931911</v>
      </c>
      <c r="E165" s="422">
        <v>0.18080319011128007</v>
      </c>
      <c r="F165" s="422">
        <v>0.17995576390579227</v>
      </c>
      <c r="G165" s="422">
        <v>0.17936551714698398</v>
      </c>
      <c r="H165" s="422">
        <v>0.17831470333128682</v>
      </c>
      <c r="I165" s="422">
        <v>0.17907402011665724</v>
      </c>
      <c r="J165" s="422">
        <v>0.16791085620931373</v>
      </c>
      <c r="K165" s="422">
        <v>0.1792812202268402</v>
      </c>
      <c r="L165" s="422">
        <v>0.18105087467486089</v>
      </c>
      <c r="M165" s="422">
        <v>0.18261999199618481</v>
      </c>
      <c r="N165" s="422">
        <v>0.17681492297162041</v>
      </c>
      <c r="O165" s="422">
        <v>0.17789666867599302</v>
      </c>
      <c r="P165" s="422">
        <v>0.17756364681409401</v>
      </c>
      <c r="Q165" s="422">
        <v>0.14376074778260103</v>
      </c>
      <c r="R165" s="422">
        <v>0.11114889811371388</v>
      </c>
      <c r="S165" s="422">
        <v>0.17665311954710397</v>
      </c>
      <c r="T165" s="422">
        <v>0.17956810848735208</v>
      </c>
      <c r="U165" s="422">
        <v>0.17988471654421223</v>
      </c>
      <c r="V165" s="422">
        <v>0.15243646986140963</v>
      </c>
      <c r="W165" s="422">
        <v>0.17215320119181307</v>
      </c>
      <c r="X165" s="422">
        <v>0.11537711074529987</v>
      </c>
      <c r="Y165" s="422">
        <v>0.17658124200079689</v>
      </c>
      <c r="Z165" s="422">
        <v>0.18300813239448718</v>
      </c>
      <c r="AA165" s="422">
        <v>0.18052122145221738</v>
      </c>
      <c r="AB165" s="422">
        <v>0.13233259864085065</v>
      </c>
      <c r="AC165" s="422">
        <v>0.17170151325430402</v>
      </c>
      <c r="AD165" s="422">
        <v>0.11588881452321999</v>
      </c>
      <c r="AE165" s="422">
        <v>0.17203859700114701</v>
      </c>
      <c r="AF165" s="422">
        <v>0.16891149767475719</v>
      </c>
      <c r="AG165" s="422">
        <v>0.15937583590209328</v>
      </c>
      <c r="AH165" s="422"/>
      <c r="AI165" s="49">
        <f>AVERAGEIF(D165:AE165,"&gt;0")</f>
        <v>0.1651444771112367</v>
      </c>
    </row>
    <row r="166" spans="2:35" x14ac:dyDescent="0.25">
      <c r="B166" s="5" t="s">
        <v>109</v>
      </c>
      <c r="C166" s="1" t="s">
        <v>59</v>
      </c>
      <c r="D166" s="420">
        <f>+D162*248*24</f>
        <v>1396.4737000491066</v>
      </c>
      <c r="E166" s="420">
        <f t="shared" ref="E166:AF166" si="36">+E162*248*24</f>
        <v>1361.1600109695773</v>
      </c>
      <c r="F166" s="420">
        <f t="shared" si="36"/>
        <v>1322.4328088706297</v>
      </c>
      <c r="G166" s="420">
        <f t="shared" si="36"/>
        <v>1314.189063434899</v>
      </c>
      <c r="H166" s="420">
        <f t="shared" si="36"/>
        <v>1089.1117834130164</v>
      </c>
      <c r="I166" s="420">
        <f t="shared" si="36"/>
        <v>988.84289875405022</v>
      </c>
      <c r="J166" s="420">
        <f t="shared" si="36"/>
        <v>1141.5528505336183</v>
      </c>
      <c r="K166" s="420">
        <f t="shared" si="36"/>
        <v>1356.3916719339832</v>
      </c>
      <c r="L166" s="420">
        <f t="shared" si="36"/>
        <v>1354.0329536080574</v>
      </c>
      <c r="M166" s="420">
        <f t="shared" si="36"/>
        <v>1295.6793660495784</v>
      </c>
      <c r="N166" s="420">
        <f t="shared" si="36"/>
        <v>1277.054625899704</v>
      </c>
      <c r="O166" s="420">
        <f t="shared" si="36"/>
        <v>1196.5022518722392</v>
      </c>
      <c r="P166" s="420">
        <f t="shared" si="36"/>
        <v>1253.4090540239699</v>
      </c>
      <c r="Q166" s="420">
        <f t="shared" si="36"/>
        <v>1182.0463963507718</v>
      </c>
      <c r="R166" s="420">
        <f t="shared" si="36"/>
        <v>1109.7409980027178</v>
      </c>
      <c r="S166" s="420">
        <f t="shared" si="36"/>
        <v>895.51667709259186</v>
      </c>
      <c r="T166" s="420">
        <f t="shared" si="36"/>
        <v>1099.1843191718553</v>
      </c>
      <c r="U166" s="420">
        <f t="shared" si="36"/>
        <v>1228.0206524477289</v>
      </c>
      <c r="V166" s="420">
        <f t="shared" si="36"/>
        <v>1275.8917730736205</v>
      </c>
      <c r="W166" s="420">
        <f t="shared" si="36"/>
        <v>673.35576854996305</v>
      </c>
      <c r="X166" s="420">
        <f t="shared" si="36"/>
        <v>1161.1349520681888</v>
      </c>
      <c r="Y166" s="420">
        <f t="shared" si="36"/>
        <v>1206.1826415956368</v>
      </c>
      <c r="Z166" s="420">
        <f t="shared" si="36"/>
        <v>965.80816852487146</v>
      </c>
      <c r="AA166" s="420">
        <f t="shared" si="36"/>
        <v>1420.4971775300046</v>
      </c>
      <c r="AB166" s="420">
        <f t="shared" si="36"/>
        <v>1399.2990590807565</v>
      </c>
      <c r="AC166" s="420">
        <f t="shared" si="36"/>
        <v>1301.2175642098241</v>
      </c>
      <c r="AD166" s="420">
        <f t="shared" si="36"/>
        <v>1172.7533624931602</v>
      </c>
      <c r="AE166" s="420">
        <f t="shared" si="36"/>
        <v>983.15950996522338</v>
      </c>
      <c r="AF166" s="420">
        <f t="shared" si="36"/>
        <v>842.28262222302146</v>
      </c>
      <c r="AG166" s="420">
        <v>3991.5939941137131</v>
      </c>
      <c r="AH166" s="420"/>
      <c r="AI166" s="3">
        <f t="shared" ref="AI166" si="37">SUM(D166:AH166)</f>
        <v>38254.518675906082</v>
      </c>
    </row>
    <row r="167" spans="2:35" x14ac:dyDescent="0.25">
      <c r="B167" s="5" t="s">
        <v>213</v>
      </c>
      <c r="C167" s="1"/>
      <c r="D167" s="420">
        <v>28.29</v>
      </c>
      <c r="E167" s="420">
        <v>29.56</v>
      </c>
      <c r="F167" s="420">
        <v>28.97</v>
      </c>
      <c r="G167" s="420">
        <v>31.08</v>
      </c>
      <c r="H167" s="420">
        <v>30</v>
      </c>
      <c r="I167" s="420">
        <v>27.42</v>
      </c>
      <c r="J167" s="420">
        <v>31.73</v>
      </c>
      <c r="K167" s="420">
        <v>30.41</v>
      </c>
      <c r="L167" s="420">
        <v>31.563624999999977</v>
      </c>
      <c r="M167" s="420">
        <v>32.83</v>
      </c>
      <c r="N167" s="420">
        <v>33.83</v>
      </c>
      <c r="O167" s="420">
        <v>34.425232142857105</v>
      </c>
      <c r="P167" s="420">
        <v>34.39</v>
      </c>
      <c r="Q167" s="420">
        <v>35.520000000000003</v>
      </c>
      <c r="R167" s="420">
        <v>35.54</v>
      </c>
      <c r="S167" s="420">
        <v>32.049999999999997</v>
      </c>
      <c r="T167" s="420">
        <v>29.9</v>
      </c>
      <c r="U167" s="420">
        <v>32.79</v>
      </c>
      <c r="V167" s="420">
        <v>30.34</v>
      </c>
      <c r="W167" s="420">
        <v>27.010808035714302</v>
      </c>
      <c r="X167" s="420">
        <v>28.3839910714286</v>
      </c>
      <c r="Y167" s="420">
        <v>28</v>
      </c>
      <c r="Z167" s="420">
        <v>25.16</v>
      </c>
      <c r="AA167" s="420">
        <v>29.1</v>
      </c>
      <c r="AB167" s="420">
        <v>31.87</v>
      </c>
      <c r="AC167" s="420">
        <v>34.82</v>
      </c>
      <c r="AD167" s="420">
        <v>36</v>
      </c>
      <c r="AE167" s="420">
        <v>37.47</v>
      </c>
      <c r="AF167" s="420">
        <v>35.86</v>
      </c>
      <c r="AG167" s="420">
        <v>35.134660714285687</v>
      </c>
      <c r="AH167" s="420"/>
      <c r="AI167" s="13">
        <f>AVERAGE(D167:AF167)</f>
        <v>31.528057112068964</v>
      </c>
    </row>
    <row r="168" spans="2:35" ht="15.75" x14ac:dyDescent="0.25">
      <c r="B168" s="388" t="s">
        <v>100</v>
      </c>
      <c r="C168" s="1" t="s">
        <v>59</v>
      </c>
      <c r="D168" s="222">
        <v>29</v>
      </c>
      <c r="E168" s="222">
        <v>24</v>
      </c>
      <c r="F168" s="222">
        <v>33</v>
      </c>
      <c r="G168" s="222">
        <v>23</v>
      </c>
      <c r="H168" s="222"/>
      <c r="I168" s="222">
        <v>33</v>
      </c>
      <c r="J168" s="222">
        <v>0</v>
      </c>
      <c r="K168" s="222">
        <v>30</v>
      </c>
      <c r="L168" s="222"/>
      <c r="M168" s="222"/>
      <c r="N168" s="222"/>
      <c r="O168" s="222">
        <v>11</v>
      </c>
      <c r="P168" s="222">
        <v>15</v>
      </c>
      <c r="Q168" s="222"/>
      <c r="R168" s="222"/>
      <c r="S168" s="222">
        <v>22</v>
      </c>
      <c r="T168" s="222">
        <v>23</v>
      </c>
      <c r="U168" s="222">
        <v>8</v>
      </c>
      <c r="V168" s="222">
        <v>5</v>
      </c>
      <c r="W168" s="222">
        <v>25</v>
      </c>
      <c r="X168" s="222"/>
      <c r="Y168" s="222">
        <v>12</v>
      </c>
      <c r="Z168" s="222">
        <v>22</v>
      </c>
      <c r="AA168" s="222">
        <v>7</v>
      </c>
      <c r="AB168" s="222"/>
      <c r="AC168" s="222">
        <v>24</v>
      </c>
      <c r="AD168" s="222"/>
      <c r="AE168" s="222">
        <v>24</v>
      </c>
      <c r="AF168" s="222">
        <v>21</v>
      </c>
      <c r="AG168" s="222">
        <v>14</v>
      </c>
      <c r="AH168" s="222"/>
      <c r="AI168" s="13">
        <f>SUM(D168:AH168)</f>
        <v>405</v>
      </c>
    </row>
    <row r="169" spans="2:35" ht="15.75" x14ac:dyDescent="0.25">
      <c r="B169" s="388" t="s">
        <v>101</v>
      </c>
      <c r="C169" s="1" t="s">
        <v>59</v>
      </c>
      <c r="D169" s="222">
        <v>425</v>
      </c>
      <c r="E169" s="222"/>
      <c r="F169" s="222"/>
      <c r="G169" s="222"/>
      <c r="H169" s="222">
        <v>32</v>
      </c>
      <c r="I169" s="222"/>
      <c r="J169" s="222">
        <v>76</v>
      </c>
      <c r="K169" s="222"/>
      <c r="L169" s="222"/>
      <c r="M169" s="222"/>
      <c r="N169" s="222">
        <v>24</v>
      </c>
      <c r="O169" s="222"/>
      <c r="P169" s="222"/>
      <c r="Q169" s="222">
        <v>219</v>
      </c>
      <c r="R169" s="222">
        <v>398</v>
      </c>
      <c r="S169" s="222"/>
      <c r="T169" s="222"/>
      <c r="U169" s="222"/>
      <c r="V169" s="222">
        <v>208</v>
      </c>
      <c r="W169" s="222">
        <v>20</v>
      </c>
      <c r="X169" s="222">
        <v>432</v>
      </c>
      <c r="Y169" s="222">
        <v>21</v>
      </c>
      <c r="Z169" s="222"/>
      <c r="AA169" s="222"/>
      <c r="AB169" s="222">
        <v>378</v>
      </c>
      <c r="AC169" s="222">
        <v>31</v>
      </c>
      <c r="AD169" s="222">
        <v>405</v>
      </c>
      <c r="AE169" s="222"/>
      <c r="AF169" s="222"/>
      <c r="AG169" s="222">
        <v>91</v>
      </c>
      <c r="AH169" s="222"/>
      <c r="AI169" s="13">
        <f t="shared" ref="AI169:AI173" si="38">SUM(D169:AH169)</f>
        <v>2760</v>
      </c>
    </row>
    <row r="170" spans="2:35" ht="15.75" x14ac:dyDescent="0.25">
      <c r="B170" s="388" t="s">
        <v>102</v>
      </c>
      <c r="C170" s="1" t="s">
        <v>59</v>
      </c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>
        <v>24</v>
      </c>
      <c r="AB170" s="222"/>
      <c r="AC170" s="222"/>
      <c r="AD170" s="222"/>
      <c r="AE170" s="222"/>
      <c r="AF170" s="222"/>
      <c r="AG170" s="222"/>
      <c r="AH170" s="222"/>
      <c r="AI170" s="13">
        <f t="shared" si="38"/>
        <v>24</v>
      </c>
    </row>
    <row r="171" spans="2:35" ht="15.75" x14ac:dyDescent="0.25">
      <c r="B171" s="388" t="s">
        <v>103</v>
      </c>
      <c r="C171" s="1" t="s">
        <v>59</v>
      </c>
      <c r="D171" s="222">
        <v>31</v>
      </c>
      <c r="E171" s="222"/>
      <c r="F171" s="222"/>
      <c r="G171" s="222"/>
      <c r="H171" s="222"/>
      <c r="I171" s="222"/>
      <c r="J171" s="222">
        <v>11</v>
      </c>
      <c r="K171" s="222"/>
      <c r="L171" s="222"/>
      <c r="M171" s="222"/>
      <c r="N171" s="222"/>
      <c r="O171" s="222"/>
      <c r="P171" s="222"/>
      <c r="Q171" s="222">
        <v>9</v>
      </c>
      <c r="R171" s="222">
        <v>16</v>
      </c>
      <c r="S171" s="222"/>
      <c r="T171" s="222"/>
      <c r="U171" s="222"/>
      <c r="V171" s="222"/>
      <c r="W171" s="222"/>
      <c r="X171" s="222"/>
      <c r="Y171" s="222">
        <v>23</v>
      </c>
      <c r="Z171" s="222"/>
      <c r="AA171" s="222"/>
      <c r="AB171" s="222"/>
      <c r="AC171" s="222"/>
      <c r="AD171" s="222"/>
      <c r="AE171" s="222"/>
      <c r="AF171" s="222">
        <v>19</v>
      </c>
      <c r="AG171" s="222"/>
      <c r="AH171" s="222"/>
      <c r="AI171" s="13">
        <f t="shared" si="38"/>
        <v>109</v>
      </c>
    </row>
    <row r="172" spans="2:35" x14ac:dyDescent="0.25">
      <c r="B172" s="5" t="s">
        <v>218</v>
      </c>
      <c r="C172" s="1" t="s">
        <v>59</v>
      </c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  <c r="AF172" s="222"/>
      <c r="AG172" s="222"/>
      <c r="AH172" s="222"/>
      <c r="AI172" s="13">
        <f t="shared" si="38"/>
        <v>0</v>
      </c>
    </row>
    <row r="173" spans="2:35" x14ac:dyDescent="0.25">
      <c r="B173" s="5" t="s">
        <v>86</v>
      </c>
      <c r="C173" s="1" t="s">
        <v>59</v>
      </c>
      <c r="D173" s="222">
        <f t="shared" ref="D173:E173" si="39">+SUM(D168:D172)</f>
        <v>485</v>
      </c>
      <c r="E173" s="222">
        <f t="shared" si="39"/>
        <v>24</v>
      </c>
      <c r="F173" s="222">
        <f t="shared" ref="F173:G173" si="40">+SUM(F168:F172)</f>
        <v>33</v>
      </c>
      <c r="G173" s="222">
        <f t="shared" si="40"/>
        <v>23</v>
      </c>
      <c r="H173" s="222">
        <f t="shared" ref="H173:AH173" si="41">+SUM(H168:H172)</f>
        <v>32</v>
      </c>
      <c r="I173" s="222">
        <f t="shared" si="41"/>
        <v>33</v>
      </c>
      <c r="J173" s="222">
        <f t="shared" si="41"/>
        <v>87</v>
      </c>
      <c r="K173" s="222">
        <f t="shared" si="41"/>
        <v>30</v>
      </c>
      <c r="L173" s="222">
        <f t="shared" si="41"/>
        <v>0</v>
      </c>
      <c r="M173" s="222">
        <f t="shared" si="41"/>
        <v>0</v>
      </c>
      <c r="N173" s="222">
        <f t="shared" si="41"/>
        <v>24</v>
      </c>
      <c r="O173" s="222">
        <f t="shared" si="41"/>
        <v>11</v>
      </c>
      <c r="P173" s="222">
        <f t="shared" si="41"/>
        <v>15</v>
      </c>
      <c r="Q173" s="222">
        <f t="shared" si="41"/>
        <v>228</v>
      </c>
      <c r="R173" s="222">
        <f t="shared" si="41"/>
        <v>414</v>
      </c>
      <c r="S173" s="222">
        <f t="shared" si="41"/>
        <v>22</v>
      </c>
      <c r="T173" s="222">
        <f t="shared" si="41"/>
        <v>23</v>
      </c>
      <c r="U173" s="222">
        <f t="shared" si="41"/>
        <v>8</v>
      </c>
      <c r="V173" s="222">
        <f t="shared" si="41"/>
        <v>213</v>
      </c>
      <c r="W173" s="222">
        <f t="shared" si="41"/>
        <v>45</v>
      </c>
      <c r="X173" s="222">
        <f t="shared" si="41"/>
        <v>432</v>
      </c>
      <c r="Y173" s="222">
        <f t="shared" si="41"/>
        <v>56</v>
      </c>
      <c r="Z173" s="222">
        <f t="shared" si="41"/>
        <v>22</v>
      </c>
      <c r="AA173" s="222">
        <f t="shared" si="41"/>
        <v>31</v>
      </c>
      <c r="AB173" s="222">
        <f t="shared" si="41"/>
        <v>378</v>
      </c>
      <c r="AC173" s="222">
        <f t="shared" si="41"/>
        <v>55</v>
      </c>
      <c r="AD173" s="222">
        <f t="shared" si="41"/>
        <v>405</v>
      </c>
      <c r="AE173" s="222">
        <f t="shared" si="41"/>
        <v>24</v>
      </c>
      <c r="AF173" s="222">
        <f t="shared" si="41"/>
        <v>40</v>
      </c>
      <c r="AG173" s="222">
        <f t="shared" si="41"/>
        <v>105</v>
      </c>
      <c r="AH173" s="222">
        <f t="shared" si="41"/>
        <v>0</v>
      </c>
      <c r="AI173" s="13">
        <f t="shared" si="38"/>
        <v>3298</v>
      </c>
    </row>
    <row r="174" spans="2:35" x14ac:dyDescent="0.25">
      <c r="B174" s="5" t="s">
        <v>86</v>
      </c>
      <c r="C174" s="1" t="s">
        <v>59</v>
      </c>
      <c r="D174" s="221">
        <f t="shared" ref="D174:AH174" si="42">+D173/248/24</f>
        <v>8.1485215053763438E-2</v>
      </c>
      <c r="E174" s="221">
        <f t="shared" si="42"/>
        <v>4.0322580645161289E-3</v>
      </c>
      <c r="F174" s="221">
        <f t="shared" si="42"/>
        <v>5.5443548387096768E-3</v>
      </c>
      <c r="G174" s="221">
        <f t="shared" si="42"/>
        <v>3.864247311827957E-3</v>
      </c>
      <c r="H174" s="221">
        <f t="shared" si="42"/>
        <v>5.3763440860215049E-3</v>
      </c>
      <c r="I174" s="221">
        <f t="shared" si="42"/>
        <v>5.5443548387096768E-3</v>
      </c>
      <c r="J174" s="221">
        <f t="shared" si="42"/>
        <v>1.4616935483870969E-2</v>
      </c>
      <c r="K174" s="221">
        <f t="shared" si="42"/>
        <v>5.0403225806451612E-3</v>
      </c>
      <c r="L174" s="221">
        <f t="shared" si="42"/>
        <v>0</v>
      </c>
      <c r="M174" s="221">
        <f t="shared" si="42"/>
        <v>0</v>
      </c>
      <c r="N174" s="221">
        <f t="shared" si="42"/>
        <v>4.0322580645161289E-3</v>
      </c>
      <c r="O174" s="221">
        <f t="shared" si="42"/>
        <v>1.8481182795698926E-3</v>
      </c>
      <c r="P174" s="221">
        <f t="shared" si="42"/>
        <v>2.5201612903225806E-3</v>
      </c>
      <c r="Q174" s="221">
        <f t="shared" si="42"/>
        <v>3.8306451612903226E-2</v>
      </c>
      <c r="R174" s="221">
        <f t="shared" si="42"/>
        <v>6.9556451612903233E-2</v>
      </c>
      <c r="S174" s="221">
        <f t="shared" si="42"/>
        <v>3.6962365591397851E-3</v>
      </c>
      <c r="T174" s="221">
        <f t="shared" si="42"/>
        <v>3.864247311827957E-3</v>
      </c>
      <c r="U174" s="221">
        <f t="shared" si="42"/>
        <v>1.3440860215053762E-3</v>
      </c>
      <c r="V174" s="221">
        <f t="shared" si="42"/>
        <v>3.5786290322580648E-2</v>
      </c>
      <c r="W174" s="221">
        <f t="shared" si="42"/>
        <v>7.5604838709677422E-3</v>
      </c>
      <c r="X174" s="221">
        <f t="shared" si="42"/>
        <v>7.2580645161290328E-2</v>
      </c>
      <c r="Y174" s="221">
        <f t="shared" si="42"/>
        <v>9.4086021505376347E-3</v>
      </c>
      <c r="Z174" s="221">
        <f t="shared" si="42"/>
        <v>3.6962365591397851E-3</v>
      </c>
      <c r="AA174" s="221">
        <f t="shared" si="42"/>
        <v>5.208333333333333E-3</v>
      </c>
      <c r="AB174" s="221">
        <f t="shared" si="42"/>
        <v>6.3508064516129031E-2</v>
      </c>
      <c r="AC174" s="221">
        <f t="shared" si="42"/>
        <v>9.2405913978494628E-3</v>
      </c>
      <c r="AD174" s="221">
        <f t="shared" si="42"/>
        <v>6.8044354838709672E-2</v>
      </c>
      <c r="AE174" s="221">
        <f t="shared" si="42"/>
        <v>4.0322580645161289E-3</v>
      </c>
      <c r="AF174" s="221">
        <f t="shared" si="42"/>
        <v>6.7204301075268818E-3</v>
      </c>
      <c r="AG174" s="221">
        <f t="shared" si="42"/>
        <v>1.7641129032258066E-2</v>
      </c>
      <c r="AH174" s="221">
        <f t="shared" si="42"/>
        <v>0</v>
      </c>
      <c r="AI174" s="13">
        <f>AVERAGE(D174:AE174)</f>
        <v>1.8919210829493084E-2</v>
      </c>
    </row>
    <row r="175" spans="2:35" x14ac:dyDescent="0.25">
      <c r="B175" s="5" t="s">
        <v>116</v>
      </c>
      <c r="C175" s="1" t="s">
        <v>60</v>
      </c>
      <c r="D175" s="423">
        <f t="shared" ref="D175:AH175" si="43">+D162-D163-D174</f>
        <v>2.0957190942719195E-3</v>
      </c>
      <c r="E175" s="423">
        <f t="shared" si="43"/>
        <v>2.0934141413940753E-3</v>
      </c>
      <c r="F175" s="423">
        <f t="shared" si="43"/>
        <v>2.038444030683771E-3</v>
      </c>
      <c r="G175" s="423">
        <f t="shared" si="43"/>
        <v>2.1654978889279301E-3</v>
      </c>
      <c r="H175" s="423">
        <f t="shared" si="43"/>
        <v>1.5980835707352882E-3</v>
      </c>
      <c r="I175" s="423">
        <f t="shared" si="43"/>
        <v>2.1073401804519816E-3</v>
      </c>
      <c r="J175" s="423">
        <f t="shared" si="43"/>
        <v>1.9746069444923353E-3</v>
      </c>
      <c r="K175" s="423">
        <f t="shared" si="43"/>
        <v>2.0147315077256823E-3</v>
      </c>
      <c r="L175" s="423">
        <f t="shared" si="43"/>
        <v>3.6009649879128469E-3</v>
      </c>
      <c r="M175" s="423">
        <f t="shared" si="43"/>
        <v>2.317449680070971E-4</v>
      </c>
      <c r="N175" s="423">
        <f t="shared" si="43"/>
        <v>1.9748968245470143E-3</v>
      </c>
      <c r="O175" s="423">
        <f t="shared" si="43"/>
        <v>1.9997046156315489E-3</v>
      </c>
      <c r="P175" s="423">
        <f t="shared" si="43"/>
        <v>1.9336448292960168E-3</v>
      </c>
      <c r="Q175" s="423">
        <f t="shared" si="43"/>
        <v>2.0071264030194422E-3</v>
      </c>
      <c r="R175" s="423">
        <f t="shared" si="43"/>
        <v>1.9894149870157141E-3</v>
      </c>
      <c r="S175" s="423">
        <f t="shared" si="43"/>
        <v>1.9349255867929759E-3</v>
      </c>
      <c r="T175" s="423">
        <f t="shared" si="43"/>
        <v>2.0134978447337686E-3</v>
      </c>
      <c r="U175" s="423">
        <f t="shared" si="43"/>
        <v>2.0027977902770657E-3</v>
      </c>
      <c r="V175" s="423">
        <f t="shared" si="43"/>
        <v>2.0147468201647326E-3</v>
      </c>
      <c r="W175" s="423">
        <f t="shared" si="43"/>
        <v>2.0255021085287331E-3</v>
      </c>
      <c r="X175" s="423">
        <f t="shared" si="43"/>
        <v>2.0388057910263324E-3</v>
      </c>
      <c r="Y175" s="423">
        <f t="shared" si="43"/>
        <v>2.0804135745357191E-3</v>
      </c>
      <c r="Z175" s="423">
        <f t="shared" si="43"/>
        <v>2.0847040532378201E-3</v>
      </c>
      <c r="AA175" s="423">
        <f t="shared" si="43"/>
        <v>2.0660614129712302E-3</v>
      </c>
      <c r="AB175" s="423">
        <f t="shared" si="43"/>
        <v>2.217582170825988E-3</v>
      </c>
      <c r="AC175" s="423">
        <f t="shared" si="43"/>
        <v>2.0022755728871296E-3</v>
      </c>
      <c r="AD175" s="423">
        <f t="shared" si="43"/>
        <v>2.0922988059744879E-3</v>
      </c>
      <c r="AE175" s="423">
        <f t="shared" si="43"/>
        <v>2.0429317817915703E-3</v>
      </c>
      <c r="AF175" s="423">
        <f t="shared" si="43"/>
        <v>2.0468081691904444E-3</v>
      </c>
      <c r="AG175" s="423">
        <f t="shared" si="43"/>
        <v>2.0177413155219835E-3</v>
      </c>
      <c r="AH175" s="423">
        <f t="shared" si="43"/>
        <v>0</v>
      </c>
      <c r="AI175" s="224">
        <f>AVERAGE(D175:AE175)</f>
        <v>2.0157813674235793E-3</v>
      </c>
    </row>
    <row r="177" spans="1:36" x14ac:dyDescent="0.25">
      <c r="B177" s="1"/>
      <c r="C177" s="1"/>
      <c r="D177" s="187">
        <v>1</v>
      </c>
      <c r="E177" s="187">
        <v>2</v>
      </c>
      <c r="F177" s="187">
        <v>3</v>
      </c>
      <c r="G177" s="187">
        <v>4</v>
      </c>
      <c r="H177" s="187">
        <v>5</v>
      </c>
      <c r="I177" s="187">
        <v>6</v>
      </c>
      <c r="J177" s="187">
        <v>7</v>
      </c>
      <c r="K177" s="187">
        <v>8</v>
      </c>
      <c r="L177" s="187">
        <v>9</v>
      </c>
      <c r="M177" s="187">
        <v>10</v>
      </c>
      <c r="N177" s="187">
        <v>11</v>
      </c>
      <c r="O177" s="187">
        <v>12</v>
      </c>
      <c r="P177" s="187">
        <v>13</v>
      </c>
      <c r="Q177" s="426">
        <v>14</v>
      </c>
      <c r="R177" s="187">
        <v>15</v>
      </c>
      <c r="S177" s="187">
        <v>16</v>
      </c>
      <c r="T177" s="187">
        <v>17</v>
      </c>
      <c r="U177" s="187">
        <v>18</v>
      </c>
      <c r="V177" s="187">
        <v>19</v>
      </c>
      <c r="W177" s="187">
        <v>20</v>
      </c>
      <c r="X177" s="187">
        <v>21</v>
      </c>
      <c r="Y177" s="187">
        <v>22</v>
      </c>
      <c r="Z177" s="187">
        <v>23</v>
      </c>
      <c r="AA177" s="187">
        <v>24</v>
      </c>
      <c r="AB177" s="187">
        <v>25</v>
      </c>
      <c r="AC177" s="187">
        <v>26</v>
      </c>
      <c r="AD177" s="187">
        <v>27</v>
      </c>
      <c r="AE177" s="187">
        <v>28</v>
      </c>
      <c r="AF177" s="187">
        <v>29</v>
      </c>
      <c r="AG177" s="426">
        <v>30</v>
      </c>
      <c r="AH177" s="187">
        <v>31</v>
      </c>
      <c r="AI177" s="187">
        <v>349.74453512969205</v>
      </c>
      <c r="AJ177" s="6"/>
    </row>
    <row r="178" spans="1:36" x14ac:dyDescent="0.25">
      <c r="A178" t="s">
        <v>41</v>
      </c>
      <c r="B178" s="280" t="s">
        <v>265</v>
      </c>
      <c r="C178" s="1" t="s">
        <v>6</v>
      </c>
      <c r="D178" s="419">
        <v>94.53</v>
      </c>
      <c r="E178" s="419">
        <v>97.24</v>
      </c>
      <c r="F178" s="419">
        <v>95</v>
      </c>
      <c r="G178" s="419">
        <v>95.63</v>
      </c>
      <c r="H178" s="419">
        <v>97.1</v>
      </c>
      <c r="I178" s="419">
        <v>94</v>
      </c>
      <c r="J178" s="419">
        <v>71</v>
      </c>
      <c r="K178" s="419">
        <v>84</v>
      </c>
      <c r="L178" s="419">
        <v>94</v>
      </c>
      <c r="M178" s="419">
        <v>88</v>
      </c>
      <c r="N178" s="419">
        <v>88</v>
      </c>
      <c r="O178" s="419">
        <v>92</v>
      </c>
      <c r="P178" s="419">
        <v>72</v>
      </c>
      <c r="Q178" s="419">
        <v>69.69</v>
      </c>
      <c r="R178" s="419">
        <v>88.46</v>
      </c>
      <c r="S178" s="419">
        <v>83.94</v>
      </c>
      <c r="T178" s="419">
        <v>88.92</v>
      </c>
      <c r="U178" s="419">
        <v>94.32</v>
      </c>
      <c r="V178" s="419">
        <v>84.11</v>
      </c>
      <c r="W178" s="419">
        <v>82.88</v>
      </c>
      <c r="X178" s="419">
        <v>85.14</v>
      </c>
      <c r="Y178" s="419">
        <v>98.32</v>
      </c>
      <c r="Z178" s="419">
        <v>104.03</v>
      </c>
      <c r="AA178" s="419">
        <v>110.35</v>
      </c>
      <c r="AB178" s="419">
        <v>104.61</v>
      </c>
      <c r="AC178" s="419">
        <v>104.5</v>
      </c>
      <c r="AD178" s="419">
        <v>102.65</v>
      </c>
      <c r="AE178" s="419">
        <v>99.01</v>
      </c>
      <c r="AF178" s="419">
        <v>84.16</v>
      </c>
      <c r="AG178" s="419">
        <v>71.650000000000006</v>
      </c>
      <c r="AH178" s="419"/>
      <c r="AI178" s="3">
        <f t="shared" ref="AI178:AI181" si="44">SUM(D178:AH178)</f>
        <v>2719.2400000000007</v>
      </c>
      <c r="AJ178" s="6"/>
    </row>
    <row r="179" spans="1:36" x14ac:dyDescent="0.25">
      <c r="B179" s="280" t="s">
        <v>266</v>
      </c>
      <c r="C179" s="1" t="s">
        <v>6</v>
      </c>
      <c r="D179" s="419">
        <v>121.02</v>
      </c>
      <c r="E179" s="419">
        <v>125.94999999999999</v>
      </c>
      <c r="F179" s="419">
        <v>123.48</v>
      </c>
      <c r="G179" s="419">
        <v>126.45</v>
      </c>
      <c r="H179" s="419">
        <v>127.94</v>
      </c>
      <c r="I179" s="419">
        <v>146</v>
      </c>
      <c r="J179" s="419">
        <v>101</v>
      </c>
      <c r="K179" s="419">
        <v>128</v>
      </c>
      <c r="L179" s="419">
        <v>141</v>
      </c>
      <c r="M179" s="419">
        <v>132</v>
      </c>
      <c r="N179" s="419">
        <v>133</v>
      </c>
      <c r="O179" s="419">
        <v>141</v>
      </c>
      <c r="P179" s="419">
        <v>107</v>
      </c>
      <c r="Q179" s="419">
        <v>106.17</v>
      </c>
      <c r="R179" s="419">
        <v>135.18</v>
      </c>
      <c r="S179" s="419">
        <v>125.48000000000002</v>
      </c>
      <c r="T179" s="419">
        <v>122.46</v>
      </c>
      <c r="U179" s="419">
        <v>131.62</v>
      </c>
      <c r="V179" s="419">
        <v>113.96</v>
      </c>
      <c r="W179" s="419">
        <v>110.6</v>
      </c>
      <c r="X179" s="419">
        <v>121.87</v>
      </c>
      <c r="Y179" s="419">
        <v>138.41</v>
      </c>
      <c r="Z179" s="419">
        <v>148.84</v>
      </c>
      <c r="AA179" s="419">
        <v>159.63</v>
      </c>
      <c r="AB179" s="419">
        <v>150.53</v>
      </c>
      <c r="AC179" s="419">
        <v>151.59</v>
      </c>
      <c r="AD179" s="419">
        <v>149.66999999999999</v>
      </c>
      <c r="AE179" s="419">
        <v>142.47</v>
      </c>
      <c r="AF179" s="419">
        <v>115.67</v>
      </c>
      <c r="AG179" s="419">
        <v>95.84</v>
      </c>
      <c r="AH179" s="419"/>
      <c r="AI179" s="3">
        <f t="shared" si="44"/>
        <v>3873.8300000000004</v>
      </c>
      <c r="AJ179" s="6"/>
    </row>
    <row r="180" spans="1:36" x14ac:dyDescent="0.25">
      <c r="B180" s="280" t="s">
        <v>267</v>
      </c>
      <c r="C180" s="1" t="s">
        <v>6</v>
      </c>
      <c r="D180" s="419">
        <v>117.9</v>
      </c>
      <c r="E180" s="419">
        <v>124.06</v>
      </c>
      <c r="F180" s="419">
        <v>120.78</v>
      </c>
      <c r="G180" s="419">
        <v>123.67</v>
      </c>
      <c r="H180" s="419">
        <v>126.43</v>
      </c>
      <c r="I180" s="419">
        <v>135</v>
      </c>
      <c r="J180" s="419">
        <v>89</v>
      </c>
      <c r="K180" s="419">
        <v>115</v>
      </c>
      <c r="L180" s="419">
        <v>128</v>
      </c>
      <c r="M180" s="419">
        <v>119</v>
      </c>
      <c r="N180" s="419">
        <v>119</v>
      </c>
      <c r="O180" s="419">
        <v>128</v>
      </c>
      <c r="P180" s="419">
        <v>123</v>
      </c>
      <c r="Q180" s="419">
        <v>92.23</v>
      </c>
      <c r="R180" s="419">
        <v>120.17</v>
      </c>
      <c r="S180" s="419">
        <v>103.41</v>
      </c>
      <c r="T180" s="419">
        <v>78.77</v>
      </c>
      <c r="U180" s="419">
        <v>111.53</v>
      </c>
      <c r="V180" s="419">
        <v>102.73</v>
      </c>
      <c r="W180" s="419">
        <v>97.25</v>
      </c>
      <c r="X180" s="419">
        <v>108.78</v>
      </c>
      <c r="Y180" s="419">
        <v>122.72</v>
      </c>
      <c r="Z180" s="419">
        <v>128.66999999999999</v>
      </c>
      <c r="AA180" s="419">
        <v>140.09</v>
      </c>
      <c r="AB180" s="419">
        <v>134.47</v>
      </c>
      <c r="AC180" s="419">
        <v>135.72999999999999</v>
      </c>
      <c r="AD180" s="419">
        <v>133.18</v>
      </c>
      <c r="AE180" s="419">
        <v>125.66</v>
      </c>
      <c r="AF180" s="419">
        <v>102.23</v>
      </c>
      <c r="AG180" s="419">
        <v>83.93</v>
      </c>
      <c r="AH180" s="419"/>
      <c r="AI180" s="3">
        <f t="shared" si="44"/>
        <v>3490.39</v>
      </c>
      <c r="AJ180" s="6"/>
    </row>
    <row r="181" spans="1:36" x14ac:dyDescent="0.25">
      <c r="B181" s="280" t="s">
        <v>24</v>
      </c>
      <c r="C181" s="1" t="s">
        <v>6</v>
      </c>
      <c r="D181" s="420">
        <v>402</v>
      </c>
      <c r="E181" s="420">
        <v>379</v>
      </c>
      <c r="F181" s="420">
        <v>376</v>
      </c>
      <c r="G181" s="420">
        <v>365</v>
      </c>
      <c r="H181" s="420">
        <v>363</v>
      </c>
      <c r="I181" s="420">
        <v>382</v>
      </c>
      <c r="J181" s="420">
        <v>268</v>
      </c>
      <c r="K181" s="420">
        <v>334</v>
      </c>
      <c r="L181" s="420">
        <v>371</v>
      </c>
      <c r="M181" s="420">
        <v>345</v>
      </c>
      <c r="N181" s="420">
        <v>347</v>
      </c>
      <c r="O181" s="420">
        <v>367</v>
      </c>
      <c r="P181" s="420">
        <v>281</v>
      </c>
      <c r="Q181" s="420">
        <v>278</v>
      </c>
      <c r="R181" s="420">
        <v>355</v>
      </c>
      <c r="S181" s="420">
        <v>322</v>
      </c>
      <c r="T181" s="420">
        <v>300</v>
      </c>
      <c r="U181" s="420">
        <v>347</v>
      </c>
      <c r="V181" s="420">
        <v>311</v>
      </c>
      <c r="W181" s="420">
        <v>297</v>
      </c>
      <c r="X181" s="420">
        <v>324</v>
      </c>
      <c r="Y181" s="420">
        <v>372</v>
      </c>
      <c r="Z181" s="420">
        <v>393</v>
      </c>
      <c r="AA181" s="420">
        <v>419</v>
      </c>
      <c r="AB181" s="420">
        <v>399</v>
      </c>
      <c r="AC181" s="420">
        <v>397</v>
      </c>
      <c r="AD181" s="420">
        <v>390</v>
      </c>
      <c r="AE181" s="420">
        <v>377</v>
      </c>
      <c r="AF181" s="420">
        <v>310</v>
      </c>
      <c r="AG181" s="420">
        <v>257</v>
      </c>
      <c r="AH181" s="420"/>
      <c r="AI181" s="3">
        <f t="shared" si="44"/>
        <v>10428</v>
      </c>
      <c r="AJ181" s="303">
        <f>+AI181/62</f>
        <v>168.19354838709677</v>
      </c>
    </row>
    <row r="182" spans="1:36" x14ac:dyDescent="0.25">
      <c r="B182" s="280" t="s">
        <v>268</v>
      </c>
      <c r="C182" s="1" t="s">
        <v>26</v>
      </c>
      <c r="D182" s="8">
        <v>7.3482493805564593</v>
      </c>
      <c r="E182" s="8">
        <v>6.8694166666932288</v>
      </c>
      <c r="F182" s="424">
        <v>6.8217911111094294</v>
      </c>
      <c r="G182" s="424">
        <v>6.6991813888872853</v>
      </c>
      <c r="H182" s="424">
        <v>6.6916661111092548</v>
      </c>
      <c r="I182" s="424">
        <v>7.0354208333313002</v>
      </c>
      <c r="J182" s="424">
        <v>5.2610003041829918</v>
      </c>
      <c r="K182" s="424">
        <v>6.4318322222125133</v>
      </c>
      <c r="L182" s="424">
        <v>7.0841927777744127</v>
      </c>
      <c r="M182" s="424">
        <v>6.5231888889406688</v>
      </c>
      <c r="N182" s="424">
        <v>6.5951888889406689</v>
      </c>
      <c r="O182" s="424">
        <v>6.9881111110919738</v>
      </c>
      <c r="P182" s="424">
        <v>5.4072961111366169</v>
      </c>
      <c r="Q182" s="424">
        <v>5.3406941667184</v>
      </c>
      <c r="R182" s="424">
        <v>6.7298761111205092</v>
      </c>
      <c r="S182" s="424">
        <v>6.0860000001125156</v>
      </c>
      <c r="T182" s="424">
        <v>6.1989333332983767</v>
      </c>
      <c r="U182" s="424">
        <v>6.5485261110871216</v>
      </c>
      <c r="V182" s="424">
        <v>5.9079636110674469</v>
      </c>
      <c r="W182" s="424">
        <v>5.6406545778368598</v>
      </c>
      <c r="X182" s="424">
        <v>6.1061805556238982</v>
      </c>
      <c r="Y182" s="424">
        <v>6.94975166666595</v>
      </c>
      <c r="Z182" s="424">
        <v>7.4815577777905276</v>
      </c>
      <c r="AA182" s="424">
        <v>7.8928151874756445</v>
      </c>
      <c r="AB182" s="424">
        <v>7.5001333333363869</v>
      </c>
      <c r="AC182" s="424">
        <v>7.5286290180570798</v>
      </c>
      <c r="AD182" s="424">
        <v>7.4727850000152252</v>
      </c>
      <c r="AE182" s="424">
        <v>7.2430827777843225</v>
      </c>
      <c r="AF182" s="424">
        <v>6.0279352777667805</v>
      </c>
      <c r="AG182" s="424">
        <v>4.9516049415876626</v>
      </c>
      <c r="AH182" s="424"/>
      <c r="AI182" s="234">
        <f>AVERAGE(D182:AH182)</f>
        <v>6.5787886414437144</v>
      </c>
      <c r="AJ182" s="6"/>
    </row>
    <row r="183" spans="1:36" x14ac:dyDescent="0.25">
      <c r="B183" s="280" t="s">
        <v>28</v>
      </c>
      <c r="C183" s="1" t="s">
        <v>6</v>
      </c>
      <c r="D183" s="422">
        <v>0.27310921479912698</v>
      </c>
      <c r="E183" s="422">
        <v>0.25715750032076862</v>
      </c>
      <c r="F183" s="422">
        <v>0.25604489884517423</v>
      </c>
      <c r="G183" s="422">
        <v>0.24859065246877157</v>
      </c>
      <c r="H183" s="422">
        <v>0.2468945393052</v>
      </c>
      <c r="I183" s="422">
        <v>0.25936259542591311</v>
      </c>
      <c r="J183" s="422">
        <v>0.18720860511865445</v>
      </c>
      <c r="K183" s="422">
        <v>0.22751604882057247</v>
      </c>
      <c r="L183" s="422">
        <v>0.25223481207141757</v>
      </c>
      <c r="M183" s="422">
        <v>0.23503751088886729</v>
      </c>
      <c r="N183" s="422">
        <v>0.23613040577265421</v>
      </c>
      <c r="O183" s="422">
        <v>0.24968283715587775</v>
      </c>
      <c r="P183" s="422">
        <v>0.19260818486656262</v>
      </c>
      <c r="Q183" s="422">
        <v>0.19023581994344396</v>
      </c>
      <c r="R183" s="422">
        <v>0.24183215397342248</v>
      </c>
      <c r="S183" s="422">
        <v>0.21897725178654326</v>
      </c>
      <c r="T183" s="422">
        <v>0.22694741023921611</v>
      </c>
      <c r="U183" s="422">
        <v>0.23596424121537651</v>
      </c>
      <c r="V183" s="423">
        <v>0.21171217317107835</v>
      </c>
      <c r="W183" s="422">
        <v>0.20283461247925719</v>
      </c>
      <c r="X183" s="422">
        <v>0.22415658200986222</v>
      </c>
      <c r="Y183" s="422">
        <v>0.25302913776974867</v>
      </c>
      <c r="Z183" s="422">
        <v>0.26728197979379031</v>
      </c>
      <c r="AA183" s="422">
        <v>0.28340506864428144</v>
      </c>
      <c r="AB183" s="422">
        <v>0.27113896912472218</v>
      </c>
      <c r="AC183" s="422">
        <v>0.27004270070557757</v>
      </c>
      <c r="AD183" s="422">
        <v>0.26542495919398612</v>
      </c>
      <c r="AE183" s="422">
        <v>0.25599903661306084</v>
      </c>
      <c r="AF183" s="422">
        <v>0.21178037764494795</v>
      </c>
      <c r="AG183" s="422">
        <v>0.17564585185485798</v>
      </c>
      <c r="AH183" s="422"/>
      <c r="AI183" s="281">
        <f>AVERAGE(D183:AH183)</f>
        <v>0.23759953773409118</v>
      </c>
      <c r="AJ183" s="6"/>
    </row>
    <row r="184" spans="1:36" x14ac:dyDescent="0.25">
      <c r="B184" s="282" t="s">
        <v>35</v>
      </c>
      <c r="C184" s="1" t="s">
        <v>0</v>
      </c>
      <c r="D184" s="422">
        <v>0.27016129032258063</v>
      </c>
      <c r="E184" s="422">
        <v>0.25470430107526881</v>
      </c>
      <c r="F184" s="422">
        <v>0.25268817204301075</v>
      </c>
      <c r="G184" s="422">
        <v>0.24529569892473119</v>
      </c>
      <c r="H184" s="422">
        <v>0.24395161290322581</v>
      </c>
      <c r="I184" s="422">
        <v>0.25672043010752688</v>
      </c>
      <c r="J184" s="422">
        <v>0.18010752688172044</v>
      </c>
      <c r="K184" s="422">
        <v>0.22446236559139784</v>
      </c>
      <c r="L184" s="422">
        <v>0.24932795698924731</v>
      </c>
      <c r="M184" s="422">
        <v>0.23185483870967741</v>
      </c>
      <c r="N184" s="422">
        <v>0.23319892473118278</v>
      </c>
      <c r="O184" s="422">
        <v>0.24663978494623656</v>
      </c>
      <c r="P184" s="422">
        <v>0.18884408602150538</v>
      </c>
      <c r="Q184" s="421">
        <v>0.18682795698924731</v>
      </c>
      <c r="R184" s="422">
        <v>0.23857526881720431</v>
      </c>
      <c r="S184" s="422">
        <v>0.21639784946236559</v>
      </c>
      <c r="T184" s="422">
        <v>0.20161290322580644</v>
      </c>
      <c r="U184" s="422">
        <v>0.23319892473118278</v>
      </c>
      <c r="V184" s="422">
        <v>0.20900537634408603</v>
      </c>
      <c r="W184" s="422">
        <v>0.19959677419354838</v>
      </c>
      <c r="X184" s="422">
        <v>0.21774193548387097</v>
      </c>
      <c r="Y184" s="422">
        <v>0.25</v>
      </c>
      <c r="Z184" s="422">
        <v>0.26411290322580644</v>
      </c>
      <c r="AA184" s="422">
        <v>0.28158602150537637</v>
      </c>
      <c r="AB184" s="422">
        <v>0.26814516129032256</v>
      </c>
      <c r="AC184" s="422">
        <v>0.26680107526881719</v>
      </c>
      <c r="AD184" s="422">
        <v>0.26209677419354838</v>
      </c>
      <c r="AE184" s="422">
        <v>0.25336021505376344</v>
      </c>
      <c r="AF184" s="422">
        <v>0.20833333333333334</v>
      </c>
      <c r="AG184" s="421">
        <v>0.17271505376344087</v>
      </c>
      <c r="AH184" s="422"/>
      <c r="AI184" s="281">
        <f t="shared" ref="AI184:AI186" si="45">AVERAGE(D184:AH184)</f>
        <v>0.23360215053763436</v>
      </c>
      <c r="AJ184" s="6"/>
    </row>
    <row r="185" spans="1:36" x14ac:dyDescent="0.25">
      <c r="B185" s="5" t="s">
        <v>113</v>
      </c>
      <c r="C185" s="1" t="s">
        <v>0</v>
      </c>
      <c r="D185" s="425">
        <v>2.9479244765463486E-3</v>
      </c>
      <c r="E185" s="425">
        <v>2.4531992454998042E-3</v>
      </c>
      <c r="F185" s="425">
        <v>3.3567268021634789E-3</v>
      </c>
      <c r="G185" s="425">
        <v>3.2949535440403854E-3</v>
      </c>
      <c r="H185" s="425">
        <v>2.9429264019741885E-3</v>
      </c>
      <c r="I185" s="425">
        <v>2.6421653183862359E-3</v>
      </c>
      <c r="J185" s="425">
        <v>7.1010782369340109E-3</v>
      </c>
      <c r="K185" s="425">
        <v>3.0536832291746252E-3</v>
      </c>
      <c r="L185" s="425">
        <v>2.9068550821702566E-3</v>
      </c>
      <c r="M185" s="425">
        <v>3.1826721791898827E-3</v>
      </c>
      <c r="N185" s="425">
        <v>2.9314810414714232E-3</v>
      </c>
      <c r="O185" s="425">
        <v>3.0430522096411838E-3</v>
      </c>
      <c r="P185" s="425">
        <v>3.7640988450572399E-3</v>
      </c>
      <c r="Q185" s="421">
        <v>3.4078629541966499E-3</v>
      </c>
      <c r="R185" s="425">
        <v>3.2568851562181644E-3</v>
      </c>
      <c r="S185" s="425">
        <v>2.5794023241776654E-3</v>
      </c>
      <c r="T185" s="425">
        <v>2.5334507013409668E-2</v>
      </c>
      <c r="U185" s="425">
        <v>2.7653164841937306E-3</v>
      </c>
      <c r="V185" s="425">
        <v>2.7067968269923193E-3</v>
      </c>
      <c r="W185" s="425">
        <v>3.2378382857088106E-3</v>
      </c>
      <c r="X185" s="425">
        <v>6.4146465259912466E-3</v>
      </c>
      <c r="Y185" s="425">
        <v>3.0291377697486688E-3</v>
      </c>
      <c r="Z185" s="425">
        <v>3.169076567983875E-3</v>
      </c>
      <c r="AA185" s="425">
        <v>1.8190471389050722E-3</v>
      </c>
      <c r="AB185" s="425">
        <v>2.9938078343996199E-3</v>
      </c>
      <c r="AC185" s="425">
        <v>3.2416254367603758E-3</v>
      </c>
      <c r="AD185" s="425">
        <v>3.3281850004377445E-3</v>
      </c>
      <c r="AE185" s="425">
        <v>2.6388215592973996E-3</v>
      </c>
      <c r="AF185" s="425">
        <v>3.4470443116146054E-3</v>
      </c>
      <c r="AG185" s="421">
        <v>2.9307980914171083E-3</v>
      </c>
      <c r="AH185" s="425"/>
      <c r="AI185" s="281">
        <f t="shared" si="45"/>
        <v>3.9973871964567266E-3</v>
      </c>
      <c r="AJ185" s="6"/>
    </row>
    <row r="186" spans="1:36" x14ac:dyDescent="0.25">
      <c r="B186" s="1" t="s">
        <v>111</v>
      </c>
      <c r="C186" s="1"/>
      <c r="D186" s="422">
        <v>0.88236947767427742</v>
      </c>
      <c r="E186" s="422">
        <v>0.88987224423948885</v>
      </c>
      <c r="F186" s="422">
        <v>0.88899176627617149</v>
      </c>
      <c r="G186" s="422">
        <v>0.87877853015879881</v>
      </c>
      <c r="H186" s="422">
        <v>0.87494483622807084</v>
      </c>
      <c r="I186" s="422">
        <v>0.87575291777723685</v>
      </c>
      <c r="J186" s="422">
        <v>0.82162714222320632</v>
      </c>
      <c r="K186" s="422">
        <v>0.83756798810594879</v>
      </c>
      <c r="L186" s="422">
        <v>0.84467929592704316</v>
      </c>
      <c r="M186" s="422">
        <v>0.85303617966149459</v>
      </c>
      <c r="N186" s="422">
        <v>0.84861469289128288</v>
      </c>
      <c r="O186" s="422">
        <v>0.84706077860068674</v>
      </c>
      <c r="P186" s="422">
        <v>0.83817456476661223</v>
      </c>
      <c r="Q186" s="421">
        <v>0.8395670727007869</v>
      </c>
      <c r="R186" s="422">
        <v>0.85080413919530085</v>
      </c>
      <c r="S186" s="422">
        <v>0.85335990584961507</v>
      </c>
      <c r="T186" s="422">
        <v>0.78057133659231281</v>
      </c>
      <c r="U186" s="422">
        <v>0.85466165952559148</v>
      </c>
      <c r="V186" s="422">
        <v>0.84904535005281689</v>
      </c>
      <c r="W186" s="422">
        <v>0.84924941148979327</v>
      </c>
      <c r="X186" s="422">
        <v>0.85582245791927081</v>
      </c>
      <c r="Y186" s="422">
        <v>0.86334020088496477</v>
      </c>
      <c r="Z186" s="422">
        <v>0.84724463349547485</v>
      </c>
      <c r="AA186" s="422">
        <v>0.85622991994703734</v>
      </c>
      <c r="AB186" s="422">
        <v>0.85804926191958208</v>
      </c>
      <c r="AC186" s="422">
        <v>0.85051684590830046</v>
      </c>
      <c r="AD186" s="422">
        <v>0.84176415896246781</v>
      </c>
      <c r="AE186" s="422">
        <v>0.83951065421212911</v>
      </c>
      <c r="AF186" s="422">
        <v>0.82947141427377624</v>
      </c>
      <c r="AG186" s="421">
        <v>0.83713489650761463</v>
      </c>
      <c r="AH186" s="422"/>
      <c r="AI186" s="281">
        <f t="shared" si="45"/>
        <v>0.85126045779890513</v>
      </c>
      <c r="AJ186" s="6"/>
    </row>
    <row r="187" spans="1:36" x14ac:dyDescent="0.25">
      <c r="B187" s="5" t="s">
        <v>109</v>
      </c>
      <c r="C187" s="1" t="s">
        <v>59</v>
      </c>
      <c r="D187" s="420">
        <v>406.38651162110091</v>
      </c>
      <c r="E187" s="420">
        <v>382.65036047730371</v>
      </c>
      <c r="F187" s="420">
        <v>380.99480948161926</v>
      </c>
      <c r="G187" s="420">
        <v>369.9028908735321</v>
      </c>
      <c r="H187" s="420">
        <v>367.3790744861376</v>
      </c>
      <c r="I187" s="420">
        <v>385.93154199375874</v>
      </c>
      <c r="J187" s="420">
        <v>278.56640441655782</v>
      </c>
      <c r="K187" s="420">
        <v>338.54388064501188</v>
      </c>
      <c r="L187" s="420">
        <v>375.32540036226931</v>
      </c>
      <c r="M187" s="420">
        <v>349.73581620263451</v>
      </c>
      <c r="N187" s="420">
        <v>351.36204378970945</v>
      </c>
      <c r="O187" s="420">
        <v>371.52806168794609</v>
      </c>
      <c r="P187" s="420">
        <v>286.60097908144519</v>
      </c>
      <c r="Q187" s="419">
        <v>283.07090007584463</v>
      </c>
      <c r="R187" s="420">
        <v>359.84624511245266</v>
      </c>
      <c r="S187" s="420">
        <v>325.83815065837638</v>
      </c>
      <c r="T187" s="420">
        <v>337.6977464359536</v>
      </c>
      <c r="U187" s="420">
        <v>351.11479092848026</v>
      </c>
      <c r="V187" s="420">
        <v>315.02771367856457</v>
      </c>
      <c r="W187" s="420">
        <v>301.81790336913468</v>
      </c>
      <c r="X187" s="420">
        <v>333.54499403067496</v>
      </c>
      <c r="Y187" s="420">
        <v>376.50735700138603</v>
      </c>
      <c r="Z187" s="420">
        <v>397.71558593316001</v>
      </c>
      <c r="AA187" s="420">
        <v>421.70674214269081</v>
      </c>
      <c r="AB187" s="420">
        <v>403.4547860575866</v>
      </c>
      <c r="AC187" s="420">
        <v>401.82353864989943</v>
      </c>
      <c r="AD187" s="420">
        <v>394.95233928065136</v>
      </c>
      <c r="AE187" s="420">
        <v>380.9265664802345</v>
      </c>
      <c r="AF187" s="420">
        <v>315.12920193568254</v>
      </c>
      <c r="AG187" s="419">
        <v>261.36102756002867</v>
      </c>
      <c r="AH187" s="420"/>
      <c r="AI187" s="3">
        <f t="shared" ref="AI187" si="46">SUM(D187:AH187)</f>
        <v>10606.443364449828</v>
      </c>
      <c r="AJ187" s="6"/>
    </row>
    <row r="188" spans="1:36" x14ac:dyDescent="0.25">
      <c r="B188" s="5" t="s">
        <v>213</v>
      </c>
      <c r="C188" s="409" t="s">
        <v>148</v>
      </c>
      <c r="D188" s="187">
        <v>32.22</v>
      </c>
      <c r="E188" s="187">
        <v>30.99</v>
      </c>
      <c r="F188" s="187">
        <v>30.54</v>
      </c>
      <c r="G188" s="187">
        <v>32.49</v>
      </c>
      <c r="H188" s="187">
        <v>33.46</v>
      </c>
      <c r="I188" s="187">
        <v>33.6</v>
      </c>
      <c r="J188" s="187">
        <v>33.619999999999997</v>
      </c>
      <c r="K188" s="187">
        <v>34.619999999999997</v>
      </c>
      <c r="L188" s="187">
        <v>33.520000000000003</v>
      </c>
      <c r="M188" s="187">
        <v>31.5</v>
      </c>
      <c r="N188" s="187">
        <v>32.58</v>
      </c>
      <c r="O188" s="187">
        <v>32.93</v>
      </c>
      <c r="P188" s="187">
        <v>33.450000000000003</v>
      </c>
      <c r="Q188" s="427">
        <v>33.450000000000003</v>
      </c>
      <c r="R188" s="187">
        <v>31.96</v>
      </c>
      <c r="S188" s="187">
        <v>31.74</v>
      </c>
      <c r="T188" s="187">
        <v>28.75</v>
      </c>
      <c r="U188" s="187">
        <v>31.49</v>
      </c>
      <c r="V188" s="187">
        <v>32.43</v>
      </c>
      <c r="W188" s="187">
        <v>31.84</v>
      </c>
      <c r="X188" s="187">
        <v>28.28</v>
      </c>
      <c r="Y188" s="187">
        <v>29.71</v>
      </c>
      <c r="Z188" s="187">
        <v>32.950000000000003</v>
      </c>
      <c r="AA188" s="187">
        <v>32.090000000000003</v>
      </c>
      <c r="AB188" s="187">
        <v>30.93</v>
      </c>
      <c r="AC188" s="187">
        <v>32.270000000000003</v>
      </c>
      <c r="AD188" s="187">
        <v>33.93</v>
      </c>
      <c r="AE188" s="424">
        <v>34.76</v>
      </c>
      <c r="AF188" s="187">
        <v>35.76</v>
      </c>
      <c r="AG188" s="427">
        <v>34.15</v>
      </c>
      <c r="AH188" s="187"/>
      <c r="AI188" s="234">
        <f>AVERAGE(D188:AH188)</f>
        <v>32.400333333333329</v>
      </c>
      <c r="AJ188" s="6"/>
    </row>
    <row r="189" spans="1:36" ht="15.75" x14ac:dyDescent="0.25">
      <c r="B189" s="388" t="s">
        <v>100</v>
      </c>
      <c r="C189" s="1" t="s">
        <v>59</v>
      </c>
      <c r="D189" s="222"/>
      <c r="E189" s="222"/>
      <c r="F189" s="222"/>
      <c r="G189" s="222"/>
      <c r="H189" s="222"/>
      <c r="I189" s="222"/>
      <c r="J189" s="222">
        <v>8</v>
      </c>
      <c r="K189" s="222"/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>
        <v>5</v>
      </c>
      <c r="Y189" s="222"/>
      <c r="Z189" s="222"/>
      <c r="AA189" s="222"/>
      <c r="AB189" s="222"/>
      <c r="AC189" s="222"/>
      <c r="AD189" s="222"/>
      <c r="AE189" s="222"/>
      <c r="AF189" s="222"/>
      <c r="AG189" s="222"/>
      <c r="AH189" s="222"/>
      <c r="AI189" s="13">
        <f t="shared" ref="AI189:AI194" si="47">SUM(D189:AH189)</f>
        <v>13</v>
      </c>
      <c r="AJ189" s="6"/>
    </row>
    <row r="190" spans="1:36" ht="15.75" x14ac:dyDescent="0.25">
      <c r="B190" s="388" t="s">
        <v>101</v>
      </c>
      <c r="C190" s="1" t="s">
        <v>59</v>
      </c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  <c r="AF190" s="222"/>
      <c r="AG190" s="222"/>
      <c r="AH190" s="222"/>
      <c r="AI190" s="13">
        <f t="shared" si="47"/>
        <v>0</v>
      </c>
      <c r="AJ190" s="6"/>
    </row>
    <row r="191" spans="1:36" ht="15.75" x14ac:dyDescent="0.25">
      <c r="B191" s="388" t="s">
        <v>102</v>
      </c>
      <c r="C191" s="1" t="s">
        <v>59</v>
      </c>
      <c r="D191" s="222"/>
      <c r="E191" s="222"/>
      <c r="F191" s="222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>
        <v>33</v>
      </c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  <c r="AF191" s="222"/>
      <c r="AG191" s="222"/>
      <c r="AH191" s="222"/>
      <c r="AI191" s="13">
        <f t="shared" si="47"/>
        <v>33</v>
      </c>
      <c r="AJ191" s="6"/>
    </row>
    <row r="192" spans="1:36" ht="15.75" x14ac:dyDescent="0.25">
      <c r="B192" s="388" t="s">
        <v>103</v>
      </c>
      <c r="C192" s="1" t="s">
        <v>59</v>
      </c>
      <c r="D192" s="222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  <c r="AF192" s="222"/>
      <c r="AG192" s="222"/>
      <c r="AH192" s="222"/>
      <c r="AI192" s="13">
        <f t="shared" si="47"/>
        <v>0</v>
      </c>
      <c r="AJ192" s="6"/>
    </row>
    <row r="193" spans="1:36" x14ac:dyDescent="0.25">
      <c r="B193" s="5" t="s">
        <v>218</v>
      </c>
      <c r="C193" s="1" t="s">
        <v>59</v>
      </c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  <c r="AF193" s="222"/>
      <c r="AG193" s="222"/>
      <c r="AH193" s="222"/>
      <c r="AI193" s="13">
        <f t="shared" si="47"/>
        <v>0</v>
      </c>
      <c r="AJ193" s="6"/>
    </row>
    <row r="194" spans="1:36" x14ac:dyDescent="0.25">
      <c r="B194" s="5" t="s">
        <v>86</v>
      </c>
      <c r="C194" s="1" t="s">
        <v>59</v>
      </c>
      <c r="D194" s="222">
        <f t="shared" ref="D194:E194" si="48">+SUM(D189:D193)</f>
        <v>0</v>
      </c>
      <c r="E194" s="222">
        <f t="shared" si="48"/>
        <v>0</v>
      </c>
      <c r="F194" s="222">
        <f t="shared" ref="F194:G194" si="49">+SUM(F189:F193)</f>
        <v>0</v>
      </c>
      <c r="G194" s="222">
        <f t="shared" si="49"/>
        <v>0</v>
      </c>
      <c r="H194" s="222">
        <f t="shared" ref="H194:AH194" si="50">+SUM(H189:H193)</f>
        <v>0</v>
      </c>
      <c r="I194" s="222">
        <f t="shared" si="50"/>
        <v>0</v>
      </c>
      <c r="J194" s="222">
        <f t="shared" si="50"/>
        <v>8</v>
      </c>
      <c r="K194" s="222">
        <f t="shared" si="50"/>
        <v>0</v>
      </c>
      <c r="L194" s="222">
        <f t="shared" si="50"/>
        <v>0</v>
      </c>
      <c r="M194" s="222">
        <f t="shared" si="50"/>
        <v>0</v>
      </c>
      <c r="N194" s="222">
        <f t="shared" si="50"/>
        <v>0</v>
      </c>
      <c r="O194" s="222">
        <f t="shared" si="50"/>
        <v>0</v>
      </c>
      <c r="P194" s="222">
        <f t="shared" si="50"/>
        <v>0</v>
      </c>
      <c r="Q194" s="222">
        <f t="shared" si="50"/>
        <v>0</v>
      </c>
      <c r="R194" s="222">
        <f t="shared" si="50"/>
        <v>0</v>
      </c>
      <c r="S194" s="222">
        <f t="shared" si="50"/>
        <v>0</v>
      </c>
      <c r="T194" s="222">
        <f t="shared" si="50"/>
        <v>33</v>
      </c>
      <c r="U194" s="222">
        <f t="shared" si="50"/>
        <v>0</v>
      </c>
      <c r="V194" s="222">
        <f t="shared" si="50"/>
        <v>0</v>
      </c>
      <c r="W194" s="222">
        <f t="shared" si="50"/>
        <v>0</v>
      </c>
      <c r="X194" s="222">
        <f t="shared" si="50"/>
        <v>5</v>
      </c>
      <c r="Y194" s="222">
        <f t="shared" si="50"/>
        <v>0</v>
      </c>
      <c r="Z194" s="222">
        <f t="shared" si="50"/>
        <v>0</v>
      </c>
      <c r="AA194" s="222">
        <f t="shared" si="50"/>
        <v>0</v>
      </c>
      <c r="AB194" s="222">
        <f t="shared" si="50"/>
        <v>0</v>
      </c>
      <c r="AC194" s="222">
        <f t="shared" si="50"/>
        <v>0</v>
      </c>
      <c r="AD194" s="222">
        <f t="shared" si="50"/>
        <v>0</v>
      </c>
      <c r="AE194" s="222">
        <f t="shared" si="50"/>
        <v>0</v>
      </c>
      <c r="AF194" s="222">
        <f t="shared" si="50"/>
        <v>0</v>
      </c>
      <c r="AG194" s="222">
        <f t="shared" si="50"/>
        <v>0</v>
      </c>
      <c r="AH194" s="222">
        <f t="shared" si="50"/>
        <v>0</v>
      </c>
      <c r="AI194" s="13">
        <f t="shared" si="47"/>
        <v>46</v>
      </c>
      <c r="AJ194" s="6"/>
    </row>
    <row r="195" spans="1:36" x14ac:dyDescent="0.25">
      <c r="B195" s="5" t="s">
        <v>86</v>
      </c>
      <c r="C195" s="1" t="s">
        <v>59</v>
      </c>
      <c r="D195" s="221">
        <f>D194/62/24</f>
        <v>0</v>
      </c>
      <c r="E195" s="221">
        <f t="shared" ref="E195:J195" si="51">E194/62/24</f>
        <v>0</v>
      </c>
      <c r="F195" s="221">
        <f t="shared" si="51"/>
        <v>0</v>
      </c>
      <c r="G195" s="221">
        <f t="shared" si="51"/>
        <v>0</v>
      </c>
      <c r="H195" s="221">
        <f t="shared" si="51"/>
        <v>0</v>
      </c>
      <c r="I195" s="221">
        <f t="shared" si="51"/>
        <v>0</v>
      </c>
      <c r="J195" s="221">
        <f t="shared" si="51"/>
        <v>5.3763440860215049E-3</v>
      </c>
      <c r="K195" s="221">
        <f t="shared" ref="K195:N195" si="52">+K194/248/24</f>
        <v>0</v>
      </c>
      <c r="L195" s="221">
        <f t="shared" si="52"/>
        <v>0</v>
      </c>
      <c r="M195" s="221">
        <f t="shared" si="52"/>
        <v>0</v>
      </c>
      <c r="N195" s="221">
        <f t="shared" si="52"/>
        <v>0</v>
      </c>
      <c r="O195" s="221">
        <f>+O194/62/24</f>
        <v>0</v>
      </c>
      <c r="P195" s="221">
        <f t="shared" ref="P195:AH195" si="53">+P194/62/24</f>
        <v>0</v>
      </c>
      <c r="Q195" s="221">
        <f t="shared" si="53"/>
        <v>0</v>
      </c>
      <c r="R195" s="221">
        <f t="shared" si="53"/>
        <v>0</v>
      </c>
      <c r="S195" s="221">
        <f t="shared" si="53"/>
        <v>0</v>
      </c>
      <c r="T195" s="221">
        <f t="shared" si="53"/>
        <v>2.2177419354838707E-2</v>
      </c>
      <c r="U195" s="221">
        <f t="shared" si="53"/>
        <v>0</v>
      </c>
      <c r="V195" s="221">
        <f t="shared" si="53"/>
        <v>0</v>
      </c>
      <c r="W195" s="221">
        <f t="shared" si="53"/>
        <v>0</v>
      </c>
      <c r="X195" s="221">
        <f t="shared" si="53"/>
        <v>3.3602150537634409E-3</v>
      </c>
      <c r="Y195" s="221">
        <f t="shared" si="53"/>
        <v>0</v>
      </c>
      <c r="Z195" s="221">
        <f t="shared" si="53"/>
        <v>0</v>
      </c>
      <c r="AA195" s="221">
        <f t="shared" si="53"/>
        <v>0</v>
      </c>
      <c r="AB195" s="221">
        <f t="shared" si="53"/>
        <v>0</v>
      </c>
      <c r="AC195" s="221">
        <f t="shared" si="53"/>
        <v>0</v>
      </c>
      <c r="AD195" s="221">
        <f t="shared" si="53"/>
        <v>0</v>
      </c>
      <c r="AE195" s="221">
        <f t="shared" si="53"/>
        <v>0</v>
      </c>
      <c r="AF195" s="221">
        <f t="shared" si="53"/>
        <v>0</v>
      </c>
      <c r="AG195" s="221">
        <f t="shared" si="53"/>
        <v>0</v>
      </c>
      <c r="AH195" s="221">
        <f t="shared" si="53"/>
        <v>0</v>
      </c>
      <c r="AI195" s="13">
        <f>AVERAGE(D195:AE195)</f>
        <v>1.1040706605222733E-3</v>
      </c>
      <c r="AJ195" s="6"/>
    </row>
    <row r="196" spans="1:36" x14ac:dyDescent="0.25">
      <c r="B196" s="5" t="s">
        <v>116</v>
      </c>
      <c r="C196" s="1" t="s">
        <v>60</v>
      </c>
      <c r="D196" s="423">
        <f t="shared" ref="D196:H196" si="54">+D183-D184-D195</f>
        <v>2.9479244765463486E-3</v>
      </c>
      <c r="E196" s="423">
        <f t="shared" si="54"/>
        <v>2.4531992454998042E-3</v>
      </c>
      <c r="F196" s="423">
        <f t="shared" si="54"/>
        <v>3.3567268021634789E-3</v>
      </c>
      <c r="G196" s="423">
        <f t="shared" si="54"/>
        <v>3.2949535440403854E-3</v>
      </c>
      <c r="H196" s="423">
        <f t="shared" si="54"/>
        <v>2.9429264019741885E-3</v>
      </c>
      <c r="I196" s="423">
        <f>+I183-I184-I195</f>
        <v>2.6421653183862359E-3</v>
      </c>
      <c r="J196" s="423">
        <f>+J183-J184-J195</f>
        <v>1.7247341509125059E-3</v>
      </c>
      <c r="K196" s="423">
        <f t="shared" ref="K196:AH196" si="55">+K183-K184-K195</f>
        <v>3.0536832291746252E-3</v>
      </c>
      <c r="L196" s="423">
        <f t="shared" si="55"/>
        <v>2.9068550821702566E-3</v>
      </c>
      <c r="M196" s="423">
        <f t="shared" si="55"/>
        <v>3.1826721791898827E-3</v>
      </c>
      <c r="N196" s="423">
        <f t="shared" si="55"/>
        <v>2.9314810414714232E-3</v>
      </c>
      <c r="O196" s="423">
        <f t="shared" si="55"/>
        <v>3.0430522096411838E-3</v>
      </c>
      <c r="P196" s="423">
        <f t="shared" si="55"/>
        <v>3.7640988450572399E-3</v>
      </c>
      <c r="Q196" s="423">
        <f t="shared" si="55"/>
        <v>3.4078629541966499E-3</v>
      </c>
      <c r="R196" s="423">
        <f t="shared" si="55"/>
        <v>3.2568851562181644E-3</v>
      </c>
      <c r="S196" s="423">
        <f t="shared" si="55"/>
        <v>2.5794023241776654E-3</v>
      </c>
      <c r="T196" s="423">
        <f t="shared" si="55"/>
        <v>3.157087658570961E-3</v>
      </c>
      <c r="U196" s="423">
        <f t="shared" si="55"/>
        <v>2.7653164841937306E-3</v>
      </c>
      <c r="V196" s="423">
        <f t="shared" si="55"/>
        <v>2.7067968269923193E-3</v>
      </c>
      <c r="W196" s="423">
        <f t="shared" si="55"/>
        <v>3.2378382857088106E-3</v>
      </c>
      <c r="X196" s="423">
        <f t="shared" si="55"/>
        <v>3.0544314722278057E-3</v>
      </c>
      <c r="Y196" s="423">
        <f t="shared" si="55"/>
        <v>3.0291377697486688E-3</v>
      </c>
      <c r="Z196" s="423">
        <f t="shared" si="55"/>
        <v>3.169076567983875E-3</v>
      </c>
      <c r="AA196" s="423">
        <f t="shared" si="55"/>
        <v>1.8190471389050722E-3</v>
      </c>
      <c r="AB196" s="423">
        <f t="shared" si="55"/>
        <v>2.9938078343996199E-3</v>
      </c>
      <c r="AC196" s="423">
        <f t="shared" si="55"/>
        <v>3.2416254367603758E-3</v>
      </c>
      <c r="AD196" s="423">
        <f t="shared" si="55"/>
        <v>3.3281850004377445E-3</v>
      </c>
      <c r="AE196" s="423">
        <f t="shared" si="55"/>
        <v>2.6388215592973996E-3</v>
      </c>
      <c r="AF196" s="423">
        <f t="shared" si="55"/>
        <v>3.4470443116146054E-3</v>
      </c>
      <c r="AG196" s="423">
        <f t="shared" si="55"/>
        <v>2.9307980914171083E-3</v>
      </c>
      <c r="AH196" s="423">
        <f t="shared" si="55"/>
        <v>0</v>
      </c>
      <c r="AI196" s="224">
        <f>AVERAGE(D196:AE196)</f>
        <v>2.9510641070016582E-3</v>
      </c>
      <c r="AJ196" s="6"/>
    </row>
    <row r="198" spans="1:36" x14ac:dyDescent="0.25">
      <c r="B198" s="126" t="s">
        <v>292</v>
      </c>
      <c r="C198" s="306" t="s">
        <v>122</v>
      </c>
      <c r="D198" s="308">
        <f>IF(D181&gt;1,1,0)</f>
        <v>1</v>
      </c>
      <c r="E198" s="308">
        <f t="shared" ref="E198:AH198" si="56">IF(E181&gt;1,1,0)</f>
        <v>1</v>
      </c>
      <c r="F198" s="308">
        <f t="shared" si="56"/>
        <v>1</v>
      </c>
      <c r="G198" s="308">
        <f t="shared" si="56"/>
        <v>1</v>
      </c>
      <c r="H198" s="308">
        <f t="shared" si="56"/>
        <v>1</v>
      </c>
      <c r="I198" s="308">
        <f t="shared" si="56"/>
        <v>1</v>
      </c>
      <c r="J198" s="308">
        <f t="shared" si="56"/>
        <v>1</v>
      </c>
      <c r="K198" s="308">
        <f t="shared" si="56"/>
        <v>1</v>
      </c>
      <c r="L198" s="308">
        <f t="shared" si="56"/>
        <v>1</v>
      </c>
      <c r="M198" s="308">
        <f t="shared" si="56"/>
        <v>1</v>
      </c>
      <c r="N198" s="308">
        <f t="shared" si="56"/>
        <v>1</v>
      </c>
      <c r="O198" s="308">
        <f t="shared" si="56"/>
        <v>1</v>
      </c>
      <c r="P198" s="308">
        <f t="shared" si="56"/>
        <v>1</v>
      </c>
      <c r="Q198" s="308">
        <f t="shared" si="56"/>
        <v>1</v>
      </c>
      <c r="R198" s="308">
        <f t="shared" si="56"/>
        <v>1</v>
      </c>
      <c r="S198" s="308">
        <f t="shared" si="56"/>
        <v>1</v>
      </c>
      <c r="T198" s="308">
        <f t="shared" si="56"/>
        <v>1</v>
      </c>
      <c r="U198" s="308">
        <f t="shared" si="56"/>
        <v>1</v>
      </c>
      <c r="V198" s="308">
        <f t="shared" si="56"/>
        <v>1</v>
      </c>
      <c r="W198" s="308">
        <f t="shared" si="56"/>
        <v>1</v>
      </c>
      <c r="X198" s="308">
        <f t="shared" si="56"/>
        <v>1</v>
      </c>
      <c r="Y198" s="308">
        <f t="shared" si="56"/>
        <v>1</v>
      </c>
      <c r="Z198" s="308">
        <f t="shared" si="56"/>
        <v>1</v>
      </c>
      <c r="AA198" s="308">
        <f t="shared" si="56"/>
        <v>1</v>
      </c>
      <c r="AB198" s="308">
        <f t="shared" si="56"/>
        <v>1</v>
      </c>
      <c r="AC198" s="308">
        <f t="shared" si="56"/>
        <v>1</v>
      </c>
      <c r="AD198" s="308">
        <f t="shared" si="56"/>
        <v>1</v>
      </c>
      <c r="AE198" s="308">
        <f t="shared" si="56"/>
        <v>1</v>
      </c>
      <c r="AF198" s="308">
        <f t="shared" si="56"/>
        <v>1</v>
      </c>
      <c r="AG198" s="308">
        <f t="shared" si="56"/>
        <v>1</v>
      </c>
      <c r="AH198" s="308">
        <f t="shared" si="56"/>
        <v>0</v>
      </c>
      <c r="AI198" s="314">
        <f t="shared" ref="AI198" si="57">SUM(D198:AH198)</f>
        <v>30</v>
      </c>
    </row>
    <row r="200" spans="1:36" x14ac:dyDescent="0.25">
      <c r="AI200" s="346">
        <f>AI159+AI96</f>
        <v>159263.99999999997</v>
      </c>
    </row>
    <row r="202" spans="1:36" x14ac:dyDescent="0.25">
      <c r="A202" t="s">
        <v>31</v>
      </c>
      <c r="D202" s="187">
        <v>1</v>
      </c>
      <c r="E202" s="187">
        <v>2</v>
      </c>
      <c r="F202" s="187">
        <v>3</v>
      </c>
      <c r="G202" s="187">
        <v>4</v>
      </c>
      <c r="H202" s="187">
        <v>5</v>
      </c>
      <c r="I202" s="187">
        <v>6</v>
      </c>
      <c r="J202" s="187">
        <v>7</v>
      </c>
      <c r="K202" s="187">
        <v>8</v>
      </c>
      <c r="L202" s="187">
        <v>9</v>
      </c>
      <c r="M202" s="187">
        <v>10</v>
      </c>
      <c r="N202" s="187">
        <v>11</v>
      </c>
      <c r="O202" s="187">
        <v>12</v>
      </c>
      <c r="P202" s="187">
        <v>13</v>
      </c>
      <c r="Q202" s="187">
        <v>14</v>
      </c>
      <c r="R202" s="187">
        <v>15</v>
      </c>
      <c r="S202" s="187">
        <v>16</v>
      </c>
      <c r="T202" s="187">
        <v>17</v>
      </c>
      <c r="U202" s="187">
        <v>18</v>
      </c>
      <c r="V202" s="187">
        <v>19</v>
      </c>
      <c r="W202" s="187">
        <v>20</v>
      </c>
      <c r="X202" s="187">
        <v>21</v>
      </c>
      <c r="Y202" s="187">
        <v>22</v>
      </c>
      <c r="Z202" s="187">
        <v>23</v>
      </c>
      <c r="AA202" s="187">
        <v>24</v>
      </c>
      <c r="AB202" s="187">
        <v>25</v>
      </c>
      <c r="AC202" s="187">
        <v>26</v>
      </c>
      <c r="AD202" s="187">
        <v>27</v>
      </c>
      <c r="AE202" s="187">
        <v>28</v>
      </c>
      <c r="AF202" s="187">
        <v>29</v>
      </c>
      <c r="AG202" s="187">
        <v>30</v>
      </c>
      <c r="AH202" s="187">
        <v>31</v>
      </c>
      <c r="AI202" s="187"/>
      <c r="AJ202" s="6"/>
    </row>
    <row r="203" spans="1:36" x14ac:dyDescent="0.25">
      <c r="B203" s="21" t="s">
        <v>5</v>
      </c>
      <c r="C203" s="1" t="s">
        <v>6</v>
      </c>
      <c r="D203" s="419">
        <f>D78</f>
        <v>314.79998999999998</v>
      </c>
      <c r="E203" s="419">
        <f t="shared" ref="E203:AG211" si="58">E78</f>
        <v>332.39999</v>
      </c>
      <c r="F203" s="419">
        <f t="shared" si="58"/>
        <v>325.20001000000002</v>
      </c>
      <c r="G203" s="419">
        <f t="shared" si="58"/>
        <v>322.10001</v>
      </c>
      <c r="H203" s="419">
        <f t="shared" si="58"/>
        <v>262.5</v>
      </c>
      <c r="I203" s="419">
        <f t="shared" si="58"/>
        <v>234.5</v>
      </c>
      <c r="J203" s="419">
        <f t="shared" si="58"/>
        <v>274.39999</v>
      </c>
      <c r="K203" s="419">
        <f t="shared" si="58"/>
        <v>324.60001</v>
      </c>
      <c r="L203" s="419">
        <f t="shared" si="58"/>
        <v>333.89999</v>
      </c>
      <c r="M203" s="419">
        <f t="shared" si="58"/>
        <v>321.89999</v>
      </c>
      <c r="N203" s="419">
        <f t="shared" si="58"/>
        <v>309.5</v>
      </c>
      <c r="O203" s="419">
        <f t="shared" si="58"/>
        <v>289.79998999999998</v>
      </c>
      <c r="P203" s="419">
        <f t="shared" si="58"/>
        <v>301.70001000000002</v>
      </c>
      <c r="Q203" s="419">
        <f t="shared" si="58"/>
        <v>279.39999</v>
      </c>
      <c r="R203" s="419">
        <f t="shared" si="58"/>
        <v>266</v>
      </c>
      <c r="S203" s="419">
        <f t="shared" si="58"/>
        <v>219.39999</v>
      </c>
      <c r="T203" s="419">
        <f t="shared" si="58"/>
        <v>267</v>
      </c>
      <c r="U203" s="419">
        <f t="shared" si="58"/>
        <v>301</v>
      </c>
      <c r="V203" s="419">
        <f t="shared" si="58"/>
        <v>308</v>
      </c>
      <c r="W203" s="419">
        <f t="shared" si="58"/>
        <v>156.5</v>
      </c>
      <c r="X203" s="419">
        <f t="shared" si="58"/>
        <v>278.70001000000002</v>
      </c>
      <c r="Y203" s="419">
        <f t="shared" si="58"/>
        <v>285</v>
      </c>
      <c r="Z203" s="419">
        <f t="shared" si="58"/>
        <v>236.89999</v>
      </c>
      <c r="AA203" s="419">
        <f t="shared" si="58"/>
        <v>342.39999</v>
      </c>
      <c r="AB203" s="419">
        <f t="shared" si="58"/>
        <v>329.60001</v>
      </c>
      <c r="AC203" s="419">
        <f t="shared" si="58"/>
        <v>308.20001000000002</v>
      </c>
      <c r="AD203" s="419">
        <f t="shared" si="58"/>
        <v>276.89999</v>
      </c>
      <c r="AE203" s="419">
        <f t="shared" si="58"/>
        <v>233.5</v>
      </c>
      <c r="AF203" s="419">
        <f t="shared" si="58"/>
        <v>194.3</v>
      </c>
      <c r="AG203" s="419">
        <f t="shared" si="58"/>
        <v>237.39999</v>
      </c>
      <c r="AH203" s="419"/>
      <c r="AI203" s="420">
        <f>+SUM(D203:AH203)</f>
        <v>8467.4999499999994</v>
      </c>
    </row>
    <row r="204" spans="1:36" x14ac:dyDescent="0.25">
      <c r="B204" s="21" t="s">
        <v>7</v>
      </c>
      <c r="C204" s="1" t="s">
        <v>6</v>
      </c>
      <c r="D204" s="419">
        <f t="shared" ref="D204:S219" si="59">D79</f>
        <v>188.60001</v>
      </c>
      <c r="E204" s="419">
        <f t="shared" si="58"/>
        <v>332.70001000000002</v>
      </c>
      <c r="F204" s="419">
        <f t="shared" si="58"/>
        <v>328.5</v>
      </c>
      <c r="G204" s="419">
        <f t="shared" si="58"/>
        <v>324.20001000000002</v>
      </c>
      <c r="H204" s="419">
        <f t="shared" si="58"/>
        <v>264.29998999999998</v>
      </c>
      <c r="I204" s="419">
        <f t="shared" si="58"/>
        <v>235.7</v>
      </c>
      <c r="J204" s="419">
        <f t="shared" si="58"/>
        <v>253.89999</v>
      </c>
      <c r="K204" s="419">
        <f t="shared" si="58"/>
        <v>326</v>
      </c>
      <c r="L204" s="419">
        <f t="shared" si="58"/>
        <v>336.60001</v>
      </c>
      <c r="M204" s="419">
        <f t="shared" si="58"/>
        <v>322.29998999999998</v>
      </c>
      <c r="N204" s="419">
        <f t="shared" si="58"/>
        <v>308.39999</v>
      </c>
      <c r="O204" s="419">
        <f t="shared" si="58"/>
        <v>291.89999</v>
      </c>
      <c r="P204" s="419">
        <f t="shared" si="58"/>
        <v>303.79998999999998</v>
      </c>
      <c r="Q204" s="419">
        <f t="shared" si="58"/>
        <v>213.60001</v>
      </c>
      <c r="R204" s="419">
        <f t="shared" si="58"/>
        <v>132.60001</v>
      </c>
      <c r="S204" s="419">
        <f t="shared" si="58"/>
        <v>221.2</v>
      </c>
      <c r="T204" s="419">
        <f t="shared" si="58"/>
        <v>266.29998999999998</v>
      </c>
      <c r="U204" s="419">
        <f t="shared" si="58"/>
        <v>302.5</v>
      </c>
      <c r="V204" s="419">
        <f t="shared" si="58"/>
        <v>241</v>
      </c>
      <c r="W204" s="419">
        <f t="shared" si="58"/>
        <v>154.19999999999999</v>
      </c>
      <c r="X204" s="419">
        <f t="shared" si="58"/>
        <v>123.5</v>
      </c>
      <c r="Y204" s="419">
        <f t="shared" si="58"/>
        <v>278</v>
      </c>
      <c r="Z204" s="419">
        <f t="shared" si="58"/>
        <v>232.3</v>
      </c>
      <c r="AA204" s="419">
        <f t="shared" si="58"/>
        <v>342.20001000000002</v>
      </c>
      <c r="AB204" s="419">
        <f t="shared" si="58"/>
        <v>212.3</v>
      </c>
      <c r="AC204" s="419">
        <f t="shared" si="58"/>
        <v>301.39999</v>
      </c>
      <c r="AD204" s="419">
        <f t="shared" si="58"/>
        <v>141.39999</v>
      </c>
      <c r="AE204" s="419">
        <f t="shared" si="58"/>
        <v>234.8</v>
      </c>
      <c r="AF204" s="419">
        <f t="shared" si="58"/>
        <v>191.60001</v>
      </c>
      <c r="AG204" s="419">
        <f t="shared" si="58"/>
        <v>205.2</v>
      </c>
      <c r="AH204" s="419"/>
      <c r="AI204" s="420">
        <f t="shared" ref="AI204:AI225" si="60">+SUM(D204:AH204)</f>
        <v>7610.9999900000012</v>
      </c>
    </row>
    <row r="205" spans="1:36" x14ac:dyDescent="0.25">
      <c r="B205" s="21" t="s">
        <v>8</v>
      </c>
      <c r="C205" s="1" t="s">
        <v>6</v>
      </c>
      <c r="D205" s="419">
        <f t="shared" si="59"/>
        <v>189.3</v>
      </c>
      <c r="E205" s="419">
        <f t="shared" si="58"/>
        <v>328.70001000000002</v>
      </c>
      <c r="F205" s="419">
        <f t="shared" si="58"/>
        <v>326</v>
      </c>
      <c r="G205" s="419">
        <f t="shared" si="58"/>
        <v>318.89999</v>
      </c>
      <c r="H205" s="419">
        <f t="shared" si="58"/>
        <v>261.79998999999998</v>
      </c>
      <c r="I205" s="419">
        <f t="shared" si="58"/>
        <v>234</v>
      </c>
      <c r="J205" s="419">
        <f t="shared" si="58"/>
        <v>256.29998999999998</v>
      </c>
      <c r="K205" s="419">
        <f t="shared" si="58"/>
        <v>321.89999</v>
      </c>
      <c r="L205" s="419">
        <f t="shared" si="58"/>
        <v>332.89999</v>
      </c>
      <c r="M205" s="419">
        <f t="shared" si="58"/>
        <v>317.79998999999998</v>
      </c>
      <c r="N205" s="419">
        <f t="shared" si="58"/>
        <v>304.39999</v>
      </c>
      <c r="O205" s="419">
        <f t="shared" si="58"/>
        <v>288.79998999999998</v>
      </c>
      <c r="P205" s="419">
        <f t="shared" si="58"/>
        <v>299.89999</v>
      </c>
      <c r="Q205" s="419">
        <f t="shared" si="58"/>
        <v>215.60001</v>
      </c>
      <c r="R205" s="419">
        <f t="shared" si="58"/>
        <v>136.10001</v>
      </c>
      <c r="S205" s="419">
        <f t="shared" si="58"/>
        <v>219</v>
      </c>
      <c r="T205" s="419">
        <f t="shared" si="58"/>
        <v>265.5</v>
      </c>
      <c r="U205" s="419">
        <f t="shared" si="58"/>
        <v>299.39999</v>
      </c>
      <c r="V205" s="419">
        <f t="shared" si="58"/>
        <v>243.10001</v>
      </c>
      <c r="W205" s="419">
        <f t="shared" si="58"/>
        <v>154.10001</v>
      </c>
      <c r="X205" s="419">
        <f t="shared" si="58"/>
        <v>137.5</v>
      </c>
      <c r="Y205" s="419">
        <f t="shared" si="58"/>
        <v>274.79998999999998</v>
      </c>
      <c r="Z205" s="419">
        <f t="shared" si="58"/>
        <v>232.39999</v>
      </c>
      <c r="AA205" s="419">
        <f t="shared" si="58"/>
        <v>336.39999</v>
      </c>
      <c r="AB205" s="419">
        <f t="shared" si="58"/>
        <v>211.89999</v>
      </c>
      <c r="AC205" s="419">
        <f t="shared" si="58"/>
        <v>299</v>
      </c>
      <c r="AD205" s="419">
        <f t="shared" si="58"/>
        <v>151.60001</v>
      </c>
      <c r="AE205" s="419">
        <f t="shared" si="58"/>
        <v>230.8</v>
      </c>
      <c r="AF205" s="419">
        <f t="shared" si="58"/>
        <v>192.7</v>
      </c>
      <c r="AG205" s="419">
        <f t="shared" si="58"/>
        <v>209</v>
      </c>
      <c r="AH205" s="419"/>
      <c r="AI205" s="420">
        <f t="shared" si="60"/>
        <v>7589.5999199999987</v>
      </c>
    </row>
    <row r="206" spans="1:36" x14ac:dyDescent="0.25">
      <c r="B206" s="21" t="s">
        <v>9</v>
      </c>
      <c r="C206" s="1" t="s">
        <v>6</v>
      </c>
      <c r="D206" s="419">
        <f t="shared" si="59"/>
        <v>187.2</v>
      </c>
      <c r="E206" s="419">
        <f t="shared" si="58"/>
        <v>326.79998999999998</v>
      </c>
      <c r="F206" s="419">
        <f t="shared" si="58"/>
        <v>323.70001000000002</v>
      </c>
      <c r="G206" s="419">
        <f t="shared" si="58"/>
        <v>317.89999</v>
      </c>
      <c r="H206" s="419">
        <f t="shared" si="58"/>
        <v>260.60001</v>
      </c>
      <c r="I206" s="419">
        <f t="shared" si="58"/>
        <v>232.8</v>
      </c>
      <c r="J206" s="419">
        <f t="shared" si="58"/>
        <v>252.39999</v>
      </c>
      <c r="K206" s="419">
        <f t="shared" si="58"/>
        <v>320.10001</v>
      </c>
      <c r="L206" s="419">
        <f t="shared" si="58"/>
        <v>329.39999</v>
      </c>
      <c r="M206" s="419">
        <f t="shared" si="58"/>
        <v>316.10001</v>
      </c>
      <c r="N206" s="419">
        <f t="shared" si="58"/>
        <v>301.10001</v>
      </c>
      <c r="O206" s="419">
        <f t="shared" si="58"/>
        <v>286</v>
      </c>
      <c r="P206" s="419">
        <f t="shared" si="58"/>
        <v>296.20001000000002</v>
      </c>
      <c r="Q206" s="419">
        <f t="shared" si="58"/>
        <v>212.7</v>
      </c>
      <c r="R206" s="419">
        <f t="shared" si="58"/>
        <v>132.60001</v>
      </c>
      <c r="S206" s="419">
        <f t="shared" si="58"/>
        <v>217</v>
      </c>
      <c r="T206" s="419">
        <f t="shared" si="58"/>
        <v>265.5</v>
      </c>
      <c r="U206" s="419">
        <f t="shared" si="58"/>
        <v>297.5</v>
      </c>
      <c r="V206" s="419">
        <f t="shared" si="58"/>
        <v>240.3</v>
      </c>
      <c r="W206" s="419">
        <f t="shared" si="58"/>
        <v>152.39999</v>
      </c>
      <c r="X206" s="419">
        <f t="shared" si="58"/>
        <v>122.8</v>
      </c>
      <c r="Y206" s="419">
        <f t="shared" si="58"/>
        <v>273.70001000000002</v>
      </c>
      <c r="Z206" s="419">
        <f t="shared" si="58"/>
        <v>231.10001</v>
      </c>
      <c r="AA206" s="419">
        <f t="shared" si="58"/>
        <v>330.79998999999998</v>
      </c>
      <c r="AB206" s="419">
        <f t="shared" si="58"/>
        <v>214.8</v>
      </c>
      <c r="AC206" s="419">
        <f t="shared" si="58"/>
        <v>296.5</v>
      </c>
      <c r="AD206" s="419">
        <f t="shared" si="58"/>
        <v>142.89999</v>
      </c>
      <c r="AE206" s="419">
        <f t="shared" si="58"/>
        <v>229.8</v>
      </c>
      <c r="AF206" s="419">
        <f t="shared" si="58"/>
        <v>189.89999</v>
      </c>
      <c r="AG206" s="419">
        <f t="shared" si="58"/>
        <v>204.7</v>
      </c>
      <c r="AH206" s="419"/>
      <c r="AI206" s="420">
        <f t="shared" si="60"/>
        <v>7505.3000099999999</v>
      </c>
    </row>
    <row r="207" spans="1:36" x14ac:dyDescent="0.25">
      <c r="B207" s="21" t="s">
        <v>10</v>
      </c>
      <c r="C207" s="1" t="s">
        <v>6</v>
      </c>
      <c r="D207" s="419">
        <f t="shared" si="59"/>
        <v>183.39999</v>
      </c>
      <c r="E207" s="419">
        <f t="shared" si="58"/>
        <v>298.29998999999998</v>
      </c>
      <c r="F207" s="419">
        <f t="shared" si="58"/>
        <v>288.29998999999998</v>
      </c>
      <c r="G207" s="419">
        <f t="shared" si="58"/>
        <v>292.70001000000002</v>
      </c>
      <c r="H207" s="419">
        <f t="shared" si="58"/>
        <v>243.3</v>
      </c>
      <c r="I207" s="419">
        <f t="shared" si="58"/>
        <v>218.3</v>
      </c>
      <c r="J207" s="419">
        <f t="shared" si="58"/>
        <v>237.8</v>
      </c>
      <c r="K207" s="419">
        <f t="shared" si="58"/>
        <v>300.5</v>
      </c>
      <c r="L207" s="419">
        <f t="shared" si="58"/>
        <v>311.20001000000002</v>
      </c>
      <c r="M207" s="419">
        <f t="shared" si="58"/>
        <v>294.79998999999998</v>
      </c>
      <c r="N207" s="419">
        <f t="shared" si="58"/>
        <v>283.20001000000002</v>
      </c>
      <c r="O207" s="419">
        <f t="shared" si="58"/>
        <v>268.20001000000002</v>
      </c>
      <c r="P207" s="419">
        <f t="shared" si="58"/>
        <v>277.89999</v>
      </c>
      <c r="Q207" s="419">
        <f t="shared" si="58"/>
        <v>203.8</v>
      </c>
      <c r="R207" s="419">
        <f t="shared" si="58"/>
        <v>126.2</v>
      </c>
      <c r="S207" s="419">
        <f t="shared" si="58"/>
        <v>201.8</v>
      </c>
      <c r="T207" s="419">
        <f t="shared" si="58"/>
        <v>247.10001</v>
      </c>
      <c r="U207" s="419">
        <f t="shared" si="58"/>
        <v>276.10001</v>
      </c>
      <c r="V207" s="419">
        <f t="shared" si="58"/>
        <v>230.3</v>
      </c>
      <c r="W207" s="419">
        <f t="shared" si="58"/>
        <v>141.60001</v>
      </c>
      <c r="X207" s="419">
        <f t="shared" si="58"/>
        <v>120.9</v>
      </c>
      <c r="Y207" s="419">
        <f t="shared" si="58"/>
        <v>255.7</v>
      </c>
      <c r="Z207" s="419">
        <f t="shared" si="58"/>
        <v>216.8</v>
      </c>
      <c r="AA207" s="419">
        <f t="shared" si="58"/>
        <v>314.20001000000002</v>
      </c>
      <c r="AB207" s="419">
        <f t="shared" si="58"/>
        <v>208.2</v>
      </c>
      <c r="AC207" s="419">
        <f t="shared" si="58"/>
        <v>277.79998999999998</v>
      </c>
      <c r="AD207" s="419">
        <f t="shared" si="58"/>
        <v>137.69999999999999</v>
      </c>
      <c r="AE207" s="419">
        <f t="shared" si="58"/>
        <v>214</v>
      </c>
      <c r="AF207" s="419">
        <f t="shared" si="58"/>
        <v>175.7</v>
      </c>
      <c r="AG207" s="419">
        <f t="shared" si="58"/>
        <v>194.7</v>
      </c>
      <c r="AH207" s="419"/>
      <c r="AI207" s="420">
        <f t="shared" si="60"/>
        <v>7040.5000200000004</v>
      </c>
    </row>
    <row r="208" spans="1:36" x14ac:dyDescent="0.25">
      <c r="B208" s="21" t="s">
        <v>11</v>
      </c>
      <c r="C208" s="1" t="s">
        <v>6</v>
      </c>
      <c r="D208" s="419">
        <f t="shared" si="59"/>
        <v>180.8</v>
      </c>
      <c r="E208" s="419">
        <f t="shared" si="58"/>
        <v>292.20001000000002</v>
      </c>
      <c r="F208" s="419">
        <f t="shared" si="58"/>
        <v>295.10001</v>
      </c>
      <c r="G208" s="419">
        <f t="shared" si="58"/>
        <v>288.79998999999998</v>
      </c>
      <c r="H208" s="419">
        <f t="shared" si="58"/>
        <v>237.10001</v>
      </c>
      <c r="I208" s="419">
        <f t="shared" si="58"/>
        <v>213.5</v>
      </c>
      <c r="J208" s="419">
        <f t="shared" si="58"/>
        <v>233.60001</v>
      </c>
      <c r="K208" s="419">
        <f t="shared" si="58"/>
        <v>294.70001000000002</v>
      </c>
      <c r="L208" s="419">
        <f t="shared" si="58"/>
        <v>303.10001</v>
      </c>
      <c r="M208" s="419">
        <f t="shared" si="58"/>
        <v>289</v>
      </c>
      <c r="N208" s="419">
        <f t="shared" si="58"/>
        <v>275.79998999999998</v>
      </c>
      <c r="O208" s="419">
        <f t="shared" si="58"/>
        <v>261.89999</v>
      </c>
      <c r="P208" s="419">
        <f t="shared" si="58"/>
        <v>270.89999</v>
      </c>
      <c r="Q208" s="419">
        <f t="shared" si="58"/>
        <v>200.8</v>
      </c>
      <c r="R208" s="419">
        <f t="shared" si="58"/>
        <v>125.9</v>
      </c>
      <c r="S208" s="419">
        <f t="shared" si="58"/>
        <v>197.89999</v>
      </c>
      <c r="T208" s="419">
        <f t="shared" si="58"/>
        <v>243.2</v>
      </c>
      <c r="U208" s="419">
        <f t="shared" si="58"/>
        <v>270</v>
      </c>
      <c r="V208" s="419">
        <f t="shared" si="58"/>
        <v>227.10001</v>
      </c>
      <c r="W208" s="419">
        <f t="shared" si="58"/>
        <v>138.30000000000001</v>
      </c>
      <c r="X208" s="419">
        <f t="shared" si="58"/>
        <v>119.4</v>
      </c>
      <c r="Y208" s="419">
        <f t="shared" si="58"/>
        <v>249.8</v>
      </c>
      <c r="Z208" s="419">
        <f t="shared" si="58"/>
        <v>212.5</v>
      </c>
      <c r="AA208" s="419">
        <f t="shared" si="58"/>
        <v>303.70001000000002</v>
      </c>
      <c r="AB208" s="419">
        <f t="shared" si="58"/>
        <v>205.60001</v>
      </c>
      <c r="AC208" s="419">
        <f t="shared" si="58"/>
        <v>270.89999</v>
      </c>
      <c r="AD208" s="419">
        <f t="shared" si="58"/>
        <v>136.5</v>
      </c>
      <c r="AE208" s="419">
        <f t="shared" si="58"/>
        <v>208.89999</v>
      </c>
      <c r="AF208" s="419">
        <f t="shared" si="58"/>
        <v>172.3</v>
      </c>
      <c r="AG208" s="419">
        <f t="shared" si="58"/>
        <v>190.8</v>
      </c>
      <c r="AH208" s="419"/>
      <c r="AI208" s="420">
        <f t="shared" si="60"/>
        <v>6910.1000199999999</v>
      </c>
    </row>
    <row r="209" spans="2:35" x14ac:dyDescent="0.25">
      <c r="B209" s="21" t="s">
        <v>12</v>
      </c>
      <c r="C209" s="1" t="s">
        <v>6</v>
      </c>
      <c r="D209" s="419">
        <f t="shared" si="59"/>
        <v>176.3</v>
      </c>
      <c r="E209" s="419">
        <f t="shared" si="58"/>
        <v>272.60001</v>
      </c>
      <c r="F209" s="419">
        <f t="shared" si="58"/>
        <v>283.5</v>
      </c>
      <c r="G209" s="419">
        <f t="shared" si="58"/>
        <v>275.60001</v>
      </c>
      <c r="H209" s="419">
        <f t="shared" si="58"/>
        <v>229.10001</v>
      </c>
      <c r="I209" s="419">
        <f t="shared" si="58"/>
        <v>206.7</v>
      </c>
      <c r="J209" s="419">
        <f t="shared" si="58"/>
        <v>224.39999</v>
      </c>
      <c r="K209" s="419">
        <f t="shared" si="58"/>
        <v>281.89999</v>
      </c>
      <c r="L209" s="419">
        <f t="shared" si="58"/>
        <v>293</v>
      </c>
      <c r="M209" s="419">
        <f t="shared" si="58"/>
        <v>277.60001</v>
      </c>
      <c r="N209" s="419">
        <f t="shared" si="58"/>
        <v>267</v>
      </c>
      <c r="O209" s="419">
        <f t="shared" si="58"/>
        <v>253.89999</v>
      </c>
      <c r="P209" s="419">
        <f t="shared" si="58"/>
        <v>261.29998999999998</v>
      </c>
      <c r="Q209" s="419">
        <f t="shared" si="58"/>
        <v>197.7</v>
      </c>
      <c r="R209" s="419">
        <f t="shared" si="58"/>
        <v>122.3</v>
      </c>
      <c r="S209" s="419">
        <f t="shared" si="58"/>
        <v>193.3</v>
      </c>
      <c r="T209" s="419">
        <f t="shared" si="58"/>
        <v>234.60001</v>
      </c>
      <c r="U209" s="419">
        <f t="shared" si="58"/>
        <v>262.29998999999998</v>
      </c>
      <c r="V209" s="419">
        <f t="shared" si="58"/>
        <v>222.39999</v>
      </c>
      <c r="W209" s="419">
        <f t="shared" si="58"/>
        <v>135.69999999999999</v>
      </c>
      <c r="X209" s="419">
        <f t="shared" si="58"/>
        <v>119</v>
      </c>
      <c r="Y209" s="419">
        <f t="shared" si="58"/>
        <v>250.8</v>
      </c>
      <c r="Z209" s="419">
        <f t="shared" si="58"/>
        <v>212.60001</v>
      </c>
      <c r="AA209" s="419">
        <f t="shared" si="58"/>
        <v>306.39999</v>
      </c>
      <c r="AB209" s="419">
        <f t="shared" si="58"/>
        <v>205.89999</v>
      </c>
      <c r="AC209" s="419">
        <f t="shared" si="58"/>
        <v>273.10001</v>
      </c>
      <c r="AD209" s="419">
        <f t="shared" si="58"/>
        <v>136.39999</v>
      </c>
      <c r="AE209" s="419">
        <f t="shared" si="58"/>
        <v>210.89999</v>
      </c>
      <c r="AF209" s="419">
        <f t="shared" si="58"/>
        <v>174</v>
      </c>
      <c r="AG209" s="419">
        <f t="shared" si="58"/>
        <v>192.89999</v>
      </c>
      <c r="AH209" s="419"/>
      <c r="AI209" s="420">
        <f t="shared" si="60"/>
        <v>6753.1999599999999</v>
      </c>
    </row>
    <row r="210" spans="2:35" x14ac:dyDescent="0.25">
      <c r="B210" s="21" t="s">
        <v>13</v>
      </c>
      <c r="C210" s="1" t="s">
        <v>6</v>
      </c>
      <c r="D210" s="419">
        <f t="shared" si="59"/>
        <v>181.89999</v>
      </c>
      <c r="E210" s="419">
        <f t="shared" si="58"/>
        <v>277.29998999999998</v>
      </c>
      <c r="F210" s="419">
        <f t="shared" si="58"/>
        <v>291.20001000000002</v>
      </c>
      <c r="G210" s="419">
        <f t="shared" si="58"/>
        <v>284.5</v>
      </c>
      <c r="H210" s="419">
        <f t="shared" si="58"/>
        <v>236</v>
      </c>
      <c r="I210" s="419">
        <f t="shared" si="58"/>
        <v>212.60001</v>
      </c>
      <c r="J210" s="419">
        <f t="shared" si="58"/>
        <v>232.7</v>
      </c>
      <c r="K210" s="419">
        <f t="shared" si="58"/>
        <v>289.70001000000002</v>
      </c>
      <c r="L210" s="419">
        <f t="shared" si="58"/>
        <v>300.70001000000002</v>
      </c>
      <c r="M210" s="419">
        <f t="shared" si="58"/>
        <v>285.10001</v>
      </c>
      <c r="N210" s="419">
        <f t="shared" si="58"/>
        <v>273.79998999999998</v>
      </c>
      <c r="O210" s="419">
        <f t="shared" si="58"/>
        <v>260.5</v>
      </c>
      <c r="P210" s="419">
        <f t="shared" si="58"/>
        <v>268.5</v>
      </c>
      <c r="Q210" s="419">
        <f t="shared" si="58"/>
        <v>205.2</v>
      </c>
      <c r="R210" s="419">
        <f t="shared" si="58"/>
        <v>128.10001</v>
      </c>
      <c r="S210" s="419">
        <f t="shared" si="58"/>
        <v>197.7</v>
      </c>
      <c r="T210" s="419">
        <f t="shared" si="58"/>
        <v>242.60001</v>
      </c>
      <c r="U210" s="419">
        <f t="shared" si="58"/>
        <v>269.70001000000002</v>
      </c>
      <c r="V210" s="419">
        <f t="shared" si="58"/>
        <v>227.10001</v>
      </c>
      <c r="W210" s="419">
        <f t="shared" si="58"/>
        <v>140.10001</v>
      </c>
      <c r="X210" s="419">
        <f t="shared" si="58"/>
        <v>131.80000000000001</v>
      </c>
      <c r="Y210" s="419">
        <f t="shared" si="58"/>
        <v>251.89999</v>
      </c>
      <c r="Z210" s="419">
        <f t="shared" si="58"/>
        <v>215.89999</v>
      </c>
      <c r="AA210" s="419">
        <f t="shared" si="58"/>
        <v>305.60001</v>
      </c>
      <c r="AB210" s="419">
        <f t="shared" si="58"/>
        <v>206.2</v>
      </c>
      <c r="AC210" s="419">
        <f t="shared" si="58"/>
        <v>273.10001</v>
      </c>
      <c r="AD210" s="419">
        <f t="shared" si="58"/>
        <v>144.89999</v>
      </c>
      <c r="AE210" s="419">
        <f t="shared" si="58"/>
        <v>210</v>
      </c>
      <c r="AF210" s="419">
        <f t="shared" si="58"/>
        <v>174.89999</v>
      </c>
      <c r="AG210" s="419">
        <f t="shared" si="58"/>
        <v>194.7</v>
      </c>
      <c r="AH210" s="419"/>
      <c r="AI210" s="420">
        <f t="shared" si="60"/>
        <v>6914.0000499999996</v>
      </c>
    </row>
    <row r="211" spans="2:35" x14ac:dyDescent="0.25">
      <c r="B211" s="21" t="s">
        <v>14</v>
      </c>
      <c r="C211" s="1" t="s">
        <v>6</v>
      </c>
      <c r="D211" s="419">
        <f t="shared" si="59"/>
        <v>174.39999</v>
      </c>
      <c r="E211" s="419">
        <f t="shared" si="58"/>
        <v>259.29998999999998</v>
      </c>
      <c r="F211" s="419">
        <f t="shared" si="58"/>
        <v>289.70001000000002</v>
      </c>
      <c r="G211" s="419">
        <f t="shared" si="58"/>
        <v>279.39999</v>
      </c>
      <c r="H211" s="419">
        <f t="shared" si="58"/>
        <v>233.8</v>
      </c>
      <c r="I211" s="419">
        <f t="shared" si="58"/>
        <v>210.2</v>
      </c>
      <c r="J211" s="419">
        <f t="shared" si="58"/>
        <v>230.2</v>
      </c>
      <c r="K211" s="419">
        <f t="shared" si="58"/>
        <v>284.20001000000002</v>
      </c>
      <c r="L211" s="419">
        <f t="shared" si="58"/>
        <v>299.60001</v>
      </c>
      <c r="M211" s="419">
        <f t="shared" si="58"/>
        <v>281.39999</v>
      </c>
      <c r="N211" s="419">
        <f t="shared" si="58"/>
        <v>270.29998999999998</v>
      </c>
      <c r="O211" s="419">
        <f t="shared" si="58"/>
        <v>257.39999</v>
      </c>
      <c r="P211" s="419">
        <f t="shared" si="58"/>
        <v>263.60001</v>
      </c>
      <c r="Q211" s="419">
        <f t="shared" si="58"/>
        <v>200.10001</v>
      </c>
      <c r="R211" s="419">
        <f t="shared" si="58"/>
        <v>123</v>
      </c>
      <c r="S211" s="419">
        <f t="shared" si="58"/>
        <v>196.5</v>
      </c>
      <c r="T211" s="419">
        <f t="shared" si="58"/>
        <v>237.60001</v>
      </c>
      <c r="U211" s="419">
        <f t="shared" si="58"/>
        <v>265.5</v>
      </c>
      <c r="V211" s="419">
        <f t="shared" si="58"/>
        <v>223</v>
      </c>
      <c r="W211" s="419">
        <f t="shared" si="58"/>
        <v>136.80000000000001</v>
      </c>
      <c r="X211" s="419">
        <f t="shared" si="58"/>
        <v>118.2</v>
      </c>
      <c r="Y211" s="419">
        <f t="shared" si="58"/>
        <v>248.10001</v>
      </c>
      <c r="Z211" s="419">
        <f t="shared" si="58"/>
        <v>210.10001</v>
      </c>
      <c r="AA211" s="419">
        <f t="shared" si="58"/>
        <v>300</v>
      </c>
      <c r="AB211" s="419">
        <f t="shared" ref="AB211:AG220" si="61">AB86</f>
        <v>201.2</v>
      </c>
      <c r="AC211" s="419">
        <f t="shared" si="61"/>
        <v>265.79998999999998</v>
      </c>
      <c r="AD211" s="419">
        <f t="shared" si="61"/>
        <v>134.30000000000001</v>
      </c>
      <c r="AE211" s="419">
        <f t="shared" si="61"/>
        <v>206.3</v>
      </c>
      <c r="AF211" s="419">
        <f t="shared" si="61"/>
        <v>170.5</v>
      </c>
      <c r="AG211" s="419">
        <f t="shared" si="61"/>
        <v>189.2</v>
      </c>
      <c r="AH211" s="419"/>
      <c r="AI211" s="420">
        <f t="shared" si="60"/>
        <v>6759.7000100000014</v>
      </c>
    </row>
    <row r="212" spans="2:35" x14ac:dyDescent="0.25">
      <c r="B212" s="21" t="s">
        <v>15</v>
      </c>
      <c r="C212" s="1" t="s">
        <v>6</v>
      </c>
      <c r="D212" s="419">
        <f t="shared" si="59"/>
        <v>175.39999</v>
      </c>
      <c r="E212" s="419">
        <f t="shared" si="59"/>
        <v>294.79998999999998</v>
      </c>
      <c r="F212" s="419">
        <f t="shared" si="59"/>
        <v>292.89999</v>
      </c>
      <c r="G212" s="419">
        <f t="shared" si="59"/>
        <v>288.29998999999998</v>
      </c>
      <c r="H212" s="419">
        <f t="shared" si="59"/>
        <v>234.60001</v>
      </c>
      <c r="I212" s="419">
        <f t="shared" si="59"/>
        <v>215.2</v>
      </c>
      <c r="J212" s="419">
        <f t="shared" si="59"/>
        <v>234.89999</v>
      </c>
      <c r="K212" s="419">
        <f t="shared" si="59"/>
        <v>289.60001</v>
      </c>
      <c r="L212" s="419">
        <f t="shared" si="59"/>
        <v>307.29998999999998</v>
      </c>
      <c r="M212" s="419">
        <f t="shared" si="59"/>
        <v>288.10001</v>
      </c>
      <c r="N212" s="419">
        <f t="shared" si="59"/>
        <v>273.5</v>
      </c>
      <c r="O212" s="419">
        <f t="shared" si="59"/>
        <v>265.60001</v>
      </c>
      <c r="P212" s="419">
        <f t="shared" si="59"/>
        <v>272.29998999999998</v>
      </c>
      <c r="Q212" s="419">
        <f t="shared" si="59"/>
        <v>203.7</v>
      </c>
      <c r="R212" s="419">
        <f t="shared" si="59"/>
        <v>127.4</v>
      </c>
      <c r="S212" s="419">
        <f t="shared" si="59"/>
        <v>201.60001</v>
      </c>
      <c r="T212" s="419">
        <f t="shared" ref="T212:AB220" si="62">T87</f>
        <v>245.60001</v>
      </c>
      <c r="U212" s="419">
        <f t="shared" si="62"/>
        <v>273.39999</v>
      </c>
      <c r="V212" s="419">
        <f t="shared" si="62"/>
        <v>226.7</v>
      </c>
      <c r="W212" s="419">
        <f t="shared" si="62"/>
        <v>140.80000000000001</v>
      </c>
      <c r="X212" s="419">
        <f t="shared" si="62"/>
        <v>119.7</v>
      </c>
      <c r="Y212" s="419">
        <f t="shared" si="62"/>
        <v>253.89999</v>
      </c>
      <c r="Z212" s="419">
        <f t="shared" si="62"/>
        <v>216.39999</v>
      </c>
      <c r="AA212" s="419">
        <f t="shared" si="62"/>
        <v>308.10001</v>
      </c>
      <c r="AB212" s="419">
        <f t="shared" si="62"/>
        <v>204</v>
      </c>
      <c r="AC212" s="419">
        <f t="shared" si="61"/>
        <v>271.79998999999998</v>
      </c>
      <c r="AD212" s="419">
        <f t="shared" si="61"/>
        <v>136.69999999999999</v>
      </c>
      <c r="AE212" s="419">
        <f t="shared" si="61"/>
        <v>210.3</v>
      </c>
      <c r="AF212" s="419">
        <f t="shared" si="61"/>
        <v>176.10001</v>
      </c>
      <c r="AG212" s="419">
        <f t="shared" si="61"/>
        <v>192.89999</v>
      </c>
      <c r="AH212" s="419"/>
      <c r="AI212" s="420">
        <f t="shared" si="60"/>
        <v>6941.5999599999996</v>
      </c>
    </row>
    <row r="213" spans="2:35" x14ac:dyDescent="0.25">
      <c r="B213" s="21" t="s">
        <v>16</v>
      </c>
      <c r="C213" s="1" t="s">
        <v>6</v>
      </c>
      <c r="D213" s="419">
        <f t="shared" si="59"/>
        <v>171</v>
      </c>
      <c r="E213" s="419">
        <f t="shared" si="59"/>
        <v>279.70001000000002</v>
      </c>
      <c r="F213" s="419">
        <f t="shared" si="59"/>
        <v>283.60001</v>
      </c>
      <c r="G213" s="419">
        <f t="shared" si="59"/>
        <v>273</v>
      </c>
      <c r="H213" s="419">
        <f t="shared" si="59"/>
        <v>227.3</v>
      </c>
      <c r="I213" s="419">
        <f t="shared" si="59"/>
        <v>209.8</v>
      </c>
      <c r="J213" s="419">
        <f t="shared" si="59"/>
        <v>228.7</v>
      </c>
      <c r="K213" s="419">
        <f t="shared" si="59"/>
        <v>280.29998999999998</v>
      </c>
      <c r="L213" s="419">
        <f t="shared" si="59"/>
        <v>299.70001000000002</v>
      </c>
      <c r="M213" s="419">
        <f t="shared" si="59"/>
        <v>279.39999</v>
      </c>
      <c r="N213" s="419">
        <f t="shared" si="59"/>
        <v>265.79998999999998</v>
      </c>
      <c r="O213" s="419">
        <f t="shared" si="59"/>
        <v>257.10001</v>
      </c>
      <c r="P213" s="419">
        <f t="shared" si="59"/>
        <v>260.79998999999998</v>
      </c>
      <c r="Q213" s="419">
        <f t="shared" si="59"/>
        <v>197.5</v>
      </c>
      <c r="R213" s="419">
        <f t="shared" si="59"/>
        <v>124.3</v>
      </c>
      <c r="S213" s="419">
        <f t="shared" si="59"/>
        <v>196.60001</v>
      </c>
      <c r="T213" s="419">
        <f t="shared" si="62"/>
        <v>236</v>
      </c>
      <c r="U213" s="419">
        <f t="shared" si="62"/>
        <v>264.60001</v>
      </c>
      <c r="V213" s="419">
        <f t="shared" si="62"/>
        <v>221.3</v>
      </c>
      <c r="W213" s="419">
        <f t="shared" si="62"/>
        <v>135.80000000000001</v>
      </c>
      <c r="X213" s="419">
        <f t="shared" si="62"/>
        <v>118</v>
      </c>
      <c r="Y213" s="419">
        <f t="shared" si="62"/>
        <v>247.10001</v>
      </c>
      <c r="Z213" s="419">
        <f t="shared" si="62"/>
        <v>209.8</v>
      </c>
      <c r="AA213" s="419">
        <f t="shared" si="62"/>
        <v>299.10001</v>
      </c>
      <c r="AB213" s="419">
        <f t="shared" si="62"/>
        <v>199.89999</v>
      </c>
      <c r="AC213" s="419">
        <f t="shared" si="61"/>
        <v>262.5</v>
      </c>
      <c r="AD213" s="419">
        <f t="shared" si="61"/>
        <v>133.5</v>
      </c>
      <c r="AE213" s="419">
        <f t="shared" si="61"/>
        <v>204</v>
      </c>
      <c r="AF213" s="419">
        <f t="shared" si="61"/>
        <v>167.3</v>
      </c>
      <c r="AG213" s="419">
        <f t="shared" si="61"/>
        <v>188.2</v>
      </c>
      <c r="AH213" s="419"/>
      <c r="AI213" s="420">
        <f t="shared" si="60"/>
        <v>6721.7000300000009</v>
      </c>
    </row>
    <row r="214" spans="2:35" x14ac:dyDescent="0.25">
      <c r="B214" s="21" t="s">
        <v>17</v>
      </c>
      <c r="C214" s="1" t="s">
        <v>6</v>
      </c>
      <c r="D214" s="419">
        <f t="shared" si="59"/>
        <v>176.8</v>
      </c>
      <c r="E214" s="419">
        <f t="shared" si="59"/>
        <v>285.60001</v>
      </c>
      <c r="F214" s="419">
        <f t="shared" si="59"/>
        <v>295.5</v>
      </c>
      <c r="G214" s="419">
        <f t="shared" si="59"/>
        <v>282</v>
      </c>
      <c r="H214" s="419">
        <f t="shared" si="59"/>
        <v>238.60001</v>
      </c>
      <c r="I214" s="419">
        <f t="shared" si="59"/>
        <v>219.60001</v>
      </c>
      <c r="J214" s="419">
        <f t="shared" si="59"/>
        <v>238.2</v>
      </c>
      <c r="K214" s="419">
        <f t="shared" si="59"/>
        <v>293.60001</v>
      </c>
      <c r="L214" s="419">
        <f t="shared" si="59"/>
        <v>310.60001</v>
      </c>
      <c r="M214" s="419">
        <f t="shared" si="59"/>
        <v>292.20001000000002</v>
      </c>
      <c r="N214" s="419">
        <f t="shared" si="59"/>
        <v>275.89999</v>
      </c>
      <c r="O214" s="419">
        <f t="shared" si="59"/>
        <v>268.20001000000002</v>
      </c>
      <c r="P214" s="419">
        <f t="shared" si="59"/>
        <v>273.29998999999998</v>
      </c>
      <c r="Q214" s="419">
        <f t="shared" si="59"/>
        <v>202.8</v>
      </c>
      <c r="R214" s="419">
        <f t="shared" si="59"/>
        <v>129.60001</v>
      </c>
      <c r="S214" s="419">
        <f t="shared" si="59"/>
        <v>204.2</v>
      </c>
      <c r="T214" s="419">
        <f t="shared" si="62"/>
        <v>247.3</v>
      </c>
      <c r="U214" s="419">
        <f t="shared" si="62"/>
        <v>277.70001000000002</v>
      </c>
      <c r="V214" s="419">
        <f t="shared" si="62"/>
        <v>227.89999</v>
      </c>
      <c r="W214" s="419">
        <f t="shared" si="62"/>
        <v>143.10001</v>
      </c>
      <c r="X214" s="419">
        <f t="shared" si="62"/>
        <v>121.2</v>
      </c>
      <c r="Y214" s="419">
        <f t="shared" si="62"/>
        <v>258.20001000000002</v>
      </c>
      <c r="Z214" s="419">
        <f t="shared" si="62"/>
        <v>219.2</v>
      </c>
      <c r="AA214" s="419">
        <f t="shared" si="62"/>
        <v>313.39999</v>
      </c>
      <c r="AB214" s="419">
        <f t="shared" si="62"/>
        <v>206.7</v>
      </c>
      <c r="AC214" s="419">
        <f t="shared" si="61"/>
        <v>274.70001000000002</v>
      </c>
      <c r="AD214" s="419">
        <f t="shared" si="61"/>
        <v>137.80000000000001</v>
      </c>
      <c r="AE214" s="419">
        <f t="shared" si="61"/>
        <v>213.10001</v>
      </c>
      <c r="AF214" s="419">
        <f t="shared" si="61"/>
        <v>176.10001</v>
      </c>
      <c r="AG214" s="419">
        <f t="shared" si="61"/>
        <v>194.89999</v>
      </c>
      <c r="AH214" s="419"/>
      <c r="AI214" s="420">
        <f t="shared" si="60"/>
        <v>6998.0000900000005</v>
      </c>
    </row>
    <row r="215" spans="2:35" x14ac:dyDescent="0.25">
      <c r="B215" s="21" t="s">
        <v>18</v>
      </c>
      <c r="C215" s="1" t="s">
        <v>6</v>
      </c>
      <c r="D215" s="419">
        <f t="shared" si="59"/>
        <v>175.60001</v>
      </c>
      <c r="E215" s="419">
        <f t="shared" si="59"/>
        <v>283.10001</v>
      </c>
      <c r="F215" s="419">
        <f t="shared" si="59"/>
        <v>300.60001</v>
      </c>
      <c r="G215" s="419">
        <f t="shared" si="59"/>
        <v>279.5</v>
      </c>
      <c r="H215" s="419">
        <f t="shared" si="59"/>
        <v>241.8</v>
      </c>
      <c r="I215" s="419">
        <f t="shared" si="59"/>
        <v>223.39999</v>
      </c>
      <c r="J215" s="419">
        <f t="shared" si="59"/>
        <v>243.5</v>
      </c>
      <c r="K215" s="419">
        <f t="shared" si="59"/>
        <v>297.70001000000002</v>
      </c>
      <c r="L215" s="419">
        <f t="shared" si="59"/>
        <v>313.89999</v>
      </c>
      <c r="M215" s="419">
        <f t="shared" si="59"/>
        <v>295.89999</v>
      </c>
      <c r="N215" s="419">
        <f t="shared" si="59"/>
        <v>281.10001</v>
      </c>
      <c r="O215" s="419">
        <f t="shared" si="59"/>
        <v>272</v>
      </c>
      <c r="P215" s="419">
        <f t="shared" si="59"/>
        <v>274.10001</v>
      </c>
      <c r="Q215" s="419">
        <f t="shared" si="59"/>
        <v>205.8</v>
      </c>
      <c r="R215" s="419">
        <f t="shared" si="59"/>
        <v>131.10001</v>
      </c>
      <c r="S215" s="419">
        <f t="shared" si="59"/>
        <v>207.7</v>
      </c>
      <c r="T215" s="419">
        <f t="shared" si="62"/>
        <v>250.2</v>
      </c>
      <c r="U215" s="419">
        <f t="shared" si="62"/>
        <v>280.89999</v>
      </c>
      <c r="V215" s="419">
        <f t="shared" si="62"/>
        <v>229.2</v>
      </c>
      <c r="W215" s="419">
        <f t="shared" si="62"/>
        <v>147.39999</v>
      </c>
      <c r="X215" s="419">
        <f t="shared" si="62"/>
        <v>133.60001</v>
      </c>
      <c r="Y215" s="419">
        <f t="shared" si="62"/>
        <v>261.60001</v>
      </c>
      <c r="Z215" s="419">
        <f t="shared" si="62"/>
        <v>222.8</v>
      </c>
      <c r="AA215" s="419">
        <f t="shared" si="62"/>
        <v>314.5</v>
      </c>
      <c r="AB215" s="419">
        <f t="shared" si="62"/>
        <v>205.39999</v>
      </c>
      <c r="AC215" s="419">
        <f t="shared" si="61"/>
        <v>276.60001</v>
      </c>
      <c r="AD215" s="419">
        <f t="shared" si="61"/>
        <v>144.19999999999999</v>
      </c>
      <c r="AE215" s="419">
        <f t="shared" si="61"/>
        <v>215.89999</v>
      </c>
      <c r="AF215" s="419">
        <f t="shared" si="61"/>
        <v>181</v>
      </c>
      <c r="AG215" s="419">
        <f t="shared" si="61"/>
        <v>198.7</v>
      </c>
      <c r="AH215" s="419"/>
      <c r="AI215" s="420">
        <f t="shared" si="60"/>
        <v>7088.8000299999994</v>
      </c>
    </row>
    <row r="216" spans="2:35" x14ac:dyDescent="0.25">
      <c r="B216" s="21" t="s">
        <v>19</v>
      </c>
      <c r="C216" s="1" t="s">
        <v>6</v>
      </c>
      <c r="D216" s="419">
        <f t="shared" si="59"/>
        <v>181.10001</v>
      </c>
      <c r="E216" s="419">
        <f t="shared" si="59"/>
        <v>285.60001</v>
      </c>
      <c r="F216" s="419">
        <f t="shared" si="59"/>
        <v>308.39999</v>
      </c>
      <c r="G216" s="419">
        <f t="shared" si="59"/>
        <v>278.39999</v>
      </c>
      <c r="H216" s="419">
        <f t="shared" si="59"/>
        <v>244.2</v>
      </c>
      <c r="I216" s="419">
        <f t="shared" si="59"/>
        <v>224.3</v>
      </c>
      <c r="J216" s="419">
        <f t="shared" si="59"/>
        <v>244.10001</v>
      </c>
      <c r="K216" s="419">
        <f t="shared" si="59"/>
        <v>303.70001000000002</v>
      </c>
      <c r="L216" s="419">
        <f t="shared" si="59"/>
        <v>316.5</v>
      </c>
      <c r="M216" s="419">
        <f t="shared" si="59"/>
        <v>299.39999</v>
      </c>
      <c r="N216" s="419">
        <f t="shared" si="59"/>
        <v>284.29998999999998</v>
      </c>
      <c r="O216" s="419">
        <f t="shared" si="59"/>
        <v>274.70001000000002</v>
      </c>
      <c r="P216" s="419">
        <f t="shared" si="59"/>
        <v>275.89999</v>
      </c>
      <c r="Q216" s="419">
        <f t="shared" si="59"/>
        <v>204.2</v>
      </c>
      <c r="R216" s="419">
        <f t="shared" si="59"/>
        <v>130.69999999999999</v>
      </c>
      <c r="S216" s="419">
        <f t="shared" si="59"/>
        <v>208.10001</v>
      </c>
      <c r="T216" s="419">
        <f t="shared" si="62"/>
        <v>252</v>
      </c>
      <c r="U216" s="419">
        <f t="shared" si="62"/>
        <v>282.5</v>
      </c>
      <c r="V216" s="419">
        <f t="shared" si="62"/>
        <v>228</v>
      </c>
      <c r="W216" s="419">
        <f t="shared" si="62"/>
        <v>145.39999</v>
      </c>
      <c r="X216" s="419">
        <f t="shared" si="62"/>
        <v>121.2</v>
      </c>
      <c r="Y216" s="419">
        <f t="shared" si="62"/>
        <v>262.39999</v>
      </c>
      <c r="Z216" s="419">
        <f t="shared" si="62"/>
        <v>222.10001</v>
      </c>
      <c r="AA216" s="419">
        <f t="shared" si="62"/>
        <v>316.10001</v>
      </c>
      <c r="AB216" s="419">
        <f t="shared" si="62"/>
        <v>206.60001</v>
      </c>
      <c r="AC216" s="419">
        <f t="shared" si="61"/>
        <v>276.70001000000002</v>
      </c>
      <c r="AD216" s="419">
        <f t="shared" si="61"/>
        <v>137.69999999999999</v>
      </c>
      <c r="AE216" s="419">
        <f t="shared" si="61"/>
        <v>216.10001</v>
      </c>
      <c r="AF216" s="419">
        <f t="shared" si="61"/>
        <v>179.60001</v>
      </c>
      <c r="AG216" s="419">
        <f t="shared" si="61"/>
        <v>198</v>
      </c>
      <c r="AH216" s="419"/>
      <c r="AI216" s="420">
        <f t="shared" si="60"/>
        <v>7108.0000499999996</v>
      </c>
    </row>
    <row r="217" spans="2:35" x14ac:dyDescent="0.25">
      <c r="B217" s="21" t="s">
        <v>20</v>
      </c>
      <c r="C217" s="1" t="s">
        <v>6</v>
      </c>
      <c r="D217" s="419">
        <f t="shared" si="59"/>
        <v>192.7</v>
      </c>
      <c r="E217" s="419">
        <f t="shared" si="59"/>
        <v>287.29998999999998</v>
      </c>
      <c r="F217" s="419">
        <f t="shared" si="59"/>
        <v>304.89999</v>
      </c>
      <c r="G217" s="419">
        <f t="shared" si="59"/>
        <v>277.5</v>
      </c>
      <c r="H217" s="419">
        <f t="shared" si="59"/>
        <v>245.39999</v>
      </c>
      <c r="I217" s="419">
        <f t="shared" si="59"/>
        <v>226.10001</v>
      </c>
      <c r="J217" s="419">
        <f t="shared" si="59"/>
        <v>246.8</v>
      </c>
      <c r="K217" s="419">
        <f t="shared" si="59"/>
        <v>306.20001000000002</v>
      </c>
      <c r="L217" s="419">
        <f t="shared" si="59"/>
        <v>319.10001</v>
      </c>
      <c r="M217" s="419">
        <f t="shared" si="59"/>
        <v>301.79998999999998</v>
      </c>
      <c r="N217" s="419">
        <f t="shared" si="59"/>
        <v>285.70001000000002</v>
      </c>
      <c r="O217" s="419">
        <f t="shared" si="59"/>
        <v>276.79998999999998</v>
      </c>
      <c r="P217" s="419">
        <f t="shared" si="59"/>
        <v>276.20001000000002</v>
      </c>
      <c r="Q217" s="419">
        <f t="shared" si="59"/>
        <v>204.39999</v>
      </c>
      <c r="R217" s="419">
        <f t="shared" si="59"/>
        <v>132.69999999999999</v>
      </c>
      <c r="S217" s="419">
        <f t="shared" si="59"/>
        <v>208.89999</v>
      </c>
      <c r="T217" s="419">
        <f t="shared" si="62"/>
        <v>256.39999</v>
      </c>
      <c r="U217" s="419">
        <f t="shared" si="62"/>
        <v>286</v>
      </c>
      <c r="V217" s="419">
        <f t="shared" si="62"/>
        <v>230.2</v>
      </c>
      <c r="W217" s="419">
        <f t="shared" si="62"/>
        <v>147.60001</v>
      </c>
      <c r="X217" s="419">
        <f t="shared" si="62"/>
        <v>123</v>
      </c>
      <c r="Y217" s="419">
        <f t="shared" si="62"/>
        <v>265.10001</v>
      </c>
      <c r="Z217" s="419">
        <f t="shared" si="62"/>
        <v>224.89999</v>
      </c>
      <c r="AA217" s="419">
        <f t="shared" si="62"/>
        <v>319.79998999999998</v>
      </c>
      <c r="AB217" s="419">
        <f t="shared" si="62"/>
        <v>210.2</v>
      </c>
      <c r="AC217" s="419">
        <f t="shared" si="61"/>
        <v>278.89999</v>
      </c>
      <c r="AD217" s="419">
        <f t="shared" si="61"/>
        <v>139.39999</v>
      </c>
      <c r="AE217" s="419">
        <f t="shared" si="61"/>
        <v>219.39999</v>
      </c>
      <c r="AF217" s="419">
        <f t="shared" si="61"/>
        <v>181.5</v>
      </c>
      <c r="AG217" s="419">
        <f t="shared" si="61"/>
        <v>200.39999</v>
      </c>
      <c r="AH217" s="419"/>
      <c r="AI217" s="420">
        <f t="shared" si="60"/>
        <v>7175.2999299999983</v>
      </c>
    </row>
    <row r="218" spans="2:35" x14ac:dyDescent="0.25">
      <c r="B218" s="21" t="s">
        <v>21</v>
      </c>
      <c r="C218" s="1" t="s">
        <v>6</v>
      </c>
      <c r="D218" s="419">
        <f t="shared" si="59"/>
        <v>170.7</v>
      </c>
      <c r="E218" s="419">
        <f t="shared" si="59"/>
        <v>280.5</v>
      </c>
      <c r="F218" s="419">
        <f t="shared" si="59"/>
        <v>295.5</v>
      </c>
      <c r="G218" s="419">
        <f t="shared" si="59"/>
        <v>277</v>
      </c>
      <c r="H218" s="419">
        <f t="shared" si="59"/>
        <v>237</v>
      </c>
      <c r="I218" s="419">
        <f t="shared" si="59"/>
        <v>216.10001</v>
      </c>
      <c r="J218" s="419">
        <f t="shared" si="59"/>
        <v>235.3</v>
      </c>
      <c r="K218" s="419">
        <f t="shared" si="59"/>
        <v>293.60001</v>
      </c>
      <c r="L218" s="419">
        <f t="shared" si="59"/>
        <v>304.29998999999998</v>
      </c>
      <c r="M218" s="419">
        <f t="shared" si="59"/>
        <v>284.60001</v>
      </c>
      <c r="N218" s="419">
        <f t="shared" si="59"/>
        <v>274.5</v>
      </c>
      <c r="O218" s="419">
        <f t="shared" si="59"/>
        <v>261.20001000000002</v>
      </c>
      <c r="P218" s="419">
        <f t="shared" si="59"/>
        <v>256.29998999999998</v>
      </c>
      <c r="Q218" s="419">
        <f t="shared" si="59"/>
        <v>189.2</v>
      </c>
      <c r="R218" s="419">
        <f t="shared" si="59"/>
        <v>125.2</v>
      </c>
      <c r="S218" s="419">
        <f t="shared" si="59"/>
        <v>215.39999</v>
      </c>
      <c r="T218" s="419">
        <f t="shared" si="62"/>
        <v>256.10001</v>
      </c>
      <c r="U218" s="419">
        <f t="shared" si="62"/>
        <v>286.70001000000002</v>
      </c>
      <c r="V218" s="419">
        <f t="shared" si="62"/>
        <v>228</v>
      </c>
      <c r="W218" s="419">
        <f t="shared" si="62"/>
        <v>146.10001</v>
      </c>
      <c r="X218" s="419">
        <f t="shared" si="62"/>
        <v>120.9</v>
      </c>
      <c r="Y218" s="419">
        <f t="shared" si="62"/>
        <v>264.60001</v>
      </c>
      <c r="Z218" s="419">
        <f t="shared" si="62"/>
        <v>222.3</v>
      </c>
      <c r="AA218" s="419">
        <f t="shared" si="62"/>
        <v>313.70001000000002</v>
      </c>
      <c r="AB218" s="419">
        <f t="shared" si="62"/>
        <v>202.89999</v>
      </c>
      <c r="AC218" s="419">
        <f t="shared" si="61"/>
        <v>270.70001000000002</v>
      </c>
      <c r="AD218" s="419">
        <f t="shared" si="61"/>
        <v>134.80000000000001</v>
      </c>
      <c r="AE218" s="419">
        <f t="shared" si="61"/>
        <v>214.60001</v>
      </c>
      <c r="AF218" s="419">
        <f t="shared" si="61"/>
        <v>175.7</v>
      </c>
      <c r="AG218" s="419">
        <f t="shared" si="61"/>
        <v>195.3</v>
      </c>
      <c r="AH218" s="419"/>
      <c r="AI218" s="420">
        <f t="shared" si="60"/>
        <v>6948.8000700000002</v>
      </c>
    </row>
    <row r="219" spans="2:35" x14ac:dyDescent="0.25">
      <c r="B219" s="21" t="s">
        <v>22</v>
      </c>
      <c r="C219" s="1" t="s">
        <v>6</v>
      </c>
      <c r="D219" s="419">
        <f t="shared" si="59"/>
        <v>155.80000000000001</v>
      </c>
      <c r="E219" s="419">
        <f t="shared" si="59"/>
        <v>265.5</v>
      </c>
      <c r="F219" s="419">
        <f t="shared" si="59"/>
        <v>281.89999</v>
      </c>
      <c r="G219" s="419">
        <f t="shared" si="59"/>
        <v>250.89999</v>
      </c>
      <c r="H219" s="419">
        <f t="shared" si="59"/>
        <v>227.2</v>
      </c>
      <c r="I219" s="419">
        <f t="shared" si="59"/>
        <v>206.3</v>
      </c>
      <c r="J219" s="419">
        <f t="shared" si="59"/>
        <v>223.2</v>
      </c>
      <c r="K219" s="419">
        <f t="shared" si="59"/>
        <v>275.60001</v>
      </c>
      <c r="L219" s="419">
        <f t="shared" si="59"/>
        <v>287.39999</v>
      </c>
      <c r="M219" s="419">
        <f t="shared" si="59"/>
        <v>263.60001</v>
      </c>
      <c r="N219" s="419">
        <f t="shared" si="59"/>
        <v>256.5</v>
      </c>
      <c r="O219" s="419">
        <f t="shared" si="59"/>
        <v>245.3</v>
      </c>
      <c r="P219" s="419">
        <f t="shared" si="59"/>
        <v>236.39999</v>
      </c>
      <c r="Q219" s="419">
        <f t="shared" si="59"/>
        <v>180.10001</v>
      </c>
      <c r="R219" s="419">
        <f t="shared" si="59"/>
        <v>119.2</v>
      </c>
      <c r="S219" s="419">
        <f t="shared" si="59"/>
        <v>212.2</v>
      </c>
      <c r="T219" s="419">
        <f t="shared" si="62"/>
        <v>239.2</v>
      </c>
      <c r="U219" s="419">
        <f t="shared" si="62"/>
        <v>273.10001</v>
      </c>
      <c r="V219" s="419">
        <f t="shared" si="62"/>
        <v>215.8</v>
      </c>
      <c r="W219" s="419">
        <f t="shared" si="62"/>
        <v>141.10001</v>
      </c>
      <c r="X219" s="419">
        <f t="shared" si="62"/>
        <v>118.9</v>
      </c>
      <c r="Y219" s="419">
        <f t="shared" si="62"/>
        <v>252.39999</v>
      </c>
      <c r="Z219" s="419">
        <f t="shared" si="62"/>
        <v>211.2</v>
      </c>
      <c r="AA219" s="419">
        <f t="shared" si="62"/>
        <v>295.10001</v>
      </c>
      <c r="AB219" s="419">
        <f t="shared" si="62"/>
        <v>189.5</v>
      </c>
      <c r="AC219" s="419">
        <f t="shared" si="61"/>
        <v>254.7</v>
      </c>
      <c r="AD219" s="419">
        <f t="shared" si="61"/>
        <v>126.6</v>
      </c>
      <c r="AE219" s="419">
        <f t="shared" si="61"/>
        <v>205</v>
      </c>
      <c r="AF219" s="419">
        <f t="shared" si="61"/>
        <v>165.10001</v>
      </c>
      <c r="AG219" s="419">
        <f t="shared" si="61"/>
        <v>185.60001</v>
      </c>
      <c r="AH219" s="419"/>
      <c r="AI219" s="420">
        <f t="shared" si="60"/>
        <v>6560.4000299999998</v>
      </c>
    </row>
    <row r="220" spans="2:35" x14ac:dyDescent="0.25">
      <c r="B220" s="21" t="s">
        <v>23</v>
      </c>
      <c r="C220" s="1" t="s">
        <v>6</v>
      </c>
      <c r="D220" s="419">
        <f t="shared" ref="D220:S220" si="63">D95</f>
        <v>158.19999999999999</v>
      </c>
      <c r="E220" s="419">
        <f t="shared" si="63"/>
        <v>282.29998999999998</v>
      </c>
      <c r="F220" s="419">
        <f t="shared" si="63"/>
        <v>300.89999</v>
      </c>
      <c r="G220" s="419">
        <f t="shared" si="63"/>
        <v>274</v>
      </c>
      <c r="H220" s="419">
        <f t="shared" si="63"/>
        <v>249.39999</v>
      </c>
      <c r="I220" s="419">
        <f t="shared" si="63"/>
        <v>222.60001</v>
      </c>
      <c r="J220" s="419">
        <f t="shared" si="63"/>
        <v>235.7</v>
      </c>
      <c r="K220" s="419">
        <f t="shared" si="63"/>
        <v>297</v>
      </c>
      <c r="L220" s="419">
        <f t="shared" si="63"/>
        <v>313.39999</v>
      </c>
      <c r="M220" s="419">
        <f t="shared" si="63"/>
        <v>285</v>
      </c>
      <c r="N220" s="419">
        <f t="shared" si="63"/>
        <v>275.89999</v>
      </c>
      <c r="O220" s="419">
        <f t="shared" si="63"/>
        <v>265.60001</v>
      </c>
      <c r="P220" s="419">
        <f t="shared" si="63"/>
        <v>259.39999</v>
      </c>
      <c r="Q220" s="419">
        <f t="shared" si="63"/>
        <v>190.39999</v>
      </c>
      <c r="R220" s="419">
        <f t="shared" si="63"/>
        <v>123.9</v>
      </c>
      <c r="S220" s="419">
        <f t="shared" si="63"/>
        <v>228.60001</v>
      </c>
      <c r="T220" s="419">
        <f t="shared" si="62"/>
        <v>250.2</v>
      </c>
      <c r="U220" s="419">
        <f t="shared" si="62"/>
        <v>287.70001000000002</v>
      </c>
      <c r="V220" s="419">
        <f t="shared" si="62"/>
        <v>220.7</v>
      </c>
      <c r="W220" s="419">
        <f t="shared" si="62"/>
        <v>149.89999</v>
      </c>
      <c r="X220" s="419">
        <f t="shared" si="62"/>
        <v>119.4</v>
      </c>
      <c r="Y220" s="419">
        <f t="shared" si="62"/>
        <v>266.70001000000002</v>
      </c>
      <c r="Z220" s="419">
        <f t="shared" si="62"/>
        <v>222.7</v>
      </c>
      <c r="AA220" s="419">
        <f t="shared" si="62"/>
        <v>315.29998999999998</v>
      </c>
      <c r="AB220" s="419">
        <f t="shared" si="62"/>
        <v>190</v>
      </c>
      <c r="AC220" s="419">
        <f t="shared" si="61"/>
        <v>272.60001</v>
      </c>
      <c r="AD220" s="419">
        <f t="shared" si="61"/>
        <v>127.8</v>
      </c>
      <c r="AE220" s="419">
        <f t="shared" si="61"/>
        <v>217.39999</v>
      </c>
      <c r="AF220" s="419">
        <f t="shared" si="61"/>
        <v>175.39999</v>
      </c>
      <c r="AG220" s="419">
        <f t="shared" si="61"/>
        <v>192</v>
      </c>
      <c r="AH220" s="419"/>
      <c r="AI220" s="420">
        <f t="shared" si="60"/>
        <v>6970.0999499999989</v>
      </c>
    </row>
    <row r="221" spans="2:35" x14ac:dyDescent="0.25">
      <c r="B221" s="21" t="s">
        <v>37</v>
      </c>
      <c r="C221" s="1" t="s">
        <v>6</v>
      </c>
      <c r="D221" s="419">
        <f>D155</f>
        <v>326.79998999999998</v>
      </c>
      <c r="E221" s="419">
        <f t="shared" ref="E221:AG224" si="64">E155</f>
        <v>335.10001</v>
      </c>
      <c r="F221" s="419">
        <f t="shared" si="64"/>
        <v>322.89999</v>
      </c>
      <c r="G221" s="419">
        <f t="shared" si="64"/>
        <v>325.20001000000002</v>
      </c>
      <c r="H221" s="419">
        <f t="shared" si="64"/>
        <v>266.60001</v>
      </c>
      <c r="I221" s="419">
        <f t="shared" si="64"/>
        <v>241.10001</v>
      </c>
      <c r="J221" s="419">
        <f t="shared" si="64"/>
        <v>281.79998999999998</v>
      </c>
      <c r="K221" s="419">
        <f t="shared" si="64"/>
        <v>333.89999</v>
      </c>
      <c r="L221" s="419">
        <f t="shared" si="64"/>
        <v>339.10001</v>
      </c>
      <c r="M221" s="419">
        <f t="shared" si="64"/>
        <v>328.10001</v>
      </c>
      <c r="N221" s="419">
        <f t="shared" si="64"/>
        <v>316.20001000000002</v>
      </c>
      <c r="O221" s="419">
        <f t="shared" si="64"/>
        <v>299</v>
      </c>
      <c r="P221" s="419">
        <f t="shared" si="64"/>
        <v>311.10001</v>
      </c>
      <c r="Q221" s="419">
        <f t="shared" si="64"/>
        <v>286.5</v>
      </c>
      <c r="R221" s="419">
        <f t="shared" si="64"/>
        <v>267.10001</v>
      </c>
      <c r="S221" s="419">
        <f t="shared" si="64"/>
        <v>219.3</v>
      </c>
      <c r="T221" s="419">
        <f t="shared" si="64"/>
        <v>271.29998999999998</v>
      </c>
      <c r="U221" s="419">
        <f t="shared" si="64"/>
        <v>304.70001000000002</v>
      </c>
      <c r="V221" s="419">
        <f t="shared" si="64"/>
        <v>310.79998999999998</v>
      </c>
      <c r="W221" s="419">
        <f t="shared" si="64"/>
        <v>161.89999</v>
      </c>
      <c r="X221" s="419">
        <f t="shared" si="64"/>
        <v>286.79998999999998</v>
      </c>
      <c r="Y221" s="419">
        <f t="shared" si="64"/>
        <v>290.20001000000002</v>
      </c>
      <c r="Z221" s="419">
        <f t="shared" si="64"/>
        <v>242.2</v>
      </c>
      <c r="AA221" s="419">
        <f t="shared" si="64"/>
        <v>351.79998999999998</v>
      </c>
      <c r="AB221" s="419">
        <f t="shared" si="64"/>
        <v>342.20001000000002</v>
      </c>
      <c r="AC221" s="419">
        <f t="shared" si="64"/>
        <v>318.70001000000002</v>
      </c>
      <c r="AD221" s="419">
        <f t="shared" si="64"/>
        <v>288</v>
      </c>
      <c r="AE221" s="419">
        <f t="shared" si="64"/>
        <v>241.39999</v>
      </c>
      <c r="AF221" s="419">
        <f t="shared" si="64"/>
        <v>202.2</v>
      </c>
      <c r="AG221" s="419">
        <f t="shared" si="64"/>
        <v>239.3</v>
      </c>
      <c r="AH221" s="419"/>
      <c r="AI221" s="420">
        <f t="shared" si="60"/>
        <v>8651.3000300000022</v>
      </c>
    </row>
    <row r="222" spans="2:35" x14ac:dyDescent="0.25">
      <c r="B222" s="21" t="s">
        <v>38</v>
      </c>
      <c r="C222" s="1" t="s">
        <v>6</v>
      </c>
      <c r="D222" s="419">
        <f t="shared" ref="D222:D224" si="65">D156</f>
        <v>192.89999</v>
      </c>
      <c r="E222" s="419">
        <f t="shared" si="64"/>
        <v>317</v>
      </c>
      <c r="F222" s="419">
        <f t="shared" si="64"/>
        <v>308</v>
      </c>
      <c r="G222" s="419">
        <f t="shared" si="64"/>
        <v>310.10001</v>
      </c>
      <c r="H222" s="419">
        <f t="shared" si="64"/>
        <v>255.2</v>
      </c>
      <c r="I222" s="419">
        <f t="shared" si="64"/>
        <v>229.89999</v>
      </c>
      <c r="J222" s="419">
        <f t="shared" si="64"/>
        <v>250.5</v>
      </c>
      <c r="K222" s="419">
        <f t="shared" si="64"/>
        <v>318.10001</v>
      </c>
      <c r="L222" s="419">
        <f t="shared" si="64"/>
        <v>323.60001</v>
      </c>
      <c r="M222" s="419">
        <f t="shared" si="64"/>
        <v>314.60001</v>
      </c>
      <c r="N222" s="419">
        <f t="shared" si="64"/>
        <v>301.20001000000002</v>
      </c>
      <c r="O222" s="419">
        <f t="shared" si="64"/>
        <v>286.10001</v>
      </c>
      <c r="P222" s="419">
        <f t="shared" si="64"/>
        <v>297.79998999999998</v>
      </c>
      <c r="Q222" s="419">
        <f t="shared" si="64"/>
        <v>214.39999</v>
      </c>
      <c r="R222" s="419">
        <f t="shared" si="64"/>
        <v>136.69999999999999</v>
      </c>
      <c r="S222" s="419">
        <f t="shared" si="64"/>
        <v>207.60001</v>
      </c>
      <c r="T222" s="419">
        <f t="shared" si="64"/>
        <v>260.89999</v>
      </c>
      <c r="U222" s="419">
        <f t="shared" si="64"/>
        <v>289.5</v>
      </c>
      <c r="V222" s="419">
        <f t="shared" si="64"/>
        <v>241.3</v>
      </c>
      <c r="W222" s="419">
        <f t="shared" si="64"/>
        <v>152.5</v>
      </c>
      <c r="X222" s="419">
        <f t="shared" si="64"/>
        <v>141.39999</v>
      </c>
      <c r="Y222" s="419">
        <f t="shared" si="64"/>
        <v>272.79998999999998</v>
      </c>
      <c r="Z222" s="419">
        <f t="shared" si="64"/>
        <v>226.60001</v>
      </c>
      <c r="AA222" s="419">
        <f t="shared" si="64"/>
        <v>337.70001000000002</v>
      </c>
      <c r="AB222" s="419">
        <f t="shared" si="64"/>
        <v>220.7</v>
      </c>
      <c r="AC222" s="419">
        <f t="shared" si="64"/>
        <v>299</v>
      </c>
      <c r="AD222" s="419">
        <f t="shared" si="64"/>
        <v>153.39999</v>
      </c>
      <c r="AE222" s="419">
        <f t="shared" si="64"/>
        <v>230.7</v>
      </c>
      <c r="AF222" s="419">
        <f t="shared" si="64"/>
        <v>190.2</v>
      </c>
      <c r="AG222" s="419">
        <f t="shared" si="64"/>
        <v>205.60001</v>
      </c>
      <c r="AH222" s="419"/>
      <c r="AI222" s="420">
        <f t="shared" si="60"/>
        <v>7486.0000200000004</v>
      </c>
    </row>
    <row r="223" spans="2:35" x14ac:dyDescent="0.25">
      <c r="B223" s="21" t="s">
        <v>39</v>
      </c>
      <c r="C223" s="1" t="s">
        <v>6</v>
      </c>
      <c r="D223" s="419">
        <f t="shared" si="65"/>
        <v>187.3</v>
      </c>
      <c r="E223" s="419">
        <f t="shared" si="64"/>
        <v>337.39999</v>
      </c>
      <c r="F223" s="419">
        <f t="shared" si="64"/>
        <v>325.60001</v>
      </c>
      <c r="G223" s="419">
        <f t="shared" si="64"/>
        <v>325.60001</v>
      </c>
      <c r="H223" s="419">
        <f t="shared" si="64"/>
        <v>267.39999</v>
      </c>
      <c r="I223" s="419">
        <f t="shared" si="64"/>
        <v>240.7</v>
      </c>
      <c r="J223" s="419">
        <f t="shared" si="64"/>
        <v>256.60001</v>
      </c>
      <c r="K223" s="419">
        <f t="shared" si="64"/>
        <v>334</v>
      </c>
      <c r="L223" s="419">
        <f t="shared" si="64"/>
        <v>339</v>
      </c>
      <c r="M223" s="419">
        <f t="shared" si="64"/>
        <v>329.70001000000002</v>
      </c>
      <c r="N223" s="419">
        <f t="shared" si="64"/>
        <v>315.20001000000002</v>
      </c>
      <c r="O223" s="419">
        <f t="shared" si="64"/>
        <v>298.70001000000002</v>
      </c>
      <c r="P223" s="419">
        <f t="shared" si="64"/>
        <v>312.5</v>
      </c>
      <c r="Q223" s="419">
        <f t="shared" si="64"/>
        <v>218.89999</v>
      </c>
      <c r="R223" s="419">
        <f t="shared" si="64"/>
        <v>140.89999</v>
      </c>
      <c r="S223" s="419">
        <f t="shared" si="64"/>
        <v>221.39999</v>
      </c>
      <c r="T223" s="419">
        <f t="shared" si="64"/>
        <v>276</v>
      </c>
      <c r="U223" s="419">
        <f t="shared" si="64"/>
        <v>312</v>
      </c>
      <c r="V223" s="419">
        <f t="shared" si="64"/>
        <v>249.60001</v>
      </c>
      <c r="W223" s="419">
        <f t="shared" si="64"/>
        <v>159.89999</v>
      </c>
      <c r="X223" s="419">
        <f t="shared" si="64"/>
        <v>143.5</v>
      </c>
      <c r="Y223" s="419">
        <f t="shared" si="64"/>
        <v>290.70001000000002</v>
      </c>
      <c r="Z223" s="419">
        <f t="shared" si="64"/>
        <v>237.3</v>
      </c>
      <c r="AA223" s="419">
        <f t="shared" si="64"/>
        <v>355.79998999999998</v>
      </c>
      <c r="AB223" s="419">
        <f t="shared" si="64"/>
        <v>226.2</v>
      </c>
      <c r="AC223" s="419">
        <f t="shared" si="64"/>
        <v>316.10001</v>
      </c>
      <c r="AD223" s="419">
        <f t="shared" si="64"/>
        <v>156.80000000000001</v>
      </c>
      <c r="AE223" s="419">
        <f t="shared" si="64"/>
        <v>244.5</v>
      </c>
      <c r="AF223" s="419">
        <f t="shared" si="64"/>
        <v>205.10001</v>
      </c>
      <c r="AG223" s="419">
        <f t="shared" si="64"/>
        <v>218.10001</v>
      </c>
      <c r="AH223" s="419"/>
      <c r="AI223" s="420">
        <f t="shared" si="60"/>
        <v>7842.5000400000008</v>
      </c>
    </row>
    <row r="224" spans="2:35" x14ac:dyDescent="0.25">
      <c r="B224" s="21" t="s">
        <v>305</v>
      </c>
      <c r="C224" s="1" t="s">
        <v>6</v>
      </c>
      <c r="D224" s="419">
        <f t="shared" si="65"/>
        <v>192</v>
      </c>
      <c r="E224" s="419">
        <f t="shared" si="64"/>
        <v>335.20001000000002</v>
      </c>
      <c r="F224" s="419">
        <f t="shared" si="64"/>
        <v>320.79998999999998</v>
      </c>
      <c r="G224" s="419">
        <f t="shared" si="64"/>
        <v>317.39999</v>
      </c>
      <c r="H224" s="419">
        <f t="shared" si="64"/>
        <v>258.39999</v>
      </c>
      <c r="I224" s="419">
        <f t="shared" si="64"/>
        <v>231.60001</v>
      </c>
      <c r="J224" s="419">
        <f t="shared" si="64"/>
        <v>253.89999</v>
      </c>
      <c r="K224" s="419">
        <f t="shared" si="64"/>
        <v>328.39999</v>
      </c>
      <c r="L224" s="419">
        <f t="shared" si="64"/>
        <v>330.89999</v>
      </c>
      <c r="M224" s="419">
        <f t="shared" si="64"/>
        <v>321.89999</v>
      </c>
      <c r="N224" s="419">
        <f t="shared" si="64"/>
        <v>308.70001000000002</v>
      </c>
      <c r="O224" s="419">
        <f t="shared" si="64"/>
        <v>289.79998999999998</v>
      </c>
      <c r="P224" s="419">
        <f t="shared" si="64"/>
        <v>305.5</v>
      </c>
      <c r="Q224" s="419">
        <f t="shared" si="64"/>
        <v>222.3</v>
      </c>
      <c r="R224" s="419">
        <f t="shared" si="64"/>
        <v>139.19999999999999</v>
      </c>
      <c r="S224" s="419">
        <f t="shared" si="64"/>
        <v>213.7</v>
      </c>
      <c r="T224" s="419">
        <f t="shared" si="64"/>
        <v>256</v>
      </c>
      <c r="U224" s="419">
        <f t="shared" si="64"/>
        <v>301.89999</v>
      </c>
      <c r="V224" s="419">
        <f t="shared" si="64"/>
        <v>249.2</v>
      </c>
      <c r="W224" s="419">
        <f t="shared" si="64"/>
        <v>142</v>
      </c>
      <c r="X224" s="419">
        <f t="shared" si="64"/>
        <v>145.30000000000001</v>
      </c>
      <c r="Y224" s="419">
        <f t="shared" si="64"/>
        <v>284.10001</v>
      </c>
      <c r="Z224" s="419">
        <f t="shared" si="64"/>
        <v>225.3</v>
      </c>
      <c r="AA224" s="419">
        <f t="shared" si="64"/>
        <v>331.89999</v>
      </c>
      <c r="AB224" s="419">
        <f t="shared" si="64"/>
        <v>219</v>
      </c>
      <c r="AC224" s="419">
        <f t="shared" si="64"/>
        <v>300.5</v>
      </c>
      <c r="AD224" s="419">
        <f t="shared" si="64"/>
        <v>157.10001</v>
      </c>
      <c r="AE224" s="419">
        <f t="shared" si="64"/>
        <v>230.39999</v>
      </c>
      <c r="AF224" s="419">
        <f t="shared" si="64"/>
        <v>192.60001</v>
      </c>
      <c r="AG224" s="419">
        <f t="shared" si="64"/>
        <v>210.5</v>
      </c>
      <c r="AH224" s="419"/>
      <c r="AI224" s="420">
        <f t="shared" si="60"/>
        <v>7615.4999499999994</v>
      </c>
    </row>
    <row r="225" spans="2:36" x14ac:dyDescent="0.25">
      <c r="B225" s="21" t="s">
        <v>24</v>
      </c>
      <c r="C225" s="1" t="s">
        <v>6</v>
      </c>
      <c r="D225" s="211">
        <f>D96+D159</f>
        <v>4256.000000000131</v>
      </c>
      <c r="E225" s="211">
        <f t="shared" ref="E225:AG225" si="66">E96+E159</f>
        <v>6552.0000000000437</v>
      </c>
      <c r="F225" s="211">
        <f t="shared" si="66"/>
        <v>6663.9999999999418</v>
      </c>
      <c r="G225" s="211">
        <f t="shared" si="66"/>
        <v>6436.0000000000582</v>
      </c>
      <c r="H225" s="211">
        <f t="shared" si="66"/>
        <v>5400</v>
      </c>
      <c r="I225" s="211">
        <f t="shared" si="66"/>
        <v>4895.9999999999127</v>
      </c>
      <c r="J225" s="211">
        <f t="shared" si="66"/>
        <v>5355.9999999997672</v>
      </c>
      <c r="K225" s="211">
        <f t="shared" si="66"/>
        <v>6664.0000000003056</v>
      </c>
      <c r="L225" s="211">
        <f t="shared" si="66"/>
        <v>6900</v>
      </c>
      <c r="M225" s="211">
        <f t="shared" si="66"/>
        <v>6551.9999999996799</v>
      </c>
      <c r="N225" s="211">
        <f t="shared" si="66"/>
        <v>6276.0000000002037</v>
      </c>
      <c r="O225" s="211">
        <f t="shared" si="66"/>
        <v>5984.0000000000146</v>
      </c>
      <c r="P225" s="211">
        <f t="shared" si="66"/>
        <v>6115.9999999999854</v>
      </c>
      <c r="Q225" s="211">
        <f t="shared" si="66"/>
        <v>4656.000000000131</v>
      </c>
      <c r="R225" s="211">
        <f t="shared" si="66"/>
        <v>3139.9999999997817</v>
      </c>
      <c r="S225" s="211">
        <f t="shared" si="66"/>
        <v>4595.9999999999127</v>
      </c>
      <c r="T225" s="211">
        <f t="shared" si="66"/>
        <v>5540.0000000001455</v>
      </c>
      <c r="U225" s="211">
        <f t="shared" si="66"/>
        <v>6227.9999999998836</v>
      </c>
      <c r="V225" s="211">
        <f t="shared" si="66"/>
        <v>5236.0000000000582</v>
      </c>
      <c r="W225" s="211">
        <f t="shared" si="66"/>
        <v>3244.0000000002328</v>
      </c>
      <c r="X225" s="211">
        <f t="shared" si="66"/>
        <v>3131.9999999999709</v>
      </c>
      <c r="Y225" s="211">
        <f t="shared" si="66"/>
        <v>5819.999999999709</v>
      </c>
      <c r="Z225" s="211">
        <f t="shared" si="66"/>
        <v>4896.0000000002765</v>
      </c>
      <c r="AA225" s="211">
        <f t="shared" si="66"/>
        <v>7003.9999999997235</v>
      </c>
      <c r="AB225" s="211">
        <f t="shared" si="66"/>
        <v>4840.0000000001455</v>
      </c>
      <c r="AC225" s="211">
        <f t="shared" si="66"/>
        <v>6204.0000000000873</v>
      </c>
      <c r="AD225" s="211">
        <f t="shared" si="66"/>
        <v>3404.0000000000873</v>
      </c>
      <c r="AE225" s="211">
        <f t="shared" si="66"/>
        <v>4827.9999999998836</v>
      </c>
      <c r="AF225" s="211">
        <f t="shared" si="66"/>
        <v>4004.0000000000873</v>
      </c>
      <c r="AG225" s="211">
        <f t="shared" si="66"/>
        <v>4439.9999999997817</v>
      </c>
      <c r="AH225" s="211"/>
      <c r="AI225" s="420">
        <f t="shared" si="60"/>
        <v>159263.99999999994</v>
      </c>
    </row>
    <row r="226" spans="2:36" x14ac:dyDescent="0.25">
      <c r="B226" s="21" t="s">
        <v>25</v>
      </c>
      <c r="C226" s="1" t="s">
        <v>26</v>
      </c>
      <c r="D226" s="237">
        <f>+(D97*999.4+D160*248)/1247.4</f>
        <v>7.5089877489862698</v>
      </c>
      <c r="E226" s="237">
        <f t="shared" ref="E226:AG226" si="67">+(E97*999.4+E160*248)/1247.4</f>
        <v>7.4390191089264963</v>
      </c>
      <c r="F226" s="237">
        <f t="shared" si="67"/>
        <v>7.3771280879268932</v>
      </c>
      <c r="G226" s="237">
        <f t="shared" si="67"/>
        <v>7.3013297323549295</v>
      </c>
      <c r="H226" s="237">
        <f t="shared" si="67"/>
        <v>6.0867768864231966</v>
      </c>
      <c r="I226" s="237">
        <f t="shared" si="67"/>
        <v>5.3522535186335878</v>
      </c>
      <c r="J226" s="237">
        <f t="shared" si="67"/>
        <v>6.3325399183911113</v>
      </c>
      <c r="K226" s="237">
        <f t="shared" si="67"/>
        <v>7.4235620621426195</v>
      </c>
      <c r="L226" s="237">
        <f t="shared" si="67"/>
        <v>7.6056418841696489</v>
      </c>
      <c r="M226" s="237">
        <f t="shared" si="67"/>
        <v>7.303007790261316</v>
      </c>
      <c r="N226" s="237">
        <f t="shared" si="67"/>
        <v>7.1147340887161841</v>
      </c>
      <c r="O226" s="237">
        <f t="shared" si="67"/>
        <v>6.6843849063224159</v>
      </c>
      <c r="P226" s="237">
        <f t="shared" si="67"/>
        <v>6.9755915633657812</v>
      </c>
      <c r="Q226" s="237">
        <f t="shared" si="67"/>
        <v>6.5180834061662152</v>
      </c>
      <c r="R226" s="237">
        <f t="shared" si="67"/>
        <v>6.367238379971865</v>
      </c>
      <c r="S226" s="237">
        <f t="shared" si="67"/>
        <v>5.120591937162148</v>
      </c>
      <c r="T226" s="237">
        <f t="shared" si="67"/>
        <v>6.1075821856891359</v>
      </c>
      <c r="U226" s="237">
        <f t="shared" si="67"/>
        <v>6.9548254627350463</v>
      </c>
      <c r="V226" s="237">
        <f t="shared" si="67"/>
        <v>7.1255978508903679</v>
      </c>
      <c r="W226" s="237">
        <f t="shared" si="67"/>
        <v>3.5962509275463397</v>
      </c>
      <c r="X226" s="237">
        <f t="shared" si="67"/>
        <v>6.5028016912085782</v>
      </c>
      <c r="Y226" s="237">
        <f t="shared" si="67"/>
        <v>6.6418685455522706</v>
      </c>
      <c r="Z226" s="237">
        <f t="shared" si="67"/>
        <v>5.2644915060448936</v>
      </c>
      <c r="AA226" s="237">
        <f t="shared" si="67"/>
        <v>7.8218775595456407</v>
      </c>
      <c r="AB226" s="237">
        <f t="shared" si="67"/>
        <v>7.6186854202325716</v>
      </c>
      <c r="AC226" s="237">
        <f t="shared" si="67"/>
        <v>7.2429989076372694</v>
      </c>
      <c r="AD226" s="237">
        <f t="shared" si="67"/>
        <v>6.5492023309827641</v>
      </c>
      <c r="AE226" s="237">
        <f t="shared" si="67"/>
        <v>5.5646538314463418</v>
      </c>
      <c r="AF226" s="237">
        <f t="shared" si="67"/>
        <v>4.7187111817148724</v>
      </c>
      <c r="AG226" s="237">
        <f t="shared" si="67"/>
        <v>5.6325430550745201</v>
      </c>
      <c r="AH226" s="237"/>
      <c r="AI226" s="3">
        <f>AVERAGE(D226:AH226)</f>
        <v>6.5284320492073764</v>
      </c>
    </row>
    <row r="227" spans="2:36" x14ac:dyDescent="0.25">
      <c r="B227" s="21" t="s">
        <v>27</v>
      </c>
      <c r="C227" s="1" t="s">
        <v>6</v>
      </c>
      <c r="D227" s="419">
        <f>D98</f>
        <v>89082.299999996627</v>
      </c>
      <c r="E227" s="419">
        <f t="shared" ref="E227:AG227" si="68">E98</f>
        <v>135155.99999999214</v>
      </c>
      <c r="F227" s="419">
        <f t="shared" si="68"/>
        <v>156099.9999999869</v>
      </c>
      <c r="G227" s="419">
        <f t="shared" si="68"/>
        <v>144868.00000000076</v>
      </c>
      <c r="H227" s="419">
        <f t="shared" si="68"/>
        <v>5396.9000000000087</v>
      </c>
      <c r="I227" s="419">
        <f t="shared" si="68"/>
        <v>147276.00000000457</v>
      </c>
      <c r="J227" s="419">
        <f t="shared" si="68"/>
        <v>138490.50000001374</v>
      </c>
      <c r="K227" s="419">
        <f t="shared" si="68"/>
        <v>6664.0000000003056</v>
      </c>
      <c r="L227" s="419">
        <f t="shared" si="68"/>
        <v>152891.99999999837</v>
      </c>
      <c r="M227" s="419">
        <f t="shared" si="68"/>
        <v>154055.99999998594</v>
      </c>
      <c r="N227" s="419">
        <f t="shared" si="68"/>
        <v>94474.100000011837</v>
      </c>
      <c r="O227" s="419">
        <f t="shared" si="68"/>
        <v>131899.99999999744</v>
      </c>
      <c r="P227" s="419">
        <f t="shared" si="68"/>
        <v>144379.99999999558</v>
      </c>
      <c r="Q227" s="419">
        <f t="shared" si="68"/>
        <v>78980.69999999665</v>
      </c>
      <c r="R227" s="419">
        <f t="shared" si="68"/>
        <v>42950.699999991397</v>
      </c>
      <c r="S227" s="419">
        <f t="shared" si="68"/>
        <v>120432.00000001016</v>
      </c>
      <c r="T227" s="419">
        <f t="shared" si="68"/>
        <v>131792.00000000783</v>
      </c>
      <c r="U227" s="419">
        <f t="shared" si="68"/>
        <v>156083.99999999965</v>
      </c>
      <c r="V227" s="419">
        <f t="shared" si="68"/>
        <v>108958.39999999074</v>
      </c>
      <c r="W227" s="419">
        <f t="shared" si="68"/>
        <v>89163.300000000934</v>
      </c>
      <c r="X227" s="419">
        <f t="shared" si="68"/>
        <v>13167.099999987171</v>
      </c>
      <c r="Y227" s="419">
        <f t="shared" si="68"/>
        <v>145926.99999999342</v>
      </c>
      <c r="Z227" s="419">
        <f t="shared" si="68"/>
        <v>105690.99999998863</v>
      </c>
      <c r="AA227" s="419">
        <f t="shared" si="68"/>
        <v>154172.00000000483</v>
      </c>
      <c r="AB227" s="419">
        <f t="shared" si="68"/>
        <v>75220.499999992695</v>
      </c>
      <c r="AC227" s="419">
        <f t="shared" si="68"/>
        <v>96249.600000009857</v>
      </c>
      <c r="AD227" s="419">
        <f t="shared" si="68"/>
        <v>12049.300000001953</v>
      </c>
      <c r="AE227" s="419">
        <f t="shared" si="68"/>
        <v>126208.00000000454</v>
      </c>
      <c r="AF227" s="419">
        <f t="shared" si="68"/>
        <v>128067.09999999939</v>
      </c>
      <c r="AG227" s="419">
        <f t="shared" si="68"/>
        <v>67180.59999999209</v>
      </c>
      <c r="AH227" s="419"/>
      <c r="AI227" s="3">
        <f>AVERAGE(D227:AH227)</f>
        <v>105100.96999999853</v>
      </c>
    </row>
    <row r="228" spans="2:36" x14ac:dyDescent="0.25">
      <c r="B228" s="25" t="s">
        <v>28</v>
      </c>
      <c r="C228" s="1" t="s">
        <v>0</v>
      </c>
      <c r="D228" s="422">
        <f>+(D99*999.4*24+D162*248*24)/1247.4/24</f>
        <v>0.23804640685810763</v>
      </c>
      <c r="E228" s="422">
        <f t="shared" ref="E228:AG228" si="69">+(E99*999.4*24+E162*248*24)/1247.4/24</f>
        <v>0.23438133594570632</v>
      </c>
      <c r="F228" s="422">
        <f t="shared" si="69"/>
        <v>0.23311364523480119</v>
      </c>
      <c r="G228" s="422">
        <f t="shared" si="69"/>
        <v>0.22834157419758302</v>
      </c>
      <c r="H228" s="422">
        <f t="shared" si="69"/>
        <v>0.19137365163454614</v>
      </c>
      <c r="I228" s="422">
        <f t="shared" si="69"/>
        <v>0.17039510013225237</v>
      </c>
      <c r="J228" s="422">
        <f t="shared" si="69"/>
        <v>0.1974084808304585</v>
      </c>
      <c r="K228" s="422">
        <f t="shared" si="69"/>
        <v>0.23292250969115003</v>
      </c>
      <c r="L228" s="422">
        <f t="shared" si="69"/>
        <v>0.23660079019531266</v>
      </c>
      <c r="M228" s="422">
        <f t="shared" si="69"/>
        <v>0.22643193769193351</v>
      </c>
      <c r="N228" s="422">
        <f t="shared" si="69"/>
        <v>0.21949163274459416</v>
      </c>
      <c r="O228" s="422">
        <f t="shared" si="69"/>
        <v>0.20560332495401679</v>
      </c>
      <c r="P228" s="422">
        <f t="shared" si="69"/>
        <v>0.21459636845553362</v>
      </c>
      <c r="Q228" s="422">
        <f t="shared" si="69"/>
        <v>0.19938180842496822</v>
      </c>
      <c r="R228" s="422">
        <f t="shared" si="69"/>
        <v>0.19476670188114062</v>
      </c>
      <c r="S228" s="422">
        <f t="shared" si="69"/>
        <v>0.15938652836854869</v>
      </c>
      <c r="T228" s="422">
        <f t="shared" si="69"/>
        <v>0.192119285934397</v>
      </c>
      <c r="U228" s="422">
        <f t="shared" si="69"/>
        <v>0.21568177291598503</v>
      </c>
      <c r="V228" s="422">
        <f t="shared" si="69"/>
        <v>0.22366128994618195</v>
      </c>
      <c r="W228" s="422">
        <f t="shared" si="69"/>
        <v>0.11471385567225739</v>
      </c>
      <c r="X228" s="422">
        <f t="shared" si="69"/>
        <v>0.20070384897221596</v>
      </c>
      <c r="Y228" s="422">
        <f t="shared" si="69"/>
        <v>0.21070114961405914</v>
      </c>
      <c r="Z228" s="422">
        <f t="shared" si="69"/>
        <v>0.16943785908659328</v>
      </c>
      <c r="AA228" s="422">
        <f t="shared" si="69"/>
        <v>0.24554553653492359</v>
      </c>
      <c r="AB228" s="422">
        <f t="shared" si="69"/>
        <v>0.23732715483071543</v>
      </c>
      <c r="AC228" s="422">
        <f t="shared" si="69"/>
        <v>0.22234289218368486</v>
      </c>
      <c r="AD228" s="422">
        <f t="shared" si="69"/>
        <v>0.1998877560563754</v>
      </c>
      <c r="AE228" s="422">
        <f t="shared" si="69"/>
        <v>0.16855556549848016</v>
      </c>
      <c r="AF228" s="422">
        <f t="shared" si="69"/>
        <v>0.14409907471126868</v>
      </c>
      <c r="AG228" s="422">
        <f t="shared" si="69"/>
        <v>0.1726414362531454</v>
      </c>
      <c r="AH228" s="422"/>
      <c r="AI228" s="224">
        <f>AVERAGE(D228:AH228)</f>
        <v>0.2033220091816979</v>
      </c>
    </row>
    <row r="229" spans="2:36" x14ac:dyDescent="0.25">
      <c r="B229" s="25" t="s">
        <v>35</v>
      </c>
      <c r="C229" s="1" t="s">
        <v>0</v>
      </c>
      <c r="D229" s="421">
        <f>+D225/1247.4/24</f>
        <v>0.14216236438459098</v>
      </c>
      <c r="E229" s="421">
        <f t="shared" ref="E229:AG229" si="70">+E225/1247.4/24</f>
        <v>0.2188552188552203</v>
      </c>
      <c r="F229" s="421">
        <f t="shared" si="70"/>
        <v>0.22259633370744283</v>
      </c>
      <c r="G229" s="421">
        <f t="shared" si="70"/>
        <v>0.21498049275827247</v>
      </c>
      <c r="H229" s="421">
        <f t="shared" si="70"/>
        <v>0.18037518037518038</v>
      </c>
      <c r="I229" s="421">
        <f t="shared" si="70"/>
        <v>0.16354016354016063</v>
      </c>
      <c r="J229" s="421">
        <f t="shared" si="70"/>
        <v>0.17890545668322666</v>
      </c>
      <c r="K229" s="421">
        <f t="shared" si="70"/>
        <v>0.22259633370745502</v>
      </c>
      <c r="L229" s="421">
        <f t="shared" si="70"/>
        <v>0.2304793971460638</v>
      </c>
      <c r="M229" s="421">
        <f t="shared" si="70"/>
        <v>0.21885521885520817</v>
      </c>
      <c r="N229" s="421">
        <f t="shared" si="70"/>
        <v>0.2096360429693831</v>
      </c>
      <c r="O229" s="421">
        <f t="shared" si="70"/>
        <v>0.1998824221046448</v>
      </c>
      <c r="P229" s="421">
        <f t="shared" si="70"/>
        <v>0.2042915931804816</v>
      </c>
      <c r="Q229" s="421">
        <f t="shared" si="70"/>
        <v>0.15552348885682657</v>
      </c>
      <c r="R229" s="421">
        <f t="shared" si="70"/>
        <v>0.10488482710704204</v>
      </c>
      <c r="S229" s="421">
        <f t="shared" si="70"/>
        <v>0.15351932018598394</v>
      </c>
      <c r="T229" s="421">
        <f t="shared" si="70"/>
        <v>0.18505157394046767</v>
      </c>
      <c r="U229" s="421">
        <f t="shared" si="70"/>
        <v>0.20803270803270413</v>
      </c>
      <c r="V229" s="421">
        <f t="shared" si="70"/>
        <v>0.17489711934156571</v>
      </c>
      <c r="W229" s="421">
        <f t="shared" si="70"/>
        <v>0.10835871946983834</v>
      </c>
      <c r="X229" s="421">
        <f t="shared" si="70"/>
        <v>0.10461760461760365</v>
      </c>
      <c r="Y229" s="421">
        <f t="shared" si="70"/>
        <v>0.19440436107101799</v>
      </c>
      <c r="Z229" s="421">
        <f t="shared" si="70"/>
        <v>0.16354016354017276</v>
      </c>
      <c r="AA229" s="421">
        <f t="shared" si="70"/>
        <v>0.23395328950883579</v>
      </c>
      <c r="AB229" s="421">
        <f t="shared" si="70"/>
        <v>0.16166960611405543</v>
      </c>
      <c r="AC229" s="421">
        <f t="shared" si="70"/>
        <v>0.2072310405643768</v>
      </c>
      <c r="AD229" s="421">
        <f t="shared" si="70"/>
        <v>0.11370316925872771</v>
      </c>
      <c r="AE229" s="421">
        <f t="shared" si="70"/>
        <v>0.1612687723798796</v>
      </c>
      <c r="AF229" s="421">
        <f t="shared" si="70"/>
        <v>0.13374485596708111</v>
      </c>
      <c r="AG229" s="421">
        <f t="shared" si="70"/>
        <v>0.14830848164180768</v>
      </c>
      <c r="AH229" s="421"/>
      <c r="AI229" s="187"/>
    </row>
    <row r="230" spans="2:36" x14ac:dyDescent="0.25">
      <c r="B230" s="406" t="s">
        <v>113</v>
      </c>
      <c r="C230" s="1"/>
      <c r="D230" s="425">
        <f>D228-D229</f>
        <v>9.5884042473516645E-2</v>
      </c>
      <c r="E230" s="425">
        <f t="shared" ref="E230:AG230" si="71">E228-E229</f>
        <v>1.5526117090486014E-2</v>
      </c>
      <c r="F230" s="425">
        <f t="shared" si="71"/>
        <v>1.0517311527358353E-2</v>
      </c>
      <c r="G230" s="425">
        <f t="shared" si="71"/>
        <v>1.3361081439310557E-2</v>
      </c>
      <c r="H230" s="425">
        <f t="shared" si="71"/>
        <v>1.0998471259365761E-2</v>
      </c>
      <c r="I230" s="425">
        <f t="shared" si="71"/>
        <v>6.8549365920917427E-3</v>
      </c>
      <c r="J230" s="425">
        <f t="shared" si="71"/>
        <v>1.8503024147231845E-2</v>
      </c>
      <c r="K230" s="425">
        <f t="shared" si="71"/>
        <v>1.0326175983695007E-2</v>
      </c>
      <c r="L230" s="425">
        <f t="shared" si="71"/>
        <v>6.1213930492488577E-3</v>
      </c>
      <c r="M230" s="425">
        <f t="shared" si="71"/>
        <v>7.576718836725338E-3</v>
      </c>
      <c r="N230" s="425">
        <f t="shared" si="71"/>
        <v>9.8555897752110599E-3</v>
      </c>
      <c r="O230" s="425">
        <f t="shared" si="71"/>
        <v>5.7209028493719893E-3</v>
      </c>
      <c r="P230" s="425">
        <f t="shared" si="71"/>
        <v>1.0304775275052025E-2</v>
      </c>
      <c r="Q230" s="425">
        <f t="shared" si="71"/>
        <v>4.3858319568141652E-2</v>
      </c>
      <c r="R230" s="425">
        <f t="shared" si="71"/>
        <v>8.9881874774098577E-2</v>
      </c>
      <c r="S230" s="425">
        <f t="shared" si="71"/>
        <v>5.8672081825647537E-3</v>
      </c>
      <c r="T230" s="425">
        <f t="shared" si="71"/>
        <v>7.067711993929332E-3</v>
      </c>
      <c r="U230" s="425">
        <f t="shared" si="71"/>
        <v>7.6490648832809038E-3</v>
      </c>
      <c r="V230" s="425">
        <f t="shared" si="71"/>
        <v>4.8764170604616242E-2</v>
      </c>
      <c r="W230" s="425">
        <f t="shared" si="71"/>
        <v>6.3551362024190511E-3</v>
      </c>
      <c r="X230" s="425">
        <f t="shared" si="71"/>
        <v>9.6086244354612313E-2</v>
      </c>
      <c r="Y230" s="425">
        <f t="shared" si="71"/>
        <v>1.6296788543041146E-2</v>
      </c>
      <c r="Z230" s="425">
        <f t="shared" si="71"/>
        <v>5.8976955464205283E-3</v>
      </c>
      <c r="AA230" s="425">
        <f t="shared" si="71"/>
        <v>1.1592247026087799E-2</v>
      </c>
      <c r="AB230" s="425">
        <f t="shared" si="71"/>
        <v>7.565754871666E-2</v>
      </c>
      <c r="AC230" s="425">
        <f t="shared" si="71"/>
        <v>1.5111851619308059E-2</v>
      </c>
      <c r="AD230" s="425">
        <f t="shared" si="71"/>
        <v>8.6184586797647691E-2</v>
      </c>
      <c r="AE230" s="425">
        <f t="shared" si="71"/>
        <v>7.2867931186005597E-3</v>
      </c>
      <c r="AF230" s="425">
        <f t="shared" si="71"/>
        <v>1.0354218744187571E-2</v>
      </c>
      <c r="AG230" s="425">
        <f t="shared" si="71"/>
        <v>2.433295461133772E-2</v>
      </c>
      <c r="AH230" s="425"/>
      <c r="AI230" s="187"/>
    </row>
    <row r="231" spans="2:36" x14ac:dyDescent="0.25">
      <c r="B231" s="406" t="s">
        <v>29</v>
      </c>
      <c r="C231" s="1"/>
      <c r="D231" s="422"/>
      <c r="E231" s="422"/>
      <c r="F231" s="422"/>
      <c r="G231" s="422"/>
      <c r="H231" s="422"/>
      <c r="I231" s="422"/>
      <c r="J231" s="422"/>
      <c r="K231" s="422"/>
      <c r="L231" s="422"/>
      <c r="M231" s="422"/>
      <c r="N231" s="422"/>
      <c r="O231" s="422"/>
      <c r="P231" s="422"/>
      <c r="Q231" s="422"/>
      <c r="R231" s="422"/>
      <c r="S231" s="422"/>
      <c r="T231" s="422"/>
      <c r="U231" s="422"/>
      <c r="V231" s="422"/>
      <c r="W231" s="422"/>
      <c r="X231" s="422"/>
      <c r="Y231" s="422"/>
      <c r="Z231" s="422"/>
      <c r="AA231" s="422"/>
      <c r="AB231" s="422"/>
      <c r="AC231" s="422"/>
      <c r="AD231" s="422"/>
      <c r="AE231" s="422"/>
      <c r="AF231" s="422"/>
      <c r="AG231" s="422"/>
      <c r="AH231" s="422"/>
      <c r="AI231" s="187"/>
    </row>
    <row r="232" spans="2:36" x14ac:dyDescent="0.25">
      <c r="B232" s="25" t="s">
        <v>109</v>
      </c>
      <c r="C232" s="1" t="s">
        <v>59</v>
      </c>
      <c r="D232" s="420">
        <f>+D228*1247.4*24</f>
        <v>7126.5381099552833</v>
      </c>
      <c r="E232" s="420">
        <f t="shared" ref="E232:AG232" si="72">+E228*1247.4*24</f>
        <v>7016.8146830081787</v>
      </c>
      <c r="F232" s="420">
        <f t="shared" si="72"/>
        <v>6978.863065581384</v>
      </c>
      <c r="G232" s="420">
        <f t="shared" si="72"/>
        <v>6835.9987116975626</v>
      </c>
      <c r="H232" s="420">
        <f t="shared" si="72"/>
        <v>5729.2678331743891</v>
      </c>
      <c r="I232" s="420">
        <f t="shared" si="72"/>
        <v>5101.2203497193186</v>
      </c>
      <c r="J232" s="420">
        <f t="shared" si="72"/>
        <v>5909.9361357099351</v>
      </c>
      <c r="K232" s="420">
        <f t="shared" si="72"/>
        <v>6973.140926129774</v>
      </c>
      <c r="L232" s="420">
        <f t="shared" si="72"/>
        <v>7083.2598165511918</v>
      </c>
      <c r="M232" s="420">
        <f t="shared" si="72"/>
        <v>6778.828777846029</v>
      </c>
      <c r="N232" s="420">
        <f t="shared" si="72"/>
        <v>6571.0527044545624</v>
      </c>
      <c r="O232" s="420">
        <f t="shared" si="72"/>
        <v>6155.2701011433737</v>
      </c>
      <c r="P232" s="420">
        <f t="shared" si="72"/>
        <v>6424.5002402743839</v>
      </c>
      <c r="Q232" s="420">
        <f t="shared" si="72"/>
        <v>5969.0128279033288</v>
      </c>
      <c r="R232" s="420">
        <f t="shared" si="72"/>
        <v>5830.8476142368363</v>
      </c>
      <c r="S232" s="420">
        <f t="shared" si="72"/>
        <v>4771.6501316862632</v>
      </c>
      <c r="T232" s="420">
        <f t="shared" si="72"/>
        <v>5751.590334589604</v>
      </c>
      <c r="U232" s="420">
        <f t="shared" si="72"/>
        <v>6456.9946448495939</v>
      </c>
      <c r="V232" s="420">
        <f t="shared" si="72"/>
        <v>6695.8822338928176</v>
      </c>
      <c r="W232" s="420">
        <f t="shared" si="72"/>
        <v>3434.2575255737734</v>
      </c>
      <c r="X232" s="420">
        <f t="shared" si="72"/>
        <v>6008.5915489906129</v>
      </c>
      <c r="Y232" s="420">
        <f t="shared" si="72"/>
        <v>6307.8867366858576</v>
      </c>
      <c r="Z232" s="420">
        <f t="shared" si="72"/>
        <v>5072.5628501907959</v>
      </c>
      <c r="AA232" s="420">
        <f t="shared" si="72"/>
        <v>7351.0440545679285</v>
      </c>
      <c r="AB232" s="420">
        <f t="shared" si="72"/>
        <v>7105.0054304600262</v>
      </c>
      <c r="AC232" s="420">
        <f t="shared" si="72"/>
        <v>6656.4125690382843</v>
      </c>
      <c r="AD232" s="420">
        <f t="shared" si="72"/>
        <v>5984.1596857133445</v>
      </c>
      <c r="AE232" s="420">
        <f t="shared" si="72"/>
        <v>5046.1490976673003</v>
      </c>
      <c r="AF232" s="420">
        <f t="shared" si="72"/>
        <v>4313.9804590760778</v>
      </c>
      <c r="AG232" s="420">
        <f t="shared" si="72"/>
        <v>5168.4702619721656</v>
      </c>
      <c r="AH232" s="420"/>
      <c r="AI232" s="3">
        <f t="shared" ref="AI232" si="73">SUM(D232:AH232)</f>
        <v>182609.18946234</v>
      </c>
    </row>
    <row r="233" spans="2:36" x14ac:dyDescent="0.25">
      <c r="B233" s="25" t="s">
        <v>213</v>
      </c>
      <c r="C233" s="1" t="s">
        <v>298</v>
      </c>
      <c r="D233" s="211">
        <f>D104</f>
        <v>28.29</v>
      </c>
      <c r="E233" s="211">
        <f t="shared" ref="E233:AG233" si="74">E104</f>
        <v>29.56</v>
      </c>
      <c r="F233" s="211">
        <f t="shared" si="74"/>
        <v>28.97</v>
      </c>
      <c r="G233" s="211">
        <f t="shared" si="74"/>
        <v>31.08</v>
      </c>
      <c r="H233" s="211">
        <f t="shared" si="74"/>
        <v>30</v>
      </c>
      <c r="I233" s="211">
        <f t="shared" si="74"/>
        <v>27.42</v>
      </c>
      <c r="J233" s="211">
        <f t="shared" si="74"/>
        <v>31.73</v>
      </c>
      <c r="K233" s="211">
        <f t="shared" si="74"/>
        <v>30.41</v>
      </c>
      <c r="L233" s="211">
        <f t="shared" si="74"/>
        <v>32.299999999999997</v>
      </c>
      <c r="M233" s="211">
        <f t="shared" si="74"/>
        <v>32.83</v>
      </c>
      <c r="N233" s="211">
        <f t="shared" si="74"/>
        <v>33.83</v>
      </c>
      <c r="O233" s="211">
        <f t="shared" si="74"/>
        <v>34.425232142857105</v>
      </c>
      <c r="P233" s="211">
        <f t="shared" si="74"/>
        <v>34.39</v>
      </c>
      <c r="Q233" s="211">
        <f t="shared" si="74"/>
        <v>35.520000000000003</v>
      </c>
      <c r="R233" s="211">
        <f t="shared" si="74"/>
        <v>35.54</v>
      </c>
      <c r="S233" s="211">
        <f t="shared" si="74"/>
        <v>32.049999999999997</v>
      </c>
      <c r="T233" s="211">
        <f t="shared" si="74"/>
        <v>29.9</v>
      </c>
      <c r="U233" s="211">
        <f t="shared" si="74"/>
        <v>32.79</v>
      </c>
      <c r="V233" s="211">
        <f t="shared" si="74"/>
        <v>30.34</v>
      </c>
      <c r="W233" s="211">
        <f t="shared" si="74"/>
        <v>27.010808035714302</v>
      </c>
      <c r="X233" s="211">
        <f t="shared" si="74"/>
        <v>35</v>
      </c>
      <c r="Y233" s="211">
        <f t="shared" si="74"/>
        <v>28.2</v>
      </c>
      <c r="Z233" s="211">
        <f t="shared" si="74"/>
        <v>25.16</v>
      </c>
      <c r="AA233" s="211">
        <f t="shared" si="74"/>
        <v>30.6</v>
      </c>
      <c r="AB233" s="211">
        <f t="shared" si="74"/>
        <v>31.87</v>
      </c>
      <c r="AC233" s="211">
        <f t="shared" si="74"/>
        <v>34.82</v>
      </c>
      <c r="AD233" s="211">
        <f t="shared" si="74"/>
        <v>35.96</v>
      </c>
      <c r="AE233" s="211">
        <f t="shared" si="74"/>
        <v>37.47</v>
      </c>
      <c r="AF233" s="211">
        <f t="shared" si="74"/>
        <v>35.86</v>
      </c>
      <c r="AG233" s="211">
        <f t="shared" si="74"/>
        <v>35.134660714285687</v>
      </c>
      <c r="AH233" s="211"/>
      <c r="AI233" s="187"/>
    </row>
    <row r="234" spans="2:36" ht="15.75" x14ac:dyDescent="0.25">
      <c r="B234" s="219" t="s">
        <v>100</v>
      </c>
      <c r="C234" s="1" t="s">
        <v>59</v>
      </c>
      <c r="D234" s="222">
        <f>D105+D168</f>
        <v>139</v>
      </c>
      <c r="E234" s="222">
        <f t="shared" ref="E234:AG238" si="75">E105+E168</f>
        <v>404</v>
      </c>
      <c r="F234" s="222">
        <f t="shared" si="75"/>
        <v>255</v>
      </c>
      <c r="G234" s="222">
        <f t="shared" si="75"/>
        <v>339</v>
      </c>
      <c r="H234" s="222">
        <f t="shared" si="75"/>
        <v>69</v>
      </c>
      <c r="I234" s="222">
        <f t="shared" si="75"/>
        <v>145</v>
      </c>
      <c r="J234" s="222">
        <f t="shared" si="75"/>
        <v>195</v>
      </c>
      <c r="K234" s="222">
        <f t="shared" si="75"/>
        <v>249</v>
      </c>
      <c r="L234" s="222">
        <f t="shared" si="75"/>
        <v>114</v>
      </c>
      <c r="M234" s="222">
        <f t="shared" si="75"/>
        <v>177</v>
      </c>
      <c r="N234" s="222">
        <f t="shared" si="75"/>
        <v>187</v>
      </c>
      <c r="O234" s="222">
        <f t="shared" si="75"/>
        <v>111</v>
      </c>
      <c r="P234" s="222">
        <f t="shared" si="75"/>
        <v>249</v>
      </c>
      <c r="Q234" s="222">
        <f t="shared" si="75"/>
        <v>112</v>
      </c>
      <c r="R234" s="222">
        <f t="shared" si="75"/>
        <v>113</v>
      </c>
      <c r="S234" s="222">
        <f t="shared" si="75"/>
        <v>116</v>
      </c>
      <c r="T234" s="222">
        <f t="shared" si="75"/>
        <v>152</v>
      </c>
      <c r="U234" s="222">
        <f t="shared" si="75"/>
        <v>169</v>
      </c>
      <c r="V234" s="222">
        <f t="shared" si="75"/>
        <v>92</v>
      </c>
      <c r="W234" s="222">
        <f t="shared" si="75"/>
        <v>90</v>
      </c>
      <c r="X234" s="222">
        <f t="shared" si="75"/>
        <v>199</v>
      </c>
      <c r="Y234" s="222">
        <f t="shared" si="75"/>
        <v>159</v>
      </c>
      <c r="Z234" s="222">
        <f t="shared" si="75"/>
        <v>116</v>
      </c>
      <c r="AA234" s="222">
        <f t="shared" si="75"/>
        <v>263</v>
      </c>
      <c r="AB234" s="222">
        <f t="shared" si="75"/>
        <v>136</v>
      </c>
      <c r="AC234" s="222">
        <f t="shared" si="75"/>
        <v>234</v>
      </c>
      <c r="AD234" s="222">
        <f t="shared" si="75"/>
        <v>144</v>
      </c>
      <c r="AE234" s="222">
        <f t="shared" si="75"/>
        <v>158</v>
      </c>
      <c r="AF234" s="222">
        <f t="shared" si="75"/>
        <v>142</v>
      </c>
      <c r="AG234" s="222">
        <f t="shared" si="75"/>
        <v>136</v>
      </c>
      <c r="AH234" s="222"/>
      <c r="AI234" s="13">
        <f>SUM(D234:AH234)</f>
        <v>5164</v>
      </c>
      <c r="AJ234">
        <f>+AI234/1247.4/24/28</f>
        <v>6.1604327477343349E-3</v>
      </c>
    </row>
    <row r="235" spans="2:36" ht="15.75" x14ac:dyDescent="0.25">
      <c r="B235" s="219" t="s">
        <v>101</v>
      </c>
      <c r="C235" s="1" t="s">
        <v>59</v>
      </c>
      <c r="D235" s="222">
        <f t="shared" ref="D235:D238" si="76">D106+D169</f>
        <v>2538</v>
      </c>
      <c r="E235" s="222">
        <f t="shared" si="75"/>
        <v>0</v>
      </c>
      <c r="F235" s="222">
        <f t="shared" si="75"/>
        <v>0</v>
      </c>
      <c r="G235" s="222">
        <f t="shared" si="75"/>
        <v>0</v>
      </c>
      <c r="H235" s="222">
        <f t="shared" si="75"/>
        <v>203</v>
      </c>
      <c r="I235" s="222">
        <f t="shared" si="75"/>
        <v>0</v>
      </c>
      <c r="J235" s="222">
        <f t="shared" si="75"/>
        <v>250</v>
      </c>
      <c r="K235" s="222">
        <f t="shared" si="75"/>
        <v>0</v>
      </c>
      <c r="L235" s="222">
        <f t="shared" si="75"/>
        <v>0</v>
      </c>
      <c r="M235" s="222">
        <f t="shared" si="75"/>
        <v>0</v>
      </c>
      <c r="N235" s="222">
        <f t="shared" si="75"/>
        <v>48</v>
      </c>
      <c r="O235" s="222">
        <f t="shared" si="75"/>
        <v>0</v>
      </c>
      <c r="P235" s="222">
        <f t="shared" si="75"/>
        <v>0</v>
      </c>
      <c r="Q235" s="222">
        <f t="shared" si="75"/>
        <v>1090</v>
      </c>
      <c r="R235" s="222">
        <f t="shared" si="75"/>
        <v>2451</v>
      </c>
      <c r="S235" s="222">
        <f t="shared" si="75"/>
        <v>0</v>
      </c>
      <c r="T235" s="222">
        <f t="shared" si="75"/>
        <v>0</v>
      </c>
      <c r="U235" s="222">
        <f t="shared" si="75"/>
        <v>0</v>
      </c>
      <c r="V235" s="222">
        <f t="shared" si="75"/>
        <v>1266</v>
      </c>
      <c r="W235" s="222">
        <f t="shared" si="75"/>
        <v>40</v>
      </c>
      <c r="X235" s="222">
        <f t="shared" si="75"/>
        <v>2617</v>
      </c>
      <c r="Y235" s="222">
        <f t="shared" si="75"/>
        <v>134</v>
      </c>
      <c r="Z235" s="222">
        <f t="shared" si="75"/>
        <v>0</v>
      </c>
      <c r="AA235" s="222">
        <f t="shared" si="75"/>
        <v>0</v>
      </c>
      <c r="AB235" s="222">
        <f t="shared" si="75"/>
        <v>2068</v>
      </c>
      <c r="AC235" s="222">
        <f t="shared" si="75"/>
        <v>159</v>
      </c>
      <c r="AD235" s="222">
        <f t="shared" si="75"/>
        <v>2376</v>
      </c>
      <c r="AE235" s="222">
        <f t="shared" si="75"/>
        <v>0</v>
      </c>
      <c r="AF235" s="222">
        <f t="shared" si="75"/>
        <v>0</v>
      </c>
      <c r="AG235" s="222">
        <f t="shared" si="75"/>
        <v>532</v>
      </c>
      <c r="AH235" s="222"/>
      <c r="AI235" s="13">
        <f t="shared" ref="AI235:AI239" si="77">SUM(D235:AH235)</f>
        <v>15772</v>
      </c>
    </row>
    <row r="236" spans="2:36" ht="15.75" x14ac:dyDescent="0.25">
      <c r="B236" s="219" t="s">
        <v>102</v>
      </c>
      <c r="C236" s="1" t="s">
        <v>59</v>
      </c>
      <c r="D236" s="222">
        <f t="shared" si="76"/>
        <v>0</v>
      </c>
      <c r="E236" s="222">
        <f t="shared" si="75"/>
        <v>0</v>
      </c>
      <c r="F236" s="222">
        <f t="shared" si="75"/>
        <v>0</v>
      </c>
      <c r="G236" s="222">
        <f t="shared" si="75"/>
        <v>0</v>
      </c>
      <c r="H236" s="222">
        <f t="shared" si="75"/>
        <v>0</v>
      </c>
      <c r="I236" s="222">
        <f t="shared" si="75"/>
        <v>0</v>
      </c>
      <c r="J236" s="222">
        <f t="shared" si="75"/>
        <v>0</v>
      </c>
      <c r="K236" s="222">
        <f t="shared" si="75"/>
        <v>0</v>
      </c>
      <c r="L236" s="222">
        <f t="shared" si="75"/>
        <v>0</v>
      </c>
      <c r="M236" s="222">
        <f t="shared" si="75"/>
        <v>0</v>
      </c>
      <c r="N236" s="222">
        <f t="shared" si="75"/>
        <v>0</v>
      </c>
      <c r="O236" s="222">
        <f t="shared" si="75"/>
        <v>0</v>
      </c>
      <c r="P236" s="222">
        <f t="shared" si="75"/>
        <v>0</v>
      </c>
      <c r="Q236" s="222">
        <f t="shared" si="75"/>
        <v>0</v>
      </c>
      <c r="R236" s="222">
        <f t="shared" si="75"/>
        <v>0</v>
      </c>
      <c r="S236" s="222">
        <f t="shared" si="75"/>
        <v>0</v>
      </c>
      <c r="T236" s="222">
        <f t="shared" si="75"/>
        <v>0</v>
      </c>
      <c r="U236" s="222">
        <f t="shared" si="75"/>
        <v>0</v>
      </c>
      <c r="V236" s="222">
        <f t="shared" si="75"/>
        <v>0</v>
      </c>
      <c r="W236" s="222">
        <f t="shared" si="75"/>
        <v>0</v>
      </c>
      <c r="X236" s="222">
        <f t="shared" si="75"/>
        <v>0</v>
      </c>
      <c r="Y236" s="222">
        <f t="shared" si="75"/>
        <v>0</v>
      </c>
      <c r="Z236" s="222">
        <f t="shared" si="75"/>
        <v>0</v>
      </c>
      <c r="AA236" s="222">
        <f t="shared" si="75"/>
        <v>24</v>
      </c>
      <c r="AB236" s="222">
        <f t="shared" si="75"/>
        <v>0</v>
      </c>
      <c r="AC236" s="222">
        <f t="shared" si="75"/>
        <v>0</v>
      </c>
      <c r="AD236" s="222">
        <f t="shared" si="75"/>
        <v>0</v>
      </c>
      <c r="AE236" s="222">
        <f t="shared" si="75"/>
        <v>0</v>
      </c>
      <c r="AF236" s="222">
        <f t="shared" si="75"/>
        <v>0</v>
      </c>
      <c r="AG236" s="222">
        <f t="shared" si="75"/>
        <v>0</v>
      </c>
      <c r="AH236" s="222"/>
      <c r="AI236" s="13">
        <f t="shared" si="77"/>
        <v>24</v>
      </c>
    </row>
    <row r="237" spans="2:36" ht="15.75" x14ac:dyDescent="0.25">
      <c r="B237" s="219" t="s">
        <v>103</v>
      </c>
      <c r="C237" s="1" t="s">
        <v>59</v>
      </c>
      <c r="D237" s="222">
        <f t="shared" si="76"/>
        <v>133</v>
      </c>
      <c r="E237" s="222">
        <f t="shared" si="75"/>
        <v>0</v>
      </c>
      <c r="F237" s="222">
        <f t="shared" si="75"/>
        <v>0</v>
      </c>
      <c r="G237" s="222">
        <f t="shared" si="75"/>
        <v>0</v>
      </c>
      <c r="H237" s="222">
        <f t="shared" si="75"/>
        <v>0</v>
      </c>
      <c r="I237" s="222">
        <f t="shared" si="75"/>
        <v>0</v>
      </c>
      <c r="J237" s="222">
        <f t="shared" si="75"/>
        <v>49</v>
      </c>
      <c r="K237" s="222">
        <f t="shared" si="75"/>
        <v>0</v>
      </c>
      <c r="L237" s="222">
        <f t="shared" si="75"/>
        <v>0</v>
      </c>
      <c r="M237" s="222">
        <f t="shared" si="75"/>
        <v>0</v>
      </c>
      <c r="N237" s="222">
        <f t="shared" si="75"/>
        <v>0</v>
      </c>
      <c r="O237" s="222">
        <f t="shared" si="75"/>
        <v>0</v>
      </c>
      <c r="P237" s="222">
        <f t="shared" si="75"/>
        <v>0</v>
      </c>
      <c r="Q237" s="222">
        <f t="shared" si="75"/>
        <v>51</v>
      </c>
      <c r="R237" s="222">
        <f t="shared" si="75"/>
        <v>67</v>
      </c>
      <c r="S237" s="222">
        <f t="shared" si="75"/>
        <v>0</v>
      </c>
      <c r="T237" s="222">
        <f t="shared" si="75"/>
        <v>0</v>
      </c>
      <c r="U237" s="222">
        <f t="shared" si="75"/>
        <v>0</v>
      </c>
      <c r="V237" s="222">
        <f t="shared" si="75"/>
        <v>42</v>
      </c>
      <c r="W237" s="222">
        <f t="shared" si="75"/>
        <v>0</v>
      </c>
      <c r="X237" s="222">
        <f t="shared" si="75"/>
        <v>0</v>
      </c>
      <c r="Y237" s="222">
        <f t="shared" si="75"/>
        <v>135</v>
      </c>
      <c r="Z237" s="222">
        <f t="shared" si="75"/>
        <v>0</v>
      </c>
      <c r="AA237" s="222">
        <f t="shared" si="75"/>
        <v>0</v>
      </c>
      <c r="AB237" s="222">
        <f t="shared" si="75"/>
        <v>0</v>
      </c>
      <c r="AC237" s="222">
        <f t="shared" si="75"/>
        <v>0</v>
      </c>
      <c r="AD237" s="222">
        <f t="shared" si="75"/>
        <v>0</v>
      </c>
      <c r="AE237" s="222">
        <f t="shared" si="75"/>
        <v>0</v>
      </c>
      <c r="AF237" s="222">
        <f t="shared" si="75"/>
        <v>108</v>
      </c>
      <c r="AG237" s="222">
        <f t="shared" si="75"/>
        <v>0</v>
      </c>
      <c r="AH237" s="222"/>
      <c r="AI237" s="13">
        <f t="shared" si="77"/>
        <v>585</v>
      </c>
    </row>
    <row r="238" spans="2:36" x14ac:dyDescent="0.25">
      <c r="B238" s="5" t="s">
        <v>218</v>
      </c>
      <c r="C238" s="1" t="s">
        <v>59</v>
      </c>
      <c r="D238" s="222">
        <f t="shared" si="76"/>
        <v>0</v>
      </c>
      <c r="E238" s="222">
        <f t="shared" si="75"/>
        <v>0</v>
      </c>
      <c r="F238" s="222">
        <f t="shared" si="75"/>
        <v>0</v>
      </c>
      <c r="G238" s="222">
        <f t="shared" si="75"/>
        <v>0</v>
      </c>
      <c r="H238" s="222">
        <f t="shared" si="75"/>
        <v>0</v>
      </c>
      <c r="I238" s="222">
        <f t="shared" si="75"/>
        <v>0</v>
      </c>
      <c r="J238" s="222">
        <f t="shared" si="75"/>
        <v>0</v>
      </c>
      <c r="K238" s="222">
        <f t="shared" si="75"/>
        <v>0</v>
      </c>
      <c r="L238" s="222">
        <f t="shared" si="75"/>
        <v>0</v>
      </c>
      <c r="M238" s="222">
        <f t="shared" si="75"/>
        <v>0</v>
      </c>
      <c r="N238" s="222">
        <f t="shared" si="75"/>
        <v>0</v>
      </c>
      <c r="O238" s="222">
        <f t="shared" si="75"/>
        <v>0</v>
      </c>
      <c r="P238" s="222">
        <f t="shared" si="75"/>
        <v>0</v>
      </c>
      <c r="Q238" s="222">
        <f t="shared" si="75"/>
        <v>0</v>
      </c>
      <c r="R238" s="222">
        <f t="shared" si="75"/>
        <v>0</v>
      </c>
      <c r="S238" s="222">
        <f t="shared" si="75"/>
        <v>0</v>
      </c>
      <c r="T238" s="222">
        <f t="shared" si="75"/>
        <v>0</v>
      </c>
      <c r="U238" s="222">
        <f t="shared" si="75"/>
        <v>0</v>
      </c>
      <c r="V238" s="222">
        <f t="shared" si="75"/>
        <v>0</v>
      </c>
      <c r="W238" s="222">
        <f t="shared" si="75"/>
        <v>0</v>
      </c>
      <c r="X238" s="222">
        <f t="shared" si="75"/>
        <v>0</v>
      </c>
      <c r="Y238" s="222">
        <f t="shared" si="75"/>
        <v>0</v>
      </c>
      <c r="Z238" s="222">
        <f t="shared" si="75"/>
        <v>0</v>
      </c>
      <c r="AA238" s="222">
        <f t="shared" si="75"/>
        <v>0</v>
      </c>
      <c r="AB238" s="222">
        <f t="shared" si="75"/>
        <v>0</v>
      </c>
      <c r="AC238" s="222">
        <f t="shared" si="75"/>
        <v>0</v>
      </c>
      <c r="AD238" s="222">
        <f t="shared" si="75"/>
        <v>0</v>
      </c>
      <c r="AE238" s="222">
        <f t="shared" si="75"/>
        <v>0</v>
      </c>
      <c r="AF238" s="222">
        <f t="shared" si="75"/>
        <v>0</v>
      </c>
      <c r="AG238" s="222">
        <f t="shared" si="75"/>
        <v>0</v>
      </c>
      <c r="AH238" s="222"/>
      <c r="AI238" s="13">
        <f t="shared" si="77"/>
        <v>0</v>
      </c>
    </row>
    <row r="239" spans="2:36" x14ac:dyDescent="0.25">
      <c r="B239" s="220" t="s">
        <v>86</v>
      </c>
      <c r="C239" s="1" t="s">
        <v>59</v>
      </c>
      <c r="D239" s="222">
        <f t="shared" ref="D239" si="78">+SUM(D234:D238)</f>
        <v>2810</v>
      </c>
      <c r="E239" s="222">
        <f t="shared" ref="E239:G239" si="79">+SUM(E234:E238)</f>
        <v>404</v>
      </c>
      <c r="F239" s="222">
        <f t="shared" si="79"/>
        <v>255</v>
      </c>
      <c r="G239" s="222">
        <f t="shared" si="79"/>
        <v>339</v>
      </c>
      <c r="H239" s="222">
        <f t="shared" ref="H239:AG239" si="80">+SUM(H234:H238)</f>
        <v>272</v>
      </c>
      <c r="I239" s="222">
        <f t="shared" si="80"/>
        <v>145</v>
      </c>
      <c r="J239" s="222">
        <f t="shared" si="80"/>
        <v>494</v>
      </c>
      <c r="K239" s="222">
        <f t="shared" si="80"/>
        <v>249</v>
      </c>
      <c r="L239" s="222">
        <f t="shared" si="80"/>
        <v>114</v>
      </c>
      <c r="M239" s="222">
        <f t="shared" si="80"/>
        <v>177</v>
      </c>
      <c r="N239" s="222">
        <f t="shared" si="80"/>
        <v>235</v>
      </c>
      <c r="O239" s="222">
        <f t="shared" si="80"/>
        <v>111</v>
      </c>
      <c r="P239" s="222">
        <f t="shared" si="80"/>
        <v>249</v>
      </c>
      <c r="Q239" s="222">
        <f t="shared" si="80"/>
        <v>1253</v>
      </c>
      <c r="R239" s="222">
        <f t="shared" si="80"/>
        <v>2631</v>
      </c>
      <c r="S239" s="222">
        <f t="shared" si="80"/>
        <v>116</v>
      </c>
      <c r="T239" s="222">
        <f t="shared" si="80"/>
        <v>152</v>
      </c>
      <c r="U239" s="222">
        <f t="shared" si="80"/>
        <v>169</v>
      </c>
      <c r="V239" s="222">
        <f t="shared" si="80"/>
        <v>1400</v>
      </c>
      <c r="W239" s="222">
        <f t="shared" si="80"/>
        <v>130</v>
      </c>
      <c r="X239" s="222">
        <f t="shared" si="80"/>
        <v>2816</v>
      </c>
      <c r="Y239" s="222">
        <f t="shared" si="80"/>
        <v>428</v>
      </c>
      <c r="Z239" s="222">
        <f t="shared" si="80"/>
        <v>116</v>
      </c>
      <c r="AA239" s="222">
        <f t="shared" si="80"/>
        <v>287</v>
      </c>
      <c r="AB239" s="222">
        <f t="shared" si="80"/>
        <v>2204</v>
      </c>
      <c r="AC239" s="222">
        <f t="shared" si="80"/>
        <v>393</v>
      </c>
      <c r="AD239" s="222">
        <f t="shared" si="80"/>
        <v>2520</v>
      </c>
      <c r="AE239" s="222">
        <f t="shared" si="80"/>
        <v>158</v>
      </c>
      <c r="AF239" s="222">
        <f t="shared" si="80"/>
        <v>250</v>
      </c>
      <c r="AG239" s="222">
        <f t="shared" si="80"/>
        <v>668</v>
      </c>
      <c r="AH239" s="222"/>
      <c r="AI239" s="13">
        <f t="shared" si="77"/>
        <v>21545</v>
      </c>
    </row>
    <row r="240" spans="2:36" x14ac:dyDescent="0.25">
      <c r="B240" s="220" t="s">
        <v>86</v>
      </c>
      <c r="C240" s="1" t="s">
        <v>59</v>
      </c>
      <c r="D240" s="221">
        <f>+D239/1247.4/24</f>
        <v>9.3861899417454972E-2</v>
      </c>
      <c r="E240" s="221">
        <f t="shared" ref="E240:AG240" si="81">+E239/1247.4/24</f>
        <v>1.3494735716957938E-2</v>
      </c>
      <c r="F240" s="221">
        <f t="shared" si="81"/>
        <v>8.5177168510501833E-3</v>
      </c>
      <c r="G240" s="221">
        <f t="shared" si="81"/>
        <v>1.1323552990219657E-2</v>
      </c>
      <c r="H240" s="221">
        <f t="shared" si="81"/>
        <v>9.085564641120196E-3</v>
      </c>
      <c r="I240" s="221">
        <f t="shared" si="81"/>
        <v>4.8434076211853984E-3</v>
      </c>
      <c r="J240" s="221">
        <f t="shared" si="81"/>
        <v>1.6500988723210944E-2</v>
      </c>
      <c r="K240" s="221">
        <f t="shared" si="81"/>
        <v>8.3172999839666497E-3</v>
      </c>
      <c r="L240" s="221">
        <f t="shared" si="81"/>
        <v>3.8079204745871411E-3</v>
      </c>
      <c r="M240" s="221">
        <f t="shared" si="81"/>
        <v>5.912297578964245E-3</v>
      </c>
      <c r="N240" s="221">
        <f t="shared" si="81"/>
        <v>7.8496606274384047E-3</v>
      </c>
      <c r="O240" s="221">
        <f t="shared" si="81"/>
        <v>3.7077120410453739E-3</v>
      </c>
      <c r="P240" s="221">
        <f t="shared" si="81"/>
        <v>8.3172999839666497E-3</v>
      </c>
      <c r="Q240" s="221">
        <f t="shared" si="81"/>
        <v>4.1853722409277962E-2</v>
      </c>
      <c r="R240" s="221">
        <f t="shared" si="81"/>
        <v>8.7882796216129544E-2</v>
      </c>
      <c r="S240" s="221">
        <f t="shared" si="81"/>
        <v>3.8747260969483189E-3</v>
      </c>
      <c r="T240" s="221">
        <f t="shared" si="81"/>
        <v>5.0772272994495217E-3</v>
      </c>
      <c r="U240" s="221">
        <f t="shared" si="81"/>
        <v>5.6450750895195335E-3</v>
      </c>
      <c r="V240" s="221">
        <f t="shared" si="81"/>
        <v>4.6763935652824544E-2</v>
      </c>
      <c r="W240" s="221">
        <f t="shared" si="81"/>
        <v>4.3423654534765644E-3</v>
      </c>
      <c r="X240" s="221">
        <f t="shared" si="81"/>
        <v>9.4062316284538497E-2</v>
      </c>
      <c r="Y240" s="221">
        <f t="shared" si="81"/>
        <v>1.4296403185292073E-2</v>
      </c>
      <c r="Z240" s="221">
        <f t="shared" si="81"/>
        <v>3.8747260969483189E-3</v>
      </c>
      <c r="AA240" s="221">
        <f t="shared" si="81"/>
        <v>9.5866068088290308E-3</v>
      </c>
      <c r="AB240" s="221">
        <f t="shared" si="81"/>
        <v>7.3619795842018054E-2</v>
      </c>
      <c r="AC240" s="221">
        <f t="shared" si="81"/>
        <v>1.3127304793971459E-2</v>
      </c>
      <c r="AD240" s="221">
        <f t="shared" si="81"/>
        <v>8.4175084175084167E-2</v>
      </c>
      <c r="AE240" s="221">
        <f t="shared" si="81"/>
        <v>5.2776441665330553E-3</v>
      </c>
      <c r="AF240" s="221">
        <f t="shared" si="81"/>
        <v>8.3507027951472395E-3</v>
      </c>
      <c r="AG240" s="221">
        <f t="shared" si="81"/>
        <v>2.2313077868633419E-2</v>
      </c>
      <c r="AH240" s="221"/>
      <c r="AI240" s="13">
        <f>AVERAGE(D240:AE240)</f>
        <v>2.4607135222214589E-2</v>
      </c>
    </row>
    <row r="241" spans="2:35" x14ac:dyDescent="0.25">
      <c r="B241" s="5" t="s">
        <v>116</v>
      </c>
      <c r="C241" s="1" t="s">
        <v>60</v>
      </c>
      <c r="D241" s="423">
        <f t="shared" ref="D241:AG241" si="82">+D228-D229-D240</f>
        <v>2.0221430560616732E-3</v>
      </c>
      <c r="E241" s="423">
        <f t="shared" si="82"/>
        <v>2.0313813735280753E-3</v>
      </c>
      <c r="F241" s="423">
        <f t="shared" si="82"/>
        <v>1.9995946763081696E-3</v>
      </c>
      <c r="G241" s="423">
        <f t="shared" si="82"/>
        <v>2.0375284490909001E-3</v>
      </c>
      <c r="H241" s="423">
        <f t="shared" si="82"/>
        <v>1.9129066182455648E-3</v>
      </c>
      <c r="I241" s="423">
        <f t="shared" si="82"/>
        <v>2.0115289709063443E-3</v>
      </c>
      <c r="J241" s="423">
        <f t="shared" si="82"/>
        <v>2.002035424020901E-3</v>
      </c>
      <c r="K241" s="423">
        <f t="shared" si="82"/>
        <v>2.0088759997283576E-3</v>
      </c>
      <c r="L241" s="423">
        <f t="shared" si="82"/>
        <v>2.3134725746617167E-3</v>
      </c>
      <c r="M241" s="423">
        <f t="shared" si="82"/>
        <v>1.664421257761093E-3</v>
      </c>
      <c r="N241" s="423">
        <f t="shared" si="82"/>
        <v>2.0059291477726553E-3</v>
      </c>
      <c r="O241" s="423">
        <f t="shared" si="82"/>
        <v>2.0131908083266155E-3</v>
      </c>
      <c r="P241" s="423">
        <f t="shared" si="82"/>
        <v>1.9874752910853753E-3</v>
      </c>
      <c r="Q241" s="423">
        <f t="shared" si="82"/>
        <v>2.0045971588636899E-3</v>
      </c>
      <c r="R241" s="423">
        <f t="shared" si="82"/>
        <v>1.9990785579690334E-3</v>
      </c>
      <c r="S241" s="423">
        <f t="shared" si="82"/>
        <v>1.9924820856164348E-3</v>
      </c>
      <c r="T241" s="423">
        <f t="shared" si="82"/>
        <v>1.9904846944798103E-3</v>
      </c>
      <c r="U241" s="423">
        <f t="shared" si="82"/>
        <v>2.0039897937613703E-3</v>
      </c>
      <c r="V241" s="423">
        <f t="shared" si="82"/>
        <v>2.0002349517916976E-3</v>
      </c>
      <c r="W241" s="423">
        <f t="shared" si="82"/>
        <v>2.0127707489424867E-3</v>
      </c>
      <c r="X241" s="423">
        <f t="shared" si="82"/>
        <v>2.023928070073816E-3</v>
      </c>
      <c r="Y241" s="423">
        <f t="shared" si="82"/>
        <v>2.0003853577490738E-3</v>
      </c>
      <c r="Z241" s="423">
        <f t="shared" si="82"/>
        <v>2.0229694494722093E-3</v>
      </c>
      <c r="AA241" s="423">
        <f t="shared" si="82"/>
        <v>2.0056402172587678E-3</v>
      </c>
      <c r="AB241" s="423">
        <f t="shared" si="82"/>
        <v>2.037752874641946E-3</v>
      </c>
      <c r="AC241" s="423">
        <f t="shared" si="82"/>
        <v>1.9845468253365996E-3</v>
      </c>
      <c r="AD241" s="423">
        <f t="shared" si="82"/>
        <v>2.0095026225635249E-3</v>
      </c>
      <c r="AE241" s="423">
        <f t="shared" si="82"/>
        <v>2.0091489520675044E-3</v>
      </c>
      <c r="AF241" s="423">
        <f t="shared" si="82"/>
        <v>2.0035159490403315E-3</v>
      </c>
      <c r="AG241" s="423">
        <f t="shared" si="82"/>
        <v>2.0198767427043011E-3</v>
      </c>
      <c r="AH241" s="423"/>
      <c r="AI241" s="224">
        <f>AVERAGE(D241:AE241)</f>
        <v>2.0038570002887646E-3</v>
      </c>
    </row>
    <row r="246" spans="2:35" x14ac:dyDescent="0.25">
      <c r="D246" s="6">
        <v>9020</v>
      </c>
      <c r="E246" s="6">
        <v>9350</v>
      </c>
      <c r="F246" s="6">
        <v>8570</v>
      </c>
      <c r="G246" s="6">
        <v>8170</v>
      </c>
      <c r="H246" s="6">
        <v>9320</v>
      </c>
      <c r="I246" s="6">
        <v>8980</v>
      </c>
      <c r="J246" s="6">
        <v>8070</v>
      </c>
      <c r="K246" s="6">
        <v>6860</v>
      </c>
      <c r="L246" s="6">
        <v>5570</v>
      </c>
      <c r="M246" s="6">
        <v>8840</v>
      </c>
      <c r="N246" s="6">
        <v>7160</v>
      </c>
      <c r="O246" s="6">
        <v>8130</v>
      </c>
      <c r="P246" s="6">
        <v>9090</v>
      </c>
      <c r="Q246" s="6">
        <v>8590</v>
      </c>
      <c r="R246" s="6">
        <v>6390</v>
      </c>
      <c r="S246" s="6">
        <v>5360</v>
      </c>
      <c r="T246" s="6">
        <v>7730</v>
      </c>
      <c r="U246" s="6">
        <v>7540</v>
      </c>
      <c r="V246" s="6">
        <v>9570</v>
      </c>
      <c r="W246" s="6">
        <v>8770</v>
      </c>
      <c r="X246" s="6">
        <v>8210</v>
      </c>
      <c r="Y246" s="6">
        <v>5590</v>
      </c>
      <c r="Z246" s="6">
        <v>8120</v>
      </c>
      <c r="AA246" s="6">
        <v>8860</v>
      </c>
      <c r="AB246" s="6">
        <v>8040</v>
      </c>
      <c r="AC246" s="6">
        <v>8210</v>
      </c>
      <c r="AD246" s="6">
        <v>9220</v>
      </c>
      <c r="AE246" s="6">
        <v>8780</v>
      </c>
      <c r="AF246" s="6">
        <v>8640</v>
      </c>
      <c r="AG246" s="6">
        <v>8190</v>
      </c>
      <c r="AI246" s="6">
        <f>SUM(D246:AG246)</f>
        <v>242940</v>
      </c>
    </row>
    <row r="247" spans="2:35" x14ac:dyDescent="0.25">
      <c r="D247" s="544">
        <f>D246-D136</f>
        <v>0</v>
      </c>
      <c r="E247" s="544">
        <f t="shared" ref="E247:AG247" si="83">E246-E136</f>
        <v>0</v>
      </c>
      <c r="F247" s="544">
        <f t="shared" si="83"/>
        <v>0</v>
      </c>
      <c r="G247" s="544">
        <f t="shared" si="83"/>
        <v>0</v>
      </c>
      <c r="H247" s="544">
        <f t="shared" si="83"/>
        <v>0</v>
      </c>
      <c r="I247" s="544">
        <f t="shared" si="83"/>
        <v>0</v>
      </c>
      <c r="J247" s="544">
        <f t="shared" si="83"/>
        <v>0</v>
      </c>
      <c r="K247" s="544">
        <f t="shared" si="83"/>
        <v>0</v>
      </c>
      <c r="L247" s="544">
        <f t="shared" si="83"/>
        <v>0</v>
      </c>
      <c r="M247" s="544">
        <f t="shared" si="83"/>
        <v>0</v>
      </c>
      <c r="N247" s="544">
        <f t="shared" si="83"/>
        <v>0</v>
      </c>
      <c r="O247" s="544">
        <f t="shared" si="83"/>
        <v>0</v>
      </c>
      <c r="P247" s="544">
        <f t="shared" si="83"/>
        <v>0</v>
      </c>
      <c r="Q247" s="544">
        <f t="shared" si="83"/>
        <v>0</v>
      </c>
      <c r="R247" s="544">
        <f t="shared" si="83"/>
        <v>0</v>
      </c>
      <c r="S247" s="544">
        <f t="shared" si="83"/>
        <v>0</v>
      </c>
      <c r="T247" s="544">
        <f t="shared" si="83"/>
        <v>0</v>
      </c>
      <c r="U247" s="544">
        <f t="shared" si="83"/>
        <v>0</v>
      </c>
      <c r="V247" s="544">
        <f t="shared" si="83"/>
        <v>0</v>
      </c>
      <c r="W247" s="544">
        <f t="shared" si="83"/>
        <v>0</v>
      </c>
      <c r="X247" s="544">
        <f t="shared" si="83"/>
        <v>0</v>
      </c>
      <c r="Y247" s="544">
        <f t="shared" si="83"/>
        <v>0</v>
      </c>
      <c r="Z247" s="544">
        <f t="shared" si="83"/>
        <v>0</v>
      </c>
      <c r="AA247" s="544">
        <f t="shared" si="83"/>
        <v>0</v>
      </c>
      <c r="AB247" s="544">
        <f t="shared" si="83"/>
        <v>0</v>
      </c>
      <c r="AC247" s="544">
        <f t="shared" si="83"/>
        <v>0</v>
      </c>
      <c r="AD247" s="544">
        <f t="shared" si="83"/>
        <v>0</v>
      </c>
      <c r="AE247" s="544">
        <f t="shared" si="83"/>
        <v>0</v>
      </c>
      <c r="AF247" s="544">
        <f t="shared" si="83"/>
        <v>0</v>
      </c>
      <c r="AG247" s="544">
        <f t="shared" si="83"/>
        <v>0</v>
      </c>
    </row>
    <row r="254" spans="2:35" x14ac:dyDescent="0.25">
      <c r="D254" s="346">
        <f>+SUM(D115:D135)</f>
        <v>9136.9807194237801</v>
      </c>
      <c r="E254" s="346">
        <f t="shared" ref="E254:AF254" si="84">+SUM(E115:E135)</f>
        <v>9499.1999816894531</v>
      </c>
      <c r="F254" s="346">
        <f t="shared" si="84"/>
        <v>8678.4985452307174</v>
      </c>
      <c r="G254" s="346">
        <f t="shared" si="84"/>
        <v>8272.4723293493917</v>
      </c>
      <c r="H254" s="346">
        <f t="shared" si="84"/>
        <v>9462.4</v>
      </c>
      <c r="I254" s="346">
        <f t="shared" si="84"/>
        <v>9112.7999999999993</v>
      </c>
      <c r="J254" s="346">
        <f t="shared" si="84"/>
        <v>8189.4000244140625</v>
      </c>
      <c r="K254" s="346">
        <f t="shared" si="84"/>
        <v>6949.4000000000005</v>
      </c>
      <c r="L254" s="346">
        <f t="shared" si="84"/>
        <v>5624.1000061035156</v>
      </c>
      <c r="M254" s="346">
        <f t="shared" si="84"/>
        <v>8973.6999816894531</v>
      </c>
      <c r="N254" s="346">
        <f t="shared" si="84"/>
        <v>7248.9999389648437</v>
      </c>
      <c r="O254" s="346">
        <f t="shared" si="84"/>
        <v>8244.8999938964844</v>
      </c>
      <c r="P254" s="346">
        <f t="shared" si="84"/>
        <v>9230.8999938964844</v>
      </c>
      <c r="Q254" s="346">
        <f t="shared" si="84"/>
        <v>8710.7999572753906</v>
      </c>
      <c r="R254" s="346">
        <f t="shared" si="84"/>
        <v>6462.5999755859348</v>
      </c>
      <c r="S254" s="346">
        <f t="shared" si="84"/>
        <v>5411.4999847412109</v>
      </c>
      <c r="T254" s="346">
        <f t="shared" si="84"/>
        <v>7851.2000122070312</v>
      </c>
      <c r="U254" s="346">
        <f t="shared" si="84"/>
        <v>7645.0999755859375</v>
      </c>
      <c r="V254" s="346">
        <f t="shared" si="84"/>
        <v>9710.8000183105469</v>
      </c>
      <c r="W254" s="346">
        <f t="shared" si="84"/>
        <v>8893.6999816894531</v>
      </c>
      <c r="X254" s="346">
        <f t="shared" si="84"/>
        <v>8323.2000122070312</v>
      </c>
      <c r="Y254" s="346">
        <f t="shared" si="84"/>
        <v>5655.9000091552734</v>
      </c>
      <c r="Z254" s="346">
        <f t="shared" si="84"/>
        <v>8242.5000305175781</v>
      </c>
      <c r="AA254" s="346">
        <f t="shared" si="84"/>
        <v>8987.5</v>
      </c>
      <c r="AB254" s="346">
        <f t="shared" si="84"/>
        <v>8152.9000244140625</v>
      </c>
      <c r="AC254" s="346">
        <f t="shared" si="84"/>
        <v>8330.2000122070312</v>
      </c>
      <c r="AD254" s="346">
        <f t="shared" si="84"/>
        <v>9375.1000061035156</v>
      </c>
      <c r="AE254" s="346">
        <f t="shared" si="84"/>
        <v>8904.3999938964844</v>
      </c>
      <c r="AF254" s="346">
        <f t="shared" si="84"/>
        <v>8770.8999938964844</v>
      </c>
    </row>
    <row r="255" spans="2:35" x14ac:dyDescent="0.25">
      <c r="D255" s="6">
        <v>9136.9807194237801</v>
      </c>
      <c r="E255" s="6">
        <v>9499.1999816894531</v>
      </c>
      <c r="F255" s="6">
        <v>8678.4985452307174</v>
      </c>
      <c r="G255" s="6">
        <v>8272.4723293493917</v>
      </c>
      <c r="H255" s="6">
        <v>8997.5</v>
      </c>
      <c r="I255" s="6">
        <v>8673.7000000000007</v>
      </c>
      <c r="J255" s="6">
        <v>8189.4000244140625</v>
      </c>
      <c r="K255" s="6">
        <v>6949.4000000000005</v>
      </c>
      <c r="L255" s="6">
        <v>5624.1000061035156</v>
      </c>
      <c r="M255" s="6">
        <v>8973.6999816894531</v>
      </c>
      <c r="N255" s="6">
        <v>7248.9999389648437</v>
      </c>
      <c r="O255" s="6">
        <v>8244.8999938964844</v>
      </c>
      <c r="P255" s="6">
        <v>9230.8999938964844</v>
      </c>
      <c r="Q255" s="6">
        <v>8710.7999572753906</v>
      </c>
      <c r="R255" s="6">
        <v>6462.5999755859348</v>
      </c>
      <c r="S255" s="6">
        <v>5411.4999847412109</v>
      </c>
      <c r="T255" s="6">
        <v>7851.2000122070312</v>
      </c>
      <c r="U255" s="6">
        <v>7645.0999755859375</v>
      </c>
      <c r="V255" s="6">
        <v>9710.8000183105469</v>
      </c>
      <c r="W255" s="6">
        <v>8893.6999816894531</v>
      </c>
      <c r="X255" s="6">
        <v>8323.2000122070312</v>
      </c>
      <c r="Y255" s="6">
        <v>5655.9000091552734</v>
      </c>
      <c r="Z255" s="6">
        <v>8242.5000305175781</v>
      </c>
      <c r="AA255" s="6">
        <v>8987.5</v>
      </c>
      <c r="AB255" s="6">
        <v>8152.9000244140625</v>
      </c>
      <c r="AC255" s="6">
        <v>8330.2000122070312</v>
      </c>
      <c r="AD255" s="6">
        <v>9375.1000061035156</v>
      </c>
      <c r="AE255" s="6">
        <v>8904.3999938964844</v>
      </c>
      <c r="AF255" s="6">
        <v>8770.8999938964844</v>
      </c>
    </row>
    <row r="256" spans="2:35" x14ac:dyDescent="0.25">
      <c r="D256" s="346">
        <f>+D254-D255</f>
        <v>0</v>
      </c>
      <c r="E256" s="346">
        <f t="shared" ref="E256:AF256" si="85">+E254-E255</f>
        <v>0</v>
      </c>
      <c r="F256" s="346">
        <f t="shared" si="85"/>
        <v>0</v>
      </c>
      <c r="G256" s="346">
        <f t="shared" si="85"/>
        <v>0</v>
      </c>
      <c r="H256" s="346">
        <f t="shared" si="85"/>
        <v>464.89999999999964</v>
      </c>
      <c r="I256" s="346">
        <f t="shared" si="85"/>
        <v>439.09999999999854</v>
      </c>
      <c r="J256" s="346">
        <f t="shared" si="85"/>
        <v>0</v>
      </c>
      <c r="K256" s="346">
        <f t="shared" si="85"/>
        <v>0</v>
      </c>
      <c r="L256" s="346">
        <f t="shared" si="85"/>
        <v>0</v>
      </c>
      <c r="M256" s="346">
        <f t="shared" si="85"/>
        <v>0</v>
      </c>
      <c r="N256" s="346">
        <f t="shared" si="85"/>
        <v>0</v>
      </c>
      <c r="O256" s="346">
        <f t="shared" si="85"/>
        <v>0</v>
      </c>
      <c r="P256" s="346">
        <f t="shared" si="85"/>
        <v>0</v>
      </c>
      <c r="Q256" s="346">
        <f t="shared" si="85"/>
        <v>0</v>
      </c>
      <c r="R256" s="346">
        <f t="shared" si="85"/>
        <v>0</v>
      </c>
      <c r="S256" s="346">
        <f t="shared" si="85"/>
        <v>0</v>
      </c>
      <c r="T256" s="346">
        <f t="shared" si="85"/>
        <v>0</v>
      </c>
      <c r="U256" s="346">
        <f t="shared" si="85"/>
        <v>0</v>
      </c>
      <c r="V256" s="346">
        <f t="shared" si="85"/>
        <v>0</v>
      </c>
      <c r="W256" s="346">
        <f t="shared" si="85"/>
        <v>0</v>
      </c>
      <c r="X256" s="346">
        <f t="shared" si="85"/>
        <v>0</v>
      </c>
      <c r="Y256" s="346">
        <f t="shared" si="85"/>
        <v>0</v>
      </c>
      <c r="Z256" s="346">
        <f t="shared" si="85"/>
        <v>0</v>
      </c>
      <c r="AA256" s="346">
        <f t="shared" si="85"/>
        <v>0</v>
      </c>
      <c r="AB256" s="346">
        <f t="shared" si="85"/>
        <v>0</v>
      </c>
      <c r="AC256" s="346">
        <f t="shared" si="85"/>
        <v>0</v>
      </c>
      <c r="AD256" s="346">
        <f t="shared" si="85"/>
        <v>0</v>
      </c>
      <c r="AE256" s="346">
        <f t="shared" si="85"/>
        <v>0</v>
      </c>
      <c r="AF256" s="346">
        <f t="shared" si="85"/>
        <v>0</v>
      </c>
    </row>
  </sheetData>
  <mergeCells count="5">
    <mergeCell ref="B2:AI2"/>
    <mergeCell ref="B39:AI39"/>
    <mergeCell ref="B76:AI76"/>
    <mergeCell ref="B113:AI113"/>
    <mergeCell ref="B153:AI153"/>
  </mergeCells>
  <pageMargins left="0.2" right="0.2" top="0.25" bottom="0.25" header="0.3" footer="0.3"/>
  <pageSetup paperSize="8" scale="3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18"/>
  <sheetViews>
    <sheetView topLeftCell="A103" workbookViewId="0">
      <pane xSplit="3" topLeftCell="D1" activePane="topRight" state="frozen"/>
      <selection pane="topRight" activeCell="H101" sqref="H101"/>
    </sheetView>
  </sheetViews>
  <sheetFormatPr defaultRowHeight="15" x14ac:dyDescent="0.25"/>
  <cols>
    <col min="3" max="3" width="25.7109375" customWidth="1"/>
    <col min="4" max="4" width="11.5703125" bestFit="1" customWidth="1"/>
    <col min="5" max="5" width="13.140625" customWidth="1"/>
    <col min="6" max="6" width="11.140625" customWidth="1"/>
    <col min="7" max="7" width="19.28515625" customWidth="1"/>
    <col min="8" max="8" width="12.140625" bestFit="1" customWidth="1"/>
    <col min="9" max="9" width="12.5703125" bestFit="1" customWidth="1"/>
  </cols>
  <sheetData>
    <row r="1" spans="3:7" ht="15.75" x14ac:dyDescent="0.25">
      <c r="C1" s="809" t="s">
        <v>34</v>
      </c>
      <c r="D1" s="810"/>
      <c r="E1" s="810"/>
      <c r="F1" s="810"/>
      <c r="G1" s="811"/>
    </row>
    <row r="2" spans="3:7" ht="15.75" x14ac:dyDescent="0.25">
      <c r="C2" s="608"/>
      <c r="D2" s="604">
        <v>44287</v>
      </c>
      <c r="E2" s="604">
        <v>44317</v>
      </c>
      <c r="F2" s="612">
        <v>44348</v>
      </c>
      <c r="G2" s="612" t="s">
        <v>314</v>
      </c>
    </row>
    <row r="3" spans="3:7" ht="15.75" x14ac:dyDescent="0.25">
      <c r="C3" s="608">
        <v>999.4</v>
      </c>
      <c r="D3" s="605">
        <v>30</v>
      </c>
      <c r="E3" s="605">
        <v>31</v>
      </c>
      <c r="F3" s="609">
        <f>'Exception Report F1'!AM3</f>
        <v>14</v>
      </c>
      <c r="G3" s="609">
        <f>SUM(D3:F3)</f>
        <v>75</v>
      </c>
    </row>
    <row r="4" spans="3:7" ht="15.75" x14ac:dyDescent="0.25">
      <c r="C4" s="610" t="s">
        <v>276</v>
      </c>
      <c r="D4" s="605">
        <f>'Solar Report_Base_April'!AI66</f>
        <v>148828.85276622151</v>
      </c>
      <c r="E4" s="605">
        <f>'Solar Report_Base-May'!AI66</f>
        <v>140215.92295878901</v>
      </c>
      <c r="F4" s="609">
        <f>'Solar Report_Base'!AI66</f>
        <v>69020.069896609406</v>
      </c>
      <c r="G4" s="609">
        <f>SUM(D4:F4)</f>
        <v>358064.84562161996</v>
      </c>
    </row>
    <row r="5" spans="3:7" ht="15.75" x14ac:dyDescent="0.25">
      <c r="C5" s="610" t="s">
        <v>277</v>
      </c>
      <c r="D5" s="606">
        <f>'Target '!F22</f>
        <v>136108.5348372689</v>
      </c>
      <c r="E5" s="606">
        <f>'Target '!F23</f>
        <v>149314.1741452486</v>
      </c>
      <c r="F5" s="613">
        <f>'Target '!E24*'Exception Report F1'!AM3</f>
        <v>60112.5179733365</v>
      </c>
      <c r="G5" s="613">
        <f t="shared" ref="G5:G11" si="0">SUM(D5:F5)</f>
        <v>345535.22695585398</v>
      </c>
    </row>
    <row r="6" spans="3:7" ht="15.75" x14ac:dyDescent="0.25">
      <c r="C6" s="610" t="s">
        <v>307</v>
      </c>
      <c r="D6" s="606">
        <v>142506.19999999998</v>
      </c>
      <c r="E6" s="605">
        <f>'Solar Report_Base-May'!AI59</f>
        <v>135368.99999999997</v>
      </c>
      <c r="F6" s="609">
        <f>'Solar Report_Base'!AI59</f>
        <v>60705.000000000036</v>
      </c>
      <c r="G6" s="614">
        <f t="shared" si="0"/>
        <v>338580.2</v>
      </c>
    </row>
    <row r="7" spans="3:7" ht="15.75" x14ac:dyDescent="0.25">
      <c r="C7" s="610" t="s">
        <v>271</v>
      </c>
      <c r="D7" s="607">
        <v>0</v>
      </c>
      <c r="E7" s="607">
        <v>0</v>
      </c>
      <c r="F7" s="614">
        <v>0</v>
      </c>
      <c r="G7" s="614">
        <f t="shared" si="0"/>
        <v>0</v>
      </c>
    </row>
    <row r="8" spans="3:7" ht="15.75" x14ac:dyDescent="0.25">
      <c r="C8" s="610" t="s">
        <v>272</v>
      </c>
      <c r="D8" s="607">
        <v>2985</v>
      </c>
      <c r="E8" s="607">
        <f>'Solar Report_Base-May'!AI71</f>
        <v>2178</v>
      </c>
      <c r="F8" s="614">
        <f>'Solar Report_Base'!AI71</f>
        <v>7024</v>
      </c>
      <c r="G8" s="614">
        <f t="shared" si="0"/>
        <v>12187</v>
      </c>
    </row>
    <row r="9" spans="3:7" ht="15.75" x14ac:dyDescent="0.25">
      <c r="C9" s="610" t="s">
        <v>273</v>
      </c>
      <c r="D9" s="607">
        <v>61</v>
      </c>
      <c r="E9" s="607">
        <v>0</v>
      </c>
      <c r="F9" s="614">
        <f>'Solar Report_Base'!AI70</f>
        <v>0</v>
      </c>
      <c r="G9" s="614">
        <f t="shared" si="0"/>
        <v>61</v>
      </c>
    </row>
    <row r="10" spans="3:7" ht="15.75" x14ac:dyDescent="0.25">
      <c r="C10" s="610" t="s">
        <v>274</v>
      </c>
      <c r="D10" s="607">
        <v>1889</v>
      </c>
      <c r="E10" s="607">
        <f>'Solar Report_Base-May'!AI68</f>
        <v>1205</v>
      </c>
      <c r="F10" s="614">
        <f>'Solar Report_Base'!AI68</f>
        <v>619</v>
      </c>
      <c r="G10" s="614">
        <f t="shared" si="0"/>
        <v>3713</v>
      </c>
    </row>
    <row r="11" spans="3:7" ht="16.5" thickBot="1" x14ac:dyDescent="0.3">
      <c r="C11" s="611" t="s">
        <v>275</v>
      </c>
      <c r="D11" s="615">
        <v>0</v>
      </c>
      <c r="E11" s="615">
        <v>0</v>
      </c>
      <c r="F11" s="616">
        <f>'Solar Report_Base'!AI72</f>
        <v>0</v>
      </c>
      <c r="G11" s="616">
        <f t="shared" si="0"/>
        <v>0</v>
      </c>
    </row>
    <row r="12" spans="3:7" ht="15.75" thickBot="1" x14ac:dyDescent="0.3">
      <c r="C12" s="812"/>
      <c r="D12" s="813"/>
      <c r="E12" s="813"/>
      <c r="F12" s="813"/>
      <c r="G12" s="814"/>
    </row>
    <row r="13" spans="3:7" ht="15.75" x14ac:dyDescent="0.25">
      <c r="C13" s="618" t="s">
        <v>276</v>
      </c>
      <c r="D13" s="619">
        <f>D4/$C$3/D$3/24</f>
        <v>0.20683083845615913</v>
      </c>
      <c r="E13" s="619">
        <f t="shared" ref="E13:G13" si="1">E4/$C$3/E$3/24</f>
        <v>0.18857540728575453</v>
      </c>
      <c r="F13" s="619">
        <f t="shared" si="1"/>
        <v>0.20554019881157684</v>
      </c>
      <c r="G13" s="620">
        <f t="shared" si="1"/>
        <v>0.19904434083873654</v>
      </c>
    </row>
    <row r="14" spans="3:7" ht="15.75" x14ac:dyDescent="0.25">
      <c r="C14" s="610" t="s">
        <v>277</v>
      </c>
      <c r="D14" s="617">
        <f t="shared" ref="D14:G14" si="2">D5/$C$3/D$3/24</f>
        <v>0.18915312359258454</v>
      </c>
      <c r="E14" s="617">
        <f t="shared" si="2"/>
        <v>0.2008115812299861</v>
      </c>
      <c r="F14" s="617">
        <f t="shared" si="2"/>
        <v>0.17901371171910438</v>
      </c>
      <c r="G14" s="621">
        <f t="shared" si="2"/>
        <v>0.19207926253299423</v>
      </c>
    </row>
    <row r="15" spans="3:7" ht="16.5" thickBot="1" x14ac:dyDescent="0.3">
      <c r="C15" s="610" t="s">
        <v>307</v>
      </c>
      <c r="D15" s="617">
        <f t="shared" ref="D15:G15" si="3">D6/$C$3/D$3/24</f>
        <v>0.19804410424032196</v>
      </c>
      <c r="E15" s="617">
        <f t="shared" si="3"/>
        <v>0.18205681473400168</v>
      </c>
      <c r="F15" s="617">
        <f t="shared" si="3"/>
        <v>0.18077810972297678</v>
      </c>
      <c r="G15" s="621">
        <f t="shared" si="3"/>
        <v>0.1882130389344718</v>
      </c>
    </row>
    <row r="16" spans="3:7" x14ac:dyDescent="0.25">
      <c r="C16" s="610" t="s">
        <v>356</v>
      </c>
      <c r="D16" s="627">
        <f>D14-D13</f>
        <v>-1.7677714863574584E-2</v>
      </c>
      <c r="E16" s="627">
        <f t="shared" ref="E16:F16" si="4">E14-E13</f>
        <v>1.2236173944231571E-2</v>
      </c>
      <c r="F16" s="627">
        <f t="shared" si="4"/>
        <v>-2.6526487092472462E-2</v>
      </c>
      <c r="G16" s="627">
        <f>G14-G13</f>
        <v>-6.965078305742306E-3</v>
      </c>
    </row>
    <row r="17" spans="3:7" ht="15.75" x14ac:dyDescent="0.25">
      <c r="C17" s="610" t="s">
        <v>271</v>
      </c>
      <c r="D17" s="617">
        <f t="shared" ref="D17:G17" si="5">D7/$C$3/D$3/24</f>
        <v>0</v>
      </c>
      <c r="E17" s="617">
        <f t="shared" si="5"/>
        <v>0</v>
      </c>
      <c r="F17" s="617">
        <f t="shared" si="5"/>
        <v>0</v>
      </c>
      <c r="G17" s="621">
        <f t="shared" si="5"/>
        <v>0</v>
      </c>
    </row>
    <row r="18" spans="3:7" ht="15.75" x14ac:dyDescent="0.25">
      <c r="C18" s="610" t="s">
        <v>272</v>
      </c>
      <c r="D18" s="617">
        <f t="shared" ref="D18:G18" si="6">D8/$C$3/D$3/24</f>
        <v>4.1483223267293713E-3</v>
      </c>
      <c r="E18" s="617">
        <f t="shared" si="6"/>
        <v>2.9291768609552831E-3</v>
      </c>
      <c r="F18" s="617">
        <f t="shared" si="6"/>
        <v>2.0917312292137186E-2</v>
      </c>
      <c r="G18" s="621">
        <f t="shared" si="6"/>
        <v>6.7746203277522067E-3</v>
      </c>
    </row>
    <row r="19" spans="3:7" ht="15.75" x14ac:dyDescent="0.25">
      <c r="C19" s="610" t="s">
        <v>273</v>
      </c>
      <c r="D19" s="617">
        <f t="shared" ref="D19:G19" si="7">D9/$C$3/D$3/24</f>
        <v>8.4773086073866536E-5</v>
      </c>
      <c r="E19" s="617">
        <f t="shared" si="7"/>
        <v>0</v>
      </c>
      <c r="F19" s="617">
        <f t="shared" si="7"/>
        <v>0</v>
      </c>
      <c r="G19" s="621">
        <f t="shared" si="7"/>
        <v>3.390923442954662E-5</v>
      </c>
    </row>
    <row r="20" spans="3:7" ht="15.75" x14ac:dyDescent="0.25">
      <c r="C20" s="610" t="s">
        <v>274</v>
      </c>
      <c r="D20" s="617">
        <f t="shared" ref="D20:G20" si="8">D10/$C$3/D$3/24</f>
        <v>2.6251862228448175E-3</v>
      </c>
      <c r="E20" s="617">
        <f t="shared" si="8"/>
        <v>1.6205960135220918E-3</v>
      </c>
      <c r="F20" s="617">
        <f t="shared" si="8"/>
        <v>1.843367925517215E-3</v>
      </c>
      <c r="G20" s="621">
        <f t="shared" si="8"/>
        <v>2.0640161874902721E-3</v>
      </c>
    </row>
    <row r="21" spans="3:7" ht="16.5" thickBot="1" x14ac:dyDescent="0.3">
      <c r="C21" s="611" t="s">
        <v>275</v>
      </c>
      <c r="D21" s="622">
        <f t="shared" ref="D21:G21" si="9">D11/$C$3/D$3/24</f>
        <v>0</v>
      </c>
      <c r="E21" s="622">
        <f t="shared" si="9"/>
        <v>0</v>
      </c>
      <c r="F21" s="622">
        <f t="shared" si="9"/>
        <v>0</v>
      </c>
      <c r="G21" s="623">
        <f t="shared" si="9"/>
        <v>0</v>
      </c>
    </row>
    <row r="22" spans="3:7" ht="16.5" thickBot="1" x14ac:dyDescent="0.3">
      <c r="C22" s="624" t="s">
        <v>354</v>
      </c>
      <c r="D22" s="625">
        <f>'Solar Report_Base_April'!AI60</f>
        <v>6.6647637446973436</v>
      </c>
      <c r="E22" s="625">
        <f>'Solar Report_Base-May'!AI60</f>
        <v>5.9698227833202608</v>
      </c>
      <c r="F22" s="625">
        <f>'Solar Report_Base'!AI60</f>
        <v>6.6675562332525002</v>
      </c>
      <c r="G22" s="626">
        <f>(D22*D3+E22*E3+F3*F22)/G3</f>
        <v>6.3780427451917783</v>
      </c>
    </row>
    <row r="23" spans="3:7" ht="15.75" thickBot="1" x14ac:dyDescent="0.3"/>
    <row r="24" spans="3:7" ht="15.75" x14ac:dyDescent="0.25">
      <c r="C24" s="809" t="s">
        <v>355</v>
      </c>
      <c r="D24" s="810"/>
      <c r="E24" s="810"/>
      <c r="F24" s="810"/>
      <c r="G24" s="811"/>
    </row>
    <row r="25" spans="3:7" ht="15.75" x14ac:dyDescent="0.25">
      <c r="C25" s="608"/>
      <c r="D25" s="604">
        <v>44287</v>
      </c>
      <c r="E25" s="604">
        <v>44317</v>
      </c>
      <c r="F25" s="612">
        <v>44348</v>
      </c>
      <c r="G25" s="612" t="s">
        <v>314</v>
      </c>
    </row>
    <row r="26" spans="3:7" ht="15.75" x14ac:dyDescent="0.25">
      <c r="C26" s="608">
        <v>1247.4000000000001</v>
      </c>
      <c r="D26" s="605">
        <v>30</v>
      </c>
      <c r="E26" s="605">
        <v>31</v>
      </c>
      <c r="F26" s="609">
        <f>F3</f>
        <v>14</v>
      </c>
      <c r="G26" s="609">
        <f>SUM(D26:F26)</f>
        <v>75</v>
      </c>
    </row>
    <row r="27" spans="3:7" ht="15.75" x14ac:dyDescent="0.25">
      <c r="C27" s="610" t="s">
        <v>276</v>
      </c>
      <c r="D27" s="605">
        <f>'Solar Report_Base_April'!AI232</f>
        <v>182609.18946234</v>
      </c>
      <c r="E27" s="605">
        <f>'Solar Report_Base-May'!AI232</f>
        <v>166733.6748725941</v>
      </c>
      <c r="F27" s="609">
        <f>'Solar Report_Base'!AI232</f>
        <v>74444.150336683597</v>
      </c>
      <c r="G27" s="609">
        <f>SUM(D27:F27)</f>
        <v>423787.01467161771</v>
      </c>
    </row>
    <row r="28" spans="3:7" ht="15.75" x14ac:dyDescent="0.25">
      <c r="C28" s="610" t="s">
        <v>277</v>
      </c>
      <c r="D28" s="606">
        <f>'Target '!F5</f>
        <v>176055.976920546</v>
      </c>
      <c r="E28" s="606">
        <f>'Target '!F6</f>
        <v>179993.25007427507</v>
      </c>
      <c r="F28" s="613">
        <f>'Target '!E7*'Exception Report F1'!AM3</f>
        <v>76511.492355261667</v>
      </c>
      <c r="G28" s="613">
        <f t="shared" ref="G28:G34" si="10">SUM(D28:F28)</f>
        <v>432560.7193500828</v>
      </c>
    </row>
    <row r="29" spans="3:7" ht="15.75" x14ac:dyDescent="0.25">
      <c r="C29" s="610" t="s">
        <v>307</v>
      </c>
      <c r="D29" s="606">
        <f>'Solar Report_Base_April'!AI225</f>
        <v>159263.99999999994</v>
      </c>
      <c r="E29" s="605">
        <f>'Solar Report_Base-May'!AI225</f>
        <v>143012.39999999991</v>
      </c>
      <c r="F29" s="609">
        <f>'Solar Report_Base'!AI225</f>
        <v>65596.000000000276</v>
      </c>
      <c r="G29" s="613">
        <f t="shared" si="10"/>
        <v>367872.40000000014</v>
      </c>
    </row>
    <row r="30" spans="3:7" ht="15.75" x14ac:dyDescent="0.25">
      <c r="C30" s="610" t="s">
        <v>271</v>
      </c>
      <c r="D30" s="607">
        <f>'Solar Report_Base_April'!AI235</f>
        <v>15772</v>
      </c>
      <c r="E30" s="607">
        <f>'Solar Report_Base-May'!AI235</f>
        <v>13445</v>
      </c>
      <c r="F30" s="614">
        <f>'Solar Report_Base'!AI235</f>
        <v>3283</v>
      </c>
      <c r="G30" s="614">
        <f t="shared" si="10"/>
        <v>32500</v>
      </c>
    </row>
    <row r="31" spans="3:7" ht="15.75" x14ac:dyDescent="0.25">
      <c r="C31" s="610" t="s">
        <v>272</v>
      </c>
      <c r="D31" s="607">
        <f>'Solar Report_Base_April'!AI237</f>
        <v>585</v>
      </c>
      <c r="E31" s="607">
        <f>'Solar Report_Base-May'!AI237</f>
        <v>804</v>
      </c>
      <c r="F31" s="614">
        <f>'Solar Report_Base'!AI237</f>
        <v>614</v>
      </c>
      <c r="G31" s="614">
        <f t="shared" si="10"/>
        <v>2003</v>
      </c>
    </row>
    <row r="32" spans="3:7" ht="15.75" x14ac:dyDescent="0.25">
      <c r="C32" s="610" t="s">
        <v>273</v>
      </c>
      <c r="D32" s="607">
        <f>'Solar Report_Base_April'!AI236</f>
        <v>24</v>
      </c>
      <c r="E32" s="607">
        <f>'Solar Report_Base-May'!AI236</f>
        <v>940</v>
      </c>
      <c r="F32" s="614">
        <f>'Solar Report_Base'!AI236</f>
        <v>415</v>
      </c>
      <c r="G32" s="614">
        <f t="shared" si="10"/>
        <v>1379</v>
      </c>
    </row>
    <row r="33" spans="3:7" ht="15.75" x14ac:dyDescent="0.25">
      <c r="C33" s="610" t="s">
        <v>274</v>
      </c>
      <c r="D33" s="607">
        <f>'Solar Report_Base_April'!AI234</f>
        <v>5164</v>
      </c>
      <c r="E33" s="607">
        <f>'Solar Report_Base-May'!AI234</f>
        <v>6669</v>
      </c>
      <c r="F33" s="614">
        <f>'Solar Report_Base'!AI234</f>
        <v>3567</v>
      </c>
      <c r="G33" s="614">
        <f t="shared" si="10"/>
        <v>15400</v>
      </c>
    </row>
    <row r="34" spans="3:7" ht="16.5" thickBot="1" x14ac:dyDescent="0.3">
      <c r="C34" s="611" t="s">
        <v>275</v>
      </c>
      <c r="D34" s="615">
        <v>0</v>
      </c>
      <c r="E34" s="615">
        <v>0</v>
      </c>
      <c r="F34" s="616">
        <f>'Solar Report_Base'!AI238</f>
        <v>124</v>
      </c>
      <c r="G34" s="616">
        <f t="shared" si="10"/>
        <v>124</v>
      </c>
    </row>
    <row r="35" spans="3:7" ht="15.75" thickBot="1" x14ac:dyDescent="0.3">
      <c r="C35" s="812"/>
      <c r="D35" s="813"/>
      <c r="E35" s="813"/>
      <c r="F35" s="813"/>
      <c r="G35" s="814"/>
    </row>
    <row r="36" spans="3:7" ht="16.5" thickBot="1" x14ac:dyDescent="0.3">
      <c r="C36" s="618" t="s">
        <v>276</v>
      </c>
      <c r="D36" s="619">
        <f>D27/$C$26/D$3/24</f>
        <v>0.20332200918169793</v>
      </c>
      <c r="E36" s="619">
        <f t="shared" ref="E36:F36" si="11">E27/$C$26/E$3/24</f>
        <v>0.17965720836177324</v>
      </c>
      <c r="F36" s="619">
        <f t="shared" si="11"/>
        <v>0.17761742122825855</v>
      </c>
      <c r="G36" s="620">
        <f t="shared" ref="G36" si="12">G27/$C$3/G$3/24</f>
        <v>0.23557857751963274</v>
      </c>
    </row>
    <row r="37" spans="3:7" ht="16.5" thickBot="1" x14ac:dyDescent="0.3">
      <c r="C37" s="610" t="s">
        <v>277</v>
      </c>
      <c r="D37" s="619">
        <f>D28/$C$26/D$3/24</f>
        <v>0.1960254851430375</v>
      </c>
      <c r="E37" s="619">
        <f>E28/$C$26/E$3/24</f>
        <v>0.19394453374230769</v>
      </c>
      <c r="F37" s="619">
        <f>F28/$C$26/F$3/24</f>
        <v>0.18254992373484866</v>
      </c>
      <c r="G37" s="621">
        <f t="shared" ref="G37" si="13">G28/$C$3/G$3/24</f>
        <v>0.24045578422057834</v>
      </c>
    </row>
    <row r="38" spans="3:7" ht="16.5" thickBot="1" x14ac:dyDescent="0.3">
      <c r="C38" s="610" t="s">
        <v>307</v>
      </c>
      <c r="D38" s="619">
        <f>D29/$C$26/D$3/24</f>
        <v>0.1773288439955106</v>
      </c>
      <c r="E38" s="619">
        <f>E29/$C$26/E$3/24</f>
        <v>0.15409729657041474</v>
      </c>
      <c r="F38" s="619">
        <f>F29/$C$26/F$3/24</f>
        <v>0.15650648587156588</v>
      </c>
      <c r="G38" s="621">
        <f t="shared" ref="G38" si="14">G29/$C$3/G$3/24</f>
        <v>0.20449625330754015</v>
      </c>
    </row>
    <row r="39" spans="3:7" ht="15.75" thickBot="1" x14ac:dyDescent="0.3">
      <c r="C39" s="610" t="s">
        <v>356</v>
      </c>
      <c r="D39" s="627">
        <f>D37-D36</f>
        <v>-7.2965240386604346E-3</v>
      </c>
      <c r="E39" s="627">
        <f t="shared" ref="E39:F39" si="15">E37-E36</f>
        <v>1.4287325380534455E-2</v>
      </c>
      <c r="F39" s="627">
        <f t="shared" si="15"/>
        <v>4.9325025065901085E-3</v>
      </c>
      <c r="G39" s="627">
        <f>G37-G36</f>
        <v>4.8772067009456022E-3</v>
      </c>
    </row>
    <row r="40" spans="3:7" ht="16.5" thickBot="1" x14ac:dyDescent="0.3">
      <c r="C40" s="610" t="s">
        <v>271</v>
      </c>
      <c r="D40" s="619">
        <f t="shared" ref="D40:F44" si="16">D30/$C$26/D$3/24</f>
        <v>1.7560971264674968E-2</v>
      </c>
      <c r="E40" s="619">
        <f t="shared" si="16"/>
        <v>1.4487122462032856E-2</v>
      </c>
      <c r="F40" s="619">
        <f t="shared" si="16"/>
        <v>7.8329592218481115E-3</v>
      </c>
      <c r="G40" s="621">
        <f>G30/$C$3/G$3/24</f>
        <v>1.8066395392791233E-2</v>
      </c>
    </row>
    <row r="41" spans="3:7" ht="16.5" thickBot="1" x14ac:dyDescent="0.3">
      <c r="C41" s="610" t="s">
        <v>272</v>
      </c>
      <c r="D41" s="619">
        <f t="shared" si="16"/>
        <v>6.5135481802148457E-4</v>
      </c>
      <c r="E41" s="619">
        <f t="shared" si="16"/>
        <v>8.6631807061914588E-4</v>
      </c>
      <c r="F41" s="619">
        <f t="shared" si="16"/>
        <v>1.4649518617772586E-3</v>
      </c>
      <c r="G41" s="621">
        <f>G31/$C$3/G$3/24</f>
        <v>1.1134458452849488E-3</v>
      </c>
    </row>
    <row r="42" spans="3:7" ht="16.5" thickBot="1" x14ac:dyDescent="0.3">
      <c r="C42" s="610" t="s">
        <v>273</v>
      </c>
      <c r="D42" s="619">
        <f t="shared" si="16"/>
        <v>2.6722248944471163E-5</v>
      </c>
      <c r="E42" s="619">
        <f t="shared" si="16"/>
        <v>1.0128594357985039E-3</v>
      </c>
      <c r="F42" s="619">
        <f t="shared" si="16"/>
        <v>9.901547599960299E-4</v>
      </c>
      <c r="G42" s="621">
        <f>G32/$C$3/G$3/24</f>
        <v>7.6657105374335717E-4</v>
      </c>
    </row>
    <row r="43" spans="3:7" ht="16.5" thickBot="1" x14ac:dyDescent="0.3">
      <c r="C43" s="610" t="s">
        <v>274</v>
      </c>
      <c r="D43" s="619">
        <f t="shared" si="16"/>
        <v>5.7497372312187121E-3</v>
      </c>
      <c r="E43" s="619">
        <f t="shared" si="16"/>
        <v>7.1859144439789593E-3</v>
      </c>
      <c r="F43" s="619">
        <f t="shared" si="16"/>
        <v>8.5105591057972E-3</v>
      </c>
      <c r="G43" s="621">
        <f>G33/$C$3/G$3/24</f>
        <v>8.5606919707379991E-3</v>
      </c>
    </row>
    <row r="44" spans="3:7" ht="16.5" thickBot="1" x14ac:dyDescent="0.3">
      <c r="C44" s="611" t="s">
        <v>275</v>
      </c>
      <c r="D44" s="619">
        <f t="shared" si="16"/>
        <v>0</v>
      </c>
      <c r="E44" s="619">
        <f t="shared" si="16"/>
        <v>0</v>
      </c>
      <c r="F44" s="619">
        <f t="shared" si="16"/>
        <v>2.9585347045664505E-4</v>
      </c>
      <c r="G44" s="623">
        <f>G34/$C$3/G$3/24</f>
        <v>6.8930247037111151E-5</v>
      </c>
    </row>
    <row r="45" spans="3:7" ht="16.5" thickBot="1" x14ac:dyDescent="0.3">
      <c r="C45" s="624" t="s">
        <v>354</v>
      </c>
      <c r="D45" s="625">
        <f>'Solar Report_Base_April'!AI226</f>
        <v>6.5284320492073764</v>
      </c>
      <c r="E45" s="625">
        <f>'Solar Report_Base-May'!AI226</f>
        <v>5.832185997877489</v>
      </c>
      <c r="F45" s="625">
        <f>'Solar Report_Base'!AI226</f>
        <v>5.7787859231241328</v>
      </c>
      <c r="G45" s="626">
        <f>(D45*D26+E45*E26+F26*F45)/G26</f>
        <v>6.1007164044554836</v>
      </c>
    </row>
    <row r="47" spans="3:7" ht="15.75" thickBot="1" x14ac:dyDescent="0.3"/>
    <row r="48" spans="3:7" ht="15.75" x14ac:dyDescent="0.25">
      <c r="C48" s="809" t="s">
        <v>357</v>
      </c>
      <c r="D48" s="810"/>
      <c r="E48" s="810"/>
      <c r="F48" s="810"/>
      <c r="G48" s="811"/>
    </row>
    <row r="49" spans="3:7" ht="15.75" x14ac:dyDescent="0.25">
      <c r="C49" s="608"/>
      <c r="D49" s="604">
        <v>44287</v>
      </c>
      <c r="E49" s="604">
        <v>44317</v>
      </c>
      <c r="F49" s="612">
        <v>44348</v>
      </c>
      <c r="G49" s="612" t="s">
        <v>314</v>
      </c>
    </row>
    <row r="50" spans="3:7" ht="15.75" x14ac:dyDescent="0.25">
      <c r="C50" s="608">
        <v>1998.8</v>
      </c>
      <c r="D50" s="605">
        <v>30</v>
      </c>
      <c r="E50" s="605">
        <v>31</v>
      </c>
      <c r="F50" s="609">
        <f>F26</f>
        <v>14</v>
      </c>
      <c r="G50" s="609">
        <f>SUM(D50:F50)</f>
        <v>75</v>
      </c>
    </row>
    <row r="51" spans="3:7" ht="15.75" x14ac:dyDescent="0.25">
      <c r="C51" s="610" t="s">
        <v>276</v>
      </c>
      <c r="D51" s="605">
        <f>'Solar Report_Base_April'!AI143</f>
        <v>257125.23598034901</v>
      </c>
      <c r="E51" s="605">
        <f>'Solar Report_Base-May'!AI143</f>
        <v>263175.4343060886</v>
      </c>
      <c r="F51" s="609">
        <f>'Solar Report_Base'!AI143</f>
        <v>115025.7754736653</v>
      </c>
      <c r="G51" s="609">
        <f>SUM(D51:F51)</f>
        <v>635326.44576010294</v>
      </c>
    </row>
    <row r="52" spans="3:7" ht="15.75" x14ac:dyDescent="0.25">
      <c r="C52" s="610" t="s">
        <v>277</v>
      </c>
      <c r="D52" s="606">
        <f>'Target '!F39</f>
        <v>279477.41996362252</v>
      </c>
      <c r="E52" s="606">
        <f>'Target '!F40</f>
        <v>274541.32136922795</v>
      </c>
      <c r="F52" s="613">
        <f>'Target '!E41*F50</f>
        <v>99626.40743544657</v>
      </c>
      <c r="G52" s="613">
        <f t="shared" ref="G52:G58" si="17">SUM(D52:F52)</f>
        <v>653645.14876829693</v>
      </c>
    </row>
    <row r="53" spans="3:7" ht="15.75" x14ac:dyDescent="0.25">
      <c r="C53" s="610" t="s">
        <v>307</v>
      </c>
      <c r="D53" s="606">
        <f>'Solar Report_Base_April'!AI136</f>
        <v>242940</v>
      </c>
      <c r="E53" s="605">
        <f>'Solar Report_Base-May'!AI136</f>
        <v>249500</v>
      </c>
      <c r="F53" s="609">
        <f>'Solar Report_Base'!AI136</f>
        <v>108720</v>
      </c>
      <c r="G53" s="614">
        <f t="shared" si="17"/>
        <v>601160</v>
      </c>
    </row>
    <row r="54" spans="3:7" ht="15.75" x14ac:dyDescent="0.25">
      <c r="C54" s="610" t="s">
        <v>271</v>
      </c>
      <c r="D54" s="607">
        <f>'Solar Report_Base_April'!AI146</f>
        <v>0</v>
      </c>
      <c r="E54" s="607">
        <v>0</v>
      </c>
      <c r="F54" s="614">
        <v>0</v>
      </c>
      <c r="G54" s="614">
        <f t="shared" si="17"/>
        <v>0</v>
      </c>
    </row>
    <row r="55" spans="3:7" ht="15.75" x14ac:dyDescent="0.25">
      <c r="C55" s="610" t="s">
        <v>272</v>
      </c>
      <c r="D55" s="607">
        <f>'Solar Report_Base_April'!AI148</f>
        <v>153</v>
      </c>
      <c r="E55" s="607">
        <f>'Solar Report_Base-May'!AI148</f>
        <v>678</v>
      </c>
      <c r="F55" s="614">
        <f>'Solar Report_Base'!AI148</f>
        <v>176</v>
      </c>
      <c r="G55" s="614">
        <f t="shared" si="17"/>
        <v>1007</v>
      </c>
    </row>
    <row r="56" spans="3:7" ht="15.75" x14ac:dyDescent="0.25">
      <c r="C56" s="610" t="s">
        <v>273</v>
      </c>
      <c r="D56" s="607">
        <f>'Solar Report_Base_April'!AI147</f>
        <v>0</v>
      </c>
      <c r="E56" s="607">
        <f>'Solar Report_Base-May'!AI147</f>
        <v>68</v>
      </c>
      <c r="F56" s="614">
        <f>'Solar Report_Base'!AI147</f>
        <v>0</v>
      </c>
      <c r="G56" s="614">
        <f t="shared" si="17"/>
        <v>68</v>
      </c>
    </row>
    <row r="57" spans="3:7" ht="15.75" x14ac:dyDescent="0.25">
      <c r="C57" s="610" t="s">
        <v>274</v>
      </c>
      <c r="D57" s="607">
        <f>'Solar Report_Base_April'!AI145</f>
        <v>9983</v>
      </c>
      <c r="E57" s="607">
        <f>'Solar Report_Base-May'!AI145</f>
        <v>6886</v>
      </c>
      <c r="F57" s="614">
        <f>'Solar Report_Base'!AI145</f>
        <v>3714</v>
      </c>
      <c r="G57" s="614">
        <f t="shared" si="17"/>
        <v>20583</v>
      </c>
    </row>
    <row r="58" spans="3:7" ht="16.5" thickBot="1" x14ac:dyDescent="0.3">
      <c r="C58" s="611" t="s">
        <v>275</v>
      </c>
      <c r="D58" s="615">
        <f>'Solar Report_Base_April'!AI149</f>
        <v>1076</v>
      </c>
      <c r="E58" s="607">
        <f>'Solar Report_Base-May'!AI149</f>
        <v>3029</v>
      </c>
      <c r="F58" s="616">
        <f>'Solar Report_Base'!AI149</f>
        <v>1066</v>
      </c>
      <c r="G58" s="616">
        <f t="shared" si="17"/>
        <v>5171</v>
      </c>
    </row>
    <row r="59" spans="3:7" ht="15.75" thickBot="1" x14ac:dyDescent="0.3">
      <c r="C59" s="812"/>
      <c r="D59" s="813"/>
      <c r="E59" s="813"/>
      <c r="F59" s="813"/>
      <c r="G59" s="814"/>
    </row>
    <row r="60" spans="3:7" ht="16.5" thickBot="1" x14ac:dyDescent="0.3">
      <c r="C60" s="618" t="s">
        <v>276</v>
      </c>
      <c r="D60" s="619">
        <f>D51/$C$50/D$3/24</f>
        <v>0.17866639148791288</v>
      </c>
      <c r="E60" s="619">
        <f t="shared" ref="E60:G60" si="18">E51/$C$50/E$3/24</f>
        <v>0.17697139406364826</v>
      </c>
      <c r="F60" s="619">
        <f t="shared" si="18"/>
        <v>0.17127207198376362</v>
      </c>
      <c r="G60" s="620">
        <f t="shared" si="18"/>
        <v>0.17658551957844235</v>
      </c>
    </row>
    <row r="61" spans="3:7" ht="16.5" thickBot="1" x14ac:dyDescent="0.3">
      <c r="C61" s="610" t="s">
        <v>277</v>
      </c>
      <c r="D61" s="619">
        <f t="shared" ref="D61" si="19">D52/$C$50/D$3/24</f>
        <v>0.19419806047769114</v>
      </c>
      <c r="E61" s="619">
        <f t="shared" ref="E61:G61" si="20">E52/$C$50/E$3/24</f>
        <v>0.18461434479587482</v>
      </c>
      <c r="F61" s="619">
        <f t="shared" si="20"/>
        <v>0.14834258804605169</v>
      </c>
      <c r="G61" s="620">
        <f t="shared" si="20"/>
        <v>0.18167710314196769</v>
      </c>
    </row>
    <row r="62" spans="3:7" ht="16.5" thickBot="1" x14ac:dyDescent="0.3">
      <c r="C62" s="610" t="s">
        <v>307</v>
      </c>
      <c r="D62" s="619">
        <f t="shared" ref="D62" si="21">D53/$C$50/D$3/24</f>
        <v>0.16880961910479619</v>
      </c>
      <c r="E62" s="619">
        <f t="shared" ref="E62:G62" si="22">E53/$C$50/E$3/24</f>
        <v>0.16777539642064809</v>
      </c>
      <c r="F62" s="619">
        <f t="shared" si="22"/>
        <v>0.16188284399210956</v>
      </c>
      <c r="G62" s="620">
        <f t="shared" si="22"/>
        <v>0.16708914237431347</v>
      </c>
    </row>
    <row r="63" spans="3:7" ht="16.5" thickBot="1" x14ac:dyDescent="0.3">
      <c r="C63" s="610" t="s">
        <v>356</v>
      </c>
      <c r="D63" s="619">
        <f>D61-D60</f>
        <v>1.5531668989778258E-2</v>
      </c>
      <c r="E63" s="619">
        <f t="shared" ref="E63:G63" si="23">E61-E60</f>
        <v>7.6429507322265666E-3</v>
      </c>
      <c r="F63" s="619">
        <f t="shared" si="23"/>
        <v>-2.2929483937711936E-2</v>
      </c>
      <c r="G63" s="620">
        <f t="shared" si="23"/>
        <v>5.0915835635253481E-3</v>
      </c>
    </row>
    <row r="64" spans="3:7" ht="16.5" thickBot="1" x14ac:dyDescent="0.3">
      <c r="C64" s="610" t="s">
        <v>271</v>
      </c>
      <c r="D64" s="619">
        <f>D54/$C$50/D$3/24</f>
        <v>0</v>
      </c>
      <c r="E64" s="619">
        <f t="shared" ref="E64:G64" si="24">E54/$C$50/E$3/24</f>
        <v>0</v>
      </c>
      <c r="F64" s="619">
        <f t="shared" si="24"/>
        <v>0</v>
      </c>
      <c r="G64" s="620">
        <f t="shared" si="24"/>
        <v>0</v>
      </c>
    </row>
    <row r="65" spans="3:7" ht="16.5" thickBot="1" x14ac:dyDescent="0.3">
      <c r="C65" s="610" t="s">
        <v>272</v>
      </c>
      <c r="D65" s="619">
        <f>D55/$C$50/D$3/24</f>
        <v>1.0631378827296376E-4</v>
      </c>
      <c r="E65" s="619">
        <f t="shared" ref="E65:G65" si="25">E55/$C$50/E$3/24</f>
        <v>4.5591871251783334E-4</v>
      </c>
      <c r="F65" s="619">
        <f t="shared" si="25"/>
        <v>2.6206199910422444E-4</v>
      </c>
      <c r="G65" s="620">
        <f t="shared" si="25"/>
        <v>2.7989015631601182E-4</v>
      </c>
    </row>
    <row r="66" spans="3:7" ht="16.5" thickBot="1" x14ac:dyDescent="0.3">
      <c r="C66" s="610" t="s">
        <v>273</v>
      </c>
      <c r="D66" s="619">
        <f>D56/$C$50/D$3/24</f>
        <v>0</v>
      </c>
      <c r="E66" s="619">
        <f t="shared" ref="E66:G66" si="26">E56/$C$50/E$3/24</f>
        <v>4.572636054751131E-5</v>
      </c>
      <c r="F66" s="619">
        <f t="shared" si="26"/>
        <v>0</v>
      </c>
      <c r="G66" s="620">
        <f t="shared" si="26"/>
        <v>1.8900229026304674E-5</v>
      </c>
    </row>
    <row r="67" spans="3:7" ht="16.5" thickBot="1" x14ac:dyDescent="0.3">
      <c r="C67" s="610" t="s">
        <v>274</v>
      </c>
      <c r="D67" s="619">
        <f>D57/$C$50/D$3/24</f>
        <v>6.9368009694705723E-3</v>
      </c>
      <c r="E67" s="619">
        <f t="shared" ref="E67:G67" si="27">E57/$C$50/E$3/24</f>
        <v>4.6304664519141595E-3</v>
      </c>
      <c r="F67" s="619">
        <f t="shared" si="27"/>
        <v>5.5301037765516448E-3</v>
      </c>
      <c r="G67" s="620">
        <f t="shared" si="27"/>
        <v>5.7209325595357213E-3</v>
      </c>
    </row>
    <row r="68" spans="3:7" ht="16.5" thickBot="1" x14ac:dyDescent="0.3">
      <c r="C68" s="611" t="s">
        <v>275</v>
      </c>
      <c r="D68" s="619">
        <f>D58/$C$50/D$3/24</f>
        <v>7.4767082471705255E-4</v>
      </c>
      <c r="E68" s="619">
        <f t="shared" ref="E68:G68" si="28">E58/$C$50/E$3/24</f>
        <v>2.0368403838001725E-3</v>
      </c>
      <c r="F68" s="619">
        <f t="shared" si="28"/>
        <v>1.5872618809380866E-3</v>
      </c>
      <c r="G68" s="620">
        <f t="shared" si="28"/>
        <v>1.4372512396326684E-3</v>
      </c>
    </row>
    <row r="69" spans="3:7" ht="16.5" thickBot="1" x14ac:dyDescent="0.3">
      <c r="C69" s="624" t="s">
        <v>354</v>
      </c>
      <c r="D69" s="625">
        <f>'Solar Report_Base_April'!AI137</f>
        <v>5.7723540849381783</v>
      </c>
      <c r="E69" s="625">
        <f>'Solar Report_Base-May'!AI137</f>
        <v>5.6451601841094803</v>
      </c>
      <c r="F69" s="625">
        <f>'Solar Report_Base'!AI137</f>
        <v>5.4402142427748883</v>
      </c>
      <c r="G69" s="626">
        <f>(D69*D50+E69*E50+F50*F69)/G50</f>
        <v>5.6577811687251698</v>
      </c>
    </row>
    <row r="71" spans="3:7" ht="15.75" thickBot="1" x14ac:dyDescent="0.3"/>
    <row r="72" spans="3:7" ht="15.75" x14ac:dyDescent="0.25">
      <c r="C72" s="809" t="s">
        <v>358</v>
      </c>
      <c r="D72" s="810"/>
      <c r="E72" s="810"/>
      <c r="F72" s="810"/>
      <c r="G72" s="811"/>
    </row>
    <row r="73" spans="3:7" ht="15.75" x14ac:dyDescent="0.25">
      <c r="C73" s="608"/>
      <c r="D73" s="604">
        <v>44287</v>
      </c>
      <c r="E73" s="604">
        <v>44317</v>
      </c>
      <c r="F73" s="612">
        <v>44348</v>
      </c>
      <c r="G73" s="612" t="s">
        <v>314</v>
      </c>
    </row>
    <row r="74" spans="3:7" ht="15.75" x14ac:dyDescent="0.25">
      <c r="C74" s="608">
        <v>999.37</v>
      </c>
      <c r="D74" s="605">
        <v>30</v>
      </c>
      <c r="E74" s="605">
        <v>31</v>
      </c>
      <c r="F74" s="609">
        <f>F50</f>
        <v>14</v>
      </c>
      <c r="G74" s="609">
        <f>SUM(D74:F74)</f>
        <v>75</v>
      </c>
    </row>
    <row r="75" spans="3:7" ht="15.75" x14ac:dyDescent="0.25">
      <c r="C75" s="610" t="s">
        <v>276</v>
      </c>
      <c r="D75" s="605">
        <f>'Solar Report_Base_April'!AI29</f>
        <v>156424.00284802928</v>
      </c>
      <c r="E75" s="605">
        <f>'Solar Report_Base-May'!AI29</f>
        <v>148110.18789876884</v>
      </c>
      <c r="F75" s="609">
        <f>'Solar Report_Base'!AI29</f>
        <v>71872.734491650641</v>
      </c>
      <c r="G75" s="609">
        <f>SUM(D75:F75)</f>
        <v>376406.92523844878</v>
      </c>
    </row>
    <row r="76" spans="3:7" ht="15.75" x14ac:dyDescent="0.25">
      <c r="C76" s="610" t="s">
        <v>277</v>
      </c>
      <c r="D76" s="606">
        <f>'Target '!F56</f>
        <v>153440.57097287738</v>
      </c>
      <c r="E76" s="606">
        <f>'Target '!F57</f>
        <v>159958.64041416024</v>
      </c>
      <c r="F76" s="613">
        <f>'Target '!E58*F74</f>
        <v>64540.377901196072</v>
      </c>
      <c r="G76" s="613">
        <f t="shared" ref="G76:G82" si="29">SUM(D76:F76)</f>
        <v>377939.58928823372</v>
      </c>
    </row>
    <row r="77" spans="3:7" ht="15.75" x14ac:dyDescent="0.25">
      <c r="C77" s="610" t="s">
        <v>307</v>
      </c>
      <c r="D77" s="606">
        <f>'Solar Report_Base_April'!AI22</f>
        <v>151650.00000000009</v>
      </c>
      <c r="E77" s="605">
        <f>'Solar Report_Base-May'!AI22</f>
        <v>144719.99999999997</v>
      </c>
      <c r="F77" s="609">
        <f>'Solar Report_Base'!AI22</f>
        <v>65040.000000000327</v>
      </c>
      <c r="G77" s="614">
        <f t="shared" si="29"/>
        <v>361410.00000000041</v>
      </c>
    </row>
    <row r="78" spans="3:7" ht="15.75" x14ac:dyDescent="0.25">
      <c r="C78" s="610" t="s">
        <v>271</v>
      </c>
      <c r="D78" s="607">
        <v>0</v>
      </c>
      <c r="E78" s="607">
        <v>0</v>
      </c>
      <c r="F78" s="614">
        <v>0</v>
      </c>
      <c r="G78" s="614">
        <f t="shared" si="29"/>
        <v>0</v>
      </c>
    </row>
    <row r="79" spans="3:7" ht="15.75" x14ac:dyDescent="0.25">
      <c r="C79" s="610" t="s">
        <v>272</v>
      </c>
      <c r="D79" s="607">
        <f>'Solar Report_Base_April'!AI34</f>
        <v>2921</v>
      </c>
      <c r="E79" s="607">
        <f>'Solar Report_Base-May'!AI34</f>
        <v>1158</v>
      </c>
      <c r="F79" s="614">
        <f>'Solar Report_Base'!AI34</f>
        <v>6188</v>
      </c>
      <c r="G79" s="614">
        <f t="shared" si="29"/>
        <v>10267</v>
      </c>
    </row>
    <row r="80" spans="3:7" ht="15.75" x14ac:dyDescent="0.25">
      <c r="C80" s="610" t="s">
        <v>273</v>
      </c>
      <c r="D80" s="607">
        <f>'Solar Report_Base_April'!AI33</f>
        <v>67</v>
      </c>
      <c r="E80" s="607">
        <f>'Solar Report_Base-May'!AI33</f>
        <v>327</v>
      </c>
      <c r="F80" s="614">
        <f>'Solar Report_Base'!AI33</f>
        <v>0</v>
      </c>
      <c r="G80" s="614">
        <f t="shared" si="29"/>
        <v>394</v>
      </c>
    </row>
    <row r="81" spans="3:7" ht="15.75" x14ac:dyDescent="0.25">
      <c r="C81" s="610" t="s">
        <v>274</v>
      </c>
      <c r="D81" s="607">
        <f>'Solar Report_Base_April'!AI31</f>
        <v>338</v>
      </c>
      <c r="E81" s="607">
        <f>'Solar Report_Base-May'!AI31</f>
        <v>641</v>
      </c>
      <c r="F81" s="614">
        <f>'Solar Report_Base'!AI31</f>
        <v>0</v>
      </c>
      <c r="G81" s="614">
        <f t="shared" si="29"/>
        <v>979</v>
      </c>
    </row>
    <row r="82" spans="3:7" ht="16.5" thickBot="1" x14ac:dyDescent="0.3">
      <c r="C82" s="611" t="s">
        <v>275</v>
      </c>
      <c r="D82" s="615">
        <f>'Solar Report_Base_April'!AI35</f>
        <v>0</v>
      </c>
      <c r="E82" s="615">
        <v>0</v>
      </c>
      <c r="F82" s="616">
        <f>'Solar Report_Base'!AI35</f>
        <v>0</v>
      </c>
      <c r="G82" s="616">
        <f t="shared" si="29"/>
        <v>0</v>
      </c>
    </row>
    <row r="83" spans="3:7" ht="15.75" thickBot="1" x14ac:dyDescent="0.3">
      <c r="C83" s="812"/>
      <c r="D83" s="813"/>
      <c r="E83" s="813"/>
      <c r="F83" s="813"/>
      <c r="G83" s="814"/>
    </row>
    <row r="84" spans="3:7" ht="16.5" thickBot="1" x14ac:dyDescent="0.3">
      <c r="C84" s="618" t="s">
        <v>276</v>
      </c>
      <c r="D84" s="619">
        <f>D75/$C$74/D$3/24</f>
        <v>0.21739251679673374</v>
      </c>
      <c r="E84" s="619">
        <f t="shared" ref="E84:G84" si="30">E75/$C$74/E$3/24</f>
        <v>0.19919832814400065</v>
      </c>
      <c r="F84" s="619">
        <f t="shared" si="30"/>
        <v>0.21404179422217737</v>
      </c>
      <c r="G84" s="619">
        <f t="shared" si="30"/>
        <v>0.20924678393968688</v>
      </c>
    </row>
    <row r="85" spans="3:7" ht="16.5" thickBot="1" x14ac:dyDescent="0.3">
      <c r="C85" s="610" t="s">
        <v>277</v>
      </c>
      <c r="D85" s="619">
        <f t="shared" ref="D85:G85" si="31">D76/$C$74/D$3/24</f>
        <v>0.21324624926603397</v>
      </c>
      <c r="E85" s="619">
        <f t="shared" si="31"/>
        <v>0.21513370683498376</v>
      </c>
      <c r="F85" s="619">
        <f t="shared" si="31"/>
        <v>0.19220554753422056</v>
      </c>
      <c r="G85" s="619">
        <f t="shared" si="31"/>
        <v>0.21009880073792808</v>
      </c>
    </row>
    <row r="86" spans="3:7" ht="16.5" thickBot="1" x14ac:dyDescent="0.3">
      <c r="C86" s="610" t="s">
        <v>307</v>
      </c>
      <c r="D86" s="619">
        <f t="shared" ref="D86:G86" si="32">D77/$C$74/D$3/24</f>
        <v>0.21075777739976198</v>
      </c>
      <c r="E86" s="619">
        <f t="shared" si="32"/>
        <v>0.19463875144566878</v>
      </c>
      <c r="F86" s="619">
        <f t="shared" si="32"/>
        <v>0.193693455448362</v>
      </c>
      <c r="G86" s="619">
        <f t="shared" si="32"/>
        <v>0.20090990657447549</v>
      </c>
    </row>
    <row r="87" spans="3:7" ht="16.5" thickBot="1" x14ac:dyDescent="0.3">
      <c r="C87" s="610" t="s">
        <v>356</v>
      </c>
      <c r="D87" s="619">
        <f>D85-D84</f>
        <v>-4.1462675306997709E-3</v>
      </c>
      <c r="E87" s="619">
        <f t="shared" ref="E87:G87" si="33">E85-E84</f>
        <v>1.5935378690983104E-2</v>
      </c>
      <c r="F87" s="619">
        <f t="shared" si="33"/>
        <v>-2.1836246687956806E-2</v>
      </c>
      <c r="G87" s="619">
        <f t="shared" si="33"/>
        <v>8.5201679824120635E-4</v>
      </c>
    </row>
    <row r="88" spans="3:7" ht="16.5" thickBot="1" x14ac:dyDescent="0.3">
      <c r="C88" s="610" t="s">
        <v>271</v>
      </c>
      <c r="D88" s="619">
        <f t="shared" ref="D88:G88" si="34">D79/$C$74/D$3/24</f>
        <v>4.0595019306607612E-3</v>
      </c>
      <c r="E88" s="619">
        <f t="shared" si="34"/>
        <v>1.5574327955644315E-3</v>
      </c>
      <c r="F88" s="619">
        <f t="shared" si="34"/>
        <v>1.84282764808496E-2</v>
      </c>
      <c r="G88" s="619">
        <f t="shared" si="34"/>
        <v>5.7074846041895279E-3</v>
      </c>
    </row>
    <row r="89" spans="3:7" ht="16.5" thickBot="1" x14ac:dyDescent="0.3">
      <c r="C89" s="610" t="s">
        <v>272</v>
      </c>
      <c r="D89" s="619">
        <f t="shared" ref="D89:G89" si="35">D80/$C$74/D$3/24</f>
        <v>9.3114217512588483E-5</v>
      </c>
      <c r="E89" s="619">
        <f t="shared" si="35"/>
        <v>4.3979319874746896E-4</v>
      </c>
      <c r="F89" s="619">
        <f t="shared" si="35"/>
        <v>0</v>
      </c>
      <c r="G89" s="619">
        <f t="shared" si="35"/>
        <v>2.1902687582065589E-4</v>
      </c>
    </row>
    <row r="90" spans="3:7" ht="16.5" thickBot="1" x14ac:dyDescent="0.3">
      <c r="C90" s="610" t="s">
        <v>273</v>
      </c>
      <c r="D90" s="619">
        <f t="shared" ref="D90:G90" si="36">D81/$C$74/D$3/24</f>
        <v>4.6974038088440161E-4</v>
      </c>
      <c r="E90" s="619">
        <f t="shared" si="36"/>
        <v>8.621022642113994E-4</v>
      </c>
      <c r="F90" s="619">
        <f t="shared" si="36"/>
        <v>0</v>
      </c>
      <c r="G90" s="619">
        <f t="shared" si="36"/>
        <v>5.442317548944724E-4</v>
      </c>
    </row>
    <row r="91" spans="3:7" ht="16.5" thickBot="1" x14ac:dyDescent="0.3">
      <c r="C91" s="610" t="s">
        <v>274</v>
      </c>
      <c r="D91" s="619">
        <f t="shared" ref="D91:G91" si="37">D82/$C$74/D$3/24</f>
        <v>0</v>
      </c>
      <c r="E91" s="619">
        <f t="shared" si="37"/>
        <v>0</v>
      </c>
      <c r="F91" s="619">
        <f t="shared" si="37"/>
        <v>0</v>
      </c>
      <c r="G91" s="619">
        <f t="shared" si="37"/>
        <v>0</v>
      </c>
    </row>
    <row r="92" spans="3:7" ht="16.5" thickBot="1" x14ac:dyDescent="0.3">
      <c r="C92" s="611" t="s">
        <v>275</v>
      </c>
      <c r="D92" s="619">
        <f t="shared" ref="D92:G92" si="38">D83/$C$74/D$3/24</f>
        <v>0</v>
      </c>
      <c r="E92" s="619">
        <f t="shared" si="38"/>
        <v>0</v>
      </c>
      <c r="F92" s="619">
        <f t="shared" si="38"/>
        <v>0</v>
      </c>
      <c r="G92" s="619">
        <f t="shared" si="38"/>
        <v>0</v>
      </c>
    </row>
    <row r="93" spans="3:7" ht="16.5" thickBot="1" x14ac:dyDescent="0.3">
      <c r="C93" s="624" t="s">
        <v>354</v>
      </c>
      <c r="D93" s="625">
        <f>'Solar Report_Base_April'!AI131</f>
        <v>11252.900033569336</v>
      </c>
      <c r="E93" s="625">
        <f>'Solar Report_Base-May'!AI131</f>
        <v>11446.499990463257</v>
      </c>
      <c r="F93" s="625">
        <f>'Solar Report_Base'!AI131</f>
        <v>5165.7000122070312</v>
      </c>
      <c r="G93" s="626">
        <f>(D93*D74+E93*E74+F74*F93)/G74</f>
        <v>10196.644011764527</v>
      </c>
    </row>
    <row r="94" spans="3:7" ht="16.5" thickBot="1" x14ac:dyDescent="0.3">
      <c r="C94" s="624" t="s">
        <v>354</v>
      </c>
      <c r="D94" s="625">
        <f>'Solar Report_Base_April'!AI23</f>
        <v>7.1031456745414197</v>
      </c>
      <c r="E94" s="625">
        <f>'Solar Report_Base-May'!AI23</f>
        <v>6.4124284972082757</v>
      </c>
      <c r="F94" s="625">
        <f>'Solar Report_Base'!AI23</f>
        <v>7.0217953445717018</v>
      </c>
      <c r="G94" s="626">
        <f>(D94*D75+E94*E75+F75*F94)/G75</f>
        <v>6.8158259831783292</v>
      </c>
    </row>
    <row r="96" spans="3:7" ht="15.75" thickBot="1" x14ac:dyDescent="0.3"/>
    <row r="97" spans="3:8" ht="15.75" x14ac:dyDescent="0.25">
      <c r="C97" s="809" t="s">
        <v>359</v>
      </c>
      <c r="D97" s="810"/>
      <c r="E97" s="810"/>
      <c r="F97" s="810"/>
      <c r="G97" s="811"/>
    </row>
    <row r="98" spans="3:8" ht="15.75" x14ac:dyDescent="0.25">
      <c r="C98" s="608"/>
      <c r="D98" s="604">
        <v>44287</v>
      </c>
      <c r="E98" s="604">
        <v>44317</v>
      </c>
      <c r="F98" s="612">
        <v>44348</v>
      </c>
      <c r="G98" s="612" t="s">
        <v>314</v>
      </c>
    </row>
    <row r="99" spans="3:8" ht="15.75" x14ac:dyDescent="0.25">
      <c r="C99" s="608">
        <v>62</v>
      </c>
      <c r="D99" s="605">
        <v>30</v>
      </c>
      <c r="E99" s="605">
        <v>31</v>
      </c>
      <c r="F99" s="609">
        <f>F74</f>
        <v>14</v>
      </c>
      <c r="G99" s="609">
        <f>SUM(D99:F99)</f>
        <v>75</v>
      </c>
    </row>
    <row r="100" spans="3:8" ht="15.75" x14ac:dyDescent="0.25">
      <c r="C100" s="610" t="s">
        <v>276</v>
      </c>
      <c r="D100" s="605">
        <f>'Solar Report_Base_April'!AI187</f>
        <v>10606.443364449828</v>
      </c>
      <c r="E100" s="605">
        <f>'Solar Report_Base-May'!AI187</f>
        <v>9975.5406738425063</v>
      </c>
      <c r="F100" s="609">
        <f>'Solar Report_Base'!AI187</f>
        <v>4934.9619797795449</v>
      </c>
      <c r="G100" s="609">
        <f>SUM(D100:F100)</f>
        <v>25516.946018071882</v>
      </c>
    </row>
    <row r="101" spans="3:8" ht="15.75" x14ac:dyDescent="0.25">
      <c r="C101" s="610" t="s">
        <v>277</v>
      </c>
      <c r="D101" s="606">
        <f>'Target '!F73</f>
        <v>10492.33605389076</v>
      </c>
      <c r="E101" s="606">
        <f>'Target '!F74</f>
        <v>10560.974190288687</v>
      </c>
      <c r="F101" s="613">
        <f>'Target '!C75*'Bckup sheet'!F99</f>
        <v>4472.7593612933715</v>
      </c>
      <c r="G101" s="613">
        <f t="shared" ref="G101:G107" si="39">SUM(D101:F101)</f>
        <v>25526.069605472818</v>
      </c>
      <c r="H101">
        <f>F101/2</f>
        <v>2236.3796806466858</v>
      </c>
    </row>
    <row r="102" spans="3:8" ht="15.75" x14ac:dyDescent="0.25">
      <c r="C102" s="610" t="s">
        <v>307</v>
      </c>
      <c r="D102" s="606">
        <f>'Solar Report_Base_April'!AI181</f>
        <v>10428</v>
      </c>
      <c r="E102" s="605">
        <f>'Solar Report_Base-May'!AI181</f>
        <v>9793</v>
      </c>
      <c r="F102" s="609">
        <f>'Solar Report_Base'!AI181</f>
        <v>4836</v>
      </c>
      <c r="G102" s="614">
        <f t="shared" si="39"/>
        <v>25057</v>
      </c>
    </row>
    <row r="103" spans="3:8" ht="15.75" x14ac:dyDescent="0.25">
      <c r="C103" s="610" t="s">
        <v>271</v>
      </c>
      <c r="D103" s="607">
        <v>0</v>
      </c>
      <c r="E103" s="607">
        <v>0</v>
      </c>
      <c r="F103" s="614">
        <v>0</v>
      </c>
      <c r="G103" s="614">
        <f t="shared" si="39"/>
        <v>0</v>
      </c>
    </row>
    <row r="104" spans="3:8" ht="15.75" x14ac:dyDescent="0.25">
      <c r="C104" s="610" t="s">
        <v>272</v>
      </c>
      <c r="D104" s="607">
        <v>0</v>
      </c>
      <c r="E104" s="607">
        <v>0</v>
      </c>
      <c r="F104" s="614">
        <v>0</v>
      </c>
      <c r="G104" s="614">
        <f t="shared" si="39"/>
        <v>0</v>
      </c>
    </row>
    <row r="105" spans="3:8" ht="15.75" x14ac:dyDescent="0.25">
      <c r="C105" s="610" t="s">
        <v>273</v>
      </c>
      <c r="D105" s="607">
        <f>'Solar Report_Base_April'!AI191</f>
        <v>33</v>
      </c>
      <c r="E105" s="607">
        <f>'Solar Report_Base-May'!AI191</f>
        <v>28</v>
      </c>
      <c r="F105" s="614">
        <f>'Solar Report_Base'!AI191</f>
        <v>25</v>
      </c>
      <c r="G105" s="614">
        <f t="shared" si="39"/>
        <v>86</v>
      </c>
    </row>
    <row r="106" spans="3:8" ht="15.75" x14ac:dyDescent="0.25">
      <c r="C106" s="610" t="s">
        <v>274</v>
      </c>
      <c r="D106" s="607">
        <f>'Solar Report_Base_April'!AI189</f>
        <v>13</v>
      </c>
      <c r="E106" s="607">
        <f>'Solar Report_Base-May'!AI189</f>
        <v>0</v>
      </c>
      <c r="F106" s="609">
        <f>'Solar Report_Base'!AI189</f>
        <v>13</v>
      </c>
      <c r="G106" s="614">
        <f t="shared" si="39"/>
        <v>26</v>
      </c>
    </row>
    <row r="107" spans="3:8" ht="16.5" thickBot="1" x14ac:dyDescent="0.3">
      <c r="C107" s="611" t="s">
        <v>275</v>
      </c>
      <c r="D107" s="615">
        <f>'Solar Report_Base_April'!AI193</f>
        <v>0</v>
      </c>
      <c r="E107" s="607">
        <f>'Solar Report_Base-May'!AI193</f>
        <v>15</v>
      </c>
      <c r="F107" s="609">
        <f>'Solar Report_Base'!AI193</f>
        <v>0</v>
      </c>
      <c r="G107" s="616">
        <f t="shared" si="39"/>
        <v>15</v>
      </c>
    </row>
    <row r="108" spans="3:8" ht="15.75" thickBot="1" x14ac:dyDescent="0.3">
      <c r="C108" s="812"/>
      <c r="D108" s="813"/>
      <c r="E108" s="813"/>
      <c r="F108" s="813"/>
      <c r="G108" s="814"/>
    </row>
    <row r="109" spans="3:8" ht="16.5" thickBot="1" x14ac:dyDescent="0.3">
      <c r="C109" s="618" t="s">
        <v>276</v>
      </c>
      <c r="D109" s="619">
        <f>D100/$C$99/D$3/24</f>
        <v>0.23759953773409115</v>
      </c>
      <c r="E109" s="619">
        <f t="shared" ref="E109:G109" si="40">E100/$C$99/E$3/24</f>
        <v>0.21625781897854898</v>
      </c>
      <c r="F109" s="619">
        <f t="shared" si="40"/>
        <v>0.23689333620293515</v>
      </c>
      <c r="G109" s="619">
        <f t="shared" si="40"/>
        <v>0.22864646969598459</v>
      </c>
    </row>
    <row r="110" spans="3:8" ht="16.5" thickBot="1" x14ac:dyDescent="0.3">
      <c r="C110" s="610" t="s">
        <v>277</v>
      </c>
      <c r="D110" s="619">
        <f t="shared" ref="D110:G110" si="41">D101/$C$99/D$3/24</f>
        <v>0.2350433703828575</v>
      </c>
      <c r="E110" s="619">
        <f t="shared" si="41"/>
        <v>0.22894931907493685</v>
      </c>
      <c r="F110" s="619">
        <f t="shared" si="41"/>
        <v>0.2147061905382763</v>
      </c>
      <c r="G110" s="619">
        <f t="shared" si="41"/>
        <v>0.2287282222712618</v>
      </c>
    </row>
    <row r="111" spans="3:8" ht="16.5" thickBot="1" x14ac:dyDescent="0.3">
      <c r="C111" s="610" t="s">
        <v>307</v>
      </c>
      <c r="D111" s="619">
        <f t="shared" ref="D111:G111" si="42">D102/$C$99/D$3/24</f>
        <v>0.23360215053763442</v>
      </c>
      <c r="E111" s="619">
        <f t="shared" si="42"/>
        <v>0.21230055497745404</v>
      </c>
      <c r="F111" s="619">
        <f t="shared" si="42"/>
        <v>0.23214285714285712</v>
      </c>
      <c r="G111" s="619">
        <f t="shared" si="42"/>
        <v>0.22452508960573478</v>
      </c>
    </row>
    <row r="112" spans="3:8" ht="16.5" thickBot="1" x14ac:dyDescent="0.3">
      <c r="C112" s="610" t="s">
        <v>356</v>
      </c>
      <c r="D112" s="619">
        <f>D110-D109</f>
        <v>-2.5561673512336514E-3</v>
      </c>
      <c r="E112" s="619">
        <f t="shared" ref="E112:G112" si="43">E110-E109</f>
        <v>1.2691500096387864E-2</v>
      </c>
      <c r="F112" s="619">
        <f t="shared" si="43"/>
        <v>-2.2187145664658847E-2</v>
      </c>
      <c r="G112" s="619">
        <f t="shared" si="43"/>
        <v>8.1752575277205253E-5</v>
      </c>
    </row>
    <row r="113" spans="3:7" ht="16.5" thickBot="1" x14ac:dyDescent="0.3">
      <c r="C113" s="610" t="s">
        <v>271</v>
      </c>
      <c r="D113" s="619">
        <f t="shared" ref="D113:G113" si="44">D104/$C$99/D$3/24</f>
        <v>0</v>
      </c>
      <c r="E113" s="619">
        <f t="shared" si="44"/>
        <v>0</v>
      </c>
      <c r="F113" s="619">
        <f t="shared" si="44"/>
        <v>0</v>
      </c>
      <c r="G113" s="619">
        <f t="shared" si="44"/>
        <v>0</v>
      </c>
    </row>
    <row r="114" spans="3:7" ht="16.5" thickBot="1" x14ac:dyDescent="0.3">
      <c r="C114" s="610" t="s">
        <v>272</v>
      </c>
      <c r="D114" s="619">
        <f t="shared" ref="D114:G114" si="45">D105/$C$99/D$3/24</f>
        <v>7.3924731182795696E-4</v>
      </c>
      <c r="E114" s="619">
        <f t="shared" si="45"/>
        <v>6.0700659035726665E-4</v>
      </c>
      <c r="F114" s="619">
        <f t="shared" si="45"/>
        <v>1.2000768049155145E-3</v>
      </c>
      <c r="G114" s="619">
        <f t="shared" si="45"/>
        <v>7.7060931899641588E-4</v>
      </c>
    </row>
    <row r="115" spans="3:7" ht="16.5" thickBot="1" x14ac:dyDescent="0.3">
      <c r="C115" s="610" t="s">
        <v>273</v>
      </c>
      <c r="D115" s="619">
        <f t="shared" ref="D115:G115" si="46">D106/$C$99/D$3/24</f>
        <v>2.9121863799283157E-4</v>
      </c>
      <c r="E115" s="619">
        <f t="shared" si="46"/>
        <v>0</v>
      </c>
      <c r="F115" s="619">
        <f t="shared" si="46"/>
        <v>6.2403993855606767E-4</v>
      </c>
      <c r="G115" s="619">
        <f t="shared" si="46"/>
        <v>2.3297491039426523E-4</v>
      </c>
    </row>
    <row r="116" spans="3:7" ht="16.5" thickBot="1" x14ac:dyDescent="0.3">
      <c r="C116" s="610" t="s">
        <v>274</v>
      </c>
      <c r="D116" s="619">
        <f t="shared" ref="D116:G116" si="47">D107/$C$99/D$3/24</f>
        <v>0</v>
      </c>
      <c r="E116" s="619">
        <f t="shared" si="47"/>
        <v>3.2518210197710718E-4</v>
      </c>
      <c r="F116" s="619">
        <f t="shared" si="47"/>
        <v>0</v>
      </c>
      <c r="G116" s="619">
        <f t="shared" si="47"/>
        <v>1.3440860215053763E-4</v>
      </c>
    </row>
    <row r="117" spans="3:7" ht="16.5" thickBot="1" x14ac:dyDescent="0.3">
      <c r="C117" s="611" t="s">
        <v>275</v>
      </c>
      <c r="D117" s="619">
        <f t="shared" ref="D117:G117" si="48">D108/$C$99/D$3/24</f>
        <v>0</v>
      </c>
      <c r="E117" s="619">
        <f t="shared" si="48"/>
        <v>0</v>
      </c>
      <c r="F117" s="619">
        <f t="shared" si="48"/>
        <v>0</v>
      </c>
      <c r="G117" s="619">
        <f t="shared" si="48"/>
        <v>0</v>
      </c>
    </row>
    <row r="118" spans="3:7" ht="16.5" thickBot="1" x14ac:dyDescent="0.3">
      <c r="C118" s="624" t="s">
        <v>354</v>
      </c>
      <c r="D118" s="625">
        <f>'Solar Report_Base_April'!AI182</f>
        <v>6.5787886414437144</v>
      </c>
      <c r="E118" s="625">
        <f>'Solar Report_Base-May'!AI182</f>
        <v>6.2935466533402851</v>
      </c>
      <c r="F118" s="625">
        <f>'Solar Report_Base'!AI182</f>
        <v>7.3256242878000188</v>
      </c>
      <c r="G118" s="626">
        <f>(D118*D99+E118*E99+F99*F118)/G99</f>
        <v>6.600297940347474</v>
      </c>
    </row>
  </sheetData>
  <mergeCells count="10">
    <mergeCell ref="C1:G1"/>
    <mergeCell ref="C12:G12"/>
    <mergeCell ref="C83:G83"/>
    <mergeCell ref="C97:G97"/>
    <mergeCell ref="C108:G108"/>
    <mergeCell ref="C24:G24"/>
    <mergeCell ref="C35:G35"/>
    <mergeCell ref="C48:G48"/>
    <mergeCell ref="C59:G59"/>
    <mergeCell ref="C72:G7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C25"/>
  <sheetViews>
    <sheetView workbookViewId="0">
      <selection activeCell="L14" sqref="L14"/>
    </sheetView>
  </sheetViews>
  <sheetFormatPr defaultRowHeight="15" x14ac:dyDescent="0.25"/>
  <cols>
    <col min="2" max="2" width="14" customWidth="1"/>
  </cols>
  <sheetData>
    <row r="21" spans="2:3" x14ac:dyDescent="0.25">
      <c r="B21" t="s">
        <v>37</v>
      </c>
      <c r="C21">
        <f>153*0.4</f>
        <v>61.2</v>
      </c>
    </row>
    <row r="22" spans="2:3" x14ac:dyDescent="0.25">
      <c r="B22" t="s">
        <v>38</v>
      </c>
      <c r="C22">
        <f>153*0.4</f>
        <v>61.2</v>
      </c>
    </row>
    <row r="23" spans="2:3" x14ac:dyDescent="0.25">
      <c r="B23" t="s">
        <v>39</v>
      </c>
      <c r="C23">
        <f>157*0.4</f>
        <v>62.800000000000004</v>
      </c>
    </row>
    <row r="24" spans="2:3" x14ac:dyDescent="0.25">
      <c r="B24" t="s">
        <v>305</v>
      </c>
      <c r="C24">
        <f>157*0.4</f>
        <v>62.800000000000004</v>
      </c>
    </row>
    <row r="25" spans="2:3" x14ac:dyDescent="0.25">
      <c r="B25" t="s">
        <v>314</v>
      </c>
      <c r="C25">
        <f>SUM(C21:C24)</f>
        <v>248.00000000000003</v>
      </c>
    </row>
  </sheetData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"/>
  <sheetViews>
    <sheetView zoomScale="130" zoomScaleNormal="130" workbookViewId="0">
      <selection activeCell="B1" sqref="B1"/>
    </sheetView>
  </sheetViews>
  <sheetFormatPr defaultRowHeight="15" x14ac:dyDescent="0.25"/>
  <sheetData>
    <row r="1" spans="2:38" s="205" customFormat="1" ht="14.25" thickBot="1" x14ac:dyDescent="0.3">
      <c r="B1" s="201">
        <v>5</v>
      </c>
      <c r="C1" s="815" t="s">
        <v>92</v>
      </c>
      <c r="D1" s="815"/>
      <c r="E1" s="816" t="s">
        <v>220</v>
      </c>
      <c r="F1" s="817"/>
      <c r="G1" s="817"/>
      <c r="H1" s="817"/>
      <c r="I1" s="817"/>
      <c r="J1" s="818"/>
      <c r="K1" s="202"/>
      <c r="L1" s="819" t="s">
        <v>221</v>
      </c>
      <c r="M1" s="817"/>
      <c r="N1" s="817"/>
      <c r="O1" s="817"/>
      <c r="P1" s="817"/>
      <c r="Q1" s="818"/>
      <c r="R1" s="202"/>
      <c r="S1" s="819" t="s">
        <v>222</v>
      </c>
      <c r="T1" s="817"/>
      <c r="U1" s="817"/>
      <c r="V1" s="817"/>
      <c r="W1" s="817"/>
      <c r="X1" s="818"/>
      <c r="Y1" s="203"/>
      <c r="Z1" s="820" t="s">
        <v>223</v>
      </c>
      <c r="AA1" s="817"/>
      <c r="AB1" s="817"/>
      <c r="AC1" s="817"/>
      <c r="AD1" s="817"/>
      <c r="AE1" s="821"/>
      <c r="AF1" s="204"/>
      <c r="AG1" s="204">
        <f>8059-2200</f>
        <v>5859</v>
      </c>
      <c r="AH1" s="204"/>
      <c r="AI1" s="204"/>
      <c r="AJ1" s="204"/>
      <c r="AK1" s="204"/>
      <c r="AL1" s="204"/>
    </row>
  </sheetData>
  <mergeCells count="5">
    <mergeCell ref="C1:D1"/>
    <mergeCell ref="E1:J1"/>
    <mergeCell ref="L1:Q1"/>
    <mergeCell ref="S1:X1"/>
    <mergeCell ref="Z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Z25" sqref="Z25:AE25"/>
    </sheetView>
  </sheetViews>
  <sheetFormatPr defaultRowHeight="15" x14ac:dyDescent="0.25"/>
  <cols>
    <col min="1" max="1" width="75.42578125" customWidth="1"/>
  </cols>
  <sheetData>
    <row r="1" spans="1:6" ht="198.75" customHeight="1" thickBot="1" x14ac:dyDescent="0.3">
      <c r="A1" s="822" t="s">
        <v>219</v>
      </c>
      <c r="B1" s="823"/>
      <c r="C1" s="823"/>
      <c r="D1" s="823"/>
      <c r="E1" s="823"/>
      <c r="F1" s="824"/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"/>
  <sheetViews>
    <sheetView topLeftCell="A4" zoomScale="55" zoomScaleNormal="55" workbookViewId="0">
      <selection activeCell="N31" sqref="N31"/>
    </sheetView>
  </sheetViews>
  <sheetFormatPr defaultColWidth="9.140625" defaultRowHeight="15" x14ac:dyDescent="0.25"/>
  <cols>
    <col min="1" max="1" width="14.28515625" style="104" customWidth="1"/>
    <col min="2" max="2" width="9.140625" style="104" customWidth="1"/>
    <col min="3" max="3" width="15.42578125" style="159" customWidth="1"/>
    <col min="4" max="4" width="14.42578125" style="159" customWidth="1"/>
    <col min="5" max="5" width="20.140625" style="154" customWidth="1"/>
    <col min="6" max="6" width="18" style="154" customWidth="1"/>
    <col min="7" max="7" width="9.140625" style="154" customWidth="1"/>
    <col min="8" max="8" width="18.5703125" style="160" customWidth="1"/>
    <col min="9" max="9" width="15.85546875" style="161" customWidth="1"/>
    <col min="10" max="10" width="10.85546875" style="160" customWidth="1"/>
    <col min="11" max="14" width="16.85546875" style="154" customWidth="1"/>
    <col min="15" max="16" width="18.7109375" style="154" hidden="1" customWidth="1"/>
    <col min="17" max="17" width="14.140625" style="154" hidden="1" customWidth="1"/>
    <col min="18" max="20" width="11.5703125" style="154" hidden="1" customWidth="1"/>
    <col min="21" max="21" width="11.5703125" style="155" hidden="1" customWidth="1"/>
    <col min="22" max="22" width="11.5703125" style="156" hidden="1" customWidth="1"/>
    <col min="23" max="23" width="11.5703125" style="154" hidden="1" customWidth="1"/>
    <col min="24" max="24" width="8.85546875" hidden="1" customWidth="1"/>
    <col min="25" max="28" width="13.42578125" style="104" hidden="1" customWidth="1"/>
    <col min="29" max="29" width="0" style="104" hidden="1" customWidth="1"/>
    <col min="30" max="30" width="11.5703125" style="104" hidden="1" customWidth="1"/>
    <col min="31" max="16384" width="9.140625" style="104"/>
  </cols>
  <sheetData>
    <row r="1" spans="1:256" ht="28.5" x14ac:dyDescent="0.25">
      <c r="A1" s="832" t="s">
        <v>190</v>
      </c>
      <c r="B1" s="832"/>
      <c r="C1" s="832"/>
      <c r="D1" s="832"/>
      <c r="E1" s="832"/>
      <c r="F1" s="832"/>
      <c r="G1" s="832"/>
      <c r="H1" s="832"/>
      <c r="I1" s="832"/>
      <c r="J1" s="832"/>
      <c r="K1" s="832"/>
      <c r="L1" s="832"/>
      <c r="M1" s="98">
        <v>43525</v>
      </c>
      <c r="N1" s="98"/>
      <c r="O1" s="99" t="s">
        <v>119</v>
      </c>
      <c r="P1" s="100">
        <v>2738</v>
      </c>
      <c r="Q1" s="100" t="s">
        <v>120</v>
      </c>
      <c r="R1" s="163"/>
      <c r="S1" s="101"/>
      <c r="T1" s="101"/>
      <c r="U1" s="102"/>
      <c r="V1" s="103"/>
      <c r="W1" s="101"/>
    </row>
    <row r="2" spans="1:256" x14ac:dyDescent="0.25">
      <c r="A2" s="833" t="s">
        <v>121</v>
      </c>
      <c r="B2" s="833" t="s">
        <v>122</v>
      </c>
      <c r="C2" s="836" t="s">
        <v>123</v>
      </c>
      <c r="D2" s="836"/>
      <c r="E2" s="836"/>
      <c r="F2" s="830" t="s">
        <v>191</v>
      </c>
      <c r="G2" s="830" t="s">
        <v>125</v>
      </c>
      <c r="H2" s="837" t="s">
        <v>126</v>
      </c>
      <c r="I2" s="837"/>
      <c r="J2" s="837"/>
      <c r="K2" s="830" t="s">
        <v>127</v>
      </c>
      <c r="L2" s="830" t="s">
        <v>127</v>
      </c>
      <c r="M2" s="830" t="s">
        <v>128</v>
      </c>
      <c r="N2" s="827" t="s">
        <v>129</v>
      </c>
      <c r="O2" s="105" t="s">
        <v>130</v>
      </c>
      <c r="P2" s="146">
        <f>1.956*0.992</f>
        <v>1.9403519999999999</v>
      </c>
      <c r="Q2" s="105" t="s">
        <v>131</v>
      </c>
      <c r="R2" s="105"/>
      <c r="S2" s="105"/>
      <c r="T2" s="105"/>
      <c r="U2" s="107"/>
      <c r="V2" s="108"/>
      <c r="W2" s="105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/>
      <c r="EL2" s="109"/>
      <c r="EM2" s="109"/>
      <c r="EN2" s="109"/>
      <c r="EO2" s="109"/>
      <c r="EP2" s="109"/>
      <c r="EQ2" s="109"/>
      <c r="ER2" s="109"/>
      <c r="ES2" s="109"/>
      <c r="ET2" s="109"/>
      <c r="EU2" s="109"/>
      <c r="EV2" s="109"/>
      <c r="EW2" s="109"/>
      <c r="EX2" s="109"/>
      <c r="EY2" s="109"/>
      <c r="EZ2" s="109"/>
      <c r="FA2" s="109"/>
      <c r="FB2" s="109"/>
      <c r="FC2" s="109"/>
      <c r="FD2" s="109"/>
      <c r="FE2" s="109"/>
      <c r="FF2" s="109"/>
      <c r="FG2" s="109"/>
      <c r="FH2" s="109"/>
      <c r="FI2" s="109"/>
      <c r="FJ2" s="109"/>
      <c r="FK2" s="109"/>
      <c r="FL2" s="109"/>
      <c r="FM2" s="109"/>
      <c r="FN2" s="109"/>
      <c r="FO2" s="109"/>
      <c r="FP2" s="109"/>
      <c r="FQ2" s="109"/>
      <c r="FR2" s="109"/>
      <c r="FS2" s="109"/>
      <c r="FT2" s="109"/>
      <c r="FU2" s="109"/>
      <c r="FV2" s="109"/>
      <c r="FW2" s="109"/>
      <c r="FX2" s="109"/>
      <c r="FY2" s="109"/>
      <c r="FZ2" s="109"/>
      <c r="GA2" s="109"/>
      <c r="GB2" s="109"/>
      <c r="GC2" s="109"/>
      <c r="GD2" s="109"/>
      <c r="GE2" s="109"/>
      <c r="GF2" s="109"/>
      <c r="GG2" s="109"/>
      <c r="GH2" s="109"/>
      <c r="GI2" s="109"/>
      <c r="GJ2" s="109"/>
      <c r="GK2" s="109"/>
      <c r="GL2" s="109"/>
      <c r="GM2" s="109"/>
      <c r="GN2" s="109"/>
      <c r="GO2" s="109"/>
      <c r="GP2" s="109"/>
      <c r="GQ2" s="109"/>
      <c r="GR2" s="109"/>
      <c r="GS2" s="109"/>
      <c r="GT2" s="109"/>
      <c r="GU2" s="109"/>
      <c r="GV2" s="109"/>
      <c r="GW2" s="109"/>
      <c r="GX2" s="109"/>
      <c r="GY2" s="109"/>
      <c r="GZ2" s="109"/>
      <c r="HA2" s="109"/>
      <c r="HB2" s="109"/>
      <c r="HC2" s="109"/>
      <c r="HD2" s="109"/>
      <c r="HE2" s="109"/>
      <c r="HF2" s="109"/>
      <c r="HG2" s="109"/>
      <c r="HH2" s="109"/>
      <c r="HI2" s="109"/>
      <c r="HJ2" s="109"/>
      <c r="HK2" s="109"/>
      <c r="HL2" s="109"/>
      <c r="HM2" s="109"/>
      <c r="HN2" s="109"/>
      <c r="HO2" s="109"/>
      <c r="HP2" s="109"/>
      <c r="HQ2" s="109"/>
      <c r="HR2" s="109"/>
      <c r="HS2" s="109"/>
      <c r="HT2" s="109"/>
      <c r="HU2" s="109"/>
      <c r="HV2" s="109"/>
      <c r="HW2" s="109"/>
      <c r="HX2" s="109"/>
      <c r="HY2" s="109"/>
      <c r="HZ2" s="109"/>
      <c r="IA2" s="109"/>
      <c r="IB2" s="109"/>
      <c r="IC2" s="109"/>
      <c r="ID2" s="109"/>
      <c r="IE2" s="109"/>
      <c r="IF2" s="109"/>
      <c r="IG2" s="109"/>
      <c r="IH2" s="109"/>
      <c r="II2" s="109"/>
      <c r="IJ2" s="109"/>
      <c r="IK2" s="109"/>
      <c r="IL2" s="109"/>
      <c r="IM2" s="109"/>
      <c r="IN2" s="109"/>
      <c r="IO2" s="109"/>
      <c r="IP2" s="109"/>
      <c r="IQ2" s="109"/>
      <c r="IR2" s="109"/>
      <c r="IS2" s="109"/>
      <c r="IT2" s="109"/>
      <c r="IU2" s="109"/>
      <c r="IV2" s="109"/>
    </row>
    <row r="3" spans="1:256" ht="60" x14ac:dyDescent="0.25">
      <c r="A3" s="834"/>
      <c r="B3" s="834"/>
      <c r="C3" s="110" t="s">
        <v>132</v>
      </c>
      <c r="D3" s="110" t="s">
        <v>192</v>
      </c>
      <c r="E3" s="111" t="s">
        <v>193</v>
      </c>
      <c r="F3" s="830"/>
      <c r="G3" s="830"/>
      <c r="H3" s="111" t="s">
        <v>135</v>
      </c>
      <c r="I3" s="112" t="s">
        <v>136</v>
      </c>
      <c r="J3" s="113" t="s">
        <v>137</v>
      </c>
      <c r="K3" s="830"/>
      <c r="L3" s="830"/>
      <c r="M3" s="830"/>
      <c r="N3" s="827"/>
      <c r="O3" s="105" t="s">
        <v>138</v>
      </c>
      <c r="P3" s="114">
        <f>P1*P2</f>
        <v>5312.6837759999999</v>
      </c>
      <c r="Q3" s="105" t="s">
        <v>131</v>
      </c>
      <c r="R3" s="115" t="s">
        <v>139</v>
      </c>
      <c r="S3" s="105" t="s">
        <v>140</v>
      </c>
      <c r="T3" s="115" t="s">
        <v>141</v>
      </c>
      <c r="U3" s="107" t="s">
        <v>142</v>
      </c>
      <c r="V3" s="108"/>
      <c r="W3" s="105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09"/>
      <c r="HD3" s="109"/>
      <c r="HE3" s="109"/>
      <c r="HF3" s="109"/>
      <c r="HG3" s="109"/>
      <c r="HH3" s="109"/>
      <c r="HI3" s="109"/>
      <c r="HJ3" s="109"/>
      <c r="HK3" s="109"/>
      <c r="HL3" s="109"/>
      <c r="HM3" s="109"/>
      <c r="HN3" s="109"/>
      <c r="HO3" s="109"/>
      <c r="HP3" s="109"/>
      <c r="HQ3" s="109"/>
      <c r="HR3" s="109"/>
      <c r="HS3" s="109"/>
      <c r="HT3" s="109"/>
      <c r="HU3" s="109"/>
      <c r="HV3" s="109"/>
      <c r="HW3" s="109"/>
      <c r="HX3" s="109"/>
      <c r="HY3" s="109"/>
      <c r="HZ3" s="109"/>
      <c r="IA3" s="109"/>
      <c r="IB3" s="109"/>
      <c r="IC3" s="109"/>
      <c r="ID3" s="109"/>
      <c r="IE3" s="109"/>
      <c r="IF3" s="109"/>
      <c r="IG3" s="109"/>
      <c r="IH3" s="109"/>
      <c r="II3" s="109"/>
      <c r="IJ3" s="109"/>
      <c r="IK3" s="109"/>
      <c r="IL3" s="109"/>
      <c r="IM3" s="109"/>
      <c r="IN3" s="109"/>
      <c r="IO3" s="109"/>
      <c r="IP3" s="109"/>
      <c r="IQ3" s="109"/>
      <c r="IR3" s="109"/>
      <c r="IS3" s="109"/>
      <c r="IT3" s="109"/>
      <c r="IU3" s="109"/>
      <c r="IV3" s="109"/>
    </row>
    <row r="4" spans="1:256" x14ac:dyDescent="0.25">
      <c r="A4" s="834"/>
      <c r="B4" s="834"/>
      <c r="C4" s="828" t="s">
        <v>143</v>
      </c>
      <c r="D4" s="828"/>
      <c r="E4" s="111" t="s">
        <v>144</v>
      </c>
      <c r="F4" s="111" t="s">
        <v>144</v>
      </c>
      <c r="G4" s="111" t="s">
        <v>145</v>
      </c>
      <c r="H4" s="111" t="s">
        <v>0</v>
      </c>
      <c r="I4" s="111" t="s">
        <v>0</v>
      </c>
      <c r="J4" s="111" t="s">
        <v>0</v>
      </c>
      <c r="K4" s="111" t="s">
        <v>144</v>
      </c>
      <c r="L4" s="111" t="s">
        <v>144</v>
      </c>
      <c r="M4" s="111" t="s">
        <v>0</v>
      </c>
      <c r="N4" s="111" t="s">
        <v>0</v>
      </c>
      <c r="O4" s="109" t="s">
        <v>146</v>
      </c>
      <c r="P4" s="116">
        <f>P1*P6/1000</f>
        <v>999.37</v>
      </c>
      <c r="Q4" s="105"/>
      <c r="R4" s="105" t="s">
        <v>147</v>
      </c>
      <c r="S4" s="105" t="s">
        <v>148</v>
      </c>
      <c r="T4" s="105" t="s">
        <v>147</v>
      </c>
      <c r="U4" s="107" t="s">
        <v>149</v>
      </c>
      <c r="V4" s="108"/>
      <c r="W4" s="105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/>
      <c r="DD4" s="109"/>
      <c r="DE4" s="109"/>
      <c r="DF4" s="109"/>
      <c r="DG4" s="109"/>
      <c r="DH4" s="109"/>
      <c r="DI4" s="109"/>
      <c r="DJ4" s="109"/>
      <c r="DK4" s="109"/>
      <c r="DL4" s="109"/>
      <c r="DM4" s="109"/>
      <c r="DN4" s="109"/>
      <c r="DO4" s="109"/>
      <c r="DP4" s="109"/>
      <c r="DQ4" s="109"/>
      <c r="DR4" s="109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109"/>
      <c r="ET4" s="109"/>
      <c r="EU4" s="109"/>
      <c r="EV4" s="109"/>
      <c r="EW4" s="109"/>
      <c r="EX4" s="109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109"/>
      <c r="FL4" s="109"/>
      <c r="FM4" s="109"/>
      <c r="FN4" s="109"/>
      <c r="FO4" s="109"/>
      <c r="FP4" s="109"/>
      <c r="FQ4" s="109"/>
      <c r="FR4" s="109"/>
      <c r="FS4" s="109"/>
      <c r="FT4" s="109"/>
      <c r="FU4" s="109"/>
      <c r="FV4" s="109"/>
      <c r="FW4" s="109"/>
      <c r="FX4" s="109"/>
      <c r="FY4" s="109"/>
      <c r="FZ4" s="109"/>
      <c r="GA4" s="109"/>
      <c r="GB4" s="109"/>
      <c r="GC4" s="109"/>
      <c r="GD4" s="109"/>
      <c r="GE4" s="109"/>
      <c r="GF4" s="109"/>
      <c r="GG4" s="109"/>
      <c r="GH4" s="109"/>
      <c r="GI4" s="109"/>
      <c r="GJ4" s="109"/>
      <c r="GK4" s="109"/>
      <c r="GL4" s="109"/>
      <c r="GM4" s="109"/>
      <c r="GN4" s="109"/>
      <c r="GO4" s="109"/>
      <c r="GP4" s="109"/>
      <c r="GQ4" s="109"/>
      <c r="GR4" s="109"/>
      <c r="GS4" s="109"/>
      <c r="GT4" s="109"/>
      <c r="GU4" s="109"/>
      <c r="GV4" s="109"/>
      <c r="GW4" s="109"/>
      <c r="GX4" s="109"/>
      <c r="GY4" s="109"/>
      <c r="GZ4" s="109"/>
      <c r="HA4" s="109"/>
      <c r="HB4" s="109"/>
      <c r="HC4" s="109"/>
      <c r="HD4" s="109"/>
      <c r="HE4" s="109"/>
      <c r="HF4" s="109"/>
      <c r="HG4" s="109"/>
      <c r="HH4" s="109"/>
      <c r="HI4" s="109"/>
      <c r="HJ4" s="109"/>
      <c r="HK4" s="109"/>
      <c r="HL4" s="109"/>
      <c r="HM4" s="109"/>
      <c r="HN4" s="109"/>
      <c r="HO4" s="109"/>
      <c r="HP4" s="109"/>
      <c r="HQ4" s="109"/>
      <c r="HR4" s="109"/>
      <c r="HS4" s="109"/>
      <c r="HT4" s="109"/>
      <c r="HU4" s="109"/>
      <c r="HV4" s="109"/>
      <c r="HW4" s="109"/>
      <c r="HX4" s="109"/>
      <c r="HY4" s="109"/>
      <c r="HZ4" s="109"/>
      <c r="IA4" s="109"/>
      <c r="IB4" s="109"/>
      <c r="IC4" s="109"/>
      <c r="ID4" s="109"/>
      <c r="IE4" s="109"/>
      <c r="IF4" s="109"/>
      <c r="IG4" s="109"/>
      <c r="IH4" s="109"/>
      <c r="II4" s="109"/>
      <c r="IJ4" s="109"/>
      <c r="IK4" s="109"/>
      <c r="IL4" s="109"/>
      <c r="IM4" s="109"/>
      <c r="IN4" s="109"/>
      <c r="IO4" s="109"/>
      <c r="IP4" s="109"/>
      <c r="IQ4" s="109"/>
      <c r="IR4" s="109"/>
      <c r="IS4" s="109"/>
      <c r="IT4" s="109"/>
      <c r="IU4" s="109"/>
      <c r="IV4" s="109"/>
    </row>
    <row r="5" spans="1:256" x14ac:dyDescent="0.25">
      <c r="A5" s="835"/>
      <c r="B5" s="835"/>
      <c r="C5" s="110" t="s">
        <v>150</v>
      </c>
      <c r="D5" s="110" t="s">
        <v>151</v>
      </c>
      <c r="E5" s="111" t="s">
        <v>152</v>
      </c>
      <c r="F5" s="111" t="s">
        <v>153</v>
      </c>
      <c r="G5" s="111" t="s">
        <v>154</v>
      </c>
      <c r="H5" s="111" t="s">
        <v>155</v>
      </c>
      <c r="I5" s="111" t="s">
        <v>156</v>
      </c>
      <c r="J5" s="111" t="s">
        <v>157</v>
      </c>
      <c r="K5" s="111" t="s">
        <v>158</v>
      </c>
      <c r="L5" s="111" t="s">
        <v>159</v>
      </c>
      <c r="M5" s="111" t="s">
        <v>160</v>
      </c>
      <c r="N5" s="111" t="s">
        <v>161</v>
      </c>
      <c r="O5" s="105" t="s">
        <v>194</v>
      </c>
      <c r="P5" s="117">
        <v>0.18870000000000001</v>
      </c>
      <c r="Q5" s="105"/>
      <c r="R5" s="105"/>
      <c r="S5" s="105"/>
      <c r="T5" s="105"/>
      <c r="U5" s="107"/>
      <c r="V5" s="108"/>
      <c r="W5" s="105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09"/>
      <c r="CC5" s="109"/>
      <c r="CD5" s="109"/>
      <c r="CE5" s="109"/>
      <c r="CF5" s="109"/>
      <c r="CG5" s="109"/>
      <c r="CH5" s="109"/>
      <c r="CI5" s="109"/>
      <c r="CJ5" s="109"/>
      <c r="CK5" s="109"/>
      <c r="CL5" s="109"/>
      <c r="CM5" s="109"/>
      <c r="CN5" s="109"/>
      <c r="CO5" s="109"/>
      <c r="CP5" s="109"/>
      <c r="CQ5" s="109"/>
      <c r="CR5" s="109"/>
      <c r="CS5" s="109"/>
      <c r="CT5" s="109"/>
      <c r="CU5" s="109"/>
      <c r="CV5" s="109"/>
      <c r="CW5" s="109"/>
      <c r="CX5" s="109"/>
      <c r="CY5" s="109"/>
      <c r="CZ5" s="109"/>
      <c r="DA5" s="109"/>
      <c r="DB5" s="109"/>
      <c r="DC5" s="109"/>
      <c r="DD5" s="109"/>
      <c r="DE5" s="109"/>
      <c r="DF5" s="109"/>
      <c r="DG5" s="109"/>
      <c r="DH5" s="109"/>
      <c r="DI5" s="109"/>
      <c r="DJ5" s="109"/>
      <c r="DK5" s="109"/>
      <c r="DL5" s="109"/>
      <c r="DM5" s="109"/>
      <c r="DN5" s="109"/>
      <c r="DO5" s="109"/>
      <c r="DP5" s="109"/>
      <c r="DQ5" s="109"/>
      <c r="DR5" s="109"/>
      <c r="DS5" s="109"/>
      <c r="DT5" s="109"/>
      <c r="DU5" s="109"/>
      <c r="DV5" s="109"/>
      <c r="DW5" s="109"/>
      <c r="DX5" s="109"/>
      <c r="DY5" s="109"/>
      <c r="DZ5" s="109"/>
      <c r="EA5" s="109"/>
      <c r="EB5" s="109"/>
      <c r="EC5" s="109"/>
      <c r="ED5" s="109"/>
      <c r="EE5" s="109"/>
      <c r="EF5" s="109"/>
      <c r="EG5" s="109"/>
      <c r="EH5" s="109"/>
      <c r="EI5" s="109"/>
      <c r="EJ5" s="109"/>
      <c r="EK5" s="109"/>
      <c r="EL5" s="109"/>
      <c r="EM5" s="109"/>
      <c r="EN5" s="109"/>
      <c r="EO5" s="109"/>
      <c r="EP5" s="109"/>
      <c r="EQ5" s="109"/>
      <c r="ER5" s="109"/>
      <c r="ES5" s="109"/>
      <c r="ET5" s="109"/>
      <c r="EU5" s="109"/>
      <c r="EV5" s="109"/>
      <c r="EW5" s="109"/>
      <c r="EX5" s="109"/>
      <c r="EY5" s="109"/>
      <c r="EZ5" s="109"/>
      <c r="FA5" s="109"/>
      <c r="FB5" s="109"/>
      <c r="FC5" s="109"/>
      <c r="FD5" s="109"/>
      <c r="FE5" s="109"/>
      <c r="FF5" s="109"/>
      <c r="FG5" s="109"/>
      <c r="FH5" s="109"/>
      <c r="FI5" s="109"/>
      <c r="FJ5" s="109"/>
      <c r="FK5" s="109"/>
      <c r="FL5" s="109"/>
      <c r="FM5" s="109"/>
      <c r="FN5" s="109"/>
      <c r="FO5" s="109"/>
      <c r="FP5" s="109"/>
      <c r="FQ5" s="109"/>
      <c r="FR5" s="109"/>
      <c r="FS5" s="109"/>
      <c r="FT5" s="109"/>
      <c r="FU5" s="109"/>
      <c r="FV5" s="109"/>
      <c r="FW5" s="109"/>
      <c r="FX5" s="109"/>
      <c r="FY5" s="109"/>
      <c r="FZ5" s="109"/>
      <c r="GA5" s="109"/>
      <c r="GB5" s="109"/>
      <c r="GC5" s="109"/>
      <c r="GD5" s="109"/>
      <c r="GE5" s="109"/>
      <c r="GF5" s="109"/>
      <c r="GG5" s="109"/>
      <c r="GH5" s="109"/>
      <c r="GI5" s="109"/>
      <c r="GJ5" s="109"/>
      <c r="GK5" s="109"/>
      <c r="GL5" s="109"/>
      <c r="GM5" s="109"/>
      <c r="GN5" s="109"/>
      <c r="GO5" s="109"/>
      <c r="GP5" s="109"/>
      <c r="GQ5" s="109"/>
      <c r="GR5" s="109"/>
      <c r="GS5" s="109"/>
      <c r="GT5" s="109"/>
      <c r="GU5" s="109"/>
      <c r="GV5" s="109"/>
      <c r="GW5" s="109"/>
      <c r="GX5" s="109"/>
      <c r="GY5" s="109"/>
      <c r="GZ5" s="109"/>
      <c r="HA5" s="109"/>
      <c r="HB5" s="109"/>
      <c r="HC5" s="109"/>
      <c r="HD5" s="109"/>
      <c r="HE5" s="109"/>
      <c r="HF5" s="109"/>
      <c r="HG5" s="109"/>
      <c r="HH5" s="109"/>
      <c r="HI5" s="109"/>
      <c r="HJ5" s="109"/>
      <c r="HK5" s="109"/>
      <c r="HL5" s="109"/>
      <c r="HM5" s="109"/>
      <c r="HN5" s="109"/>
      <c r="HO5" s="109"/>
      <c r="HP5" s="109"/>
      <c r="HQ5" s="109"/>
      <c r="HR5" s="109"/>
      <c r="HS5" s="109"/>
      <c r="HT5" s="109"/>
      <c r="HU5" s="109"/>
      <c r="HV5" s="109"/>
      <c r="HW5" s="109"/>
      <c r="HX5" s="109"/>
      <c r="HY5" s="109"/>
      <c r="HZ5" s="109"/>
      <c r="IA5" s="109"/>
      <c r="IB5" s="109"/>
      <c r="IC5" s="109"/>
      <c r="ID5" s="109"/>
      <c r="IE5" s="109"/>
      <c r="IF5" s="109"/>
      <c r="IG5" s="109"/>
      <c r="IH5" s="109"/>
      <c r="II5" s="109"/>
      <c r="IJ5" s="109"/>
      <c r="IK5" s="109"/>
      <c r="IL5" s="109"/>
      <c r="IM5" s="109"/>
      <c r="IN5" s="109"/>
      <c r="IO5" s="109"/>
      <c r="IP5" s="109"/>
      <c r="IQ5" s="109"/>
      <c r="IR5" s="109"/>
      <c r="IS5" s="109"/>
      <c r="IT5" s="109"/>
      <c r="IU5" s="109"/>
      <c r="IV5" s="109"/>
    </row>
    <row r="6" spans="1:256" x14ac:dyDescent="0.25">
      <c r="A6" s="118"/>
      <c r="B6" s="118"/>
      <c r="C6" s="119" t="s">
        <v>163</v>
      </c>
      <c r="D6" s="119" t="s">
        <v>163</v>
      </c>
      <c r="E6" s="120" t="s">
        <v>195</v>
      </c>
      <c r="F6" s="121" t="s">
        <v>196</v>
      </c>
      <c r="G6" s="122"/>
      <c r="H6" s="122" t="s">
        <v>166</v>
      </c>
      <c r="I6" s="122"/>
      <c r="J6" s="122" t="s">
        <v>167</v>
      </c>
      <c r="K6" s="122" t="s">
        <v>168</v>
      </c>
      <c r="L6" s="122" t="s">
        <v>169</v>
      </c>
      <c r="M6" s="122" t="s">
        <v>197</v>
      </c>
      <c r="N6" s="115" t="s">
        <v>198</v>
      </c>
      <c r="O6" s="115" t="s">
        <v>172</v>
      </c>
      <c r="P6" s="115">
        <v>365</v>
      </c>
      <c r="Q6" s="115"/>
      <c r="R6" s="115"/>
      <c r="S6" s="115"/>
      <c r="T6" s="115"/>
      <c r="U6" s="123"/>
      <c r="V6" s="164"/>
      <c r="W6" s="115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4"/>
      <c r="DY6" s="124"/>
      <c r="DZ6" s="124"/>
      <c r="EA6" s="124"/>
      <c r="EB6" s="124"/>
      <c r="EC6" s="124"/>
      <c r="ED6" s="124"/>
      <c r="EE6" s="124"/>
      <c r="EF6" s="124"/>
      <c r="EG6" s="124"/>
      <c r="EH6" s="124"/>
      <c r="EI6" s="124"/>
      <c r="EJ6" s="124"/>
      <c r="EK6" s="124"/>
      <c r="EL6" s="124"/>
      <c r="EM6" s="124"/>
      <c r="EN6" s="124"/>
      <c r="EO6" s="124"/>
      <c r="EP6" s="124"/>
      <c r="EQ6" s="124"/>
      <c r="ER6" s="124"/>
      <c r="ES6" s="124"/>
      <c r="ET6" s="124"/>
      <c r="EU6" s="124"/>
      <c r="EV6" s="124"/>
      <c r="EW6" s="124"/>
      <c r="EX6" s="124"/>
      <c r="EY6" s="124"/>
      <c r="EZ6" s="124"/>
      <c r="FA6" s="124"/>
      <c r="FB6" s="124"/>
      <c r="FC6" s="124"/>
      <c r="FD6" s="124"/>
      <c r="FE6" s="124"/>
      <c r="FF6" s="124"/>
      <c r="FG6" s="124"/>
      <c r="FH6" s="124"/>
      <c r="FI6" s="124"/>
      <c r="FJ6" s="124"/>
      <c r="FK6" s="124"/>
      <c r="FL6" s="124"/>
      <c r="FM6" s="124"/>
      <c r="FN6" s="124"/>
      <c r="FO6" s="124"/>
      <c r="FP6" s="124"/>
      <c r="FQ6" s="124"/>
      <c r="FR6" s="124"/>
      <c r="FS6" s="124"/>
      <c r="FT6" s="124"/>
      <c r="FU6" s="124"/>
      <c r="FV6" s="124"/>
      <c r="FW6" s="124"/>
      <c r="FX6" s="124"/>
      <c r="FY6" s="124"/>
      <c r="FZ6" s="124"/>
      <c r="GA6" s="124"/>
      <c r="GB6" s="124"/>
      <c r="GC6" s="124"/>
      <c r="GD6" s="124"/>
      <c r="GE6" s="124"/>
      <c r="GF6" s="124"/>
      <c r="GG6" s="124"/>
      <c r="GH6" s="124"/>
      <c r="GI6" s="124"/>
      <c r="GJ6" s="124"/>
      <c r="GK6" s="124"/>
      <c r="GL6" s="124"/>
      <c r="GM6" s="124"/>
      <c r="GN6" s="124"/>
      <c r="GO6" s="124"/>
      <c r="GP6" s="124"/>
      <c r="GQ6" s="124"/>
      <c r="GR6" s="124"/>
      <c r="GS6" s="124"/>
      <c r="GT6" s="124"/>
      <c r="GU6" s="124"/>
      <c r="GV6" s="124"/>
      <c r="GW6" s="124"/>
      <c r="GX6" s="124"/>
      <c r="GY6" s="124"/>
      <c r="GZ6" s="124"/>
      <c r="HA6" s="124"/>
      <c r="HB6" s="124"/>
      <c r="HC6" s="124"/>
      <c r="HD6" s="124"/>
      <c r="HE6" s="124"/>
      <c r="HF6" s="124"/>
      <c r="HG6" s="124"/>
      <c r="HH6" s="124"/>
      <c r="HI6" s="124"/>
      <c r="HJ6" s="124"/>
      <c r="HK6" s="124"/>
      <c r="HL6" s="124"/>
      <c r="HM6" s="124"/>
      <c r="HN6" s="124"/>
      <c r="HO6" s="124"/>
      <c r="HP6" s="124"/>
      <c r="HQ6" s="124"/>
      <c r="HR6" s="124"/>
      <c r="HS6" s="124"/>
      <c r="HT6" s="124"/>
      <c r="HU6" s="124"/>
      <c r="HV6" s="124"/>
      <c r="HW6" s="124"/>
      <c r="HX6" s="124"/>
      <c r="HY6" s="124"/>
      <c r="HZ6" s="124"/>
      <c r="IA6" s="124"/>
      <c r="IB6" s="124"/>
      <c r="IC6" s="124"/>
      <c r="ID6" s="124"/>
      <c r="IE6" s="124"/>
      <c r="IF6" s="124"/>
      <c r="IG6" s="124"/>
      <c r="IH6" s="124"/>
      <c r="II6" s="124"/>
      <c r="IJ6" s="124"/>
      <c r="IK6" s="124"/>
      <c r="IL6" s="124"/>
      <c r="IM6" s="124"/>
      <c r="IN6" s="124"/>
      <c r="IO6" s="124"/>
      <c r="IP6" s="124"/>
      <c r="IQ6" s="124"/>
      <c r="IR6" s="124"/>
      <c r="IS6" s="124"/>
      <c r="IT6" s="124"/>
      <c r="IU6" s="124"/>
      <c r="IV6" s="124"/>
    </row>
    <row r="7" spans="1:256" ht="18.75" x14ac:dyDescent="0.25">
      <c r="A7" s="125" t="s">
        <v>175</v>
      </c>
      <c r="B7" s="126">
        <v>31</v>
      </c>
      <c r="C7" s="127">
        <f>V7</f>
        <v>4.1598750360308525</v>
      </c>
      <c r="D7" s="127">
        <f>W7</f>
        <v>4.5331153575152161</v>
      </c>
      <c r="E7" s="128">
        <f t="shared" ref="E7:E18" si="0">D7*$P$3</f>
        <v>24083.008414607528</v>
      </c>
      <c r="F7" s="128">
        <f t="shared" ref="F7:F18" si="1">E7*$P$5</f>
        <v>4544.4636878364408</v>
      </c>
      <c r="G7" s="128">
        <v>16.07</v>
      </c>
      <c r="H7" s="129">
        <f>(25-(G7+20))*0.39%</f>
        <v>-4.3173000000000003E-2</v>
      </c>
      <c r="I7" s="129">
        <v>-0.151</v>
      </c>
      <c r="J7" s="129">
        <f t="shared" ref="J7:J18" si="2">SUM(H7:I7)</f>
        <v>-0.19417299999999998</v>
      </c>
      <c r="K7" s="128">
        <f>+F7*(1+J7)</f>
        <v>3662.0515401781759</v>
      </c>
      <c r="L7" s="128">
        <f t="shared" ref="L7:L18" si="3">K7*B7</f>
        <v>113523.59774552345</v>
      </c>
      <c r="M7" s="130">
        <f t="shared" ref="M7:M18" si="4">K7/($P$4*24)</f>
        <v>0.15268167029304194</v>
      </c>
      <c r="N7" s="130">
        <f t="shared" ref="N7:N19" si="5">K7/(D7*$P$4)</f>
        <v>0.80835359306664334</v>
      </c>
      <c r="O7" s="131">
        <f t="shared" ref="O7:O18" si="6">D7/C7</f>
        <v>1.0897239263803682</v>
      </c>
      <c r="P7" s="132"/>
      <c r="Q7" s="132"/>
      <c r="R7" s="133">
        <v>130.4</v>
      </c>
      <c r="S7" s="134">
        <v>16.07</v>
      </c>
      <c r="T7" s="133">
        <v>142.1</v>
      </c>
      <c r="U7" s="135">
        <v>115.5</v>
      </c>
      <c r="V7" s="136">
        <f>(R7/B7)*0.988927347522672</f>
        <v>4.1598750360308525</v>
      </c>
      <c r="W7" s="134">
        <f>(T7/B7)*0.988927347522672</f>
        <v>4.5331153575152161</v>
      </c>
      <c r="X7" s="137"/>
      <c r="Y7" s="137"/>
      <c r="AB7" s="104">
        <v>3662.0515401781736</v>
      </c>
      <c r="AC7" s="297">
        <f>K7-AB7</f>
        <v>0</v>
      </c>
      <c r="AD7" s="104">
        <v>0.98892734752267164</v>
      </c>
    </row>
    <row r="8" spans="1:256" ht="18.75" x14ac:dyDescent="0.25">
      <c r="A8" s="125" t="s">
        <v>176</v>
      </c>
      <c r="B8" s="126">
        <v>28</v>
      </c>
      <c r="C8" s="127">
        <f t="shared" ref="C8:D18" si="7">V8</f>
        <v>5.2730581337134463</v>
      </c>
      <c r="D8" s="127">
        <f t="shared" si="7"/>
        <v>5.638306948624332</v>
      </c>
      <c r="E8" s="128">
        <f t="shared" si="0"/>
        <v>29954.541850064554</v>
      </c>
      <c r="F8" s="128">
        <f t="shared" si="1"/>
        <v>5652.4220471071812</v>
      </c>
      <c r="G8" s="128">
        <v>19.399999999999999</v>
      </c>
      <c r="H8" s="129">
        <f t="shared" ref="H8:H18" si="8">(25-(G8+20))*0.39%</f>
        <v>-5.6160000000000002E-2</v>
      </c>
      <c r="I8" s="129">
        <v>-0.151</v>
      </c>
      <c r="J8" s="129">
        <f t="shared" si="2"/>
        <v>-0.20716000000000001</v>
      </c>
      <c r="K8" s="291">
        <f t="shared" ref="K8:K18" si="9">+F8*(1+J8)</f>
        <v>4481.4662958284571</v>
      </c>
      <c r="L8" s="128">
        <f t="shared" si="3"/>
        <v>125481.0562831968</v>
      </c>
      <c r="M8" s="199">
        <f t="shared" si="4"/>
        <v>0.18684547497542023</v>
      </c>
      <c r="N8" s="199">
        <f t="shared" si="5"/>
        <v>0.79532587357703</v>
      </c>
      <c r="O8" s="131">
        <f t="shared" si="6"/>
        <v>1.0692669804976465</v>
      </c>
      <c r="P8" s="132"/>
      <c r="Q8" s="132"/>
      <c r="R8" s="133">
        <v>148.69999999999999</v>
      </c>
      <c r="S8" s="134">
        <v>19.399999999999999</v>
      </c>
      <c r="T8" s="133">
        <v>159</v>
      </c>
      <c r="U8" s="135">
        <v>126.4</v>
      </c>
      <c r="V8" s="136">
        <f>(R8/B8)*0.992909399757744</f>
        <v>5.2730581337134463</v>
      </c>
      <c r="W8" s="134">
        <f>(T8/B8)*0.992909399757744</f>
        <v>5.638306948624332</v>
      </c>
      <c r="X8" s="137"/>
      <c r="Y8" s="137"/>
      <c r="AB8" s="104">
        <v>4481.4662958284598</v>
      </c>
      <c r="AC8" s="297">
        <f t="shared" ref="AC8:AC18" si="10">K8-AB8</f>
        <v>0</v>
      </c>
      <c r="AD8" s="104">
        <v>0.99290939975774428</v>
      </c>
    </row>
    <row r="9" spans="1:256" ht="18.75" x14ac:dyDescent="0.25">
      <c r="A9" s="125" t="s">
        <v>51</v>
      </c>
      <c r="B9" s="138">
        <v>31</v>
      </c>
      <c r="C9" s="251">
        <f t="shared" si="7"/>
        <v>6.0891203830078036</v>
      </c>
      <c r="D9" s="251">
        <f t="shared" si="7"/>
        <v>6.3358899985296988</v>
      </c>
      <c r="E9" s="128">
        <f t="shared" si="0"/>
        <v>33660.580001709393</v>
      </c>
      <c r="F9" s="128">
        <f t="shared" si="1"/>
        <v>6351.7514463225625</v>
      </c>
      <c r="G9" s="139">
        <v>25.59</v>
      </c>
      <c r="H9" s="129">
        <f t="shared" si="8"/>
        <v>-8.0301000000000025E-2</v>
      </c>
      <c r="I9" s="129">
        <v>-0.151</v>
      </c>
      <c r="J9" s="129">
        <f t="shared" si="2"/>
        <v>-0.23130100000000003</v>
      </c>
      <c r="K9" s="139">
        <f t="shared" si="9"/>
        <v>4882.5849850367076</v>
      </c>
      <c r="L9" s="128">
        <f t="shared" si="3"/>
        <v>151360.13453613795</v>
      </c>
      <c r="M9" s="130">
        <f t="shared" si="4"/>
        <v>0.20356928969570443</v>
      </c>
      <c r="N9" s="130">
        <f t="shared" si="5"/>
        <v>0.77110918179303445</v>
      </c>
      <c r="O9" s="131">
        <f t="shared" si="6"/>
        <v>1.0405263157894737</v>
      </c>
      <c r="P9" s="132"/>
      <c r="Q9" s="132"/>
      <c r="R9" s="133">
        <v>190</v>
      </c>
      <c r="S9" s="134">
        <v>25.59</v>
      </c>
      <c r="T9" s="133">
        <v>197.7</v>
      </c>
      <c r="U9" s="135">
        <v>151.69999999999999</v>
      </c>
      <c r="V9" s="136">
        <f>(R9/B9)*0.993488062490747</f>
        <v>6.0891203830078036</v>
      </c>
      <c r="W9" s="134">
        <f>(T9/B9)*0.993488062490747</f>
        <v>6.3358899985296988</v>
      </c>
      <c r="X9" s="137"/>
      <c r="Y9" s="137"/>
      <c r="AB9" s="104">
        <v>4882.5849850367067</v>
      </c>
      <c r="AC9" s="297">
        <f t="shared" si="10"/>
        <v>0</v>
      </c>
      <c r="AD9" s="104">
        <v>0.99348806249074673</v>
      </c>
    </row>
    <row r="10" spans="1:256" ht="18.75" x14ac:dyDescent="0.25">
      <c r="A10" s="393" t="s">
        <v>177</v>
      </c>
      <c r="B10" s="394">
        <v>30</v>
      </c>
      <c r="C10" s="395">
        <f t="shared" si="7"/>
        <v>6.8247490540559932</v>
      </c>
      <c r="D10" s="395">
        <v>6.8158000000000003</v>
      </c>
      <c r="E10" s="396">
        <f t="shared" si="0"/>
        <v>36210.190080460801</v>
      </c>
      <c r="F10" s="396">
        <f t="shared" si="1"/>
        <v>6832.8628681829532</v>
      </c>
      <c r="G10" s="396">
        <v>30.908533333333335</v>
      </c>
      <c r="H10" s="397">
        <f t="shared" si="8"/>
        <v>-0.10104328000000003</v>
      </c>
      <c r="I10" s="397">
        <v>-0.151</v>
      </c>
      <c r="J10" s="397">
        <f t="shared" si="2"/>
        <v>-0.25204328000000004</v>
      </c>
      <c r="K10" s="396">
        <f t="shared" si="9"/>
        <v>5110.6856990959132</v>
      </c>
      <c r="L10" s="396">
        <f t="shared" si="3"/>
        <v>153320.57097287738</v>
      </c>
      <c r="M10" s="398">
        <f t="shared" si="4"/>
        <v>0.2130794775331756</v>
      </c>
      <c r="N10" s="398">
        <f t="shared" si="5"/>
        <v>0.75030186636876295</v>
      </c>
      <c r="O10" s="131">
        <f t="shared" si="6"/>
        <v>0.99868873507507583</v>
      </c>
      <c r="P10" s="132"/>
      <c r="Q10" s="132"/>
      <c r="R10" s="133">
        <v>205.8</v>
      </c>
      <c r="S10" s="134">
        <v>30.13</v>
      </c>
      <c r="T10" s="133">
        <v>209.4</v>
      </c>
      <c r="U10" s="135">
        <v>157.1</v>
      </c>
      <c r="V10" s="136">
        <f>(R10/B10)*0.994861378142273</f>
        <v>6.8247490540559932</v>
      </c>
      <c r="W10" s="134">
        <f>(T10/B10)*0.994861378142273</f>
        <v>6.9441324194330667</v>
      </c>
      <c r="X10" s="137"/>
      <c r="Y10" s="137"/>
      <c r="AB10" s="104">
        <v>5228.050204934977</v>
      </c>
      <c r="AC10" s="297">
        <f t="shared" si="10"/>
        <v>-117.3645058390639</v>
      </c>
      <c r="AD10" s="104">
        <v>0.99486137814227327</v>
      </c>
    </row>
    <row r="11" spans="1:256" ht="18.75" x14ac:dyDescent="0.25">
      <c r="A11" s="125" t="s">
        <v>178</v>
      </c>
      <c r="B11" s="126">
        <v>31</v>
      </c>
      <c r="C11" s="127">
        <f t="shared" si="7"/>
        <v>7.0247324196104399</v>
      </c>
      <c r="D11" s="127">
        <f>W11-0.04</f>
        <v>6.9815233138911115</v>
      </c>
      <c r="E11" s="128">
        <f t="shared" si="0"/>
        <v>37090.625641475061</v>
      </c>
      <c r="F11" s="128">
        <f t="shared" si="1"/>
        <v>6999.0010585463442</v>
      </c>
      <c r="G11" s="128">
        <v>33.68</v>
      </c>
      <c r="H11" s="129">
        <f t="shared" si="8"/>
        <v>-0.11185200000000001</v>
      </c>
      <c r="I11" s="129">
        <v>-0.151</v>
      </c>
      <c r="J11" s="129">
        <f t="shared" si="2"/>
        <v>-0.26285199999999997</v>
      </c>
      <c r="K11" s="291">
        <f>+F11*(1+J11)--0.656510086945673</f>
        <v>5159.956142392266</v>
      </c>
      <c r="L11" s="128">
        <f t="shared" si="3"/>
        <v>159958.64041416024</v>
      </c>
      <c r="M11" s="130">
        <f t="shared" si="4"/>
        <v>0.21513370683498378</v>
      </c>
      <c r="N11" s="130">
        <f t="shared" si="5"/>
        <v>0.73955335131036415</v>
      </c>
      <c r="O11" s="131">
        <f t="shared" si="6"/>
        <v>0.99384900333019022</v>
      </c>
      <c r="P11" s="132"/>
      <c r="Q11" s="132"/>
      <c r="R11" s="133">
        <v>218.9</v>
      </c>
      <c r="S11" s="134">
        <v>33.68</v>
      </c>
      <c r="T11" s="133">
        <v>218.8</v>
      </c>
      <c r="U11" s="135">
        <v>162.19999999999999</v>
      </c>
      <c r="V11" s="136">
        <f>(R11/B11)*0.994822772991885</f>
        <v>7.0247324196104399</v>
      </c>
      <c r="W11" s="134">
        <f>(T11/B11)*0.994822772991885</f>
        <v>7.0215233138911115</v>
      </c>
      <c r="X11" s="137"/>
      <c r="Y11" s="137"/>
      <c r="AB11" s="104">
        <v>5188.8593681987177</v>
      </c>
      <c r="AC11" s="297">
        <f t="shared" si="10"/>
        <v>-28.903225806451701</v>
      </c>
      <c r="AD11" s="104">
        <v>0.99482277299188504</v>
      </c>
      <c r="AE11" s="104">
        <v>5159.956142392266</v>
      </c>
      <c r="AF11" s="464">
        <f>K11-AE11</f>
        <v>0</v>
      </c>
      <c r="AH11" s="104">
        <v>-0.65651008694567281</v>
      </c>
    </row>
    <row r="12" spans="1:256" ht="18.75" x14ac:dyDescent="0.25">
      <c r="A12" s="125" t="s">
        <v>179</v>
      </c>
      <c r="B12" s="126">
        <v>30</v>
      </c>
      <c r="C12" s="127">
        <f t="shared" si="7"/>
        <v>6.280142592850261</v>
      </c>
      <c r="D12" s="127">
        <f>W12-0.044</f>
        <v>6.1996879392769886</v>
      </c>
      <c r="E12" s="128">
        <f t="shared" si="0"/>
        <v>32936.981531259727</v>
      </c>
      <c r="F12" s="128">
        <f t="shared" si="1"/>
        <v>6215.2084149487109</v>
      </c>
      <c r="G12" s="128">
        <v>32.49</v>
      </c>
      <c r="H12" s="129">
        <f t="shared" si="8"/>
        <v>-0.10721100000000001</v>
      </c>
      <c r="I12" s="129">
        <v>-0.151</v>
      </c>
      <c r="J12" s="129">
        <f t="shared" si="2"/>
        <v>-0.25821100000000002</v>
      </c>
      <c r="K12" s="291">
        <f t="shared" si="9"/>
        <v>4610.3732349163893</v>
      </c>
      <c r="L12" s="128">
        <f t="shared" si="3"/>
        <v>138311.19704749167</v>
      </c>
      <c r="M12" s="130">
        <f t="shared" si="4"/>
        <v>0.19221998337771085</v>
      </c>
      <c r="N12" s="130">
        <f t="shared" si="5"/>
        <v>0.74411480807581798</v>
      </c>
      <c r="O12" s="131">
        <f t="shared" si="6"/>
        <v>0.98718904031496557</v>
      </c>
      <c r="P12" s="132"/>
      <c r="Q12" s="132"/>
      <c r="R12" s="133">
        <v>189.5</v>
      </c>
      <c r="S12" s="134">
        <v>32.49</v>
      </c>
      <c r="T12" s="133">
        <v>188.4</v>
      </c>
      <c r="U12" s="135">
        <v>142</v>
      </c>
      <c r="V12" s="136">
        <f>(R12/B12)*0.994217824725635</f>
        <v>6.280142592850261</v>
      </c>
      <c r="W12" s="134">
        <f>(T12/B12)*0.994217824725635</f>
        <v>6.2436879392769882</v>
      </c>
      <c r="X12" s="137"/>
      <c r="Y12" s="137"/>
      <c r="AB12" s="104">
        <v>4643.0936596092433</v>
      </c>
      <c r="AC12" s="297">
        <f t="shared" si="10"/>
        <v>-32.720424692854067</v>
      </c>
      <c r="AD12" s="104">
        <v>0.99421782472563469</v>
      </c>
    </row>
    <row r="13" spans="1:256" ht="18.75" x14ac:dyDescent="0.25">
      <c r="A13" s="125" t="s">
        <v>180</v>
      </c>
      <c r="B13" s="126">
        <v>31</v>
      </c>
      <c r="C13" s="127">
        <f t="shared" si="7"/>
        <v>5.3960568114897196</v>
      </c>
      <c r="D13" s="127">
        <f t="shared" si="7"/>
        <v>5.3768537623385102</v>
      </c>
      <c r="E13" s="128">
        <f t="shared" si="0"/>
        <v>28565.523749100361</v>
      </c>
      <c r="F13" s="128">
        <f t="shared" si="1"/>
        <v>5390.3143314552381</v>
      </c>
      <c r="G13" s="128">
        <v>30.1</v>
      </c>
      <c r="H13" s="129">
        <f t="shared" si="8"/>
        <v>-9.7890000000000019E-2</v>
      </c>
      <c r="I13" s="129">
        <v>-0.151</v>
      </c>
      <c r="J13" s="129">
        <f t="shared" si="2"/>
        <v>-0.24889</v>
      </c>
      <c r="K13" s="291">
        <f t="shared" si="9"/>
        <v>4048.7189974993435</v>
      </c>
      <c r="L13" s="128">
        <f t="shared" si="3"/>
        <v>125510.28892247965</v>
      </c>
      <c r="M13" s="130">
        <f t="shared" si="4"/>
        <v>0.16880297076738943</v>
      </c>
      <c r="N13" s="130">
        <f t="shared" si="5"/>
        <v>0.75346503317496971</v>
      </c>
      <c r="O13" s="131">
        <f t="shared" si="6"/>
        <v>0.99644128113878994</v>
      </c>
      <c r="P13" s="132"/>
      <c r="Q13" s="132"/>
      <c r="R13" s="133">
        <v>168.6</v>
      </c>
      <c r="S13" s="134">
        <v>30.1</v>
      </c>
      <c r="T13" s="133">
        <v>168</v>
      </c>
      <c r="U13" s="135">
        <v>128.5</v>
      </c>
      <c r="V13" s="136">
        <f>(R13/B13)*0.99215753947913</f>
        <v>5.3960568114897196</v>
      </c>
      <c r="W13" s="134">
        <f>(T13/B13)*0.99215753947913</f>
        <v>5.3768537623385102</v>
      </c>
      <c r="X13" s="137"/>
      <c r="Y13" s="137"/>
      <c r="AB13" s="104">
        <v>4048.7189974993444</v>
      </c>
      <c r="AC13" s="297">
        <f t="shared" si="10"/>
        <v>0</v>
      </c>
      <c r="AD13" s="104">
        <v>0.9921575394791301</v>
      </c>
    </row>
    <row r="14" spans="1:256" ht="18.75" x14ac:dyDescent="0.25">
      <c r="A14" s="125" t="s">
        <v>181</v>
      </c>
      <c r="B14" s="126">
        <v>31</v>
      </c>
      <c r="C14" s="127">
        <f t="shared" si="7"/>
        <v>5.0645154204241765</v>
      </c>
      <c r="D14" s="127">
        <f t="shared" si="7"/>
        <v>5.0933092541473703</v>
      </c>
      <c r="E14" s="128">
        <f t="shared" si="0"/>
        <v>27059.141440659394</v>
      </c>
      <c r="F14" s="128">
        <f t="shared" si="1"/>
        <v>5106.0599898524279</v>
      </c>
      <c r="G14" s="128">
        <v>28.61</v>
      </c>
      <c r="H14" s="129">
        <f t="shared" si="8"/>
        <v>-9.2079000000000008E-2</v>
      </c>
      <c r="I14" s="129">
        <v>-0.151</v>
      </c>
      <c r="J14" s="129">
        <f t="shared" si="2"/>
        <v>-0.24307899999999999</v>
      </c>
      <c r="K14" s="291">
        <f t="shared" si="9"/>
        <v>3864.8840335790892</v>
      </c>
      <c r="L14" s="128">
        <f t="shared" si="3"/>
        <v>119811.40504095177</v>
      </c>
      <c r="M14" s="130">
        <f t="shared" si="4"/>
        <v>0.16113835189415537</v>
      </c>
      <c r="N14" s="130">
        <f t="shared" si="5"/>
        <v>0.75929425300665865</v>
      </c>
      <c r="O14" s="131">
        <f t="shared" si="6"/>
        <v>1.0056854074542008</v>
      </c>
      <c r="P14" s="132"/>
      <c r="Q14" s="132"/>
      <c r="R14" s="133">
        <v>158.30000000000001</v>
      </c>
      <c r="S14" s="134">
        <v>28.61</v>
      </c>
      <c r="T14" s="133">
        <v>159.19999999999999</v>
      </c>
      <c r="U14" s="135">
        <v>122.7</v>
      </c>
      <c r="V14" s="136">
        <f>(R14/B14)*0.991787606021159</f>
        <v>5.0645154204241765</v>
      </c>
      <c r="W14" s="134">
        <f>(T14/B14)*0.991787606021159</f>
        <v>5.0933092541473703</v>
      </c>
      <c r="X14" s="137"/>
      <c r="Y14" s="137"/>
      <c r="AB14" s="104">
        <v>3864.8840335790906</v>
      </c>
      <c r="AC14" s="297">
        <f t="shared" si="10"/>
        <v>0</v>
      </c>
      <c r="AD14" s="104">
        <v>0.99178760602115934</v>
      </c>
    </row>
    <row r="15" spans="1:256" ht="18.75" x14ac:dyDescent="0.25">
      <c r="A15" s="125" t="s">
        <v>182</v>
      </c>
      <c r="B15" s="126">
        <v>30</v>
      </c>
      <c r="C15" s="127">
        <f t="shared" si="7"/>
        <v>5.6257296558473016</v>
      </c>
      <c r="D15" s="127">
        <f t="shared" si="7"/>
        <v>5.7777764033026342</v>
      </c>
      <c r="E15" s="128">
        <f t="shared" si="0"/>
        <v>30695.498959181536</v>
      </c>
      <c r="F15" s="128">
        <f t="shared" si="1"/>
        <v>5792.240653597556</v>
      </c>
      <c r="G15" s="128">
        <v>29.11</v>
      </c>
      <c r="H15" s="129">
        <f t="shared" si="8"/>
        <v>-9.4029000000000001E-2</v>
      </c>
      <c r="I15" s="129">
        <v>-0.151</v>
      </c>
      <c r="J15" s="129">
        <f t="shared" si="2"/>
        <v>-0.245029</v>
      </c>
      <c r="K15" s="291">
        <f t="shared" si="9"/>
        <v>4372.973718487201</v>
      </c>
      <c r="L15" s="128">
        <f t="shared" si="3"/>
        <v>131189.21155461602</v>
      </c>
      <c r="M15" s="130">
        <f t="shared" si="4"/>
        <v>0.18232210119405229</v>
      </c>
      <c r="N15" s="130">
        <f t="shared" si="5"/>
        <v>0.75733813896917923</v>
      </c>
      <c r="O15" s="131">
        <f t="shared" si="6"/>
        <v>1.027027027027027</v>
      </c>
      <c r="P15" s="132"/>
      <c r="Q15" s="132"/>
      <c r="R15" s="133">
        <v>170.2</v>
      </c>
      <c r="S15" s="134">
        <v>29.11</v>
      </c>
      <c r="T15" s="133">
        <v>174.8</v>
      </c>
      <c r="U15" s="135">
        <v>133.5</v>
      </c>
      <c r="V15" s="136">
        <f>(R15/B15)*0.991609222534777</f>
        <v>5.6257296558473016</v>
      </c>
      <c r="W15" s="134">
        <f>(T15/B15)*0.991609222534777</f>
        <v>5.7777764033026342</v>
      </c>
      <c r="X15" s="137"/>
      <c r="Y15" s="137"/>
      <c r="Z15" s="104">
        <v>491</v>
      </c>
      <c r="AB15" s="104">
        <v>4372.9737184872029</v>
      </c>
      <c r="AC15" s="297">
        <f t="shared" si="10"/>
        <v>0</v>
      </c>
      <c r="AD15" s="104">
        <v>0.99160922253477735</v>
      </c>
    </row>
    <row r="16" spans="1:256" ht="18.75" x14ac:dyDescent="0.25">
      <c r="A16" s="125" t="s">
        <v>183</v>
      </c>
      <c r="B16" s="126">
        <v>31</v>
      </c>
      <c r="C16" s="127">
        <f t="shared" si="7"/>
        <v>5.2637430444514424</v>
      </c>
      <c r="D16" s="127">
        <f t="shared" si="7"/>
        <v>5.5579498245787411</v>
      </c>
      <c r="E16" s="128">
        <f t="shared" si="0"/>
        <v>29527.629860861522</v>
      </c>
      <c r="F16" s="128">
        <f t="shared" si="1"/>
        <v>5571.8637547445696</v>
      </c>
      <c r="G16" s="128">
        <v>27.56</v>
      </c>
      <c r="H16" s="129">
        <f t="shared" si="8"/>
        <v>-8.7984000000000021E-2</v>
      </c>
      <c r="I16" s="129">
        <v>-0.151</v>
      </c>
      <c r="J16" s="129">
        <f t="shared" si="2"/>
        <v>-0.23898400000000003</v>
      </c>
      <c r="K16" s="291">
        <f t="shared" si="9"/>
        <v>4240.2774671806928</v>
      </c>
      <c r="L16" s="128">
        <f t="shared" si="3"/>
        <v>131448.60148260149</v>
      </c>
      <c r="M16" s="130">
        <f t="shared" si="4"/>
        <v>0.17678960525050336</v>
      </c>
      <c r="N16" s="130">
        <f t="shared" si="5"/>
        <v>0.76340209248536539</v>
      </c>
      <c r="O16" s="131">
        <f t="shared" si="6"/>
        <v>1.0558930741190766</v>
      </c>
      <c r="P16" s="132"/>
      <c r="Q16" s="132"/>
      <c r="R16" s="133">
        <v>164.6</v>
      </c>
      <c r="S16" s="134">
        <v>27.56</v>
      </c>
      <c r="T16" s="133">
        <v>173.8</v>
      </c>
      <c r="U16" s="135">
        <v>133.1</v>
      </c>
      <c r="V16" s="136">
        <f>(R16/B16)*0.991348933037635</f>
        <v>5.2637430444514424</v>
      </c>
      <c r="W16" s="134">
        <f>(T16/B16)*0.991348933037635</f>
        <v>5.5579498245787411</v>
      </c>
      <c r="X16" s="137"/>
      <c r="Y16" s="137"/>
      <c r="Z16" s="104">
        <f>+Z15/1998.8/24</f>
        <v>1.0235307851377494E-2</v>
      </c>
      <c r="AB16" s="104">
        <v>4240.2774671806919</v>
      </c>
      <c r="AC16" s="297">
        <f t="shared" si="10"/>
        <v>0</v>
      </c>
      <c r="AD16" s="104">
        <v>0.99134893303763494</v>
      </c>
    </row>
    <row r="17" spans="1:256" ht="18.75" x14ac:dyDescent="0.25">
      <c r="A17" s="125" t="s">
        <v>184</v>
      </c>
      <c r="B17" s="126">
        <v>30</v>
      </c>
      <c r="C17" s="127">
        <f t="shared" si="7"/>
        <v>4.1592073220246126</v>
      </c>
      <c r="D17" s="127">
        <f t="shared" si="7"/>
        <v>4.4852259482165655</v>
      </c>
      <c r="E17" s="128">
        <f t="shared" si="0"/>
        <v>23828.587126784361</v>
      </c>
      <c r="F17" s="128">
        <f t="shared" si="1"/>
        <v>4496.4543908242094</v>
      </c>
      <c r="G17" s="128">
        <v>21.89</v>
      </c>
      <c r="H17" s="129">
        <f t="shared" si="8"/>
        <v>-6.5871000000000013E-2</v>
      </c>
      <c r="I17" s="129">
        <v>-0.151</v>
      </c>
      <c r="J17" s="129">
        <f t="shared" si="2"/>
        <v>-0.21687100000000001</v>
      </c>
      <c r="K17" s="291">
        <f t="shared" si="9"/>
        <v>3521.3038306317721</v>
      </c>
      <c r="L17" s="128">
        <f t="shared" si="3"/>
        <v>105639.11491895316</v>
      </c>
      <c r="M17" s="130">
        <f t="shared" si="4"/>
        <v>0.14681348543881695</v>
      </c>
      <c r="N17" s="130">
        <f t="shared" si="5"/>
        <v>0.78558442567038245</v>
      </c>
      <c r="O17" s="131">
        <f t="shared" si="6"/>
        <v>1.0783847980997625</v>
      </c>
      <c r="P17" s="166">
        <f>78.6-77.4</f>
        <v>1.1999999999999886</v>
      </c>
      <c r="Q17" s="131">
        <f>78.6-73.4</f>
        <v>5.1999999999999886</v>
      </c>
      <c r="R17" s="133">
        <v>126.3</v>
      </c>
      <c r="S17" s="134">
        <v>21.89</v>
      </c>
      <c r="T17" s="133">
        <v>136.19999999999999</v>
      </c>
      <c r="U17" s="135">
        <v>107.6</v>
      </c>
      <c r="V17" s="136">
        <f>(R17/B17)*0.987935230884706</f>
        <v>4.1592073220246126</v>
      </c>
      <c r="W17" s="134">
        <f>(T17/B17)*0.987935230884706</f>
        <v>4.4852259482165655</v>
      </c>
      <c r="X17" s="137"/>
      <c r="Y17" s="137"/>
      <c r="AB17" s="104">
        <v>3521.3038306317726</v>
      </c>
      <c r="AC17" s="297">
        <f t="shared" si="10"/>
        <v>0</v>
      </c>
      <c r="AD17" s="104">
        <v>0.98793523088470625</v>
      </c>
    </row>
    <row r="18" spans="1:256" ht="18.75" x14ac:dyDescent="0.25">
      <c r="A18" s="125" t="s">
        <v>185</v>
      </c>
      <c r="B18" s="126">
        <v>31</v>
      </c>
      <c r="C18" s="127">
        <f t="shared" si="7"/>
        <v>3.9276480674809853</v>
      </c>
      <c r="D18" s="207">
        <f t="shared" si="7"/>
        <v>4.3178748140885466</v>
      </c>
      <c r="E18" s="128">
        <f t="shared" si="0"/>
        <v>22939.503471607237</v>
      </c>
      <c r="F18" s="128">
        <f t="shared" si="1"/>
        <v>4328.6843050922862</v>
      </c>
      <c r="G18" s="128">
        <v>17.920000000000002</v>
      </c>
      <c r="H18" s="129">
        <f t="shared" si="8"/>
        <v>-5.0388000000000009E-2</v>
      </c>
      <c r="I18" s="129">
        <v>-0.151</v>
      </c>
      <c r="J18" s="129">
        <f t="shared" si="2"/>
        <v>-0.20138800000000001</v>
      </c>
      <c r="K18" s="291">
        <f t="shared" si="9"/>
        <v>3456.939230258361</v>
      </c>
      <c r="L18" s="128">
        <f t="shared" si="3"/>
        <v>107165.11613800919</v>
      </c>
      <c r="M18" s="199">
        <f t="shared" si="4"/>
        <v>0.14412993645406444</v>
      </c>
      <c r="N18" s="130">
        <f t="shared" si="5"/>
        <v>0.80111597112796951</v>
      </c>
      <c r="O18" s="131">
        <f t="shared" si="6"/>
        <v>1.0993537964458804</v>
      </c>
      <c r="P18" s="132"/>
      <c r="Q18" s="132"/>
      <c r="R18" s="133">
        <v>123.8</v>
      </c>
      <c r="S18" s="134">
        <v>17.920000000000002</v>
      </c>
      <c r="T18" s="133">
        <v>136.1</v>
      </c>
      <c r="U18" s="135">
        <v>109.7</v>
      </c>
      <c r="V18" s="136">
        <f>(R18/B18)*0.983498304458082</f>
        <v>3.9276480674809853</v>
      </c>
      <c r="W18" s="134">
        <f>(T18/B18)*0.983498304458082</f>
        <v>4.3178748140885466</v>
      </c>
      <c r="X18" s="137"/>
      <c r="Y18" s="137"/>
      <c r="AB18" s="104">
        <v>3456.9392302583601</v>
      </c>
      <c r="AC18" s="297">
        <f t="shared" si="10"/>
        <v>0</v>
      </c>
      <c r="AD18" s="104">
        <v>0.98349830445808184</v>
      </c>
    </row>
    <row r="19" spans="1:256" ht="30" x14ac:dyDescent="0.25">
      <c r="A19" s="140" t="s">
        <v>186</v>
      </c>
      <c r="B19" s="140"/>
      <c r="C19" s="141">
        <f>AVERAGE(C7:C18)</f>
        <v>5.42404816174892</v>
      </c>
      <c r="D19" s="141">
        <f t="shared" ref="D19:I19" si="11">AVERAGE(D7:D18)</f>
        <v>5.5927761303758095</v>
      </c>
      <c r="E19" s="142">
        <f t="shared" si="11"/>
        <v>29712.65101064762</v>
      </c>
      <c r="F19" s="142">
        <f t="shared" si="11"/>
        <v>5606.7772457092069</v>
      </c>
      <c r="G19" s="141">
        <f t="shared" si="11"/>
        <v>26.110711111111115</v>
      </c>
      <c r="H19" s="143">
        <f t="shared" si="11"/>
        <v>-8.2331773333333344E-2</v>
      </c>
      <c r="I19" s="144">
        <f t="shared" si="11"/>
        <v>-0.151</v>
      </c>
      <c r="J19" s="143">
        <f>SUM(H19:I19)</f>
        <v>-0.23333177333333333</v>
      </c>
      <c r="K19" s="142">
        <f>AVERAGE(K7:K18)</f>
        <v>4284.3512645903638</v>
      </c>
      <c r="L19" s="142">
        <f>SUM(L7:L18)</f>
        <v>1562718.9350569986</v>
      </c>
      <c r="M19" s="143">
        <f>AVERAGE(M7:M18)</f>
        <v>0.17862717114241822</v>
      </c>
      <c r="N19" s="143">
        <f t="shared" si="5"/>
        <v>0.76653382997648545</v>
      </c>
      <c r="O19" s="145"/>
      <c r="P19" s="145"/>
      <c r="Q19" s="145"/>
      <c r="R19" s="147">
        <f>SUM(R7:R18)</f>
        <v>1995.1</v>
      </c>
      <c r="S19" s="146">
        <f>AVERAGE(S7:S18)</f>
        <v>26.045833333333334</v>
      </c>
      <c r="T19" s="147">
        <f>SUM(T7:T18)</f>
        <v>2063.5</v>
      </c>
      <c r="U19" s="147">
        <f>SUM(U7:U18)</f>
        <v>1590</v>
      </c>
      <c r="V19" s="146">
        <f>AVERAGE(V7:V18)</f>
        <v>5.42404816174892</v>
      </c>
      <c r="W19" s="146">
        <f>AVERAGE(W7:W18)</f>
        <v>5.6104704986618978</v>
      </c>
      <c r="X19" s="137"/>
      <c r="Y19" s="137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  <c r="CE19" s="148"/>
      <c r="CF19" s="148"/>
      <c r="CG19" s="148"/>
      <c r="CH19" s="148"/>
      <c r="CI19" s="148"/>
      <c r="CJ19" s="148"/>
      <c r="CK19" s="148"/>
      <c r="CL19" s="148"/>
      <c r="CM19" s="148"/>
      <c r="CN19" s="148"/>
      <c r="CO19" s="148"/>
      <c r="CP19" s="148"/>
      <c r="CQ19" s="148"/>
      <c r="CR19" s="148"/>
      <c r="CS19" s="148"/>
      <c r="CT19" s="148"/>
      <c r="CU19" s="148"/>
      <c r="CV19" s="148"/>
      <c r="CW19" s="148"/>
      <c r="CX19" s="148"/>
      <c r="CY19" s="148"/>
      <c r="CZ19" s="148"/>
      <c r="DA19" s="148"/>
      <c r="DB19" s="148"/>
      <c r="DC19" s="148"/>
      <c r="DD19" s="148"/>
      <c r="DE19" s="148"/>
      <c r="DF19" s="148"/>
      <c r="DG19" s="148"/>
      <c r="DH19" s="148"/>
      <c r="DI19" s="148"/>
      <c r="DJ19" s="148"/>
      <c r="DK19" s="148"/>
      <c r="DL19" s="148"/>
      <c r="DM19" s="148"/>
      <c r="DN19" s="148"/>
      <c r="DO19" s="148"/>
      <c r="DP19" s="148"/>
      <c r="DQ19" s="148"/>
      <c r="DR19" s="148"/>
      <c r="DS19" s="148"/>
      <c r="DT19" s="148"/>
      <c r="DU19" s="148"/>
      <c r="DV19" s="148"/>
      <c r="DW19" s="148"/>
      <c r="DX19" s="148"/>
      <c r="DY19" s="148"/>
      <c r="DZ19" s="148"/>
      <c r="EA19" s="148"/>
      <c r="EB19" s="148"/>
      <c r="EC19" s="148"/>
      <c r="ED19" s="148"/>
      <c r="EE19" s="148"/>
      <c r="EF19" s="148"/>
      <c r="EG19" s="148"/>
      <c r="EH19" s="148"/>
      <c r="EI19" s="148"/>
      <c r="EJ19" s="148"/>
      <c r="EK19" s="148"/>
      <c r="EL19" s="148"/>
      <c r="EM19" s="148"/>
      <c r="EN19" s="148"/>
      <c r="EO19" s="148"/>
      <c r="EP19" s="148"/>
      <c r="EQ19" s="148"/>
      <c r="ER19" s="148"/>
      <c r="ES19" s="148"/>
      <c r="ET19" s="148"/>
      <c r="EU19" s="148"/>
      <c r="EV19" s="148"/>
      <c r="EW19" s="148"/>
      <c r="EX19" s="148"/>
      <c r="EY19" s="148"/>
      <c r="EZ19" s="148"/>
      <c r="FA19" s="148"/>
      <c r="FB19" s="148"/>
      <c r="FC19" s="148"/>
      <c r="FD19" s="148"/>
      <c r="FE19" s="148"/>
      <c r="FF19" s="148"/>
      <c r="FG19" s="148"/>
      <c r="FH19" s="148"/>
      <c r="FI19" s="148"/>
      <c r="FJ19" s="148"/>
      <c r="FK19" s="148"/>
      <c r="FL19" s="148"/>
      <c r="FM19" s="148"/>
      <c r="FN19" s="148"/>
      <c r="FO19" s="148"/>
      <c r="FP19" s="148"/>
      <c r="FQ19" s="148"/>
      <c r="FR19" s="148"/>
      <c r="FS19" s="148"/>
      <c r="FT19" s="148"/>
      <c r="FU19" s="148"/>
      <c r="FV19" s="148"/>
      <c r="FW19" s="148"/>
      <c r="FX19" s="148"/>
      <c r="FY19" s="148"/>
      <c r="FZ19" s="148"/>
      <c r="GA19" s="148"/>
      <c r="GB19" s="148"/>
      <c r="GC19" s="148"/>
      <c r="GD19" s="148"/>
      <c r="GE19" s="148"/>
      <c r="GF19" s="148"/>
      <c r="GG19" s="148"/>
      <c r="GH19" s="148"/>
      <c r="GI19" s="148"/>
      <c r="GJ19" s="148"/>
      <c r="GK19" s="148"/>
      <c r="GL19" s="148"/>
      <c r="GM19" s="148"/>
      <c r="GN19" s="148"/>
      <c r="GO19" s="148"/>
      <c r="GP19" s="148"/>
      <c r="GQ19" s="148"/>
      <c r="GR19" s="148"/>
      <c r="GS19" s="148"/>
      <c r="GT19" s="148"/>
      <c r="GU19" s="148"/>
      <c r="GV19" s="148"/>
      <c r="GW19" s="148"/>
      <c r="GX19" s="148"/>
      <c r="GY19" s="148"/>
      <c r="GZ19" s="148"/>
      <c r="HA19" s="148"/>
      <c r="HB19" s="148"/>
      <c r="HC19" s="148"/>
      <c r="HD19" s="148"/>
      <c r="HE19" s="148"/>
      <c r="HF19" s="148"/>
      <c r="HG19" s="148"/>
      <c r="HH19" s="148"/>
      <c r="HI19" s="148"/>
      <c r="HJ19" s="148"/>
      <c r="HK19" s="148"/>
      <c r="HL19" s="148"/>
      <c r="HM19" s="148"/>
      <c r="HN19" s="148"/>
      <c r="HO19" s="148"/>
      <c r="HP19" s="148"/>
      <c r="HQ19" s="148"/>
      <c r="HR19" s="148"/>
      <c r="HS19" s="148"/>
      <c r="HT19" s="148"/>
      <c r="HU19" s="148"/>
      <c r="HV19" s="148"/>
      <c r="HW19" s="148"/>
      <c r="HX19" s="148"/>
      <c r="HY19" s="148"/>
      <c r="HZ19" s="148"/>
      <c r="IA19" s="148"/>
      <c r="IB19" s="148"/>
      <c r="IC19" s="148"/>
      <c r="ID19" s="148"/>
      <c r="IE19" s="148"/>
      <c r="IF19" s="148"/>
      <c r="IG19" s="148"/>
      <c r="IH19" s="148"/>
      <c r="II19" s="148"/>
      <c r="IJ19" s="148"/>
      <c r="IK19" s="148"/>
      <c r="IL19" s="148"/>
      <c r="IM19" s="148"/>
      <c r="IN19" s="148"/>
      <c r="IO19" s="148"/>
      <c r="IP19" s="148"/>
      <c r="IQ19" s="148"/>
      <c r="IR19" s="148"/>
      <c r="IS19" s="148"/>
      <c r="IT19" s="148"/>
      <c r="IU19" s="148"/>
      <c r="IV19" s="148"/>
    </row>
    <row r="20" spans="1:256" ht="18.75" x14ac:dyDescent="0.25">
      <c r="A20" s="149" t="s">
        <v>187</v>
      </c>
      <c r="B20" s="150"/>
      <c r="C20" s="276"/>
      <c r="D20" s="275">
        <f>+AVERAGE(D10:D12)</f>
        <v>6.6656704177227004</v>
      </c>
      <c r="E20" s="276"/>
      <c r="F20" s="276"/>
      <c r="G20" s="275">
        <f>+AVERAGE(G10:G12)</f>
        <v>32.359511111111111</v>
      </c>
      <c r="H20" s="276"/>
      <c r="I20" s="132">
        <f>AVERAGE(C10:C18)</f>
        <v>5.5073915986927711</v>
      </c>
      <c r="J20" s="829"/>
      <c r="K20" s="829"/>
      <c r="L20" s="132">
        <f>+L10+L11+L12+L13+L14+L15+L16+L17+L18</f>
        <v>1172354.1464921406</v>
      </c>
      <c r="M20" s="151"/>
      <c r="N20" s="151"/>
      <c r="O20" s="151"/>
      <c r="P20" s="151"/>
      <c r="Q20" s="153"/>
      <c r="X20" s="104"/>
    </row>
    <row r="21" spans="1:256" ht="18.75" x14ac:dyDescent="0.25">
      <c r="A21" s="157">
        <v>1</v>
      </c>
      <c r="B21" s="825" t="s">
        <v>199</v>
      </c>
      <c r="C21" s="825"/>
      <c r="D21" s="825"/>
      <c r="E21" s="825"/>
      <c r="F21" s="825"/>
      <c r="G21" s="825"/>
      <c r="H21" s="825"/>
      <c r="I21" s="825"/>
      <c r="J21" s="825"/>
      <c r="K21" s="825"/>
      <c r="L21" s="158"/>
      <c r="M21" s="158"/>
      <c r="N21" s="210">
        <v>0.8011159711279694</v>
      </c>
      <c r="O21" s="210">
        <f>+N18</f>
        <v>0.80111597112796951</v>
      </c>
      <c r="P21" s="158">
        <f>78.6-77.4</f>
        <v>1.1999999999999886</v>
      </c>
    </row>
    <row r="22" spans="1:256" ht="18.75" x14ac:dyDescent="0.25">
      <c r="A22" s="157">
        <v>2</v>
      </c>
      <c r="B22" s="825" t="s">
        <v>200</v>
      </c>
      <c r="C22" s="825"/>
      <c r="D22" s="825"/>
      <c r="E22" s="825"/>
      <c r="F22" s="825"/>
      <c r="G22" s="825"/>
      <c r="H22" s="825"/>
      <c r="I22" s="825"/>
      <c r="J22" s="825"/>
      <c r="K22" s="825"/>
      <c r="L22" s="158"/>
      <c r="M22" s="158"/>
      <c r="N22" s="158"/>
      <c r="O22" s="210">
        <f>+N21-O21</f>
        <v>0</v>
      </c>
      <c r="P22" s="158"/>
    </row>
    <row r="23" spans="1:256" x14ac:dyDescent="0.25">
      <c r="H23" s="154">
        <f>+G26-G27</f>
        <v>4.2404888888888905</v>
      </c>
      <c r="I23" s="238">
        <f>7*0.39%</f>
        <v>2.7300000000000001E-2</v>
      </c>
    </row>
    <row r="24" spans="1:256" ht="15.75" thickBot="1" x14ac:dyDescent="0.3">
      <c r="C24" s="826"/>
      <c r="D24" s="826"/>
      <c r="E24" s="826"/>
      <c r="F24" s="826"/>
      <c r="G24" s="826"/>
      <c r="H24" s="826"/>
      <c r="I24" s="826"/>
      <c r="J24" s="826"/>
      <c r="K24" s="826"/>
      <c r="L24" s="162"/>
      <c r="M24" s="162"/>
      <c r="N24" s="162"/>
    </row>
    <row r="25" spans="1:256" ht="19.5" thickBot="1" x14ac:dyDescent="0.3">
      <c r="A25" s="170" t="s">
        <v>51</v>
      </c>
      <c r="B25" s="126">
        <v>31</v>
      </c>
      <c r="C25" s="290">
        <f>C11</f>
        <v>7.0247324196104399</v>
      </c>
      <c r="D25" s="215">
        <f>D12</f>
        <v>6.1996879392769886</v>
      </c>
      <c r="E25" s="291">
        <f>D25*$P$3</f>
        <v>32936.981531259727</v>
      </c>
      <c r="F25" s="291">
        <f>E25*$P$5</f>
        <v>6215.2084149487109</v>
      </c>
      <c r="G25" s="291">
        <f>G12</f>
        <v>32.49</v>
      </c>
      <c r="H25" s="129">
        <f>(25-(G25+20))*0.39%</f>
        <v>-0.10721100000000001</v>
      </c>
      <c r="I25" s="129">
        <v>-0.151</v>
      </c>
      <c r="J25" s="129">
        <f>SUM(H25:I25)</f>
        <v>-0.25821100000000002</v>
      </c>
      <c r="K25" s="291">
        <f>F25*(1+J25)</f>
        <v>4610.3732349163893</v>
      </c>
      <c r="L25" s="291">
        <f>K25*B25</f>
        <v>142921.57028240807</v>
      </c>
      <c r="M25" s="130">
        <f>K25/($P$4*24)</f>
        <v>0.19221998337771085</v>
      </c>
      <c r="N25" s="130">
        <f>K25/(D25*$P$4)</f>
        <v>0.74411480807581798</v>
      </c>
    </row>
    <row r="26" spans="1:256" ht="19.5" thickBot="1" x14ac:dyDescent="0.3">
      <c r="A26" s="170" t="s">
        <v>51</v>
      </c>
      <c r="B26" s="126">
        <v>31</v>
      </c>
      <c r="C26" s="127">
        <f>C11</f>
        <v>7.0247324196104399</v>
      </c>
      <c r="D26" s="215">
        <f>D12</f>
        <v>6.1996879392769886</v>
      </c>
      <c r="E26" s="128">
        <f>D26*$P$3</f>
        <v>32936.981531259727</v>
      </c>
      <c r="F26" s="128">
        <f>E26*$P$5</f>
        <v>6215.2084149487109</v>
      </c>
      <c r="G26" s="142">
        <f>HLOOKUP('Exception Report F1'!AM3,'Solar Report_Base'!B3:AI38,28,0)</f>
        <v>36.6</v>
      </c>
      <c r="H26" s="129">
        <f>(25-(G26+20))*0.39%</f>
        <v>-0.12324000000000002</v>
      </c>
      <c r="I26" s="129">
        <v>-0.151</v>
      </c>
      <c r="J26" s="129">
        <f>SUM(H26:I26)</f>
        <v>-0.27424000000000004</v>
      </c>
      <c r="K26" s="128">
        <f>F26*(1+J26)</f>
        <v>4510.7496592331763</v>
      </c>
      <c r="L26" s="128">
        <f>K26*B26</f>
        <v>139833.23943622847</v>
      </c>
      <c r="M26" s="130">
        <f>K26/($P$4*24)</f>
        <v>0.18806638429015179</v>
      </c>
      <c r="N26" s="130">
        <f>K26/(D26*$P$4)</f>
        <v>0.72803555068773695</v>
      </c>
      <c r="O26" s="131">
        <f>D26/C26</f>
        <v>0.88255147227668995</v>
      </c>
      <c r="P26" s="132"/>
      <c r="Q26" s="132"/>
      <c r="R26" s="133">
        <v>126.3</v>
      </c>
      <c r="S26" s="134">
        <v>21.89</v>
      </c>
      <c r="T26" s="133">
        <v>136.19999999999999</v>
      </c>
      <c r="U26" s="135">
        <v>107.6</v>
      </c>
      <c r="V26" s="136">
        <f>R26/B26</f>
        <v>4.0741935483870968</v>
      </c>
      <c r="W26" s="134">
        <f>T26/B26</f>
        <v>4.3935483870967742</v>
      </c>
    </row>
    <row r="27" spans="1:256" ht="18.75" x14ac:dyDescent="0.25">
      <c r="A27" s="170" t="s">
        <v>51</v>
      </c>
      <c r="B27" s="126">
        <v>31</v>
      </c>
      <c r="C27" s="127">
        <f>C11</f>
        <v>7.0247324196104399</v>
      </c>
      <c r="D27" s="215">
        <f>'Exception Report F1'!AH10</f>
        <v>7.17</v>
      </c>
      <c r="E27" s="128">
        <f>D27*$P$3</f>
        <v>38091.942673919999</v>
      </c>
      <c r="F27" s="128">
        <f>E27*$P$5</f>
        <v>7187.9495825687045</v>
      </c>
      <c r="G27" s="128">
        <f>G20</f>
        <v>32.359511111111111</v>
      </c>
      <c r="H27" s="129">
        <f>(25-(G27+20))*0.39%</f>
        <v>-0.10670209333333334</v>
      </c>
      <c r="I27" s="129">
        <v>-0.151</v>
      </c>
      <c r="J27" s="129">
        <f>SUM(H27:I27)</f>
        <v>-0.25770209333333333</v>
      </c>
      <c r="K27" s="128">
        <f>F27*(1+J27)</f>
        <v>5335.5999283662895</v>
      </c>
      <c r="L27" s="128">
        <f>K27*B27</f>
        <v>165403.59777935498</v>
      </c>
      <c r="M27" s="130">
        <f>K27/($P$4*24)</f>
        <v>0.22245681147315682</v>
      </c>
      <c r="N27" s="130">
        <f>K27/(D27*$P$4)</f>
        <v>0.74462531037039936</v>
      </c>
      <c r="O27" s="131">
        <f>D27/C27</f>
        <v>1.0206794468048388</v>
      </c>
      <c r="P27" s="132"/>
      <c r="Q27" s="132"/>
      <c r="R27" s="133">
        <v>126.3</v>
      </c>
      <c r="S27" s="134">
        <v>21.89</v>
      </c>
      <c r="T27" s="133">
        <v>136.19999999999999</v>
      </c>
      <c r="U27" s="135">
        <v>107.6</v>
      </c>
      <c r="V27" s="136">
        <f>R27/B27</f>
        <v>4.0741935483870968</v>
      </c>
      <c r="W27" s="134">
        <f>T27/B27</f>
        <v>4.3935483870967742</v>
      </c>
    </row>
    <row r="28" spans="1:256" ht="18.75" x14ac:dyDescent="0.25">
      <c r="C28" s="826"/>
      <c r="D28" s="826"/>
      <c r="E28" s="826"/>
      <c r="F28" s="826"/>
      <c r="G28" s="826"/>
      <c r="H28" s="826"/>
      <c r="I28" s="826"/>
      <c r="J28" s="826"/>
      <c r="K28" s="826"/>
      <c r="L28" s="162"/>
      <c r="M28" s="171" t="s">
        <v>216</v>
      </c>
      <c r="N28" s="171" t="s">
        <v>217</v>
      </c>
    </row>
    <row r="29" spans="1:256" ht="18.75" customHeight="1" x14ac:dyDescent="0.25">
      <c r="C29" s="831" t="s">
        <v>214</v>
      </c>
      <c r="D29" s="831"/>
      <c r="E29" s="831"/>
      <c r="F29" s="831"/>
      <c r="G29" s="831"/>
      <c r="H29" s="831"/>
      <c r="I29" s="831"/>
      <c r="J29" s="831"/>
      <c r="K29" s="831"/>
      <c r="L29" s="831"/>
      <c r="M29" s="169">
        <f>M12-M26</f>
        <v>4.1535990875590512E-3</v>
      </c>
      <c r="N29" s="169">
        <f>N12-N26</f>
        <v>1.6079257388081025E-2</v>
      </c>
      <c r="O29" s="174">
        <f>+M29+M30</f>
        <v>-2.6083229007886927E-2</v>
      </c>
    </row>
    <row r="30" spans="1:256" ht="18.75" customHeight="1" x14ac:dyDescent="0.25">
      <c r="C30" s="831" t="s">
        <v>215</v>
      </c>
      <c r="D30" s="831"/>
      <c r="E30" s="831"/>
      <c r="F30" s="831"/>
      <c r="G30" s="831"/>
      <c r="H30" s="831"/>
      <c r="I30" s="831"/>
      <c r="J30" s="831"/>
      <c r="K30" s="831"/>
      <c r="L30" s="831"/>
      <c r="M30" s="169">
        <f>+M12-M27</f>
        <v>-3.0236828095445978E-2</v>
      </c>
      <c r="N30" s="174">
        <f>N12-N27</f>
        <v>-5.1050229458138308E-4</v>
      </c>
    </row>
    <row r="31" spans="1:256" x14ac:dyDescent="0.25">
      <c r="C31" s="826"/>
      <c r="D31" s="826"/>
      <c r="E31" s="826"/>
      <c r="F31" s="826"/>
      <c r="G31" s="826"/>
      <c r="H31" s="826"/>
      <c r="I31" s="826"/>
      <c r="J31" s="826"/>
      <c r="K31" s="826"/>
      <c r="L31" s="162"/>
      <c r="M31" s="162"/>
      <c r="N31" s="162"/>
    </row>
    <row r="32" spans="1:256" ht="18.75" x14ac:dyDescent="0.25">
      <c r="A32" s="125" t="s">
        <v>90</v>
      </c>
      <c r="B32" s="126">
        <v>28</v>
      </c>
      <c r="C32" s="127">
        <f>C26</f>
        <v>7.0247324196104399</v>
      </c>
      <c r="D32" s="127">
        <f>D26</f>
        <v>6.1996879392769886</v>
      </c>
      <c r="E32" s="128">
        <f>D32*$P$3</f>
        <v>32936.981531259727</v>
      </c>
      <c r="F32" s="128">
        <f>E32*$P$5</f>
        <v>6215.2084149487109</v>
      </c>
      <c r="G32" s="142">
        <f>+'Solar Report_Base'!AI30</f>
        <v>34.282142857142865</v>
      </c>
      <c r="H32" s="129">
        <f>(25-(G32+20))*0.39%</f>
        <v>-0.11420035714285719</v>
      </c>
      <c r="I32" s="129">
        <v>-0.151</v>
      </c>
      <c r="J32" s="129">
        <f>SUM(H32:I32)</f>
        <v>-0.26520035714285717</v>
      </c>
      <c r="K32" s="128">
        <f>F32*(1+J32)</f>
        <v>4566.9329235870218</v>
      </c>
      <c r="L32" s="128">
        <f>K32*B32</f>
        <v>127874.12186043661</v>
      </c>
      <c r="M32" s="130">
        <f>K32/($P$4*24)</f>
        <v>0.19040882937863443</v>
      </c>
      <c r="N32" s="130">
        <f>K32/(D32*$P$4)</f>
        <v>0.73710353647576665</v>
      </c>
      <c r="O32" s="131">
        <f>D32/C32</f>
        <v>0.88255147227668995</v>
      </c>
      <c r="P32" s="132"/>
      <c r="Q32" s="132"/>
      <c r="R32" s="133">
        <v>126.3</v>
      </c>
      <c r="S32" s="134">
        <v>21.89</v>
      </c>
      <c r="T32" s="133">
        <v>136.19999999999999</v>
      </c>
      <c r="U32" s="135">
        <v>107.6</v>
      </c>
      <c r="V32" s="136">
        <f>R32/B32</f>
        <v>4.5107142857142852</v>
      </c>
      <c r="W32" s="134">
        <f>T32/B32</f>
        <v>4.8642857142857139</v>
      </c>
      <c r="X32" s="137"/>
      <c r="Y32" s="137"/>
    </row>
    <row r="33" spans="1:25" ht="18.75" x14ac:dyDescent="0.25">
      <c r="A33" s="125" t="s">
        <v>90</v>
      </c>
      <c r="B33" s="126">
        <v>28</v>
      </c>
      <c r="C33" s="127">
        <f>+C32</f>
        <v>7.0247324196104399</v>
      </c>
      <c r="D33" s="215">
        <f>'Solar Report_Base'!AI23</f>
        <v>7.0217953445717018</v>
      </c>
      <c r="E33" s="128">
        <f>D33*$P$3</f>
        <v>37304.578205498408</v>
      </c>
      <c r="F33" s="128">
        <f>E33*$P$5</f>
        <v>7039.3739073775496</v>
      </c>
      <c r="G33" s="128">
        <f>G27</f>
        <v>32.359511111111111</v>
      </c>
      <c r="H33" s="129">
        <f>(25-(G33+20))*0.39%</f>
        <v>-0.10670209333333334</v>
      </c>
      <c r="I33" s="129">
        <v>-0.151</v>
      </c>
      <c r="J33" s="129">
        <f>SUM(H33:I33)</f>
        <v>-0.25770209333333333</v>
      </c>
      <c r="K33" s="128">
        <f>F33*(1+J33)</f>
        <v>5225.3125156903088</v>
      </c>
      <c r="L33" s="128">
        <f>K33*B33</f>
        <v>146308.75043932864</v>
      </c>
      <c r="M33" s="130">
        <f>K33/($P$4*24)</f>
        <v>0.21785860574204702</v>
      </c>
      <c r="N33" s="130">
        <f>K33/(D33*$P$4)</f>
        <v>0.74462531037039936</v>
      </c>
      <c r="O33" s="131">
        <f>D33/C33</f>
        <v>0.99958189510100925</v>
      </c>
      <c r="P33" s="132"/>
      <c r="Q33" s="132"/>
      <c r="R33" s="133">
        <v>126.3</v>
      </c>
      <c r="S33" s="134">
        <v>21.89</v>
      </c>
      <c r="T33" s="133">
        <v>136.19999999999999</v>
      </c>
      <c r="U33" s="135">
        <v>107.6</v>
      </c>
      <c r="V33" s="136">
        <f>R33/B33</f>
        <v>4.5107142857142852</v>
      </c>
      <c r="W33" s="134">
        <f>T33/B33</f>
        <v>4.8642857142857139</v>
      </c>
      <c r="X33" s="137"/>
      <c r="Y33" s="137"/>
    </row>
    <row r="34" spans="1:25" ht="18.75" x14ac:dyDescent="0.25">
      <c r="C34" s="826"/>
      <c r="D34" s="826"/>
      <c r="E34" s="826"/>
      <c r="F34" s="826"/>
      <c r="G34" s="826"/>
      <c r="H34" s="826"/>
      <c r="I34" s="826"/>
      <c r="J34" s="826"/>
      <c r="K34" s="826"/>
      <c r="L34" s="162"/>
      <c r="M34" s="171" t="s">
        <v>216</v>
      </c>
      <c r="N34" s="171" t="s">
        <v>217</v>
      </c>
    </row>
    <row r="35" spans="1:25" ht="18.75" x14ac:dyDescent="0.25">
      <c r="C35" s="831" t="s">
        <v>214</v>
      </c>
      <c r="D35" s="831"/>
      <c r="E35" s="831"/>
      <c r="F35" s="831"/>
      <c r="G35" s="831"/>
      <c r="H35" s="831"/>
      <c r="I35" s="831"/>
      <c r="J35" s="831"/>
      <c r="K35" s="831"/>
      <c r="L35" s="831"/>
      <c r="M35" s="169">
        <f>+M11-M32</f>
        <v>2.4724877456349353E-2</v>
      </c>
      <c r="N35" s="169">
        <f>+N11-N32</f>
        <v>2.4498148345974968E-3</v>
      </c>
    </row>
    <row r="36" spans="1:25" ht="18.75" x14ac:dyDescent="0.25">
      <c r="C36" s="831" t="s">
        <v>215</v>
      </c>
      <c r="D36" s="831"/>
      <c r="E36" s="831"/>
      <c r="F36" s="831"/>
      <c r="G36" s="831"/>
      <c r="H36" s="831"/>
      <c r="I36" s="831"/>
      <c r="J36" s="831"/>
      <c r="K36" s="831"/>
      <c r="L36" s="831"/>
      <c r="M36" s="169">
        <f>+M11-M33</f>
        <v>-2.7248989070632335E-3</v>
      </c>
      <c r="N36" s="169">
        <f>+N11-N33</f>
        <v>-5.0719590600352138E-3</v>
      </c>
    </row>
    <row r="37" spans="1:25" ht="30" x14ac:dyDescent="0.25">
      <c r="A37" s="140" t="s">
        <v>186</v>
      </c>
      <c r="B37" s="140"/>
      <c r="C37" s="141">
        <f>C19</f>
        <v>5.42404816174892</v>
      </c>
      <c r="D37" s="215">
        <f t="shared" ref="D37:N37" si="12">D19</f>
        <v>5.5927761303758095</v>
      </c>
      <c r="E37" s="142">
        <f t="shared" si="12"/>
        <v>29712.65101064762</v>
      </c>
      <c r="F37" s="142">
        <f t="shared" si="12"/>
        <v>5606.7772457092069</v>
      </c>
      <c r="G37" s="141">
        <f t="shared" si="12"/>
        <v>26.110711111111115</v>
      </c>
      <c r="H37" s="143">
        <f t="shared" si="12"/>
        <v>-8.2331773333333344E-2</v>
      </c>
      <c r="I37" s="144">
        <f t="shared" si="12"/>
        <v>-0.151</v>
      </c>
      <c r="J37" s="143">
        <f t="shared" si="12"/>
        <v>-0.23333177333333333</v>
      </c>
      <c r="K37" s="142">
        <f t="shared" si="12"/>
        <v>4284.3512645903638</v>
      </c>
      <c r="L37" s="142">
        <f t="shared" si="12"/>
        <v>1562718.9350569986</v>
      </c>
      <c r="M37" s="143">
        <f t="shared" si="12"/>
        <v>0.17862717114241822</v>
      </c>
      <c r="N37" s="143">
        <f t="shared" si="12"/>
        <v>0.76653382997648545</v>
      </c>
    </row>
    <row r="38" spans="1:25" ht="18.75" x14ac:dyDescent="0.25">
      <c r="A38" s="125" t="s">
        <v>91</v>
      </c>
      <c r="B38" s="126">
        <v>31</v>
      </c>
      <c r="C38" s="127">
        <f>AVERAGE(C10:C18,C7,C8)</f>
        <v>5.3635870507253856</v>
      </c>
      <c r="D38" s="127">
        <f>AVERAGE(D10:D18,D7,D8)</f>
        <v>5.5252203241800011</v>
      </c>
      <c r="E38" s="128">
        <f>D38*$P$3</f>
        <v>29353.748375096551</v>
      </c>
      <c r="F38" s="128">
        <f>E38*$P$5</f>
        <v>5539.052318380719</v>
      </c>
      <c r="G38" s="142">
        <v>25</v>
      </c>
      <c r="H38" s="129">
        <f>(25-(G38+20))*0.39%</f>
        <v>-7.8E-2</v>
      </c>
      <c r="I38" s="129">
        <v>-0.151</v>
      </c>
      <c r="J38" s="129">
        <f>SUM(H38:I38)</f>
        <v>-0.22899999999999998</v>
      </c>
      <c r="K38" s="128">
        <f>F38*(1+J38)</f>
        <v>4270.6093374715347</v>
      </c>
      <c r="L38" s="128">
        <f>K38*B38</f>
        <v>132388.88946161757</v>
      </c>
      <c r="M38" s="130">
        <f>K38/($P$4*24)</f>
        <v>0.17805422989281308</v>
      </c>
      <c r="N38" s="130">
        <f>K38/(D38*$P$4)</f>
        <v>0.77341739635726026</v>
      </c>
      <c r="O38" s="131">
        <f>D38/C38</f>
        <v>1.0301352941466206</v>
      </c>
    </row>
    <row r="39" spans="1:25" ht="18.75" x14ac:dyDescent="0.25">
      <c r="A39" s="125" t="s">
        <v>91</v>
      </c>
      <c r="B39" s="126">
        <v>31</v>
      </c>
      <c r="C39" s="127">
        <f>AVERAGE(C10:C18,C7,8)</f>
        <v>5.6114908567514359</v>
      </c>
      <c r="D39" s="215">
        <f>+'Exception Report F1'!AL10</f>
        <v>6.8158259831783292</v>
      </c>
      <c r="E39" s="128">
        <f>D39*$P$3</f>
        <v>36210.328120870756</v>
      </c>
      <c r="F39" s="128">
        <f>E39*$P$5</f>
        <v>6832.8889164083121</v>
      </c>
      <c r="G39" s="128">
        <f>+G37</f>
        <v>26.110711111111115</v>
      </c>
      <c r="H39" s="129">
        <f>+H37</f>
        <v>-8.2331773333333344E-2</v>
      </c>
      <c r="I39" s="129">
        <v>-0.151</v>
      </c>
      <c r="J39" s="129">
        <f>SUM(H39:I39)</f>
        <v>-0.23333177333333333</v>
      </c>
      <c r="K39" s="128">
        <f>F39*(1+J39)</f>
        <v>5238.5588285530821</v>
      </c>
      <c r="L39" s="128">
        <f>K39*B39</f>
        <v>162395.32368514556</v>
      </c>
      <c r="M39" s="130">
        <f>K39/($P$4*24)</f>
        <v>0.21841088337957421</v>
      </c>
      <c r="N39" s="130">
        <f>K39/(D39*$P$4)</f>
        <v>0.76907204116520256</v>
      </c>
      <c r="O39" s="131">
        <f>D39/C39</f>
        <v>1.214619458031889</v>
      </c>
    </row>
    <row r="40" spans="1:25" ht="18.75" x14ac:dyDescent="0.25">
      <c r="C40" s="826"/>
      <c r="D40" s="826"/>
      <c r="E40" s="826"/>
      <c r="F40" s="826"/>
      <c r="G40" s="826"/>
      <c r="H40" s="826"/>
      <c r="I40" s="826"/>
      <c r="J40" s="826"/>
      <c r="K40" s="826"/>
      <c r="L40" s="214"/>
      <c r="M40" s="171" t="s">
        <v>216</v>
      </c>
      <c r="N40" s="171" t="s">
        <v>217</v>
      </c>
    </row>
    <row r="41" spans="1:25" ht="18.75" x14ac:dyDescent="0.25">
      <c r="C41" s="831" t="s">
        <v>214</v>
      </c>
      <c r="D41" s="831"/>
      <c r="E41" s="831"/>
      <c r="F41" s="831"/>
      <c r="G41" s="831"/>
      <c r="H41" s="831"/>
      <c r="I41" s="831"/>
      <c r="J41" s="831"/>
      <c r="K41" s="831"/>
      <c r="L41" s="831"/>
      <c r="M41" s="169">
        <f>M37-M38</f>
        <v>5.7294124960513559E-4</v>
      </c>
      <c r="N41" s="169">
        <f>N37-N38</f>
        <v>-6.8835663807748082E-3</v>
      </c>
    </row>
    <row r="42" spans="1:25" ht="18.75" x14ac:dyDescent="0.25">
      <c r="C42" s="831" t="s">
        <v>215</v>
      </c>
      <c r="D42" s="831"/>
      <c r="E42" s="831"/>
      <c r="F42" s="831"/>
      <c r="G42" s="831"/>
      <c r="H42" s="831"/>
      <c r="I42" s="831"/>
      <c r="J42" s="831"/>
      <c r="K42" s="831"/>
      <c r="L42" s="831"/>
      <c r="M42" s="169">
        <f>M37-M39</f>
        <v>-3.9783712237155988E-2</v>
      </c>
      <c r="N42" s="169">
        <f>N37-N39</f>
        <v>-2.5382111887171099E-3</v>
      </c>
    </row>
    <row r="48" spans="1:25" x14ac:dyDescent="0.25">
      <c r="H48" s="160">
        <f>0.52*999.4*24/100</f>
        <v>124.72511999999999</v>
      </c>
    </row>
    <row r="49" spans="12:16" x14ac:dyDescent="0.25">
      <c r="M49" s="198">
        <v>0.09</v>
      </c>
      <c r="N49" s="154">
        <f>+M49*999.4</f>
        <v>89.945999999999998</v>
      </c>
    </row>
    <row r="50" spans="12:16" x14ac:dyDescent="0.25">
      <c r="L50" s="154">
        <f>+L49/24</f>
        <v>0</v>
      </c>
      <c r="N50" s="154">
        <f>+N49/24</f>
        <v>3.7477499999999999</v>
      </c>
    </row>
    <row r="51" spans="12:16" x14ac:dyDescent="0.25">
      <c r="N51" s="154">
        <f>+N50/100</f>
        <v>3.7477499999999997E-2</v>
      </c>
    </row>
    <row r="63" spans="12:16" x14ac:dyDescent="0.25">
      <c r="P63" s="195">
        <f>79.4-78.6</f>
        <v>0.80000000000001137</v>
      </c>
    </row>
  </sheetData>
  <mergeCells count="26">
    <mergeCell ref="C40:K40"/>
    <mergeCell ref="C41:L41"/>
    <mergeCell ref="C42:L42"/>
    <mergeCell ref="A1:L1"/>
    <mergeCell ref="A2:A5"/>
    <mergeCell ref="B2:B5"/>
    <mergeCell ref="C2:E2"/>
    <mergeCell ref="F2:F3"/>
    <mergeCell ref="G2:G3"/>
    <mergeCell ref="H2:J2"/>
    <mergeCell ref="C35:L35"/>
    <mergeCell ref="C36:L36"/>
    <mergeCell ref="C31:K31"/>
    <mergeCell ref="C29:L29"/>
    <mergeCell ref="C30:L30"/>
    <mergeCell ref="C34:K34"/>
    <mergeCell ref="B22:K22"/>
    <mergeCell ref="C24:K24"/>
    <mergeCell ref="C28:K28"/>
    <mergeCell ref="N2:N3"/>
    <mergeCell ref="C4:D4"/>
    <mergeCell ref="J20:K20"/>
    <mergeCell ref="B21:K21"/>
    <mergeCell ref="K2:K3"/>
    <mergeCell ref="L2:L3"/>
    <mergeCell ref="M2:M3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opLeftCell="A75" workbookViewId="0">
      <selection activeCell="L91" sqref="L91"/>
    </sheetView>
  </sheetViews>
  <sheetFormatPr defaultRowHeight="15" x14ac:dyDescent="0.25"/>
  <cols>
    <col min="3" max="3" width="10.28515625" bestFit="1" customWidth="1"/>
    <col min="4" max="4" width="8.5703125" bestFit="1" customWidth="1"/>
    <col min="5" max="5" width="11.5703125" bestFit="1" customWidth="1"/>
    <col min="6" max="6" width="13.7109375" bestFit="1" customWidth="1"/>
  </cols>
  <sheetData>
    <row r="1" spans="1:9" ht="15.75" thickBot="1" x14ac:dyDescent="0.3"/>
    <row r="2" spans="1:9" x14ac:dyDescent="0.25">
      <c r="A2" s="838" t="s">
        <v>343</v>
      </c>
      <c r="B2" s="839"/>
      <c r="C2" s="839"/>
      <c r="D2" s="839"/>
      <c r="E2" s="839"/>
      <c r="F2" s="839"/>
      <c r="G2" s="840"/>
    </row>
    <row r="3" spans="1:9" x14ac:dyDescent="0.25">
      <c r="A3" s="841" t="s">
        <v>122</v>
      </c>
      <c r="B3" s="680" t="s">
        <v>121</v>
      </c>
      <c r="C3" s="842" t="s">
        <v>344</v>
      </c>
      <c r="D3" s="842"/>
      <c r="E3" s="842"/>
      <c r="F3" s="842" t="s">
        <v>90</v>
      </c>
      <c r="G3" s="843" t="s">
        <v>60</v>
      </c>
    </row>
    <row r="4" spans="1:9" x14ac:dyDescent="0.25">
      <c r="A4" s="841"/>
      <c r="B4" s="680"/>
      <c r="C4" s="590" t="s">
        <v>345</v>
      </c>
      <c r="D4" s="590" t="s">
        <v>346</v>
      </c>
      <c r="E4" s="590" t="s">
        <v>314</v>
      </c>
      <c r="F4" s="842"/>
      <c r="G4" s="843"/>
    </row>
    <row r="5" spans="1:9" x14ac:dyDescent="0.25">
      <c r="A5" s="591">
        <v>30</v>
      </c>
      <c r="B5" s="592">
        <v>44287</v>
      </c>
      <c r="C5" s="593">
        <f>I5-D5</f>
        <v>4676.6960539311603</v>
      </c>
      <c r="D5" s="593">
        <v>1191.8365100870396</v>
      </c>
      <c r="E5" s="593">
        <f>C5+D5</f>
        <v>5868.5325640182</v>
      </c>
      <c r="F5" s="593">
        <f>E5*A5</f>
        <v>176055.976920546</v>
      </c>
      <c r="G5" s="594">
        <f>F5/A5/24/1247.4</f>
        <v>0.1960254851430375</v>
      </c>
      <c r="I5">
        <v>5868.5325640182</v>
      </c>
    </row>
    <row r="6" spans="1:9" x14ac:dyDescent="0.25">
      <c r="A6" s="591">
        <v>31</v>
      </c>
      <c r="B6" s="592">
        <v>44317</v>
      </c>
      <c r="C6" s="593">
        <v>4620.3485281432595</v>
      </c>
      <c r="D6" s="593">
        <v>1185.8853452204519</v>
      </c>
      <c r="E6" s="593">
        <f t="shared" ref="E6:E16" si="0">C6+D6</f>
        <v>5806.2338733637116</v>
      </c>
      <c r="F6" s="593">
        <f t="shared" ref="F6:F16" si="1">E6*A6</f>
        <v>179993.25007427507</v>
      </c>
      <c r="G6" s="594">
        <f t="shared" ref="G6:G16" si="2">F6/A6/24/1247.4</f>
        <v>0.19394453374230769</v>
      </c>
    </row>
    <row r="7" spans="1:9" x14ac:dyDescent="0.25">
      <c r="A7" s="591">
        <v>30</v>
      </c>
      <c r="B7" s="592">
        <v>44348</v>
      </c>
      <c r="C7" s="593">
        <v>4394.9688603345166</v>
      </c>
      <c r="D7" s="593">
        <v>1070.1377364698883</v>
      </c>
      <c r="E7" s="593">
        <f t="shared" si="0"/>
        <v>5465.1065968044049</v>
      </c>
      <c r="F7" s="593">
        <f t="shared" si="1"/>
        <v>163953.19790413216</v>
      </c>
      <c r="G7" s="594">
        <f t="shared" si="2"/>
        <v>0.18254992373484863</v>
      </c>
    </row>
    <row r="8" spans="1:9" x14ac:dyDescent="0.25">
      <c r="A8" s="591">
        <v>31</v>
      </c>
      <c r="B8" s="592">
        <v>44378</v>
      </c>
      <c r="C8" s="593">
        <v>3664.4751812580648</v>
      </c>
      <c r="D8" s="593">
        <v>916.6898934775121</v>
      </c>
      <c r="E8" s="593">
        <f t="shared" si="0"/>
        <v>4581.165074735577</v>
      </c>
      <c r="F8" s="593">
        <f t="shared" si="1"/>
        <v>142016.11731680288</v>
      </c>
      <c r="G8" s="594">
        <f t="shared" si="2"/>
        <v>0.15302379197850116</v>
      </c>
    </row>
    <row r="9" spans="1:9" x14ac:dyDescent="0.25">
      <c r="A9" s="591">
        <v>31</v>
      </c>
      <c r="B9" s="592">
        <v>44409</v>
      </c>
      <c r="C9" s="593">
        <v>3336.0220457442601</v>
      </c>
      <c r="D9" s="593">
        <v>897.0775746623616</v>
      </c>
      <c r="E9" s="593">
        <f t="shared" si="0"/>
        <v>4233.0996204066214</v>
      </c>
      <c r="F9" s="593">
        <f t="shared" si="1"/>
        <v>131226.08823260525</v>
      </c>
      <c r="G9" s="594">
        <f t="shared" si="2"/>
        <v>0.14139742732906516</v>
      </c>
    </row>
    <row r="10" spans="1:9" x14ac:dyDescent="0.25">
      <c r="A10" s="591">
        <v>30</v>
      </c>
      <c r="B10" s="592">
        <v>44440</v>
      </c>
      <c r="C10" s="593">
        <v>4103.1430099763838</v>
      </c>
      <c r="D10" s="593">
        <v>959.32819010039975</v>
      </c>
      <c r="E10" s="593">
        <f t="shared" si="0"/>
        <v>5062.4712000767831</v>
      </c>
      <c r="F10" s="593">
        <f t="shared" si="1"/>
        <v>151874.13600230351</v>
      </c>
      <c r="G10" s="594">
        <f t="shared" si="2"/>
        <v>0.16910076960333439</v>
      </c>
    </row>
    <row r="11" spans="1:9" x14ac:dyDescent="0.25">
      <c r="A11" s="591">
        <v>31</v>
      </c>
      <c r="B11" s="592">
        <v>44470</v>
      </c>
      <c r="C11" s="593">
        <v>4185.7440917860959</v>
      </c>
      <c r="D11" s="593">
        <v>922.02226332401801</v>
      </c>
      <c r="E11" s="593">
        <f t="shared" si="0"/>
        <v>5107.7663551101141</v>
      </c>
      <c r="F11" s="593">
        <f t="shared" si="1"/>
        <v>158340.75700841355</v>
      </c>
      <c r="G11" s="594">
        <f t="shared" si="2"/>
        <v>0.17061375511430826</v>
      </c>
    </row>
    <row r="12" spans="1:9" x14ac:dyDescent="0.25">
      <c r="A12" s="591">
        <v>30</v>
      </c>
      <c r="B12" s="592">
        <v>44501</v>
      </c>
      <c r="C12" s="593">
        <v>3579.1881232467654</v>
      </c>
      <c r="D12" s="593">
        <v>794.55336469118402</v>
      </c>
      <c r="E12" s="593">
        <f t="shared" si="0"/>
        <v>4373.7414879379494</v>
      </c>
      <c r="F12" s="593">
        <f t="shared" si="1"/>
        <v>131212.24463813848</v>
      </c>
      <c r="G12" s="594">
        <f t="shared" si="2"/>
        <v>0.14609526107429952</v>
      </c>
    </row>
    <row r="13" spans="1:9" x14ac:dyDescent="0.25">
      <c r="A13" s="591">
        <v>31</v>
      </c>
      <c r="B13" s="592">
        <v>44531</v>
      </c>
      <c r="C13" s="593">
        <v>3309.0617637787636</v>
      </c>
      <c r="D13" s="593">
        <v>690.85460840033818</v>
      </c>
      <c r="E13" s="593">
        <f t="shared" si="0"/>
        <v>3999.9163721791019</v>
      </c>
      <c r="F13" s="593">
        <f t="shared" si="1"/>
        <v>123997.40753755216</v>
      </c>
      <c r="G13" s="594">
        <f t="shared" si="2"/>
        <v>0.13360845131804491</v>
      </c>
    </row>
    <row r="14" spans="1:9" x14ac:dyDescent="0.25">
      <c r="A14" s="591">
        <v>31</v>
      </c>
      <c r="B14" s="592">
        <v>44562</v>
      </c>
      <c r="C14" s="593">
        <v>2293.5697536265252</v>
      </c>
      <c r="D14" s="593">
        <v>701.16701181975486</v>
      </c>
      <c r="E14" s="593">
        <f t="shared" si="0"/>
        <v>2994.7367654462801</v>
      </c>
      <c r="F14" s="593">
        <f t="shared" si="1"/>
        <v>92836.839728834675</v>
      </c>
      <c r="G14" s="594">
        <f t="shared" si="2"/>
        <v>0.10003262671176981</v>
      </c>
    </row>
    <row r="15" spans="1:9" x14ac:dyDescent="0.25">
      <c r="A15" s="591">
        <v>28</v>
      </c>
      <c r="B15" s="592">
        <v>44593</v>
      </c>
      <c r="C15" s="593">
        <v>3754.0539916355287</v>
      </c>
      <c r="D15" s="593">
        <v>922.41239042400002</v>
      </c>
      <c r="E15" s="593">
        <f t="shared" si="0"/>
        <v>4676.4663820595288</v>
      </c>
      <c r="F15" s="593">
        <f t="shared" si="1"/>
        <v>130941.0586976668</v>
      </c>
      <c r="G15" s="594">
        <f t="shared" si="2"/>
        <v>0.1562071235523064</v>
      </c>
    </row>
    <row r="16" spans="1:9" x14ac:dyDescent="0.25">
      <c r="A16" s="591">
        <v>31</v>
      </c>
      <c r="B16" s="592">
        <v>44621</v>
      </c>
      <c r="C16" s="593">
        <v>4551.2337806707019</v>
      </c>
      <c r="D16" s="593">
        <v>1088.1360445671487</v>
      </c>
      <c r="E16" s="593">
        <f t="shared" si="0"/>
        <v>5639.3698252378508</v>
      </c>
      <c r="F16" s="593">
        <f t="shared" si="1"/>
        <v>174820.46458237339</v>
      </c>
      <c r="G16" s="594">
        <f t="shared" si="2"/>
        <v>0.18837080544993087</v>
      </c>
    </row>
    <row r="17" spans="1:7" ht="15.75" thickBot="1" x14ac:dyDescent="0.3">
      <c r="A17" s="595"/>
      <c r="B17" s="596" t="s">
        <v>314</v>
      </c>
      <c r="C17" s="597">
        <f>SUM(C5:C16)</f>
        <v>46468.505184132024</v>
      </c>
      <c r="D17" s="597">
        <f t="shared" ref="D17:E17" si="3">SUM(D5:D16)</f>
        <v>11340.100933244095</v>
      </c>
      <c r="E17" s="597">
        <f t="shared" si="3"/>
        <v>57808.606117376126</v>
      </c>
      <c r="F17" s="597">
        <f>SUM(F5:F16)</f>
        <v>1757267.5386436437</v>
      </c>
      <c r="G17" s="598">
        <f>AVERAGE(G5:G16)</f>
        <v>0.16091416289597951</v>
      </c>
    </row>
    <row r="18" spans="1:7" ht="15.75" thickBot="1" x14ac:dyDescent="0.3"/>
    <row r="19" spans="1:7" x14ac:dyDescent="0.25">
      <c r="A19" s="838" t="s">
        <v>347</v>
      </c>
      <c r="B19" s="839"/>
      <c r="C19" s="839"/>
      <c r="D19" s="839"/>
      <c r="E19" s="839"/>
      <c r="F19" s="839"/>
      <c r="G19" s="840"/>
    </row>
    <row r="20" spans="1:7" x14ac:dyDescent="0.25">
      <c r="A20" s="844" t="s">
        <v>122</v>
      </c>
      <c r="B20" s="680" t="s">
        <v>121</v>
      </c>
      <c r="C20" s="842" t="s">
        <v>344</v>
      </c>
      <c r="D20" s="842"/>
      <c r="E20" s="842"/>
      <c r="F20" s="842" t="s">
        <v>90</v>
      </c>
      <c r="G20" s="843" t="s">
        <v>60</v>
      </c>
    </row>
    <row r="21" spans="1:7" x14ac:dyDescent="0.25">
      <c r="A21" s="845"/>
      <c r="B21" s="680"/>
      <c r="C21" s="846" t="s">
        <v>345</v>
      </c>
      <c r="D21" s="847"/>
      <c r="E21" s="590" t="s">
        <v>314</v>
      </c>
      <c r="F21" s="842"/>
      <c r="G21" s="843"/>
    </row>
    <row r="22" spans="1:7" x14ac:dyDescent="0.25">
      <c r="A22" s="599">
        <v>30</v>
      </c>
      <c r="B22" s="600">
        <v>44287</v>
      </c>
      <c r="C22" s="850">
        <v>4536.9511612422966</v>
      </c>
      <c r="D22" s="851"/>
      <c r="E22" s="593">
        <f>C22</f>
        <v>4536.9511612422966</v>
      </c>
      <c r="F22" s="593">
        <f>E22*A22</f>
        <v>136108.5348372689</v>
      </c>
      <c r="G22" s="601">
        <f>F22/A22/24/999.4</f>
        <v>0.1891531235925846</v>
      </c>
    </row>
    <row r="23" spans="1:7" x14ac:dyDescent="0.25">
      <c r="A23" s="599">
        <v>31</v>
      </c>
      <c r="B23" s="600">
        <v>44317</v>
      </c>
      <c r="C23" s="848">
        <v>4816.5862627499546</v>
      </c>
      <c r="D23" s="849"/>
      <c r="E23" s="593">
        <f t="shared" ref="E23:E33" si="4">C23</f>
        <v>4816.5862627499546</v>
      </c>
      <c r="F23" s="593">
        <f t="shared" ref="F23:F33" si="5">E23*A23</f>
        <v>149314.1741452486</v>
      </c>
      <c r="G23" s="601">
        <f t="shared" ref="G23:G33" si="6">F23/A23/24/999.4</f>
        <v>0.2008115812299861</v>
      </c>
    </row>
    <row r="24" spans="1:7" x14ac:dyDescent="0.25">
      <c r="A24" s="599">
        <v>30</v>
      </c>
      <c r="B24" s="600">
        <v>44348</v>
      </c>
      <c r="C24" s="848">
        <v>4293.75128380975</v>
      </c>
      <c r="D24" s="849"/>
      <c r="E24" s="593">
        <f t="shared" si="4"/>
        <v>4293.75128380975</v>
      </c>
      <c r="F24" s="593">
        <f t="shared" si="5"/>
        <v>128812.53851429251</v>
      </c>
      <c r="G24" s="601">
        <f t="shared" si="6"/>
        <v>0.17901371171910438</v>
      </c>
    </row>
    <row r="25" spans="1:7" x14ac:dyDescent="0.25">
      <c r="A25" s="599">
        <v>31</v>
      </c>
      <c r="B25" s="600">
        <v>44378</v>
      </c>
      <c r="C25" s="848">
        <v>3572.7251027994616</v>
      </c>
      <c r="D25" s="849"/>
      <c r="E25" s="593">
        <f t="shared" si="4"/>
        <v>3572.7251027994616</v>
      </c>
      <c r="F25" s="593">
        <f t="shared" si="5"/>
        <v>110754.47818678331</v>
      </c>
      <c r="G25" s="601">
        <f t="shared" si="6"/>
        <v>0.14895291770059793</v>
      </c>
    </row>
    <row r="26" spans="1:7" x14ac:dyDescent="0.25">
      <c r="A26" s="599">
        <v>31</v>
      </c>
      <c r="B26" s="600">
        <v>44409</v>
      </c>
      <c r="C26" s="848">
        <v>3643.1260394804003</v>
      </c>
      <c r="D26" s="849"/>
      <c r="E26" s="593">
        <f t="shared" si="4"/>
        <v>3643.1260394804003</v>
      </c>
      <c r="F26" s="593">
        <f t="shared" si="5"/>
        <v>112936.90722389241</v>
      </c>
      <c r="G26" s="601">
        <f t="shared" si="6"/>
        <v>0.15188805114236878</v>
      </c>
    </row>
    <row r="27" spans="1:7" x14ac:dyDescent="0.25">
      <c r="A27" s="599">
        <v>30</v>
      </c>
      <c r="B27" s="600">
        <v>44440</v>
      </c>
      <c r="C27" s="848">
        <v>3665.7090464730695</v>
      </c>
      <c r="D27" s="849"/>
      <c r="E27" s="593">
        <f t="shared" si="4"/>
        <v>3665.7090464730695</v>
      </c>
      <c r="F27" s="593">
        <f t="shared" si="5"/>
        <v>109971.27139419208</v>
      </c>
      <c r="G27" s="601">
        <f t="shared" si="6"/>
        <v>0.1528295746811866</v>
      </c>
    </row>
    <row r="28" spans="1:7" x14ac:dyDescent="0.25">
      <c r="A28" s="599">
        <v>31</v>
      </c>
      <c r="B28" s="600">
        <v>44470</v>
      </c>
      <c r="C28" s="848">
        <v>4890.0640974099479</v>
      </c>
      <c r="D28" s="849"/>
      <c r="E28" s="593">
        <f t="shared" si="4"/>
        <v>4890.0640974099479</v>
      </c>
      <c r="F28" s="593">
        <f t="shared" si="5"/>
        <v>151591.98701970838</v>
      </c>
      <c r="G28" s="601">
        <f t="shared" si="6"/>
        <v>0.20387499572284823</v>
      </c>
    </row>
    <row r="29" spans="1:7" x14ac:dyDescent="0.25">
      <c r="A29" s="599">
        <v>30</v>
      </c>
      <c r="B29" s="600">
        <v>44501</v>
      </c>
      <c r="C29" s="848">
        <v>5050.6335018167938</v>
      </c>
      <c r="D29" s="849"/>
      <c r="E29" s="593">
        <f t="shared" si="4"/>
        <v>5050.6335018167938</v>
      </c>
      <c r="F29" s="593">
        <f t="shared" si="5"/>
        <v>151519.00505450382</v>
      </c>
      <c r="G29" s="601">
        <f t="shared" si="6"/>
        <v>0.21056940421823067</v>
      </c>
    </row>
    <row r="30" spans="1:7" x14ac:dyDescent="0.25">
      <c r="A30" s="599">
        <v>31</v>
      </c>
      <c r="B30" s="600">
        <v>44531</v>
      </c>
      <c r="C30" s="848">
        <v>4572.8799721156256</v>
      </c>
      <c r="D30" s="849"/>
      <c r="E30" s="593">
        <f t="shared" si="4"/>
        <v>4572.8799721156256</v>
      </c>
      <c r="F30" s="593">
        <f t="shared" si="5"/>
        <v>141759.27913558439</v>
      </c>
      <c r="G30" s="601">
        <f t="shared" si="6"/>
        <v>0.19065105613850084</v>
      </c>
    </row>
    <row r="31" spans="1:7" x14ac:dyDescent="0.25">
      <c r="A31" s="599">
        <v>31</v>
      </c>
      <c r="B31" s="600">
        <v>44562</v>
      </c>
      <c r="C31" s="848">
        <v>4045.0029774910322</v>
      </c>
      <c r="D31" s="849"/>
      <c r="E31" s="593">
        <f t="shared" si="4"/>
        <v>4045.0029774910322</v>
      </c>
      <c r="F31" s="593">
        <f t="shared" si="5"/>
        <v>125395.09230222199</v>
      </c>
      <c r="G31" s="601">
        <f t="shared" si="6"/>
        <v>0.16864297651470184</v>
      </c>
    </row>
    <row r="32" spans="1:7" x14ac:dyDescent="0.25">
      <c r="A32" s="599">
        <v>28</v>
      </c>
      <c r="B32" s="600">
        <v>44593</v>
      </c>
      <c r="C32" s="848">
        <v>4870.1835022279392</v>
      </c>
      <c r="D32" s="849"/>
      <c r="E32" s="593">
        <f t="shared" si="4"/>
        <v>4870.1835022279392</v>
      </c>
      <c r="F32" s="593">
        <f t="shared" si="5"/>
        <v>136365.13806238229</v>
      </c>
      <c r="G32" s="601">
        <f t="shared" si="6"/>
        <v>0.20304614027699699</v>
      </c>
    </row>
    <row r="33" spans="1:7" x14ac:dyDescent="0.25">
      <c r="A33" s="599">
        <v>31</v>
      </c>
      <c r="B33" s="600">
        <v>44621</v>
      </c>
      <c r="C33" s="848">
        <v>5116.6928117607695</v>
      </c>
      <c r="D33" s="849"/>
      <c r="E33" s="593">
        <f t="shared" si="4"/>
        <v>5116.6928117607695</v>
      </c>
      <c r="F33" s="593">
        <f t="shared" si="5"/>
        <v>158617.47716458386</v>
      </c>
      <c r="G33" s="601">
        <f t="shared" si="6"/>
        <v>0.21332352794012949</v>
      </c>
    </row>
    <row r="34" spans="1:7" ht="15.75" thickBot="1" x14ac:dyDescent="0.3">
      <c r="A34" s="602"/>
      <c r="B34" s="596" t="s">
        <v>314</v>
      </c>
      <c r="C34" s="852">
        <f>SUM(C22:D33)</f>
        <v>53074.305759377035</v>
      </c>
      <c r="D34" s="853"/>
      <c r="E34" s="597">
        <f t="shared" ref="E34" si="7">SUM(E22:E33)</f>
        <v>53074.305759377035</v>
      </c>
      <c r="F34" s="597">
        <f>SUM(F22:F33)</f>
        <v>1613145.8830406629</v>
      </c>
      <c r="G34" s="603">
        <f>AVERAGE(G22:G33)</f>
        <v>0.18439642173976969</v>
      </c>
    </row>
    <row r="35" spans="1:7" ht="15.75" thickBot="1" x14ac:dyDescent="0.3"/>
    <row r="36" spans="1:7" x14ac:dyDescent="0.25">
      <c r="A36" s="838" t="s">
        <v>348</v>
      </c>
      <c r="B36" s="839"/>
      <c r="C36" s="839"/>
      <c r="D36" s="839"/>
      <c r="E36" s="839"/>
      <c r="F36" s="839"/>
      <c r="G36" s="840"/>
    </row>
    <row r="37" spans="1:7" x14ac:dyDescent="0.25">
      <c r="A37" s="844" t="s">
        <v>122</v>
      </c>
      <c r="B37" s="680" t="s">
        <v>121</v>
      </c>
      <c r="C37" s="842" t="s">
        <v>344</v>
      </c>
      <c r="D37" s="842"/>
      <c r="E37" s="842"/>
      <c r="F37" s="842" t="s">
        <v>90</v>
      </c>
      <c r="G37" s="843" t="s">
        <v>60</v>
      </c>
    </row>
    <row r="38" spans="1:7" x14ac:dyDescent="0.25">
      <c r="A38" s="845"/>
      <c r="B38" s="680"/>
      <c r="C38" s="846" t="s">
        <v>349</v>
      </c>
      <c r="D38" s="847"/>
      <c r="E38" s="590" t="s">
        <v>314</v>
      </c>
      <c r="F38" s="842"/>
      <c r="G38" s="843"/>
    </row>
    <row r="39" spans="1:7" ht="15.75" x14ac:dyDescent="0.25">
      <c r="A39" s="599">
        <v>30</v>
      </c>
      <c r="B39" s="600">
        <v>44287</v>
      </c>
      <c r="C39" s="854">
        <v>9315.9139987874169</v>
      </c>
      <c r="D39" s="855"/>
      <c r="E39" s="593">
        <f>C39</f>
        <v>9315.9139987874169</v>
      </c>
      <c r="F39" s="593">
        <f>E39*A39</f>
        <v>279477.41996362252</v>
      </c>
      <c r="G39" s="601">
        <f>F39/A39/24/1998.8</f>
        <v>0.19419806047769114</v>
      </c>
    </row>
    <row r="40" spans="1:7" ht="15.75" x14ac:dyDescent="0.25">
      <c r="A40" s="599">
        <v>31</v>
      </c>
      <c r="B40" s="600">
        <v>44317</v>
      </c>
      <c r="C40" s="854">
        <v>8856.171657071869</v>
      </c>
      <c r="D40" s="855"/>
      <c r="E40" s="593">
        <f t="shared" ref="E40:E50" si="8">C40</f>
        <v>8856.171657071869</v>
      </c>
      <c r="F40" s="593">
        <f t="shared" ref="F40:F50" si="9">E40*A40</f>
        <v>274541.32136922795</v>
      </c>
      <c r="G40" s="601">
        <f t="shared" ref="G40:G50" si="10">F40/A40/24/1998.8</f>
        <v>0.1846143447958748</v>
      </c>
    </row>
    <row r="41" spans="1:7" ht="15.75" x14ac:dyDescent="0.25">
      <c r="A41" s="599">
        <v>30</v>
      </c>
      <c r="B41" s="600">
        <v>44348</v>
      </c>
      <c r="C41" s="854">
        <v>7116.1719596747553</v>
      </c>
      <c r="D41" s="855"/>
      <c r="E41" s="593">
        <f t="shared" si="8"/>
        <v>7116.1719596747553</v>
      </c>
      <c r="F41" s="593">
        <f t="shared" si="9"/>
        <v>213485.15879024265</v>
      </c>
      <c r="G41" s="601">
        <f t="shared" si="10"/>
        <v>0.14834258804605169</v>
      </c>
    </row>
    <row r="42" spans="1:7" ht="15.75" x14ac:dyDescent="0.25">
      <c r="A42" s="599">
        <v>31</v>
      </c>
      <c r="B42" s="600">
        <v>44378</v>
      </c>
      <c r="C42" s="854">
        <v>7135.9311624150096</v>
      </c>
      <c r="D42" s="855"/>
      <c r="E42" s="593">
        <f t="shared" si="8"/>
        <v>7135.9311624150096</v>
      </c>
      <c r="F42" s="593">
        <f t="shared" si="9"/>
        <v>221213.86603486529</v>
      </c>
      <c r="G42" s="601">
        <f t="shared" si="10"/>
        <v>0.1487544852414576</v>
      </c>
    </row>
    <row r="43" spans="1:7" ht="15.75" x14ac:dyDescent="0.25">
      <c r="A43" s="599">
        <v>31</v>
      </c>
      <c r="B43" s="600">
        <v>44409</v>
      </c>
      <c r="C43" s="854">
        <v>6691.6365821584186</v>
      </c>
      <c r="D43" s="855"/>
      <c r="E43" s="593">
        <f t="shared" si="8"/>
        <v>6691.6365821584186</v>
      </c>
      <c r="F43" s="593">
        <f t="shared" si="9"/>
        <v>207440.73404691098</v>
      </c>
      <c r="G43" s="601">
        <f t="shared" si="10"/>
        <v>0.13949279113631549</v>
      </c>
    </row>
    <row r="44" spans="1:7" ht="15.75" x14ac:dyDescent="0.25">
      <c r="A44" s="599">
        <v>30</v>
      </c>
      <c r="B44" s="600">
        <v>44440</v>
      </c>
      <c r="C44" s="854">
        <v>7570.0376133835398</v>
      </c>
      <c r="D44" s="855"/>
      <c r="E44" s="593">
        <f t="shared" si="8"/>
        <v>7570.0376133835398</v>
      </c>
      <c r="F44" s="593">
        <f t="shared" si="9"/>
        <v>227101.1284015062</v>
      </c>
      <c r="G44" s="601">
        <f t="shared" si="10"/>
        <v>0.15780379922502544</v>
      </c>
    </row>
    <row r="45" spans="1:7" ht="15.75" x14ac:dyDescent="0.25">
      <c r="A45" s="599">
        <v>31</v>
      </c>
      <c r="B45" s="600">
        <v>44470</v>
      </c>
      <c r="C45" s="854">
        <v>7916.2831873133337</v>
      </c>
      <c r="D45" s="855"/>
      <c r="E45" s="593">
        <f t="shared" si="8"/>
        <v>7916.2831873133337</v>
      </c>
      <c r="F45" s="593">
        <f t="shared" si="9"/>
        <v>245404.77880671335</v>
      </c>
      <c r="G45" s="601">
        <f t="shared" si="10"/>
        <v>0.16502157934997111</v>
      </c>
    </row>
    <row r="46" spans="1:7" ht="15.75" x14ac:dyDescent="0.25">
      <c r="A46" s="599">
        <v>30</v>
      </c>
      <c r="B46" s="600">
        <v>44501</v>
      </c>
      <c r="C46" s="854">
        <v>7843.3397021931059</v>
      </c>
      <c r="D46" s="855"/>
      <c r="E46" s="593">
        <f t="shared" si="8"/>
        <v>7843.3397021931059</v>
      </c>
      <c r="F46" s="593">
        <f t="shared" si="9"/>
        <v>235300.19106579319</v>
      </c>
      <c r="G46" s="601">
        <f t="shared" si="10"/>
        <v>0.16350101106899778</v>
      </c>
    </row>
    <row r="47" spans="1:7" ht="15.75" x14ac:dyDescent="0.25">
      <c r="A47" s="599">
        <v>31</v>
      </c>
      <c r="B47" s="600">
        <v>44531</v>
      </c>
      <c r="C47" s="854">
        <v>7730.4222939928995</v>
      </c>
      <c r="D47" s="855"/>
      <c r="E47" s="593">
        <f t="shared" si="8"/>
        <v>7730.4222939928995</v>
      </c>
      <c r="F47" s="593">
        <f t="shared" si="9"/>
        <v>239643.0911137799</v>
      </c>
      <c r="G47" s="601">
        <f t="shared" si="10"/>
        <v>0.16114715274983532</v>
      </c>
    </row>
    <row r="48" spans="1:7" ht="15.75" x14ac:dyDescent="0.25">
      <c r="A48" s="599">
        <v>31</v>
      </c>
      <c r="B48" s="600">
        <v>44562</v>
      </c>
      <c r="C48" s="854">
        <v>7458.4908310718884</v>
      </c>
      <c r="D48" s="855"/>
      <c r="E48" s="593">
        <f t="shared" si="8"/>
        <v>7458.4908310718884</v>
      </c>
      <c r="F48" s="593">
        <f t="shared" si="9"/>
        <v>231213.21576322854</v>
      </c>
      <c r="G48" s="601">
        <f t="shared" si="10"/>
        <v>0.15547851275498401</v>
      </c>
    </row>
    <row r="49" spans="1:7" ht="15.75" x14ac:dyDescent="0.25">
      <c r="A49" s="599">
        <v>28</v>
      </c>
      <c r="B49" s="600">
        <v>44593</v>
      </c>
      <c r="C49" s="854">
        <v>8918.979492352646</v>
      </c>
      <c r="D49" s="855"/>
      <c r="E49" s="593">
        <f t="shared" si="8"/>
        <v>8918.979492352646</v>
      </c>
      <c r="F49" s="593">
        <f t="shared" si="9"/>
        <v>249731.42578587407</v>
      </c>
      <c r="G49" s="601">
        <f t="shared" si="10"/>
        <v>0.18592362693350689</v>
      </c>
    </row>
    <row r="50" spans="1:7" ht="15.75" x14ac:dyDescent="0.25">
      <c r="A50" s="599">
        <v>31</v>
      </c>
      <c r="B50" s="600">
        <v>44621</v>
      </c>
      <c r="C50" s="854">
        <v>8774.2476630325073</v>
      </c>
      <c r="D50" s="855"/>
      <c r="E50" s="593">
        <f t="shared" si="8"/>
        <v>8774.2476630325073</v>
      </c>
      <c r="F50" s="593">
        <f t="shared" si="9"/>
        <v>272001.67755400774</v>
      </c>
      <c r="G50" s="601">
        <f t="shared" si="10"/>
        <v>0.18290657025533044</v>
      </c>
    </row>
    <row r="51" spans="1:7" ht="15.75" thickBot="1" x14ac:dyDescent="0.3">
      <c r="A51" s="602"/>
      <c r="B51" s="596" t="s">
        <v>314</v>
      </c>
      <c r="C51" s="852">
        <f>SUM(C39:D50)</f>
        <v>95327.6261434474</v>
      </c>
      <c r="D51" s="853"/>
      <c r="E51" s="597">
        <f t="shared" ref="E51" si="11">SUM(E39:E50)</f>
        <v>95327.6261434474</v>
      </c>
      <c r="F51" s="597">
        <f>SUM(F39:F50)</f>
        <v>2896554.0086957719</v>
      </c>
      <c r="G51" s="603">
        <f>AVERAGE(G39:G50)</f>
        <v>0.16559871016958685</v>
      </c>
    </row>
    <row r="52" spans="1:7" ht="15.75" thickBot="1" x14ac:dyDescent="0.3"/>
    <row r="53" spans="1:7" x14ac:dyDescent="0.25">
      <c r="A53" s="838" t="s">
        <v>350</v>
      </c>
      <c r="B53" s="839"/>
      <c r="C53" s="839"/>
      <c r="D53" s="839"/>
      <c r="E53" s="839"/>
      <c r="F53" s="839"/>
      <c r="G53" s="840"/>
    </row>
    <row r="54" spans="1:7" x14ac:dyDescent="0.25">
      <c r="A54" s="844" t="s">
        <v>122</v>
      </c>
      <c r="B54" s="680" t="s">
        <v>121</v>
      </c>
      <c r="C54" s="842" t="s">
        <v>344</v>
      </c>
      <c r="D54" s="842"/>
      <c r="E54" s="842"/>
      <c r="F54" s="842" t="s">
        <v>90</v>
      </c>
      <c r="G54" s="843" t="s">
        <v>60</v>
      </c>
    </row>
    <row r="55" spans="1:7" x14ac:dyDescent="0.25">
      <c r="A55" s="845"/>
      <c r="B55" s="680"/>
      <c r="C55" s="846" t="s">
        <v>351</v>
      </c>
      <c r="D55" s="847"/>
      <c r="E55" s="590" t="s">
        <v>314</v>
      </c>
      <c r="F55" s="842"/>
      <c r="G55" s="843"/>
    </row>
    <row r="56" spans="1:7" ht="15.75" x14ac:dyDescent="0.25">
      <c r="A56" s="599">
        <v>30</v>
      </c>
      <c r="B56" s="600">
        <v>44287</v>
      </c>
      <c r="C56" s="854">
        <v>5114.6856990959132</v>
      </c>
      <c r="D56" s="855"/>
      <c r="E56" s="593">
        <f>C56</f>
        <v>5114.6856990959132</v>
      </c>
      <c r="F56" s="593">
        <f>E56*A56</f>
        <v>153440.57097287738</v>
      </c>
      <c r="G56" s="601">
        <f>F56/A56/24/999.37</f>
        <v>0.21324624926603394</v>
      </c>
    </row>
    <row r="57" spans="1:7" ht="15.75" x14ac:dyDescent="0.25">
      <c r="A57" s="599">
        <v>31</v>
      </c>
      <c r="B57" s="600">
        <v>44317</v>
      </c>
      <c r="C57" s="854">
        <v>5159.956142392266</v>
      </c>
      <c r="D57" s="855"/>
      <c r="E57" s="593">
        <f t="shared" ref="E57:E67" si="12">C57</f>
        <v>5159.956142392266</v>
      </c>
      <c r="F57" s="593">
        <f t="shared" ref="F57:F67" si="13">E57*A57</f>
        <v>159958.64041416024</v>
      </c>
      <c r="G57" s="601">
        <f t="shared" ref="G57:G67" si="14">F57/A57/24/999.37</f>
        <v>0.21513370683498378</v>
      </c>
    </row>
    <row r="58" spans="1:7" ht="15.75" x14ac:dyDescent="0.25">
      <c r="A58" s="599">
        <v>30</v>
      </c>
      <c r="B58" s="600">
        <v>44348</v>
      </c>
      <c r="C58" s="854">
        <v>4610.0269929425767</v>
      </c>
      <c r="D58" s="855"/>
      <c r="E58" s="593">
        <f t="shared" si="12"/>
        <v>4610.0269929425767</v>
      </c>
      <c r="F58" s="593">
        <f t="shared" si="13"/>
        <v>138300.80978827731</v>
      </c>
      <c r="G58" s="601">
        <f t="shared" si="14"/>
        <v>0.19220554753422059</v>
      </c>
    </row>
    <row r="59" spans="1:7" ht="15.75" x14ac:dyDescent="0.25">
      <c r="A59" s="599">
        <v>31</v>
      </c>
      <c r="B59" s="600">
        <v>44378</v>
      </c>
      <c r="C59" s="854">
        <v>4022.58996524128</v>
      </c>
      <c r="D59" s="855"/>
      <c r="E59" s="593">
        <f t="shared" si="12"/>
        <v>4022.58996524128</v>
      </c>
      <c r="F59" s="593">
        <f t="shared" si="13"/>
        <v>124700.28892247968</v>
      </c>
      <c r="G59" s="601">
        <f t="shared" si="14"/>
        <v>0.16771357477049206</v>
      </c>
    </row>
    <row r="60" spans="1:7" ht="15.75" x14ac:dyDescent="0.25">
      <c r="A60" s="599">
        <v>31</v>
      </c>
      <c r="B60" s="600">
        <v>44409</v>
      </c>
      <c r="C60" s="854">
        <v>3837.8840335790906</v>
      </c>
      <c r="D60" s="855"/>
      <c r="E60" s="593">
        <f t="shared" si="12"/>
        <v>3837.8840335790906</v>
      </c>
      <c r="F60" s="593">
        <f t="shared" si="13"/>
        <v>118974.40504095181</v>
      </c>
      <c r="G60" s="601">
        <f t="shared" si="14"/>
        <v>0.16001264269736143</v>
      </c>
    </row>
    <row r="61" spans="1:7" ht="15.75" x14ac:dyDescent="0.25">
      <c r="A61" s="599">
        <v>30</v>
      </c>
      <c r="B61" s="600">
        <v>44440</v>
      </c>
      <c r="C61" s="854">
        <v>4345.9737184872029</v>
      </c>
      <c r="D61" s="855"/>
      <c r="E61" s="593">
        <f t="shared" si="12"/>
        <v>4345.9737184872029</v>
      </c>
      <c r="F61" s="593">
        <f t="shared" si="13"/>
        <v>130379.21155461608</v>
      </c>
      <c r="G61" s="601">
        <f t="shared" si="14"/>
        <v>0.18119639199725837</v>
      </c>
    </row>
    <row r="62" spans="1:7" ht="15.75" x14ac:dyDescent="0.25">
      <c r="A62" s="599">
        <v>31</v>
      </c>
      <c r="B62" s="600">
        <v>44470</v>
      </c>
      <c r="C62" s="854">
        <v>4208.2774671806919</v>
      </c>
      <c r="D62" s="855"/>
      <c r="E62" s="593">
        <f t="shared" si="12"/>
        <v>4208.2774671806919</v>
      </c>
      <c r="F62" s="593">
        <f t="shared" si="13"/>
        <v>130456.60148260144</v>
      </c>
      <c r="G62" s="601">
        <f t="shared" si="14"/>
        <v>0.17545543138763636</v>
      </c>
    </row>
    <row r="63" spans="1:7" ht="15.75" x14ac:dyDescent="0.25">
      <c r="A63" s="599">
        <v>30</v>
      </c>
      <c r="B63" s="600">
        <v>44501</v>
      </c>
      <c r="C63" s="854">
        <v>3488.2371639651055</v>
      </c>
      <c r="D63" s="855"/>
      <c r="E63" s="593">
        <f t="shared" si="12"/>
        <v>3488.2371639651055</v>
      </c>
      <c r="F63" s="593">
        <f t="shared" si="13"/>
        <v>104647.11491895317</v>
      </c>
      <c r="G63" s="601">
        <f t="shared" si="14"/>
        <v>0.14543483911385446</v>
      </c>
    </row>
    <row r="64" spans="1:7" ht="15.75" x14ac:dyDescent="0.25">
      <c r="A64" s="599">
        <v>31</v>
      </c>
      <c r="B64" s="600">
        <v>44531</v>
      </c>
      <c r="C64" s="854">
        <v>3421.1327786454572</v>
      </c>
      <c r="D64" s="855"/>
      <c r="E64" s="593">
        <f t="shared" si="12"/>
        <v>3421.1327786454572</v>
      </c>
      <c r="F64" s="593">
        <f t="shared" si="13"/>
        <v>106055.11613800917</v>
      </c>
      <c r="G64" s="601">
        <f t="shared" si="14"/>
        <v>0.14263706045831612</v>
      </c>
    </row>
    <row r="65" spans="1:10" ht="15.75" x14ac:dyDescent="0.25">
      <c r="A65" s="599">
        <v>31</v>
      </c>
      <c r="B65" s="600">
        <v>44562</v>
      </c>
      <c r="C65" s="854">
        <v>3625.0515401781736</v>
      </c>
      <c r="D65" s="855"/>
      <c r="E65" s="593">
        <f t="shared" si="12"/>
        <v>3625.0515401781736</v>
      </c>
      <c r="F65" s="593">
        <f t="shared" si="13"/>
        <v>112376.59774552338</v>
      </c>
      <c r="G65" s="601">
        <f t="shared" si="14"/>
        <v>0.15113903176410193</v>
      </c>
    </row>
    <row r="66" spans="1:10" ht="15.75" x14ac:dyDescent="0.25">
      <c r="A66" s="599">
        <v>28</v>
      </c>
      <c r="B66" s="600">
        <v>44593</v>
      </c>
      <c r="C66" s="854">
        <v>4435.3948672570314</v>
      </c>
      <c r="D66" s="855"/>
      <c r="E66" s="593">
        <f t="shared" si="12"/>
        <v>4435.3948672570314</v>
      </c>
      <c r="F66" s="593">
        <f t="shared" si="13"/>
        <v>124191.05628319687</v>
      </c>
      <c r="G66" s="601">
        <f t="shared" si="14"/>
        <v>0.18492462198089094</v>
      </c>
    </row>
    <row r="67" spans="1:10" ht="15.75" x14ac:dyDescent="0.25">
      <c r="A67" s="599">
        <v>31</v>
      </c>
      <c r="B67" s="600">
        <v>44621</v>
      </c>
      <c r="C67" s="854">
        <v>4824.5849850367067</v>
      </c>
      <c r="D67" s="855"/>
      <c r="E67" s="593">
        <f t="shared" si="12"/>
        <v>4824.5849850367067</v>
      </c>
      <c r="F67" s="593">
        <f t="shared" si="13"/>
        <v>149562.13453613792</v>
      </c>
      <c r="G67" s="601">
        <f t="shared" si="14"/>
        <v>0.20115109956925806</v>
      </c>
    </row>
    <row r="68" spans="1:10" ht="15.75" thickBot="1" x14ac:dyDescent="0.3">
      <c r="A68" s="602"/>
      <c r="B68" s="596" t="s">
        <v>314</v>
      </c>
      <c r="C68" s="852">
        <f>SUM(C56:D67)</f>
        <v>51093.795354001501</v>
      </c>
      <c r="D68" s="853"/>
      <c r="E68" s="597">
        <f t="shared" ref="E68" si="15">SUM(E56:E67)</f>
        <v>51093.795354001501</v>
      </c>
      <c r="F68" s="597">
        <f>SUM(F56:F67)</f>
        <v>1553042.5477977847</v>
      </c>
      <c r="G68" s="603">
        <f>AVERAGE(G56:G67)</f>
        <v>0.17752084978120067</v>
      </c>
    </row>
    <row r="69" spans="1:10" ht="15.75" thickBot="1" x14ac:dyDescent="0.3"/>
    <row r="70" spans="1:10" x14ac:dyDescent="0.25">
      <c r="A70" s="838" t="s">
        <v>352</v>
      </c>
      <c r="B70" s="839"/>
      <c r="C70" s="839"/>
      <c r="D70" s="839"/>
      <c r="E70" s="839"/>
      <c r="F70" s="839"/>
      <c r="G70" s="840"/>
    </row>
    <row r="71" spans="1:10" x14ac:dyDescent="0.25">
      <c r="A71" s="844" t="s">
        <v>122</v>
      </c>
      <c r="B71" s="680" t="s">
        <v>121</v>
      </c>
      <c r="C71" s="842" t="s">
        <v>344</v>
      </c>
      <c r="D71" s="842"/>
      <c r="E71" s="842"/>
      <c r="F71" s="842" t="s">
        <v>90</v>
      </c>
      <c r="G71" s="843" t="s">
        <v>60</v>
      </c>
    </row>
    <row r="72" spans="1:10" x14ac:dyDescent="0.25">
      <c r="A72" s="845"/>
      <c r="B72" s="680"/>
      <c r="C72" s="846" t="s">
        <v>353</v>
      </c>
      <c r="D72" s="847"/>
      <c r="E72" s="590" t="s">
        <v>314</v>
      </c>
      <c r="F72" s="842"/>
      <c r="G72" s="843"/>
    </row>
    <row r="73" spans="1:10" ht="15.75" x14ac:dyDescent="0.25">
      <c r="A73" s="599">
        <v>30</v>
      </c>
      <c r="B73" s="600">
        <v>44287</v>
      </c>
      <c r="C73" s="854">
        <v>349.744535129692</v>
      </c>
      <c r="D73" s="855"/>
      <c r="E73" s="593">
        <f>C73</f>
        <v>349.744535129692</v>
      </c>
      <c r="F73" s="593">
        <f>E73*A73</f>
        <v>10492.33605389076</v>
      </c>
      <c r="G73" s="601">
        <f>F73/A73/24/62</f>
        <v>0.23504337038285752</v>
      </c>
      <c r="H73" s="544"/>
      <c r="I73" s="630"/>
      <c r="J73" s="630"/>
    </row>
    <row r="74" spans="1:10" ht="15.75" x14ac:dyDescent="0.25">
      <c r="A74" s="599">
        <v>31</v>
      </c>
      <c r="B74" s="600">
        <v>44317</v>
      </c>
      <c r="C74" s="854">
        <v>340.67658678350602</v>
      </c>
      <c r="D74" s="855"/>
      <c r="E74" s="593">
        <f t="shared" ref="E74:E84" si="16">C74</f>
        <v>340.67658678350602</v>
      </c>
      <c r="F74" s="593">
        <f t="shared" ref="F74:F84" si="17">E74*A74</f>
        <v>10560.974190288687</v>
      </c>
      <c r="G74" s="601">
        <f t="shared" ref="G74:G84" si="18">F74/A74/24/62</f>
        <v>0.22894931907493685</v>
      </c>
      <c r="H74" s="544"/>
      <c r="I74" s="630"/>
      <c r="J74" s="630"/>
    </row>
    <row r="75" spans="1:10" ht="15.75" x14ac:dyDescent="0.25">
      <c r="A75" s="599">
        <v>30</v>
      </c>
      <c r="B75" s="600">
        <v>44348</v>
      </c>
      <c r="C75" s="854">
        <v>319.48281152095512</v>
      </c>
      <c r="D75" s="855"/>
      <c r="E75" s="593">
        <f t="shared" si="16"/>
        <v>319.48281152095512</v>
      </c>
      <c r="F75" s="593">
        <f t="shared" si="17"/>
        <v>9584.4843456286544</v>
      </c>
      <c r="G75" s="601">
        <f t="shared" si="18"/>
        <v>0.2147061905382763</v>
      </c>
      <c r="H75" s="544"/>
      <c r="I75" s="630"/>
      <c r="J75" s="630"/>
    </row>
    <row r="76" spans="1:10" ht="15.75" x14ac:dyDescent="0.25">
      <c r="A76" s="599">
        <v>31</v>
      </c>
      <c r="B76" s="600">
        <v>44378</v>
      </c>
      <c r="C76" s="854">
        <v>272.7855448440796</v>
      </c>
      <c r="D76" s="855"/>
      <c r="E76" s="593">
        <f t="shared" si="16"/>
        <v>272.7855448440796</v>
      </c>
      <c r="F76" s="593">
        <f t="shared" si="17"/>
        <v>8456.3518901664684</v>
      </c>
      <c r="G76" s="601">
        <f t="shared" si="18"/>
        <v>0.18332361884682771</v>
      </c>
      <c r="H76" s="544"/>
      <c r="I76" s="630"/>
      <c r="J76" s="630"/>
    </row>
    <row r="77" spans="1:10" ht="15.75" x14ac:dyDescent="0.25">
      <c r="A77" s="599">
        <v>31</v>
      </c>
      <c r="B77" s="600">
        <v>44409</v>
      </c>
      <c r="C77" s="854">
        <v>216.20500326345521</v>
      </c>
      <c r="D77" s="855"/>
      <c r="E77" s="593">
        <f t="shared" si="16"/>
        <v>216.20500326345521</v>
      </c>
      <c r="F77" s="593">
        <f t="shared" si="17"/>
        <v>6702.3551011671116</v>
      </c>
      <c r="G77" s="601">
        <f t="shared" si="18"/>
        <v>0.14529906133296719</v>
      </c>
      <c r="H77" s="544"/>
      <c r="I77" s="630"/>
      <c r="J77" s="630"/>
    </row>
    <row r="78" spans="1:10" ht="15.75" x14ac:dyDescent="0.25">
      <c r="A78" s="599">
        <v>30</v>
      </c>
      <c r="B78" s="600">
        <v>44440</v>
      </c>
      <c r="C78" s="854">
        <v>272.38307364181344</v>
      </c>
      <c r="D78" s="855"/>
      <c r="E78" s="593">
        <f t="shared" si="16"/>
        <v>272.38307364181344</v>
      </c>
      <c r="F78" s="593">
        <f t="shared" si="17"/>
        <v>8171.492209254403</v>
      </c>
      <c r="G78" s="601">
        <f t="shared" si="18"/>
        <v>0.18305314088831548</v>
      </c>
      <c r="H78" s="544"/>
      <c r="I78" s="630"/>
      <c r="J78" s="630"/>
    </row>
    <row r="79" spans="1:10" ht="15.75" x14ac:dyDescent="0.25">
      <c r="A79" s="599">
        <v>31</v>
      </c>
      <c r="B79" s="600">
        <v>44470</v>
      </c>
      <c r="C79" s="854">
        <v>250.37822084696859</v>
      </c>
      <c r="D79" s="855"/>
      <c r="E79" s="593">
        <f t="shared" si="16"/>
        <v>250.37822084696859</v>
      </c>
      <c r="F79" s="593">
        <f t="shared" si="17"/>
        <v>7761.7248462560265</v>
      </c>
      <c r="G79" s="601">
        <f t="shared" si="18"/>
        <v>0.16826493336489823</v>
      </c>
      <c r="H79" s="544"/>
      <c r="I79" s="630"/>
      <c r="J79" s="630"/>
    </row>
    <row r="80" spans="1:10" ht="15.75" x14ac:dyDescent="0.25">
      <c r="A80" s="599">
        <v>30</v>
      </c>
      <c r="B80" s="600">
        <v>44501</v>
      </c>
      <c r="C80" s="854">
        <v>223.74709965854214</v>
      </c>
      <c r="D80" s="855"/>
      <c r="E80" s="593">
        <f t="shared" si="16"/>
        <v>223.74709965854214</v>
      </c>
      <c r="F80" s="593">
        <f t="shared" si="17"/>
        <v>6712.4129897562643</v>
      </c>
      <c r="G80" s="601">
        <f t="shared" si="18"/>
        <v>0.15036767450170843</v>
      </c>
      <c r="H80" s="544"/>
      <c r="I80" s="630"/>
      <c r="J80" s="630"/>
    </row>
    <row r="81" spans="1:10" ht="15.75" x14ac:dyDescent="0.25">
      <c r="A81" s="599">
        <v>31</v>
      </c>
      <c r="B81" s="600">
        <v>44531</v>
      </c>
      <c r="C81" s="854">
        <v>226.39183614315309</v>
      </c>
      <c r="D81" s="855"/>
      <c r="E81" s="593">
        <f t="shared" si="16"/>
        <v>226.39183614315309</v>
      </c>
      <c r="F81" s="593">
        <f t="shared" si="17"/>
        <v>7018.1469204377454</v>
      </c>
      <c r="G81" s="601">
        <f t="shared" si="18"/>
        <v>0.15214505117147387</v>
      </c>
      <c r="H81" s="544"/>
      <c r="I81" s="630"/>
      <c r="J81" s="630"/>
    </row>
    <row r="82" spans="1:10" ht="15.75" x14ac:dyDescent="0.25">
      <c r="A82" s="599">
        <v>31</v>
      </c>
      <c r="B82" s="600">
        <v>44562</v>
      </c>
      <c r="C82" s="854">
        <v>218.3654685077978</v>
      </c>
      <c r="D82" s="855"/>
      <c r="E82" s="593">
        <f t="shared" si="16"/>
        <v>218.3654685077978</v>
      </c>
      <c r="F82" s="593">
        <f t="shared" si="17"/>
        <v>6769.3295237417315</v>
      </c>
      <c r="G82" s="601">
        <f t="shared" si="18"/>
        <v>0.14675098690040173</v>
      </c>
      <c r="H82" s="544"/>
      <c r="I82" s="630"/>
      <c r="J82" s="630"/>
    </row>
    <row r="83" spans="1:10" ht="15.75" x14ac:dyDescent="0.25">
      <c r="A83" s="599">
        <v>28</v>
      </c>
      <c r="B83" s="600">
        <v>44593</v>
      </c>
      <c r="C83" s="854">
        <v>303.27877380345905</v>
      </c>
      <c r="D83" s="855"/>
      <c r="E83" s="593">
        <f t="shared" si="16"/>
        <v>303.27877380345905</v>
      </c>
      <c r="F83" s="593">
        <f t="shared" si="17"/>
        <v>8491.8056664968535</v>
      </c>
      <c r="G83" s="601">
        <f t="shared" si="18"/>
        <v>0.2038163802442601</v>
      </c>
      <c r="H83" s="544"/>
      <c r="I83" s="630"/>
      <c r="J83" s="630"/>
    </row>
    <row r="84" spans="1:10" ht="15.75" x14ac:dyDescent="0.25">
      <c r="A84" s="599">
        <v>31</v>
      </c>
      <c r="B84" s="600">
        <v>44621</v>
      </c>
      <c r="C84" s="854">
        <v>309.22547076047806</v>
      </c>
      <c r="D84" s="855"/>
      <c r="E84" s="593">
        <f t="shared" si="16"/>
        <v>309.22547076047806</v>
      </c>
      <c r="F84" s="593">
        <f t="shared" si="17"/>
        <v>9585.9895935748191</v>
      </c>
      <c r="G84" s="601">
        <f t="shared" si="18"/>
        <v>0.20781281637128904</v>
      </c>
      <c r="H84" s="544"/>
      <c r="I84" s="630"/>
      <c r="J84" s="630"/>
    </row>
    <row r="85" spans="1:10" ht="15.75" thickBot="1" x14ac:dyDescent="0.3">
      <c r="A85" s="602"/>
      <c r="B85" s="596" t="s">
        <v>314</v>
      </c>
      <c r="C85" s="852">
        <f>SUM(C73:D84)</f>
        <v>3302.6644249039</v>
      </c>
      <c r="D85" s="853"/>
      <c r="E85" s="597">
        <f t="shared" ref="E85" si="19">SUM(E73:E84)</f>
        <v>3302.6644249039</v>
      </c>
      <c r="F85" s="597">
        <f>SUM(F73:F84)</f>
        <v>100307.40333065954</v>
      </c>
      <c r="G85" s="603">
        <f>AVERAGE(G73:G84)</f>
        <v>0.18496104530151772</v>
      </c>
      <c r="H85" s="544"/>
    </row>
  </sheetData>
  <mergeCells count="86">
    <mergeCell ref="C85:D85"/>
    <mergeCell ref="C79:D79"/>
    <mergeCell ref="C80:D80"/>
    <mergeCell ref="C81:D81"/>
    <mergeCell ref="C82:D82"/>
    <mergeCell ref="C83:D83"/>
    <mergeCell ref="C84:D84"/>
    <mergeCell ref="C78:D78"/>
    <mergeCell ref="C68:D68"/>
    <mergeCell ref="A70:G70"/>
    <mergeCell ref="A71:A72"/>
    <mergeCell ref="B71:B72"/>
    <mergeCell ref="C71:E71"/>
    <mergeCell ref="F71:F72"/>
    <mergeCell ref="G71:G72"/>
    <mergeCell ref="C72:D72"/>
    <mergeCell ref="C73:D73"/>
    <mergeCell ref="C74:D74"/>
    <mergeCell ref="C75:D75"/>
    <mergeCell ref="C76:D76"/>
    <mergeCell ref="C77:D77"/>
    <mergeCell ref="C67:D67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51:D51"/>
    <mergeCell ref="A53:G53"/>
    <mergeCell ref="A54:A55"/>
    <mergeCell ref="B54:B55"/>
    <mergeCell ref="C54:E54"/>
    <mergeCell ref="F54:F55"/>
    <mergeCell ref="G54:G55"/>
    <mergeCell ref="C55:D55"/>
    <mergeCell ref="C50:D50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34:D34"/>
    <mergeCell ref="A36:G36"/>
    <mergeCell ref="A37:A38"/>
    <mergeCell ref="B37:B38"/>
    <mergeCell ref="C37:E37"/>
    <mergeCell ref="F37:F38"/>
    <mergeCell ref="G37:G38"/>
    <mergeCell ref="C38:D38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19:G19"/>
    <mergeCell ref="A20:A21"/>
    <mergeCell ref="B20:B21"/>
    <mergeCell ref="C20:E20"/>
    <mergeCell ref="F20:F21"/>
    <mergeCell ref="G20:G21"/>
    <mergeCell ref="C21:D21"/>
    <mergeCell ref="A2:G2"/>
    <mergeCell ref="A3:A4"/>
    <mergeCell ref="B3:B4"/>
    <mergeCell ref="C3:E3"/>
    <mergeCell ref="F3:F4"/>
    <mergeCell ref="G3:G4"/>
  </mergeCells>
  <pageMargins left="0.7" right="0.7" top="0.75" bottom="0.75" header="0.3" footer="0.3"/>
  <pageSetup paperSize="9" fitToWidth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view="pageBreakPreview" zoomScale="60" workbookViewId="0">
      <selection activeCell="D17" sqref="D17:F17"/>
    </sheetView>
  </sheetViews>
  <sheetFormatPr defaultRowHeight="18.75" x14ac:dyDescent="0.3"/>
  <cols>
    <col min="3" max="3" width="30.5703125" customWidth="1"/>
    <col min="4" max="4" width="22.7109375" customWidth="1"/>
    <col min="5" max="6" width="22.7109375" style="30" customWidth="1"/>
    <col min="7" max="7" width="33.7109375" style="30" customWidth="1"/>
    <col min="8" max="8" width="41.28515625" style="30" customWidth="1"/>
    <col min="9" max="10" width="30.85546875" style="30" customWidth="1"/>
    <col min="11" max="11" width="20.7109375" customWidth="1"/>
    <col min="12" max="12" width="12.85546875" bestFit="1" customWidth="1"/>
    <col min="15" max="15" width="12.85546875" bestFit="1" customWidth="1"/>
  </cols>
  <sheetData>
    <row r="1" spans="2:16" ht="19.5" thickBot="1" x14ac:dyDescent="0.35"/>
    <row r="2" spans="2:16" ht="28.5" x14ac:dyDescent="0.25">
      <c r="B2" s="856" t="s">
        <v>75</v>
      </c>
      <c r="C2" s="857"/>
      <c r="D2" s="857"/>
      <c r="E2" s="857"/>
      <c r="F2" s="857"/>
      <c r="G2" s="857"/>
      <c r="H2" s="857"/>
      <c r="I2" s="857"/>
      <c r="J2" s="858"/>
    </row>
    <row r="3" spans="2:16" ht="27.75" customHeight="1" x14ac:dyDescent="0.25">
      <c r="B3" s="859"/>
      <c r="C3" s="860"/>
      <c r="D3" s="860"/>
      <c r="E3" s="877" t="s">
        <v>1</v>
      </c>
      <c r="F3" s="877"/>
      <c r="G3" s="877" t="s">
        <v>54</v>
      </c>
      <c r="H3" s="877"/>
      <c r="I3" s="879" t="s">
        <v>55</v>
      </c>
      <c r="J3" s="880"/>
      <c r="K3" s="28"/>
      <c r="L3" s="28"/>
      <c r="M3" s="28"/>
      <c r="N3" s="28"/>
      <c r="O3" s="28"/>
      <c r="P3" s="28"/>
    </row>
    <row r="4" spans="2:16" ht="23.25" x14ac:dyDescent="0.25">
      <c r="B4" s="34" t="s">
        <v>52</v>
      </c>
      <c r="C4" s="35" t="s">
        <v>53</v>
      </c>
      <c r="D4" s="36" t="s">
        <v>3</v>
      </c>
      <c r="E4" s="37" t="s">
        <v>56</v>
      </c>
      <c r="F4" s="38" t="s">
        <v>57</v>
      </c>
      <c r="G4" s="37" t="s">
        <v>56</v>
      </c>
      <c r="H4" s="38" t="s">
        <v>57</v>
      </c>
      <c r="I4" s="37" t="s">
        <v>56</v>
      </c>
      <c r="J4" s="39" t="s">
        <v>57</v>
      </c>
      <c r="K4" s="29"/>
      <c r="L4" s="801"/>
      <c r="M4" s="801"/>
      <c r="N4" s="801"/>
      <c r="O4" s="801"/>
      <c r="P4" s="28"/>
    </row>
    <row r="5" spans="2:16" ht="23.25" x14ac:dyDescent="0.25">
      <c r="B5" s="864">
        <v>1</v>
      </c>
      <c r="C5" s="878" t="s">
        <v>58</v>
      </c>
      <c r="D5" s="40" t="s">
        <v>59</v>
      </c>
      <c r="E5" s="41">
        <v>4629.2515289912899</v>
      </c>
      <c r="F5" s="41">
        <v>4140</v>
      </c>
      <c r="G5" s="41">
        <f>17.4*999.4*24/100</f>
        <v>4173.4943999999996</v>
      </c>
      <c r="H5" s="41">
        <v>3452</v>
      </c>
      <c r="I5" s="41">
        <v>8432.672813261217</v>
      </c>
      <c r="J5" s="42">
        <v>6506</v>
      </c>
      <c r="K5" s="28"/>
      <c r="L5" s="28"/>
      <c r="M5" s="28"/>
      <c r="N5" s="28"/>
      <c r="O5" s="28"/>
      <c r="P5" s="28"/>
    </row>
    <row r="6" spans="2:16" ht="23.25" x14ac:dyDescent="0.25">
      <c r="B6" s="864"/>
      <c r="C6" s="878"/>
      <c r="D6" s="40" t="s">
        <v>60</v>
      </c>
      <c r="E6" s="43">
        <f>+E5/999.4/24</f>
        <v>0.19300128114332307</v>
      </c>
      <c r="F6" s="44">
        <f>+F5/999.4/24</f>
        <v>0.17260356213728237</v>
      </c>
      <c r="G6" s="43">
        <f>+G5/999.4/24</f>
        <v>0.17399999999999996</v>
      </c>
      <c r="H6" s="44">
        <f>+H5/999.4/24</f>
        <v>0.14391968514442</v>
      </c>
      <c r="I6" s="43">
        <f>+I5/1998.8/24</f>
        <v>0.17578615530279038</v>
      </c>
      <c r="J6" s="45">
        <f>+J5/1998.8/24</f>
        <v>0.13562304049096124</v>
      </c>
      <c r="K6" s="28"/>
      <c r="L6" s="28"/>
      <c r="M6" s="28"/>
      <c r="N6" s="28"/>
      <c r="O6" s="28"/>
      <c r="P6" s="28"/>
    </row>
    <row r="7" spans="2:16" ht="19.5" customHeight="1" x14ac:dyDescent="0.25">
      <c r="B7" s="864">
        <v>2</v>
      </c>
      <c r="C7" s="863" t="s">
        <v>61</v>
      </c>
      <c r="D7" s="46" t="s">
        <v>59</v>
      </c>
      <c r="E7" s="861">
        <f>+E5-F5</f>
        <v>489.25152899128989</v>
      </c>
      <c r="F7" s="861"/>
      <c r="G7" s="861">
        <f>+G5-H5</f>
        <v>721.49439999999959</v>
      </c>
      <c r="H7" s="861"/>
      <c r="I7" s="861">
        <f>+I5-J5</f>
        <v>1926.672813261217</v>
      </c>
      <c r="J7" s="862"/>
      <c r="K7" s="28"/>
      <c r="L7" s="28"/>
      <c r="M7" s="28"/>
      <c r="N7" s="28"/>
      <c r="O7" s="28"/>
      <c r="P7" s="28"/>
    </row>
    <row r="8" spans="2:16" ht="21.75" customHeight="1" x14ac:dyDescent="0.25">
      <c r="B8" s="864"/>
      <c r="C8" s="863"/>
      <c r="D8" s="40" t="s">
        <v>60</v>
      </c>
      <c r="E8" s="867">
        <f>+E6-F6</f>
        <v>2.0397719006040704E-2</v>
      </c>
      <c r="F8" s="867"/>
      <c r="G8" s="867">
        <f>+G6-H6</f>
        <v>3.0080314855579965E-2</v>
      </c>
      <c r="H8" s="867"/>
      <c r="I8" s="867">
        <f>+I6-J6</f>
        <v>4.0163114811829131E-2</v>
      </c>
      <c r="J8" s="868"/>
      <c r="K8" s="28"/>
      <c r="L8" s="28"/>
      <c r="M8" s="28"/>
      <c r="N8" s="28"/>
      <c r="O8" s="28"/>
      <c r="P8" s="28"/>
    </row>
    <row r="9" spans="2:16" ht="21.75" customHeight="1" x14ac:dyDescent="0.25">
      <c r="B9" s="864">
        <v>3</v>
      </c>
      <c r="C9" s="863" t="s">
        <v>76</v>
      </c>
      <c r="D9" s="46" t="s">
        <v>59</v>
      </c>
      <c r="E9" s="861">
        <v>0</v>
      </c>
      <c r="F9" s="861"/>
      <c r="G9" s="861">
        <v>0</v>
      </c>
      <c r="H9" s="861"/>
      <c r="I9" s="861">
        <v>681</v>
      </c>
      <c r="J9" s="862"/>
      <c r="K9" s="28"/>
      <c r="L9" s="28"/>
      <c r="M9" s="28"/>
      <c r="N9" s="28"/>
      <c r="O9" s="28"/>
      <c r="P9" s="28"/>
    </row>
    <row r="10" spans="2:16" ht="30" customHeight="1" x14ac:dyDescent="0.25">
      <c r="B10" s="864"/>
      <c r="C10" s="863"/>
      <c r="D10" s="40" t="s">
        <v>60</v>
      </c>
      <c r="E10" s="865">
        <v>0</v>
      </c>
      <c r="F10" s="865"/>
      <c r="G10" s="865">
        <v>0</v>
      </c>
      <c r="H10" s="865"/>
      <c r="I10" s="865">
        <f>+I9/1998.8/24</f>
        <v>1.4196017610566341E-2</v>
      </c>
      <c r="J10" s="866"/>
      <c r="K10" s="28"/>
      <c r="L10" s="28"/>
      <c r="M10" s="28"/>
      <c r="N10" s="28"/>
      <c r="O10" s="28"/>
      <c r="P10" s="28"/>
    </row>
    <row r="11" spans="2:16" ht="30" customHeight="1" x14ac:dyDescent="0.25">
      <c r="B11" s="864">
        <v>4</v>
      </c>
      <c r="C11" s="863" t="s">
        <v>62</v>
      </c>
      <c r="D11" s="46" t="s">
        <v>59</v>
      </c>
      <c r="E11" s="861">
        <v>359</v>
      </c>
      <c r="F11" s="861"/>
      <c r="G11" s="861">
        <v>602</v>
      </c>
      <c r="H11" s="861"/>
      <c r="I11" s="861">
        <v>967</v>
      </c>
      <c r="J11" s="862"/>
      <c r="K11" s="28"/>
      <c r="L11" s="28"/>
      <c r="M11" s="28"/>
      <c r="N11" s="28"/>
      <c r="O11" s="28"/>
      <c r="P11" s="28"/>
    </row>
    <row r="12" spans="2:16" ht="23.25" x14ac:dyDescent="0.25">
      <c r="B12" s="864"/>
      <c r="C12" s="863"/>
      <c r="D12" s="40" t="s">
        <v>60</v>
      </c>
      <c r="E12" s="867">
        <f>+E11/999.4/24</f>
        <v>1.4967313721566273E-2</v>
      </c>
      <c r="F12" s="867"/>
      <c r="G12" s="867">
        <f>+G8-0.5%</f>
        <v>2.5080314855579964E-2</v>
      </c>
      <c r="H12" s="867"/>
      <c r="I12" s="867">
        <f>+I8-I10-0.5%</f>
        <v>2.0967097201262792E-2</v>
      </c>
      <c r="J12" s="868"/>
      <c r="K12" s="28"/>
      <c r="L12" s="28"/>
      <c r="M12" s="28"/>
      <c r="N12" s="28"/>
      <c r="O12" s="28"/>
      <c r="P12" s="28"/>
    </row>
    <row r="13" spans="2:16" ht="112.5" customHeight="1" x14ac:dyDescent="0.25">
      <c r="B13" s="33">
        <v>5</v>
      </c>
      <c r="C13" s="32" t="s">
        <v>81</v>
      </c>
      <c r="D13" s="869" t="s">
        <v>82</v>
      </c>
      <c r="E13" s="869"/>
      <c r="F13" s="869"/>
      <c r="G13" s="870" t="s">
        <v>83</v>
      </c>
      <c r="H13" s="870"/>
      <c r="I13" s="870" t="s">
        <v>84</v>
      </c>
      <c r="J13" s="884"/>
      <c r="K13" s="28"/>
      <c r="L13" s="28"/>
      <c r="M13" s="28"/>
      <c r="N13" s="28"/>
      <c r="O13" s="28"/>
      <c r="P13" s="28"/>
    </row>
    <row r="14" spans="2:16" ht="68.25" customHeight="1" x14ac:dyDescent="0.25">
      <c r="B14" s="873">
        <v>6</v>
      </c>
      <c r="C14" s="874" t="s">
        <v>63</v>
      </c>
      <c r="D14" s="869" t="s">
        <v>77</v>
      </c>
      <c r="E14" s="869"/>
      <c r="F14" s="869"/>
      <c r="G14" s="870" t="s">
        <v>66</v>
      </c>
      <c r="H14" s="870"/>
      <c r="I14" s="870" t="s">
        <v>73</v>
      </c>
      <c r="J14" s="884"/>
      <c r="K14" s="28"/>
      <c r="L14" s="28"/>
      <c r="M14" s="28"/>
      <c r="N14" s="28"/>
      <c r="O14" s="28"/>
      <c r="P14" s="28"/>
    </row>
    <row r="15" spans="2:16" ht="66.75" customHeight="1" x14ac:dyDescent="0.25">
      <c r="B15" s="873"/>
      <c r="C15" s="874"/>
      <c r="D15" s="869" t="s">
        <v>85</v>
      </c>
      <c r="E15" s="869"/>
      <c r="F15" s="869"/>
      <c r="G15" s="870" t="s">
        <v>67</v>
      </c>
      <c r="H15" s="870"/>
      <c r="I15" s="870" t="s">
        <v>72</v>
      </c>
      <c r="J15" s="884"/>
      <c r="K15" s="28"/>
      <c r="L15" s="28"/>
      <c r="M15" s="28"/>
      <c r="N15" s="28"/>
      <c r="O15" s="28"/>
      <c r="P15" s="28"/>
    </row>
    <row r="16" spans="2:16" ht="54.75" customHeight="1" x14ac:dyDescent="0.25">
      <c r="B16" s="873"/>
      <c r="C16" s="874"/>
      <c r="D16" s="869" t="s">
        <v>65</v>
      </c>
      <c r="E16" s="869"/>
      <c r="F16" s="869"/>
      <c r="G16" s="870" t="s">
        <v>68</v>
      </c>
      <c r="H16" s="870"/>
      <c r="I16" s="869" t="s">
        <v>78</v>
      </c>
      <c r="J16" s="881"/>
      <c r="K16" s="28"/>
      <c r="L16" s="28"/>
      <c r="M16" s="28"/>
      <c r="N16" s="28"/>
      <c r="O16" s="28"/>
      <c r="P16" s="28"/>
    </row>
    <row r="17" spans="2:16" ht="58.5" customHeight="1" x14ac:dyDescent="0.25">
      <c r="B17" s="873"/>
      <c r="C17" s="874"/>
      <c r="D17" s="872"/>
      <c r="E17" s="872"/>
      <c r="F17" s="872"/>
      <c r="G17" s="870" t="s">
        <v>69</v>
      </c>
      <c r="H17" s="870"/>
      <c r="I17" s="869"/>
      <c r="J17" s="881"/>
      <c r="K17" s="28"/>
      <c r="L17" s="28"/>
      <c r="M17" s="28"/>
      <c r="N17" s="28"/>
      <c r="O17" s="28"/>
      <c r="P17" s="28"/>
    </row>
    <row r="18" spans="2:16" ht="62.25" customHeight="1" x14ac:dyDescent="0.25">
      <c r="B18" s="873">
        <v>7</v>
      </c>
      <c r="C18" s="874" t="s">
        <v>64</v>
      </c>
      <c r="D18" s="870" t="s">
        <v>80</v>
      </c>
      <c r="E18" s="870"/>
      <c r="F18" s="870"/>
      <c r="G18" s="870" t="s">
        <v>70</v>
      </c>
      <c r="H18" s="870"/>
      <c r="I18" s="869" t="s">
        <v>74</v>
      </c>
      <c r="J18" s="881"/>
    </row>
    <row r="19" spans="2:16" ht="49.5" customHeight="1" thickBot="1" x14ac:dyDescent="0.3">
      <c r="B19" s="876"/>
      <c r="C19" s="875"/>
      <c r="D19" s="871" t="s">
        <v>79</v>
      </c>
      <c r="E19" s="871"/>
      <c r="F19" s="871"/>
      <c r="G19" s="882" t="s">
        <v>71</v>
      </c>
      <c r="H19" s="882"/>
      <c r="I19" s="882"/>
      <c r="J19" s="883"/>
    </row>
    <row r="24" spans="2:16" x14ac:dyDescent="0.3">
      <c r="H24" s="31"/>
      <c r="I24" s="31"/>
    </row>
    <row r="25" spans="2:16" x14ac:dyDescent="0.3">
      <c r="H25" s="31"/>
      <c r="I25" s="31"/>
    </row>
  </sheetData>
  <mergeCells count="55">
    <mergeCell ref="I18:J19"/>
    <mergeCell ref="I13:J13"/>
    <mergeCell ref="G14:H14"/>
    <mergeCell ref="G15:H15"/>
    <mergeCell ref="G17:H17"/>
    <mergeCell ref="G16:H16"/>
    <mergeCell ref="I14:J14"/>
    <mergeCell ref="I15:J15"/>
    <mergeCell ref="I16:J17"/>
    <mergeCell ref="G18:H18"/>
    <mergeCell ref="G19:H19"/>
    <mergeCell ref="B14:B17"/>
    <mergeCell ref="C18:C19"/>
    <mergeCell ref="B18:B19"/>
    <mergeCell ref="L4:O4"/>
    <mergeCell ref="E3:F3"/>
    <mergeCell ref="C5:C6"/>
    <mergeCell ref="E7:F7"/>
    <mergeCell ref="E8:F8"/>
    <mergeCell ref="C7:C8"/>
    <mergeCell ref="G7:H7"/>
    <mergeCell ref="G8:H8"/>
    <mergeCell ref="I7:J7"/>
    <mergeCell ref="G3:H3"/>
    <mergeCell ref="I3:J3"/>
    <mergeCell ref="I8:J8"/>
    <mergeCell ref="C14:C17"/>
    <mergeCell ref="C9:C10"/>
    <mergeCell ref="E9:F9"/>
    <mergeCell ref="E10:F10"/>
    <mergeCell ref="G9:H9"/>
    <mergeCell ref="D13:F13"/>
    <mergeCell ref="G13:H13"/>
    <mergeCell ref="D14:F14"/>
    <mergeCell ref="D16:F16"/>
    <mergeCell ref="D18:F18"/>
    <mergeCell ref="D19:F19"/>
    <mergeCell ref="D15:F15"/>
    <mergeCell ref="D17:F17"/>
    <mergeCell ref="B2:J2"/>
    <mergeCell ref="B3:D3"/>
    <mergeCell ref="E11:F11"/>
    <mergeCell ref="G11:H11"/>
    <mergeCell ref="I11:J11"/>
    <mergeCell ref="C11:C12"/>
    <mergeCell ref="B11:B12"/>
    <mergeCell ref="I9:J9"/>
    <mergeCell ref="I10:J10"/>
    <mergeCell ref="I12:J12"/>
    <mergeCell ref="G12:H12"/>
    <mergeCell ref="G10:H10"/>
    <mergeCell ref="E12:F12"/>
    <mergeCell ref="B5:B6"/>
    <mergeCell ref="B7:B8"/>
    <mergeCell ref="B9:B10"/>
  </mergeCells>
  <pageMargins left="0.7" right="0.7" top="0.75" bottom="0.75" header="0.3" footer="0.3"/>
  <pageSetup paperSize="9" scale="51" orientation="landscape" r:id="rId1"/>
  <colBreaks count="1" manualBreakCount="1">
    <brk id="10" max="17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15"/>
  <sheetViews>
    <sheetView workbookViewId="0">
      <selection activeCell="H8" sqref="H8:H11"/>
    </sheetView>
  </sheetViews>
  <sheetFormatPr defaultRowHeight="15" x14ac:dyDescent="0.25"/>
  <sheetData>
    <row r="7" spans="7:8" x14ac:dyDescent="0.25">
      <c r="G7">
        <f>359</f>
        <v>359</v>
      </c>
    </row>
    <row r="8" spans="7:8" x14ac:dyDescent="0.25">
      <c r="G8">
        <v>480</v>
      </c>
    </row>
    <row r="9" spans="7:8" x14ac:dyDescent="0.25">
      <c r="G9">
        <v>360</v>
      </c>
    </row>
    <row r="10" spans="7:8" x14ac:dyDescent="0.25">
      <c r="G10">
        <v>240</v>
      </c>
      <c r="H10">
        <v>210</v>
      </c>
    </row>
    <row r="11" spans="7:8" x14ac:dyDescent="0.25">
      <c r="G11">
        <v>223</v>
      </c>
      <c r="H11">
        <v>105</v>
      </c>
    </row>
    <row r="12" spans="7:8" x14ac:dyDescent="0.25">
      <c r="G12">
        <v>360</v>
      </c>
    </row>
    <row r="13" spans="7:8" x14ac:dyDescent="0.25">
      <c r="G13">
        <v>335</v>
      </c>
    </row>
    <row r="14" spans="7:8" x14ac:dyDescent="0.25">
      <c r="G14">
        <v>360</v>
      </c>
    </row>
    <row r="15" spans="7:8" x14ac:dyDescent="0.25">
      <c r="G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topLeftCell="E28" workbookViewId="0">
      <selection activeCell="G26" sqref="G26"/>
    </sheetView>
  </sheetViews>
  <sheetFormatPr defaultColWidth="9.140625" defaultRowHeight="15" x14ac:dyDescent="0.25"/>
  <cols>
    <col min="1" max="1" width="14.28515625" style="104" customWidth="1"/>
    <col min="2" max="2" width="9.140625" style="104" customWidth="1"/>
    <col min="3" max="3" width="15.42578125" style="159" customWidth="1"/>
    <col min="4" max="4" width="14.42578125" style="159" customWidth="1"/>
    <col min="5" max="5" width="20.140625" style="154" customWidth="1"/>
    <col min="6" max="6" width="18" style="154" customWidth="1"/>
    <col min="7" max="7" width="9.140625" style="154" customWidth="1"/>
    <col min="8" max="8" width="18.5703125" style="160" customWidth="1"/>
    <col min="9" max="9" width="15.85546875" style="161" customWidth="1"/>
    <col min="10" max="10" width="10.85546875" style="160" customWidth="1"/>
    <col min="11" max="14" width="16.85546875" style="154" customWidth="1"/>
    <col min="15" max="16" width="18.7109375" style="154" hidden="1" customWidth="1"/>
    <col min="17" max="17" width="14.140625" style="154" hidden="1" customWidth="1"/>
    <col min="18" max="20" width="11.5703125" style="154" hidden="1" customWidth="1"/>
    <col min="21" max="21" width="7.42578125" style="155" hidden="1" customWidth="1"/>
    <col min="22" max="22" width="10" style="156" hidden="1" customWidth="1"/>
    <col min="23" max="23" width="9" style="154" hidden="1" customWidth="1"/>
    <col min="24" max="24" width="9" hidden="1" customWidth="1"/>
    <col min="25" max="25" width="9" style="104" hidden="1" customWidth="1"/>
    <col min="26" max="28" width="13.42578125" style="104" hidden="1" customWidth="1"/>
    <col min="29" max="30" width="0" style="104" hidden="1" customWidth="1"/>
    <col min="31" max="31" width="11.5703125" style="104" hidden="1" customWidth="1"/>
    <col min="32" max="41" width="0" style="104" hidden="1" customWidth="1"/>
    <col min="42" max="16384" width="9.140625" style="104"/>
  </cols>
  <sheetData>
    <row r="1" spans="1:256" ht="28.5" x14ac:dyDescent="0.25">
      <c r="A1" s="832" t="s">
        <v>118</v>
      </c>
      <c r="B1" s="832"/>
      <c r="C1" s="832"/>
      <c r="D1" s="832"/>
      <c r="E1" s="832"/>
      <c r="F1" s="832"/>
      <c r="G1" s="832"/>
      <c r="H1" s="832"/>
      <c r="I1" s="832"/>
      <c r="J1" s="832"/>
      <c r="K1" s="832"/>
      <c r="L1" s="832"/>
      <c r="M1" s="98">
        <v>43798</v>
      </c>
      <c r="N1" s="98"/>
      <c r="O1" s="99" t="s">
        <v>119</v>
      </c>
      <c r="P1" s="100">
        <v>2630</v>
      </c>
      <c r="Q1" s="100" t="s">
        <v>120</v>
      </c>
      <c r="R1" s="101"/>
      <c r="S1" s="101"/>
      <c r="T1" s="101"/>
      <c r="U1" s="102"/>
      <c r="V1" s="103"/>
      <c r="W1" s="101"/>
    </row>
    <row r="2" spans="1:256" x14ac:dyDescent="0.25">
      <c r="A2" s="833" t="s">
        <v>121</v>
      </c>
      <c r="B2" s="833" t="s">
        <v>122</v>
      </c>
      <c r="C2" s="836" t="s">
        <v>123</v>
      </c>
      <c r="D2" s="836"/>
      <c r="E2" s="836"/>
      <c r="F2" s="885" t="s">
        <v>124</v>
      </c>
      <c r="G2" s="830" t="s">
        <v>125</v>
      </c>
      <c r="H2" s="837" t="s">
        <v>126</v>
      </c>
      <c r="I2" s="837"/>
      <c r="J2" s="837"/>
      <c r="K2" s="830" t="s">
        <v>127</v>
      </c>
      <c r="L2" s="830" t="s">
        <v>127</v>
      </c>
      <c r="M2" s="830" t="s">
        <v>128</v>
      </c>
      <c r="N2" s="827" t="s">
        <v>129</v>
      </c>
      <c r="O2" s="105" t="s">
        <v>130</v>
      </c>
      <c r="P2" s="106">
        <f>1.979*1.002</f>
        <v>1.982958</v>
      </c>
      <c r="Q2" s="105" t="s">
        <v>131</v>
      </c>
      <c r="R2" s="105"/>
      <c r="S2" s="105"/>
      <c r="T2" s="105"/>
      <c r="U2" s="107"/>
      <c r="V2" s="108"/>
      <c r="W2" s="105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/>
      <c r="EL2" s="109"/>
      <c r="EM2" s="109"/>
      <c r="EN2" s="109"/>
      <c r="EO2" s="109"/>
      <c r="EP2" s="109"/>
      <c r="EQ2" s="109"/>
      <c r="ER2" s="109"/>
      <c r="ES2" s="109"/>
      <c r="ET2" s="109"/>
      <c r="EU2" s="109"/>
      <c r="EV2" s="109"/>
      <c r="EW2" s="109"/>
      <c r="EX2" s="109"/>
      <c r="EY2" s="109"/>
      <c r="EZ2" s="109"/>
      <c r="FA2" s="109"/>
      <c r="FB2" s="109"/>
      <c r="FC2" s="109"/>
      <c r="FD2" s="109"/>
      <c r="FE2" s="109"/>
      <c r="FF2" s="109"/>
      <c r="FG2" s="109"/>
      <c r="FH2" s="109"/>
      <c r="FI2" s="109"/>
      <c r="FJ2" s="109"/>
      <c r="FK2" s="109"/>
      <c r="FL2" s="109"/>
      <c r="FM2" s="109"/>
      <c r="FN2" s="109"/>
      <c r="FO2" s="109"/>
      <c r="FP2" s="109"/>
      <c r="FQ2" s="109"/>
      <c r="FR2" s="109"/>
      <c r="FS2" s="109"/>
      <c r="FT2" s="109"/>
      <c r="FU2" s="109"/>
      <c r="FV2" s="109"/>
      <c r="FW2" s="109"/>
      <c r="FX2" s="109"/>
      <c r="FY2" s="109"/>
      <c r="FZ2" s="109"/>
      <c r="GA2" s="109"/>
      <c r="GB2" s="109"/>
      <c r="GC2" s="109"/>
      <c r="GD2" s="109"/>
      <c r="GE2" s="109"/>
      <c r="GF2" s="109"/>
      <c r="GG2" s="109"/>
      <c r="GH2" s="109"/>
      <c r="GI2" s="109"/>
      <c r="GJ2" s="109"/>
      <c r="GK2" s="109"/>
      <c r="GL2" s="109"/>
      <c r="GM2" s="109"/>
      <c r="GN2" s="109"/>
      <c r="GO2" s="109"/>
      <c r="GP2" s="109"/>
      <c r="GQ2" s="109"/>
      <c r="GR2" s="109"/>
      <c r="GS2" s="109"/>
      <c r="GT2" s="109"/>
      <c r="GU2" s="109"/>
      <c r="GV2" s="109"/>
      <c r="GW2" s="109"/>
      <c r="GX2" s="109"/>
      <c r="GY2" s="109"/>
      <c r="GZ2" s="109"/>
      <c r="HA2" s="109"/>
      <c r="HB2" s="109"/>
      <c r="HC2" s="109"/>
      <c r="HD2" s="109"/>
      <c r="HE2" s="109"/>
      <c r="HF2" s="109"/>
      <c r="HG2" s="109"/>
      <c r="HH2" s="109"/>
      <c r="HI2" s="109"/>
      <c r="HJ2" s="109"/>
      <c r="HK2" s="109"/>
      <c r="HL2" s="109"/>
      <c r="HM2" s="109"/>
      <c r="HN2" s="109"/>
      <c r="HO2" s="109"/>
      <c r="HP2" s="109"/>
      <c r="HQ2" s="109"/>
      <c r="HR2" s="109"/>
      <c r="HS2" s="109"/>
      <c r="HT2" s="109"/>
      <c r="HU2" s="109"/>
      <c r="HV2" s="109"/>
      <c r="HW2" s="109"/>
      <c r="HX2" s="109"/>
      <c r="HY2" s="109"/>
      <c r="HZ2" s="109"/>
      <c r="IA2" s="109"/>
      <c r="IB2" s="109"/>
      <c r="IC2" s="109"/>
      <c r="ID2" s="109"/>
      <c r="IE2" s="109"/>
      <c r="IF2" s="109"/>
      <c r="IG2" s="109"/>
      <c r="IH2" s="109"/>
      <c r="II2" s="109"/>
      <c r="IJ2" s="109"/>
      <c r="IK2" s="109"/>
      <c r="IL2" s="109"/>
      <c r="IM2" s="109"/>
      <c r="IN2" s="109"/>
      <c r="IO2" s="109"/>
      <c r="IP2" s="109"/>
      <c r="IQ2" s="109"/>
      <c r="IR2" s="109"/>
      <c r="IS2" s="109"/>
      <c r="IT2" s="109"/>
      <c r="IU2" s="109"/>
      <c r="IV2" s="109"/>
    </row>
    <row r="3" spans="1:256" ht="60" x14ac:dyDescent="0.25">
      <c r="A3" s="834"/>
      <c r="B3" s="834"/>
      <c r="C3" s="110" t="s">
        <v>132</v>
      </c>
      <c r="D3" s="110" t="s">
        <v>133</v>
      </c>
      <c r="E3" s="111" t="s">
        <v>134</v>
      </c>
      <c r="F3" s="885"/>
      <c r="G3" s="830"/>
      <c r="H3" s="111" t="s">
        <v>135</v>
      </c>
      <c r="I3" s="112" t="s">
        <v>136</v>
      </c>
      <c r="J3" s="113" t="s">
        <v>137</v>
      </c>
      <c r="K3" s="830"/>
      <c r="L3" s="830"/>
      <c r="M3" s="830"/>
      <c r="N3" s="827"/>
      <c r="O3" s="105" t="s">
        <v>138</v>
      </c>
      <c r="P3" s="114">
        <f>P1*P2</f>
        <v>5215.1795400000001</v>
      </c>
      <c r="Q3" s="105" t="s">
        <v>131</v>
      </c>
      <c r="R3" s="115" t="s">
        <v>139</v>
      </c>
      <c r="S3" s="105" t="s">
        <v>140</v>
      </c>
      <c r="T3" s="115" t="s">
        <v>141</v>
      </c>
      <c r="U3" s="107" t="s">
        <v>142</v>
      </c>
      <c r="V3" s="108"/>
      <c r="W3" s="105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09"/>
      <c r="HD3" s="109"/>
      <c r="HE3" s="109"/>
      <c r="HF3" s="109"/>
      <c r="HG3" s="109"/>
      <c r="HH3" s="109"/>
      <c r="HI3" s="109"/>
      <c r="HJ3" s="109"/>
      <c r="HK3" s="109"/>
      <c r="HL3" s="109"/>
      <c r="HM3" s="109"/>
      <c r="HN3" s="109"/>
      <c r="HO3" s="109"/>
      <c r="HP3" s="109"/>
      <c r="HQ3" s="109"/>
      <c r="HR3" s="109"/>
      <c r="HS3" s="109"/>
      <c r="HT3" s="109"/>
      <c r="HU3" s="109"/>
      <c r="HV3" s="109"/>
      <c r="HW3" s="109"/>
      <c r="HX3" s="109"/>
      <c r="HY3" s="109"/>
      <c r="HZ3" s="109"/>
      <c r="IA3" s="109"/>
      <c r="IB3" s="109"/>
      <c r="IC3" s="109"/>
      <c r="ID3" s="109"/>
      <c r="IE3" s="109"/>
      <c r="IF3" s="109"/>
      <c r="IG3" s="109"/>
      <c r="IH3" s="109"/>
      <c r="II3" s="109"/>
      <c r="IJ3" s="109"/>
      <c r="IK3" s="109"/>
      <c r="IL3" s="109"/>
      <c r="IM3" s="109"/>
      <c r="IN3" s="109"/>
      <c r="IO3" s="109"/>
      <c r="IP3" s="109"/>
      <c r="IQ3" s="109"/>
      <c r="IR3" s="109"/>
      <c r="IS3" s="109"/>
      <c r="IT3" s="109"/>
      <c r="IU3" s="109"/>
      <c r="IV3" s="109"/>
    </row>
    <row r="4" spans="1:256" x14ac:dyDescent="0.25">
      <c r="A4" s="834"/>
      <c r="B4" s="834"/>
      <c r="C4" s="828" t="s">
        <v>143</v>
      </c>
      <c r="D4" s="828"/>
      <c r="E4" s="111" t="s">
        <v>144</v>
      </c>
      <c r="F4" s="111" t="s">
        <v>144</v>
      </c>
      <c r="G4" s="111" t="s">
        <v>145</v>
      </c>
      <c r="H4" s="111" t="s">
        <v>0</v>
      </c>
      <c r="I4" s="111" t="s">
        <v>0</v>
      </c>
      <c r="J4" s="111" t="s">
        <v>0</v>
      </c>
      <c r="K4" s="111" t="s">
        <v>144</v>
      </c>
      <c r="L4" s="111" t="s">
        <v>144</v>
      </c>
      <c r="M4" s="111" t="s">
        <v>0</v>
      </c>
      <c r="N4" s="111" t="s">
        <v>0</v>
      </c>
      <c r="O4" s="109" t="s">
        <v>146</v>
      </c>
      <c r="P4" s="116">
        <f>P1*P6/1000</f>
        <v>999.4</v>
      </c>
      <c r="Q4" s="105"/>
      <c r="R4" s="105" t="s">
        <v>147</v>
      </c>
      <c r="S4" s="105" t="s">
        <v>148</v>
      </c>
      <c r="T4" s="105" t="s">
        <v>147</v>
      </c>
      <c r="U4" s="107" t="s">
        <v>149</v>
      </c>
      <c r="V4" s="108"/>
      <c r="W4" s="105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/>
      <c r="DD4" s="109"/>
      <c r="DE4" s="109"/>
      <c r="DF4" s="109"/>
      <c r="DG4" s="109"/>
      <c r="DH4" s="109"/>
      <c r="DI4" s="109"/>
      <c r="DJ4" s="109"/>
      <c r="DK4" s="109"/>
      <c r="DL4" s="109"/>
      <c r="DM4" s="109"/>
      <c r="DN4" s="109"/>
      <c r="DO4" s="109"/>
      <c r="DP4" s="109"/>
      <c r="DQ4" s="109"/>
      <c r="DR4" s="109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109"/>
      <c r="ET4" s="109"/>
      <c r="EU4" s="109"/>
      <c r="EV4" s="109"/>
      <c r="EW4" s="109"/>
      <c r="EX4" s="109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109"/>
      <c r="FL4" s="109"/>
      <c r="FM4" s="109"/>
      <c r="FN4" s="109"/>
      <c r="FO4" s="109"/>
      <c r="FP4" s="109"/>
      <c r="FQ4" s="109"/>
      <c r="FR4" s="109"/>
      <c r="FS4" s="109"/>
      <c r="FT4" s="109"/>
      <c r="FU4" s="109"/>
      <c r="FV4" s="109"/>
      <c r="FW4" s="109"/>
      <c r="FX4" s="109"/>
      <c r="FY4" s="109"/>
      <c r="FZ4" s="109"/>
      <c r="GA4" s="109"/>
      <c r="GB4" s="109"/>
      <c r="GC4" s="109"/>
      <c r="GD4" s="109"/>
      <c r="GE4" s="109"/>
      <c r="GF4" s="109"/>
      <c r="GG4" s="109"/>
      <c r="GH4" s="109"/>
      <c r="GI4" s="109"/>
      <c r="GJ4" s="109"/>
      <c r="GK4" s="109"/>
      <c r="GL4" s="109"/>
      <c r="GM4" s="109"/>
      <c r="GN4" s="109"/>
      <c r="GO4" s="109"/>
      <c r="GP4" s="109"/>
      <c r="GQ4" s="109"/>
      <c r="GR4" s="109"/>
      <c r="GS4" s="109"/>
      <c r="GT4" s="109"/>
      <c r="GU4" s="109"/>
      <c r="GV4" s="109"/>
      <c r="GW4" s="109"/>
      <c r="GX4" s="109"/>
      <c r="GY4" s="109"/>
      <c r="GZ4" s="109"/>
      <c r="HA4" s="109"/>
      <c r="HB4" s="109"/>
      <c r="HC4" s="109"/>
      <c r="HD4" s="109"/>
      <c r="HE4" s="109"/>
      <c r="HF4" s="109"/>
      <c r="HG4" s="109"/>
      <c r="HH4" s="109"/>
      <c r="HI4" s="109"/>
      <c r="HJ4" s="109"/>
      <c r="HK4" s="109"/>
      <c r="HL4" s="109"/>
      <c r="HM4" s="109"/>
      <c r="HN4" s="109"/>
      <c r="HO4" s="109"/>
      <c r="HP4" s="109"/>
      <c r="HQ4" s="109"/>
      <c r="HR4" s="109"/>
      <c r="HS4" s="109"/>
      <c r="HT4" s="109"/>
      <c r="HU4" s="109"/>
      <c r="HV4" s="109"/>
      <c r="HW4" s="109"/>
      <c r="HX4" s="109"/>
      <c r="HY4" s="109"/>
      <c r="HZ4" s="109"/>
      <c r="IA4" s="109"/>
      <c r="IB4" s="109"/>
      <c r="IC4" s="109"/>
      <c r="ID4" s="109"/>
      <c r="IE4" s="109"/>
      <c r="IF4" s="109"/>
      <c r="IG4" s="109"/>
      <c r="IH4" s="109"/>
      <c r="II4" s="109"/>
      <c r="IJ4" s="109"/>
      <c r="IK4" s="109"/>
      <c r="IL4" s="109"/>
      <c r="IM4" s="109"/>
      <c r="IN4" s="109"/>
      <c r="IO4" s="109"/>
      <c r="IP4" s="109"/>
      <c r="IQ4" s="109"/>
      <c r="IR4" s="109"/>
      <c r="IS4" s="109"/>
      <c r="IT4" s="109"/>
      <c r="IU4" s="109"/>
      <c r="IV4" s="109"/>
    </row>
    <row r="5" spans="1:256" x14ac:dyDescent="0.25">
      <c r="A5" s="835"/>
      <c r="B5" s="835"/>
      <c r="C5" s="110" t="s">
        <v>150</v>
      </c>
      <c r="D5" s="110" t="s">
        <v>151</v>
      </c>
      <c r="E5" s="111" t="s">
        <v>152</v>
      </c>
      <c r="F5" s="111" t="s">
        <v>153</v>
      </c>
      <c r="G5" s="111" t="s">
        <v>154</v>
      </c>
      <c r="H5" s="111" t="s">
        <v>155</v>
      </c>
      <c r="I5" s="111" t="s">
        <v>156</v>
      </c>
      <c r="J5" s="111" t="s">
        <v>157</v>
      </c>
      <c r="K5" s="111" t="s">
        <v>158</v>
      </c>
      <c r="L5" s="111" t="s">
        <v>159</v>
      </c>
      <c r="M5" s="111" t="s">
        <v>160</v>
      </c>
      <c r="N5" s="111" t="s">
        <v>161</v>
      </c>
      <c r="O5" s="105" t="s">
        <v>162</v>
      </c>
      <c r="P5" s="117">
        <v>0.19159999999999999</v>
      </c>
      <c r="Q5" s="105"/>
      <c r="R5" s="105"/>
      <c r="S5" s="105"/>
      <c r="T5" s="105"/>
      <c r="U5" s="107"/>
      <c r="V5" s="108"/>
      <c r="W5" s="105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09"/>
      <c r="CC5" s="109"/>
      <c r="CD5" s="109"/>
      <c r="CE5" s="109"/>
      <c r="CF5" s="109"/>
      <c r="CG5" s="109"/>
      <c r="CH5" s="109"/>
      <c r="CI5" s="109"/>
      <c r="CJ5" s="109"/>
      <c r="CK5" s="109"/>
      <c r="CL5" s="109"/>
      <c r="CM5" s="109"/>
      <c r="CN5" s="109"/>
      <c r="CO5" s="109"/>
      <c r="CP5" s="109"/>
      <c r="CQ5" s="109"/>
      <c r="CR5" s="109"/>
      <c r="CS5" s="109"/>
      <c r="CT5" s="109"/>
      <c r="CU5" s="109"/>
      <c r="CV5" s="109"/>
      <c r="CW5" s="109"/>
      <c r="CX5" s="109"/>
      <c r="CY5" s="109"/>
      <c r="CZ5" s="109"/>
      <c r="DA5" s="109"/>
      <c r="DB5" s="109"/>
      <c r="DC5" s="109"/>
      <c r="DD5" s="109"/>
      <c r="DE5" s="109"/>
      <c r="DF5" s="109"/>
      <c r="DG5" s="109"/>
      <c r="DH5" s="109"/>
      <c r="DI5" s="109"/>
      <c r="DJ5" s="109"/>
      <c r="DK5" s="109"/>
      <c r="DL5" s="109"/>
      <c r="DM5" s="109"/>
      <c r="DN5" s="109"/>
      <c r="DO5" s="109"/>
      <c r="DP5" s="109"/>
      <c r="DQ5" s="109"/>
      <c r="DR5" s="109"/>
      <c r="DS5" s="109"/>
      <c r="DT5" s="109"/>
      <c r="DU5" s="109"/>
      <c r="DV5" s="109"/>
      <c r="DW5" s="109"/>
      <c r="DX5" s="109"/>
      <c r="DY5" s="109"/>
      <c r="DZ5" s="109"/>
      <c r="EA5" s="109"/>
      <c r="EB5" s="109"/>
      <c r="EC5" s="109"/>
      <c r="ED5" s="109"/>
      <c r="EE5" s="109"/>
      <c r="EF5" s="109"/>
      <c r="EG5" s="109"/>
      <c r="EH5" s="109"/>
      <c r="EI5" s="109"/>
      <c r="EJ5" s="109"/>
      <c r="EK5" s="109"/>
      <c r="EL5" s="109"/>
      <c r="EM5" s="109"/>
      <c r="EN5" s="109"/>
      <c r="EO5" s="109"/>
      <c r="EP5" s="109"/>
      <c r="EQ5" s="109"/>
      <c r="ER5" s="109"/>
      <c r="ES5" s="109"/>
      <c r="ET5" s="109"/>
      <c r="EU5" s="109"/>
      <c r="EV5" s="109"/>
      <c r="EW5" s="109"/>
      <c r="EX5" s="109"/>
      <c r="EY5" s="109"/>
      <c r="EZ5" s="109"/>
      <c r="FA5" s="109"/>
      <c r="FB5" s="109"/>
      <c r="FC5" s="109"/>
      <c r="FD5" s="109"/>
      <c r="FE5" s="109"/>
      <c r="FF5" s="109"/>
      <c r="FG5" s="109"/>
      <c r="FH5" s="109"/>
      <c r="FI5" s="109"/>
      <c r="FJ5" s="109"/>
      <c r="FK5" s="109"/>
      <c r="FL5" s="109"/>
      <c r="FM5" s="109"/>
      <c r="FN5" s="109"/>
      <c r="FO5" s="109"/>
      <c r="FP5" s="109"/>
      <c r="FQ5" s="109"/>
      <c r="FR5" s="109"/>
      <c r="FS5" s="109"/>
      <c r="FT5" s="109"/>
      <c r="FU5" s="109"/>
      <c r="FV5" s="109"/>
      <c r="FW5" s="109"/>
      <c r="FX5" s="109"/>
      <c r="FY5" s="109"/>
      <c r="FZ5" s="109"/>
      <c r="GA5" s="109"/>
      <c r="GB5" s="109"/>
      <c r="GC5" s="109"/>
      <c r="GD5" s="109"/>
      <c r="GE5" s="109"/>
      <c r="GF5" s="109"/>
      <c r="GG5" s="109"/>
      <c r="GH5" s="109"/>
      <c r="GI5" s="109"/>
      <c r="GJ5" s="109"/>
      <c r="GK5" s="109"/>
      <c r="GL5" s="109"/>
      <c r="GM5" s="109"/>
      <c r="GN5" s="109"/>
      <c r="GO5" s="109"/>
      <c r="GP5" s="109"/>
      <c r="GQ5" s="109"/>
      <c r="GR5" s="109"/>
      <c r="GS5" s="109"/>
      <c r="GT5" s="109"/>
      <c r="GU5" s="109"/>
      <c r="GV5" s="109"/>
      <c r="GW5" s="109"/>
      <c r="GX5" s="109"/>
      <c r="GY5" s="109"/>
      <c r="GZ5" s="109"/>
      <c r="HA5" s="109"/>
      <c r="HB5" s="109"/>
      <c r="HC5" s="109"/>
      <c r="HD5" s="109"/>
      <c r="HE5" s="109"/>
      <c r="HF5" s="109"/>
      <c r="HG5" s="109"/>
      <c r="HH5" s="109"/>
      <c r="HI5" s="109"/>
      <c r="HJ5" s="109"/>
      <c r="HK5" s="109"/>
      <c r="HL5" s="109"/>
      <c r="HM5" s="109"/>
      <c r="HN5" s="109"/>
      <c r="HO5" s="109"/>
      <c r="HP5" s="109"/>
      <c r="HQ5" s="109"/>
      <c r="HR5" s="109"/>
      <c r="HS5" s="109"/>
      <c r="HT5" s="109"/>
      <c r="HU5" s="109"/>
      <c r="HV5" s="109"/>
      <c r="HW5" s="109"/>
      <c r="HX5" s="109"/>
      <c r="HY5" s="109"/>
      <c r="HZ5" s="109"/>
      <c r="IA5" s="109"/>
      <c r="IB5" s="109"/>
      <c r="IC5" s="109"/>
      <c r="ID5" s="109"/>
      <c r="IE5" s="109"/>
      <c r="IF5" s="109"/>
      <c r="IG5" s="109"/>
      <c r="IH5" s="109"/>
      <c r="II5" s="109"/>
      <c r="IJ5" s="109"/>
      <c r="IK5" s="109"/>
      <c r="IL5" s="109"/>
      <c r="IM5" s="109"/>
      <c r="IN5" s="109"/>
      <c r="IO5" s="109"/>
      <c r="IP5" s="109"/>
      <c r="IQ5" s="109"/>
      <c r="IR5" s="109"/>
      <c r="IS5" s="109"/>
      <c r="IT5" s="109"/>
      <c r="IU5" s="109"/>
      <c r="IV5" s="109"/>
    </row>
    <row r="6" spans="1:256" x14ac:dyDescent="0.25">
      <c r="A6" s="118"/>
      <c r="B6" s="118"/>
      <c r="C6" s="119" t="s">
        <v>163</v>
      </c>
      <c r="D6" s="119" t="s">
        <v>163</v>
      </c>
      <c r="E6" s="120" t="s">
        <v>164</v>
      </c>
      <c r="F6" s="121" t="s">
        <v>165</v>
      </c>
      <c r="G6" s="122"/>
      <c r="H6" s="122" t="s">
        <v>166</v>
      </c>
      <c r="I6" s="122"/>
      <c r="J6" s="122" t="s">
        <v>167</v>
      </c>
      <c r="K6" s="122" t="s">
        <v>168</v>
      </c>
      <c r="L6" s="122" t="s">
        <v>169</v>
      </c>
      <c r="M6" s="122" t="s">
        <v>170</v>
      </c>
      <c r="N6" s="115" t="s">
        <v>171</v>
      </c>
      <c r="O6" s="115" t="s">
        <v>172</v>
      </c>
      <c r="P6" s="115">
        <v>380</v>
      </c>
      <c r="Q6" s="115"/>
      <c r="R6" s="115" t="s">
        <v>173</v>
      </c>
      <c r="S6" s="115"/>
      <c r="T6" s="115" t="s">
        <v>174</v>
      </c>
      <c r="U6" s="123"/>
      <c r="V6" s="115" t="s">
        <v>173</v>
      </c>
      <c r="W6" s="115" t="s">
        <v>174</v>
      </c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4"/>
      <c r="DY6" s="124"/>
      <c r="DZ6" s="124"/>
      <c r="EA6" s="124"/>
      <c r="EB6" s="124"/>
      <c r="EC6" s="124"/>
      <c r="ED6" s="124"/>
      <c r="EE6" s="124"/>
      <c r="EF6" s="124"/>
      <c r="EG6" s="124"/>
      <c r="EH6" s="124"/>
      <c r="EI6" s="124"/>
      <c r="EJ6" s="124"/>
      <c r="EK6" s="124"/>
      <c r="EL6" s="124"/>
      <c r="EM6" s="124"/>
      <c r="EN6" s="124"/>
      <c r="EO6" s="124"/>
      <c r="EP6" s="124"/>
      <c r="EQ6" s="124"/>
      <c r="ER6" s="124"/>
      <c r="ES6" s="124"/>
      <c r="ET6" s="124"/>
      <c r="EU6" s="124"/>
      <c r="EV6" s="124"/>
      <c r="EW6" s="124"/>
      <c r="EX6" s="124"/>
      <c r="EY6" s="124"/>
      <c r="EZ6" s="124"/>
      <c r="FA6" s="124"/>
      <c r="FB6" s="124"/>
      <c r="FC6" s="124"/>
      <c r="FD6" s="124"/>
      <c r="FE6" s="124"/>
      <c r="FF6" s="124"/>
      <c r="FG6" s="124"/>
      <c r="FH6" s="124"/>
      <c r="FI6" s="124"/>
      <c r="FJ6" s="124"/>
      <c r="FK6" s="124"/>
      <c r="FL6" s="124"/>
      <c r="FM6" s="124"/>
      <c r="FN6" s="124"/>
      <c r="FO6" s="124"/>
      <c r="FP6" s="124"/>
      <c r="FQ6" s="124"/>
      <c r="FR6" s="124"/>
      <c r="FS6" s="124"/>
      <c r="FT6" s="124"/>
      <c r="FU6" s="124"/>
      <c r="FV6" s="124"/>
      <c r="FW6" s="124"/>
      <c r="FX6" s="124"/>
      <c r="FY6" s="124"/>
      <c r="FZ6" s="124"/>
      <c r="GA6" s="124"/>
      <c r="GB6" s="124"/>
      <c r="GC6" s="124"/>
      <c r="GD6" s="124"/>
      <c r="GE6" s="124"/>
      <c r="GF6" s="124"/>
      <c r="GG6" s="124"/>
      <c r="GH6" s="124"/>
      <c r="GI6" s="124"/>
      <c r="GJ6" s="124"/>
      <c r="GK6" s="124"/>
      <c r="GL6" s="124"/>
      <c r="GM6" s="124"/>
      <c r="GN6" s="124"/>
      <c r="GO6" s="124"/>
      <c r="GP6" s="124"/>
      <c r="GQ6" s="124"/>
      <c r="GR6" s="124"/>
      <c r="GS6" s="124"/>
      <c r="GT6" s="124"/>
      <c r="GU6" s="124"/>
      <c r="GV6" s="124"/>
      <c r="GW6" s="124"/>
      <c r="GX6" s="124"/>
      <c r="GY6" s="124"/>
      <c r="GZ6" s="124"/>
      <c r="HA6" s="124"/>
      <c r="HB6" s="124"/>
      <c r="HC6" s="124"/>
      <c r="HD6" s="124"/>
      <c r="HE6" s="124"/>
      <c r="HF6" s="124"/>
      <c r="HG6" s="124"/>
      <c r="HH6" s="124"/>
      <c r="HI6" s="124"/>
      <c r="HJ6" s="124"/>
      <c r="HK6" s="124"/>
      <c r="HL6" s="124"/>
      <c r="HM6" s="124"/>
      <c r="HN6" s="124"/>
      <c r="HO6" s="124"/>
      <c r="HP6" s="124"/>
      <c r="HQ6" s="124"/>
      <c r="HR6" s="124"/>
      <c r="HS6" s="124"/>
      <c r="HT6" s="124"/>
      <c r="HU6" s="124"/>
      <c r="HV6" s="124"/>
      <c r="HW6" s="124"/>
      <c r="HX6" s="124"/>
      <c r="HY6" s="124"/>
      <c r="HZ6" s="124"/>
      <c r="IA6" s="124"/>
      <c r="IB6" s="124"/>
      <c r="IC6" s="124"/>
      <c r="ID6" s="124"/>
      <c r="IE6" s="124"/>
      <c r="IF6" s="124"/>
      <c r="IG6" s="124"/>
      <c r="IH6" s="124"/>
      <c r="II6" s="124"/>
      <c r="IJ6" s="124"/>
      <c r="IK6" s="124"/>
      <c r="IL6" s="124"/>
      <c r="IM6" s="124"/>
      <c r="IN6" s="124"/>
      <c r="IO6" s="124"/>
      <c r="IP6" s="124"/>
      <c r="IQ6" s="124"/>
      <c r="IR6" s="124"/>
      <c r="IS6" s="124"/>
      <c r="IT6" s="124"/>
      <c r="IU6" s="124"/>
      <c r="IV6" s="124"/>
    </row>
    <row r="7" spans="1:256" ht="18.75" x14ac:dyDescent="0.25">
      <c r="A7" s="125" t="s">
        <v>175</v>
      </c>
      <c r="B7" s="126">
        <v>31</v>
      </c>
      <c r="C7" s="127">
        <f>V7</f>
        <v>3.2535963286494205</v>
      </c>
      <c r="D7" s="127">
        <f>W7</f>
        <v>4.9931127178430721</v>
      </c>
      <c r="E7" s="128">
        <f>D7*$P$3</f>
        <v>26039.979287008984</v>
      </c>
      <c r="F7" s="128">
        <f t="shared" ref="F7:F18" si="0">E7*$P$5</f>
        <v>4989.2600313909215</v>
      </c>
      <c r="G7" s="128">
        <v>12.97</v>
      </c>
      <c r="H7" s="129">
        <f>(25-(G7+20))*0.37%</f>
        <v>-2.9488999999999998E-2</v>
      </c>
      <c r="I7" s="129">
        <v>-0.154</v>
      </c>
      <c r="J7" s="129">
        <f t="shared" ref="J7:J18" si="1">SUM(H7:I7)</f>
        <v>-0.18348899999999999</v>
      </c>
      <c r="K7" s="128">
        <f>+F7*(1+J7)</f>
        <v>4073.7856974910328</v>
      </c>
      <c r="L7" s="128">
        <f>K7*B7</f>
        <v>126287.35662222201</v>
      </c>
      <c r="M7" s="130">
        <f>K7/($P$4*24)</f>
        <v>0.16984297651470187</v>
      </c>
      <c r="N7" s="130">
        <f>K7/(D7*$P$4)</f>
        <v>0.81637080248284433</v>
      </c>
      <c r="O7" s="131">
        <f>D7/C7</f>
        <v>1.5346441947565546</v>
      </c>
      <c r="P7" s="132">
        <f>F7*B7</f>
        <v>154667.06097311855</v>
      </c>
      <c r="Q7" s="132"/>
      <c r="R7" s="133">
        <v>106.8</v>
      </c>
      <c r="S7" s="134">
        <v>16.07</v>
      </c>
      <c r="T7" s="133">
        <v>163.9</v>
      </c>
      <c r="U7" s="135">
        <v>115.5</v>
      </c>
      <c r="V7" s="136">
        <f>(R7/B7)*0.944395938091124</f>
        <v>3.2535963286494205</v>
      </c>
      <c r="W7" s="134">
        <f>(T7/B7)*0.944395938091124</f>
        <v>4.9931127178430721</v>
      </c>
      <c r="X7" s="137"/>
      <c r="Y7" s="137"/>
      <c r="AC7" s="104">
        <v>4073.7856974910319</v>
      </c>
      <c r="AD7" s="297">
        <f>AC7-K7</f>
        <v>0</v>
      </c>
      <c r="AE7" s="104">
        <v>0.94439593809112388</v>
      </c>
    </row>
    <row r="8" spans="1:256" ht="18.75" x14ac:dyDescent="0.25">
      <c r="A8" s="125" t="s">
        <v>176</v>
      </c>
      <c r="B8" s="126">
        <v>28</v>
      </c>
      <c r="C8" s="127">
        <f t="shared" ref="C8:D18" si="2">V8</f>
        <v>4.409126799483043</v>
      </c>
      <c r="D8" s="127">
        <f t="shared" si="2"/>
        <v>6.101278165771129</v>
      </c>
      <c r="E8" s="128">
        <f>D8*$P$3</f>
        <v>31819.261057978321</v>
      </c>
      <c r="F8" s="128">
        <f t="shared" si="0"/>
        <v>6096.5704187086458</v>
      </c>
      <c r="G8" s="128">
        <v>16.47</v>
      </c>
      <c r="H8" s="129">
        <f t="shared" ref="H8:H18" si="3">(25-(G8+20))*0.37%</f>
        <v>-4.2438999999999998E-2</v>
      </c>
      <c r="I8" s="129">
        <v>-0.154</v>
      </c>
      <c r="J8" s="129">
        <f t="shared" si="1"/>
        <v>-0.196439</v>
      </c>
      <c r="K8" s="291">
        <f t="shared" ref="K8:K18" si="4">+F8*(1+J8)</f>
        <v>4898.9662222279376</v>
      </c>
      <c r="L8" s="128">
        <f>K8*B8</f>
        <v>137171.05422238226</v>
      </c>
      <c r="M8" s="199">
        <f t="shared" ref="M8:M18" si="5">K8/($P$4*24)</f>
        <v>0.20424614027699695</v>
      </c>
      <c r="N8" s="199">
        <f t="shared" ref="N8:N18" si="6">K8/(D8*$P$4)</f>
        <v>0.80342302603873883</v>
      </c>
      <c r="O8" s="131">
        <f>D8/C8</f>
        <v>1.3837837837837836</v>
      </c>
      <c r="P8" s="132">
        <f t="shared" ref="P8:P18" si="7">F8*B8</f>
        <v>170703.97172384209</v>
      </c>
      <c r="Q8" s="132"/>
      <c r="R8" s="133">
        <v>129.5</v>
      </c>
      <c r="S8" s="134">
        <v>19.399999999999999</v>
      </c>
      <c r="T8" s="133">
        <v>179.2</v>
      </c>
      <c r="U8" s="135">
        <v>126.4</v>
      </c>
      <c r="V8" s="136">
        <f>(R8/B8)*0.953324713401739</f>
        <v>4.409126799483043</v>
      </c>
      <c r="W8" s="134">
        <f>(T8/B8)*0.953324713401739</f>
        <v>6.101278165771129</v>
      </c>
      <c r="X8" s="137"/>
      <c r="Y8" s="137"/>
      <c r="AC8" s="104">
        <v>4898.9662222279385</v>
      </c>
      <c r="AD8" s="297">
        <f t="shared" ref="AD8:AD18" si="8">AC8-K8</f>
        <v>0</v>
      </c>
      <c r="AE8" s="104">
        <v>0.95332471340173919</v>
      </c>
    </row>
    <row r="9" spans="1:256" ht="18.75" x14ac:dyDescent="0.25">
      <c r="A9" s="125" t="s">
        <v>51</v>
      </c>
      <c r="B9" s="126">
        <v>31</v>
      </c>
      <c r="C9" s="290">
        <f t="shared" si="2"/>
        <v>5.5753469194605767</v>
      </c>
      <c r="D9" s="290">
        <f t="shared" si="2"/>
        <v>6.5708345120453</v>
      </c>
      <c r="E9" s="128">
        <f t="shared" ref="E9:E18" si="9">D9*$P$3</f>
        <v>34268.081707944533</v>
      </c>
      <c r="F9" s="128">
        <f t="shared" si="0"/>
        <v>6565.7644552421725</v>
      </c>
      <c r="G9" s="139">
        <v>22.04</v>
      </c>
      <c r="H9" s="129">
        <f t="shared" si="3"/>
        <v>-6.3047999999999993E-2</v>
      </c>
      <c r="I9" s="129">
        <v>-0.154</v>
      </c>
      <c r="J9" s="129">
        <f t="shared" si="1"/>
        <v>-0.21704799999999999</v>
      </c>
      <c r="K9" s="139">
        <f t="shared" si="4"/>
        <v>5140.6784117607694</v>
      </c>
      <c r="L9" s="128">
        <f t="shared" ref="L9:L18" si="10">K9*B9</f>
        <v>159361.03076458385</v>
      </c>
      <c r="M9" s="130">
        <f t="shared" si="5"/>
        <v>0.21432352794012949</v>
      </c>
      <c r="N9" s="130">
        <f t="shared" si="6"/>
        <v>0.78281756466912</v>
      </c>
      <c r="O9" s="131">
        <f>D9/C9</f>
        <v>1.1785516860143723</v>
      </c>
      <c r="P9" s="132">
        <f t="shared" si="7"/>
        <v>203538.69811250735</v>
      </c>
      <c r="Q9" s="132"/>
      <c r="R9" s="133">
        <v>180.9</v>
      </c>
      <c r="S9" s="134">
        <v>25.59</v>
      </c>
      <c r="T9" s="133">
        <v>213.2</v>
      </c>
      <c r="U9" s="135">
        <v>151.69999999999999</v>
      </c>
      <c r="V9" s="136">
        <f>(R9/B9)*0.955421528486887</f>
        <v>5.5753469194605767</v>
      </c>
      <c r="W9" s="134">
        <f>(T9/B9)*0.955421528486887</f>
        <v>6.5708345120453</v>
      </c>
      <c r="X9" s="137"/>
      <c r="Y9" s="137"/>
      <c r="AC9" s="104">
        <v>5140.6784117607704</v>
      </c>
      <c r="AD9" s="297">
        <f t="shared" si="8"/>
        <v>0</v>
      </c>
      <c r="AE9" s="104">
        <v>0.95542152848688733</v>
      </c>
    </row>
    <row r="10" spans="1:256" ht="18.75" x14ac:dyDescent="0.25">
      <c r="A10" s="393" t="s">
        <v>177</v>
      </c>
      <c r="B10" s="394">
        <v>30</v>
      </c>
      <c r="C10" s="395">
        <f t="shared" si="2"/>
        <v>6.3981544069966665</v>
      </c>
      <c r="D10" s="395">
        <v>5.8539438888888888</v>
      </c>
      <c r="E10" s="396">
        <f t="shared" si="9"/>
        <v>30529.368397641367</v>
      </c>
      <c r="F10" s="396">
        <f t="shared" si="0"/>
        <v>5849.4269849880857</v>
      </c>
      <c r="G10" s="396">
        <v>23.933333333333334</v>
      </c>
      <c r="H10" s="397">
        <f t="shared" si="3"/>
        <v>-7.0053333333333356E-2</v>
      </c>
      <c r="I10" s="397">
        <v>-0.154</v>
      </c>
      <c r="J10" s="397">
        <f t="shared" si="1"/>
        <v>-0.22405333333333335</v>
      </c>
      <c r="K10" s="396">
        <f>+F10*(1+J10)-2</f>
        <v>4536.8433709115552</v>
      </c>
      <c r="L10" s="396">
        <f t="shared" si="10"/>
        <v>136105.30112734667</v>
      </c>
      <c r="M10" s="398">
        <f t="shared" si="5"/>
        <v>0.1891486296324276</v>
      </c>
      <c r="N10" s="398">
        <f t="shared" si="6"/>
        <v>0.77547157904854758</v>
      </c>
      <c r="O10" s="131">
        <f t="shared" ref="O10:O18" si="11">D10/C10</f>
        <v>0.91494257820463676</v>
      </c>
      <c r="P10" s="132">
        <f t="shared" si="7"/>
        <v>175482.80954964258</v>
      </c>
      <c r="Q10" s="132"/>
      <c r="R10" s="133">
        <v>201.4</v>
      </c>
      <c r="S10" s="134">
        <v>30.13</v>
      </c>
      <c r="T10" s="133">
        <v>201.4</v>
      </c>
      <c r="U10" s="135">
        <v>157.1</v>
      </c>
      <c r="V10" s="136">
        <f>(R10/B10)*0.953051798460278</f>
        <v>6.3981544069966665</v>
      </c>
      <c r="W10" s="134">
        <f>(T10/B10)*0.953051798460278</f>
        <v>6.3981544069966665</v>
      </c>
      <c r="X10" s="137"/>
      <c r="Y10" s="137"/>
      <c r="AC10" s="104">
        <v>4869.0936963384902</v>
      </c>
      <c r="AD10" s="297">
        <f t="shared" si="8"/>
        <v>332.25032542693498</v>
      </c>
      <c r="AE10" s="104">
        <v>0.95305179846027821</v>
      </c>
    </row>
    <row r="11" spans="1:256" ht="18.75" x14ac:dyDescent="0.25">
      <c r="A11" s="125" t="s">
        <v>178</v>
      </c>
      <c r="B11" s="126">
        <v>31</v>
      </c>
      <c r="C11" s="127">
        <f t="shared" si="2"/>
        <v>6.4629864197775557</v>
      </c>
      <c r="D11" s="127">
        <f>W11-0.075</f>
        <v>6.3879864197775555</v>
      </c>
      <c r="E11" s="128">
        <f t="shared" si="9"/>
        <v>33314.49607822176</v>
      </c>
      <c r="F11" s="128">
        <f t="shared" si="0"/>
        <v>6383.0574485872894</v>
      </c>
      <c r="G11" s="128">
        <v>29.70967741935484</v>
      </c>
      <c r="H11" s="129">
        <f t="shared" si="3"/>
        <v>-9.1425806451612912E-2</v>
      </c>
      <c r="I11" s="129">
        <v>-0.154</v>
      </c>
      <c r="J11" s="129">
        <f t="shared" si="1"/>
        <v>-0.24542580645161291</v>
      </c>
      <c r="K11" s="291">
        <f t="shared" si="4"/>
        <v>4816.4904266407793</v>
      </c>
      <c r="L11" s="128">
        <f t="shared" si="10"/>
        <v>149311.20322586416</v>
      </c>
      <c r="M11" s="130">
        <f t="shared" si="5"/>
        <v>0.20080758566142934</v>
      </c>
      <c r="N11" s="130">
        <f t="shared" si="6"/>
        <v>0.75444463077648904</v>
      </c>
      <c r="O11" s="131">
        <f t="shared" si="11"/>
        <v>0.98839545759055125</v>
      </c>
      <c r="P11" s="132">
        <f t="shared" si="7"/>
        <v>197874.78090620597</v>
      </c>
      <c r="Q11" s="132"/>
      <c r="R11" s="133">
        <v>210.3</v>
      </c>
      <c r="S11" s="134">
        <v>33.68</v>
      </c>
      <c r="T11" s="133">
        <v>210.3</v>
      </c>
      <c r="U11" s="135">
        <v>162.19999999999999</v>
      </c>
      <c r="V11" s="136">
        <f>(R11/B11)*0.952698901631499</f>
        <v>6.4629864197775557</v>
      </c>
      <c r="W11" s="134">
        <f>(T11/B11)*0.952698901631499</f>
        <v>6.4629864197775557</v>
      </c>
      <c r="X11" s="137"/>
      <c r="Y11" s="137"/>
      <c r="AC11" s="104">
        <v>4830.9776227499551</v>
      </c>
      <c r="AD11" s="297">
        <f t="shared" si="8"/>
        <v>14.487196109175784</v>
      </c>
      <c r="AE11" s="104">
        <v>0.95269890163149862</v>
      </c>
      <c r="AQ11" s="104">
        <v>4816.5862627499546</v>
      </c>
      <c r="AR11" s="297">
        <f>K11-AQ11</f>
        <v>-9.5836109175252204E-2</v>
      </c>
    </row>
    <row r="12" spans="1:256" ht="18.75" x14ac:dyDescent="0.25">
      <c r="A12" s="393" t="s">
        <v>179</v>
      </c>
      <c r="B12" s="394">
        <v>30</v>
      </c>
      <c r="C12" s="395">
        <f t="shared" si="2"/>
        <v>5.7498754718228327</v>
      </c>
      <c r="D12" s="395">
        <f>6.09094888888889-0.36</f>
        <v>5.7309488888888893</v>
      </c>
      <c r="E12" s="396">
        <f t="shared" si="9"/>
        <v>29887.927390119068</v>
      </c>
      <c r="F12" s="396">
        <f t="shared" si="0"/>
        <v>5726.5268879468131</v>
      </c>
      <c r="G12" s="396">
        <v>30.99</v>
      </c>
      <c r="H12" s="397">
        <f t="shared" si="3"/>
        <v>-9.6162999999999985E-2</v>
      </c>
      <c r="I12" s="397">
        <v>-0.154</v>
      </c>
      <c r="J12" s="397">
        <f t="shared" si="1"/>
        <v>-0.25016299999999997</v>
      </c>
      <c r="K12" s="396">
        <f t="shared" si="4"/>
        <v>4293.9617420773748</v>
      </c>
      <c r="L12" s="396">
        <f t="shared" si="10"/>
        <v>128818.85226232125</v>
      </c>
      <c r="M12" s="398">
        <f t="shared" si="5"/>
        <v>0.1790224860782042</v>
      </c>
      <c r="N12" s="398">
        <f t="shared" si="6"/>
        <v>0.74970825061919366</v>
      </c>
      <c r="O12" s="131">
        <f t="shared" si="11"/>
        <v>0.99670834907178552</v>
      </c>
      <c r="P12" s="132">
        <f t="shared" si="7"/>
        <v>171795.80663840438</v>
      </c>
      <c r="Q12" s="132"/>
      <c r="R12" s="133">
        <v>182.1</v>
      </c>
      <c r="S12" s="134">
        <v>32.49</v>
      </c>
      <c r="T12" s="133">
        <v>182.1</v>
      </c>
      <c r="U12" s="135">
        <v>142</v>
      </c>
      <c r="V12" s="136">
        <f>(R12/B12)*0.947261197993877</f>
        <v>5.7498754718228327</v>
      </c>
      <c r="W12" s="134">
        <f>(T12/B12)*0.947261197993877</f>
        <v>5.7498754718228327</v>
      </c>
      <c r="X12" s="137"/>
      <c r="Y12" s="137"/>
      <c r="AC12" s="104">
        <v>4308.1426438097496</v>
      </c>
      <c r="AD12" s="297">
        <f t="shared" si="8"/>
        <v>14.180901732374878</v>
      </c>
      <c r="AE12" s="104">
        <v>0.94726119799387654</v>
      </c>
    </row>
    <row r="13" spans="1:256" ht="18.75" x14ac:dyDescent="0.25">
      <c r="A13" s="125" t="s">
        <v>180</v>
      </c>
      <c r="B13" s="126">
        <v>31</v>
      </c>
      <c r="C13" s="127">
        <f t="shared" si="2"/>
        <v>4.7682623180453039</v>
      </c>
      <c r="D13" s="127">
        <f t="shared" si="2"/>
        <v>4.7682623180453039</v>
      </c>
      <c r="E13" s="128">
        <f t="shared" si="9"/>
        <v>24867.344082422842</v>
      </c>
      <c r="F13" s="128">
        <f t="shared" si="0"/>
        <v>4764.5831261922167</v>
      </c>
      <c r="G13" s="128">
        <v>30.17</v>
      </c>
      <c r="H13" s="129">
        <f t="shared" si="3"/>
        <v>-9.3129000000000017E-2</v>
      </c>
      <c r="I13" s="129">
        <v>-0.154</v>
      </c>
      <c r="J13" s="129">
        <f t="shared" si="1"/>
        <v>-0.24712900000000002</v>
      </c>
      <c r="K13" s="291">
        <f t="shared" si="4"/>
        <v>3587.1164627994604</v>
      </c>
      <c r="L13" s="128">
        <f t="shared" si="10"/>
        <v>111200.61034678327</v>
      </c>
      <c r="M13" s="130">
        <f t="shared" si="5"/>
        <v>0.14955291770059789</v>
      </c>
      <c r="N13" s="130">
        <f t="shared" si="6"/>
        <v>0.75274172967181263</v>
      </c>
      <c r="O13" s="131">
        <f t="shared" si="11"/>
        <v>1</v>
      </c>
      <c r="P13" s="132">
        <f t="shared" si="7"/>
        <v>147702.07691195872</v>
      </c>
      <c r="Q13" s="132"/>
      <c r="R13" s="133">
        <v>157.69999999999999</v>
      </c>
      <c r="S13" s="134">
        <v>30.1</v>
      </c>
      <c r="T13" s="133">
        <v>157.69999999999999</v>
      </c>
      <c r="U13" s="135">
        <v>128.5</v>
      </c>
      <c r="V13" s="136">
        <f>(R13/B13)*0.937324869114803</f>
        <v>4.7682623180453039</v>
      </c>
      <c r="W13" s="134">
        <f>(T13/B13)*0.937324869114803</f>
        <v>4.7682623180453039</v>
      </c>
      <c r="X13" s="137"/>
      <c r="Y13" s="137"/>
      <c r="AC13" s="104">
        <v>3587.1164627994613</v>
      </c>
      <c r="AD13" s="297">
        <f t="shared" si="8"/>
        <v>0</v>
      </c>
      <c r="AE13" s="104">
        <v>0.93732486911480339</v>
      </c>
    </row>
    <row r="14" spans="1:256" ht="18.75" x14ac:dyDescent="0.25">
      <c r="A14" s="125" t="s">
        <v>181</v>
      </c>
      <c r="B14" s="126">
        <v>31</v>
      </c>
      <c r="C14" s="127">
        <f t="shared" si="2"/>
        <v>4.8375945385869059</v>
      </c>
      <c r="D14" s="127">
        <f t="shared" si="2"/>
        <v>4.8375945385869059</v>
      </c>
      <c r="E14" s="128">
        <f t="shared" si="9"/>
        <v>25228.924060454174</v>
      </c>
      <c r="F14" s="128">
        <f t="shared" si="0"/>
        <v>4833.8618499830191</v>
      </c>
      <c r="G14" s="128">
        <v>29.15</v>
      </c>
      <c r="H14" s="129">
        <f t="shared" si="3"/>
        <v>-8.9355000000000004E-2</v>
      </c>
      <c r="I14" s="129">
        <v>-0.154</v>
      </c>
      <c r="J14" s="129">
        <f t="shared" si="1"/>
        <v>-0.24335499999999999</v>
      </c>
      <c r="K14" s="291">
        <f t="shared" si="4"/>
        <v>3657.5173994804013</v>
      </c>
      <c r="L14" s="128">
        <f t="shared" si="10"/>
        <v>113383.03938389244</v>
      </c>
      <c r="M14" s="130">
        <f t="shared" si="5"/>
        <v>0.15248805114236882</v>
      </c>
      <c r="N14" s="130">
        <f t="shared" si="6"/>
        <v>0.75651508166409476</v>
      </c>
      <c r="O14" s="131">
        <f t="shared" si="11"/>
        <v>1</v>
      </c>
      <c r="P14" s="132">
        <f t="shared" si="7"/>
        <v>149849.71734947359</v>
      </c>
      <c r="Q14" s="132"/>
      <c r="R14" s="133">
        <v>159.80000000000001</v>
      </c>
      <c r="S14" s="134">
        <v>28.61</v>
      </c>
      <c r="T14" s="133">
        <v>159.80000000000001</v>
      </c>
      <c r="U14" s="135">
        <v>122.7</v>
      </c>
      <c r="V14" s="136">
        <f>(R14/B14)*0.93845701311761</f>
        <v>4.8375945385869059</v>
      </c>
      <c r="W14" s="134">
        <f>(T14/B14)*0.93845701311761</f>
        <v>4.8375945385869059</v>
      </c>
      <c r="X14" s="137"/>
      <c r="Y14" s="137"/>
      <c r="AC14" s="104">
        <v>3657.5173994804004</v>
      </c>
      <c r="AD14" s="297">
        <f t="shared" si="8"/>
        <v>0</v>
      </c>
      <c r="AE14" s="104">
        <v>0.93845701311760954</v>
      </c>
    </row>
    <row r="15" spans="1:256" ht="18.75" x14ac:dyDescent="0.25">
      <c r="A15" s="125" t="s">
        <v>182</v>
      </c>
      <c r="B15" s="126">
        <v>30</v>
      </c>
      <c r="C15" s="127">
        <f t="shared" si="2"/>
        <v>4.8219769618935331</v>
      </c>
      <c r="D15" s="127">
        <f t="shared" si="2"/>
        <v>4.8219769618935331</v>
      </c>
      <c r="E15" s="128">
        <f t="shared" si="9"/>
        <v>25147.475594018513</v>
      </c>
      <c r="F15" s="128">
        <f t="shared" si="0"/>
        <v>4818.2563238139473</v>
      </c>
      <c r="G15" s="128">
        <v>27.49</v>
      </c>
      <c r="H15" s="129">
        <f t="shared" si="3"/>
        <v>-8.3212999999999981E-2</v>
      </c>
      <c r="I15" s="129">
        <v>-0.154</v>
      </c>
      <c r="J15" s="129">
        <f t="shared" si="1"/>
        <v>-0.23721299999999998</v>
      </c>
      <c r="K15" s="291">
        <f t="shared" si="4"/>
        <v>3675.3032864730694</v>
      </c>
      <c r="L15" s="128">
        <f t="shared" si="10"/>
        <v>110259.09859419208</v>
      </c>
      <c r="M15" s="130">
        <f t="shared" si="5"/>
        <v>0.15322957468118661</v>
      </c>
      <c r="N15" s="130">
        <f t="shared" si="6"/>
        <v>0.76265602706329894</v>
      </c>
      <c r="O15" s="131">
        <f t="shared" si="11"/>
        <v>1</v>
      </c>
      <c r="P15" s="132">
        <f t="shared" si="7"/>
        <v>144547.68971441843</v>
      </c>
      <c r="Q15" s="132"/>
      <c r="R15" s="133">
        <v>154.1</v>
      </c>
      <c r="S15" s="134">
        <v>29.11</v>
      </c>
      <c r="T15" s="133">
        <v>154.1</v>
      </c>
      <c r="U15" s="135">
        <v>133.5</v>
      </c>
      <c r="V15" s="136">
        <f>(R15/B15)*0.938736592192122</f>
        <v>4.8219769618935331</v>
      </c>
      <c r="W15" s="134">
        <f>(T15/B15)*0.938736592192122</f>
        <v>4.8219769618935331</v>
      </c>
      <c r="X15" s="137"/>
      <c r="Y15" s="137"/>
      <c r="Z15" s="104">
        <v>491</v>
      </c>
      <c r="AC15" s="104">
        <v>3675.3032864730694</v>
      </c>
      <c r="AD15" s="297">
        <f t="shared" si="8"/>
        <v>0</v>
      </c>
      <c r="AE15" s="104">
        <v>0.93873659219212191</v>
      </c>
    </row>
    <row r="16" spans="1:256" ht="18.75" x14ac:dyDescent="0.25">
      <c r="A16" s="125" t="s">
        <v>183</v>
      </c>
      <c r="B16" s="126">
        <v>31</v>
      </c>
      <c r="C16" s="127">
        <f t="shared" si="2"/>
        <v>4.8841824719383533</v>
      </c>
      <c r="D16" s="127">
        <f t="shared" si="2"/>
        <v>6.3605096674864692</v>
      </c>
      <c r="E16" s="128">
        <f t="shared" si="9"/>
        <v>33171.199881847635</v>
      </c>
      <c r="F16" s="128">
        <f t="shared" si="0"/>
        <v>6355.6018973620066</v>
      </c>
      <c r="G16" s="128">
        <v>24.68</v>
      </c>
      <c r="H16" s="129">
        <f t="shared" si="3"/>
        <v>-7.2816000000000006E-2</v>
      </c>
      <c r="I16" s="129">
        <v>-0.154</v>
      </c>
      <c r="J16" s="129">
        <f t="shared" si="1"/>
        <v>-0.22681600000000002</v>
      </c>
      <c r="K16" s="291">
        <f t="shared" si="4"/>
        <v>4914.049697409946</v>
      </c>
      <c r="L16" s="128">
        <f t="shared" si="10"/>
        <v>152335.54061970834</v>
      </c>
      <c r="M16" s="130">
        <f t="shared" si="5"/>
        <v>0.20487499572284815</v>
      </c>
      <c r="N16" s="130">
        <f t="shared" si="6"/>
        <v>0.77305124186556629</v>
      </c>
      <c r="O16" s="131">
        <f t="shared" si="11"/>
        <v>1.3022670025188914</v>
      </c>
      <c r="P16" s="132">
        <f t="shared" si="7"/>
        <v>197023.6588182222</v>
      </c>
      <c r="Q16" s="132"/>
      <c r="R16" s="133">
        <v>158.80000000000001</v>
      </c>
      <c r="S16" s="134">
        <v>27.56</v>
      </c>
      <c r="T16" s="133">
        <v>206.8</v>
      </c>
      <c r="U16" s="135">
        <v>133.1</v>
      </c>
      <c r="V16" s="136">
        <f>(R16/B16)*0.953461313791492</f>
        <v>4.8841824719383533</v>
      </c>
      <c r="W16" s="134">
        <f>(T16/B16)*0.953461313791492</f>
        <v>6.3605096674864692</v>
      </c>
      <c r="X16" s="137"/>
      <c r="Y16" s="137"/>
      <c r="Z16" s="104">
        <f>+Z15/1998.8/24</f>
        <v>1.0235307851377494E-2</v>
      </c>
      <c r="AC16" s="104">
        <v>4914.0496974099478</v>
      </c>
      <c r="AD16" s="297">
        <f t="shared" si="8"/>
        <v>0</v>
      </c>
      <c r="AE16" s="104">
        <v>0.95346131379149246</v>
      </c>
    </row>
    <row r="17" spans="1:256" ht="18.75" x14ac:dyDescent="0.25">
      <c r="A17" s="125" t="s">
        <v>184</v>
      </c>
      <c r="B17" s="126">
        <v>30</v>
      </c>
      <c r="C17" s="127">
        <f t="shared" si="2"/>
        <v>4.0617153331718479</v>
      </c>
      <c r="D17" s="127">
        <f t="shared" si="2"/>
        <v>6.382240786057646</v>
      </c>
      <c r="E17" s="128">
        <f t="shared" si="9"/>
        <v>33284.53156680135</v>
      </c>
      <c r="F17" s="128">
        <f t="shared" si="0"/>
        <v>6377.3162481991385</v>
      </c>
      <c r="G17" s="128">
        <v>18.18</v>
      </c>
      <c r="H17" s="129">
        <f t="shared" si="3"/>
        <v>-4.8766000000000004E-2</v>
      </c>
      <c r="I17" s="129">
        <v>-0.154</v>
      </c>
      <c r="J17" s="129">
        <f t="shared" si="1"/>
        <v>-0.202766</v>
      </c>
      <c r="K17" s="291">
        <f t="shared" si="4"/>
        <v>5084.2133418167923</v>
      </c>
      <c r="L17" s="128">
        <f t="shared" si="10"/>
        <v>152526.40025450377</v>
      </c>
      <c r="M17" s="200">
        <f t="shared" si="5"/>
        <v>0.21196940421823063</v>
      </c>
      <c r="N17" s="130">
        <f t="shared" si="6"/>
        <v>0.79709711240461889</v>
      </c>
      <c r="O17" s="131">
        <f t="shared" si="11"/>
        <v>1.571316614420063</v>
      </c>
      <c r="P17" s="132">
        <f t="shared" si="7"/>
        <v>191319.48744597414</v>
      </c>
      <c r="Q17" s="132"/>
      <c r="R17" s="133">
        <v>127.6</v>
      </c>
      <c r="S17" s="134">
        <v>21.89</v>
      </c>
      <c r="T17" s="133">
        <v>200.5</v>
      </c>
      <c r="U17" s="135">
        <v>107.6</v>
      </c>
      <c r="V17" s="136">
        <f>(R17/B17)*0.954948746043538</f>
        <v>4.0617153331718479</v>
      </c>
      <c r="W17" s="134">
        <f>(T17/B17)*0.954948746043538</f>
        <v>6.382240786057646</v>
      </c>
      <c r="X17" s="137"/>
      <c r="Y17" s="137">
        <f>+K17+'Exception Report F1'!S36</f>
        <v>5132.8130080518486</v>
      </c>
      <c r="Z17" s="183">
        <f>+Y17/(D17*999.4)</f>
        <v>0.80471651210627437</v>
      </c>
      <c r="AA17" s="177">
        <f>+Z17-N17</f>
        <v>7.6193997016554826E-3</v>
      </c>
      <c r="AC17" s="104">
        <v>5084.2133418167941</v>
      </c>
      <c r="AD17" s="297">
        <f t="shared" si="8"/>
        <v>0</v>
      </c>
      <c r="AE17" s="104">
        <v>0.95494874604353819</v>
      </c>
    </row>
    <row r="18" spans="1:256" ht="18.75" x14ac:dyDescent="0.25">
      <c r="A18" s="125" t="s">
        <v>185</v>
      </c>
      <c r="B18" s="126">
        <v>31</v>
      </c>
      <c r="C18" s="127">
        <f t="shared" si="2"/>
        <v>3.3913402887581925</v>
      </c>
      <c r="D18" s="127">
        <f t="shared" si="2"/>
        <v>5.6910737576267687</v>
      </c>
      <c r="E18" s="128">
        <f t="shared" si="9"/>
        <v>29679.971421406044</v>
      </c>
      <c r="F18" s="128">
        <f t="shared" si="0"/>
        <v>5686.6825243413978</v>
      </c>
      <c r="G18" s="128">
        <v>14.49</v>
      </c>
      <c r="H18" s="129">
        <f t="shared" si="3"/>
        <v>-3.5113000000000012E-2</v>
      </c>
      <c r="I18" s="129">
        <v>-0.154</v>
      </c>
      <c r="J18" s="129">
        <f t="shared" si="1"/>
        <v>-0.189113</v>
      </c>
      <c r="K18" s="291">
        <f t="shared" si="4"/>
        <v>4611.2569321156234</v>
      </c>
      <c r="L18" s="128">
        <f t="shared" si="10"/>
        <v>142948.96489558433</v>
      </c>
      <c r="M18" s="199">
        <f t="shared" si="5"/>
        <v>0.19225105613850074</v>
      </c>
      <c r="N18" s="130">
        <f t="shared" si="6"/>
        <v>0.81074776814140437</v>
      </c>
      <c r="O18" s="131">
        <f t="shared" si="11"/>
        <v>1.6781193490054251</v>
      </c>
      <c r="P18" s="132">
        <f t="shared" si="7"/>
        <v>176287.15825458334</v>
      </c>
      <c r="Q18" s="132"/>
      <c r="R18" s="133">
        <v>110.6</v>
      </c>
      <c r="S18" s="134">
        <v>17.920000000000002</v>
      </c>
      <c r="T18" s="133">
        <v>185.6</v>
      </c>
      <c r="U18" s="135">
        <v>109.7</v>
      </c>
      <c r="V18" s="136">
        <f>(R18/B18)*0.950556500465678</f>
        <v>3.3913402887581925</v>
      </c>
      <c r="W18" s="134">
        <f>(T18/B18)*0.950556500465678</f>
        <v>5.6910737576267687</v>
      </c>
      <c r="X18" s="137"/>
      <c r="Y18" s="137"/>
      <c r="AC18" s="104">
        <v>4611.2569321156252</v>
      </c>
      <c r="AD18" s="297">
        <f t="shared" si="8"/>
        <v>0</v>
      </c>
      <c r="AE18" s="104">
        <v>0.9505565004656783</v>
      </c>
    </row>
    <row r="19" spans="1:256" ht="30" x14ac:dyDescent="0.25">
      <c r="A19" s="140" t="s">
        <v>186</v>
      </c>
      <c r="B19" s="140"/>
      <c r="C19" s="127">
        <f>AVERAGE(C10:C18)</f>
        <v>5.0417875789990214</v>
      </c>
      <c r="D19" s="127">
        <f t="shared" ref="D19:N19" si="12">AVERAGE(D10:D18)</f>
        <v>5.6482819141391065</v>
      </c>
      <c r="E19" s="128">
        <f t="shared" si="12"/>
        <v>29456.8042747703</v>
      </c>
      <c r="F19" s="128">
        <f t="shared" si="12"/>
        <v>5643.9236990459904</v>
      </c>
      <c r="G19" s="128">
        <f t="shared" si="12"/>
        <v>25.421445639187578</v>
      </c>
      <c r="H19" s="129">
        <f t="shared" si="12"/>
        <v>-7.5559348864994033E-2</v>
      </c>
      <c r="I19" s="129">
        <f t="shared" si="12"/>
        <v>-0.154</v>
      </c>
      <c r="J19" s="129">
        <f t="shared" si="12"/>
        <v>-0.22955934886499399</v>
      </c>
      <c r="K19" s="128">
        <f>AVERAGE(K10:K18)+70</f>
        <v>4422.9725177472237</v>
      </c>
      <c r="L19" s="128">
        <f t="shared" si="12"/>
        <v>132987.66785668849</v>
      </c>
      <c r="M19" s="130">
        <f t="shared" si="12"/>
        <v>0.181482744552866</v>
      </c>
      <c r="N19" s="130">
        <f t="shared" si="12"/>
        <v>0.77027038013944749</v>
      </c>
      <c r="O19" s="145"/>
      <c r="P19" s="142">
        <f>SUM(P7:P18)</f>
        <v>2080792.9163983511</v>
      </c>
      <c r="Q19" s="145"/>
      <c r="R19" s="146">
        <f>SUM(R7:R18)</f>
        <v>1879.5999999999997</v>
      </c>
      <c r="S19" s="146">
        <f>AVERAGE(S7:S18)</f>
        <v>26.045833333333334</v>
      </c>
      <c r="T19" s="147">
        <f>SUM(T7:T18)</f>
        <v>2214.6</v>
      </c>
      <c r="U19" s="147">
        <f>SUM(U7:U18)</f>
        <v>1590</v>
      </c>
      <c r="V19" s="146">
        <f>AVERAGE(V7:V18)</f>
        <v>4.8845131882153527</v>
      </c>
      <c r="W19" s="146">
        <f>AVERAGE(W7:W18)</f>
        <v>5.7614916436627652</v>
      </c>
      <c r="X19" s="137"/>
      <c r="Y19" s="137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  <c r="CE19" s="148"/>
      <c r="CF19" s="148"/>
      <c r="CG19" s="148"/>
      <c r="CH19" s="148"/>
      <c r="CI19" s="148"/>
      <c r="CJ19" s="148"/>
      <c r="CK19" s="148"/>
      <c r="CL19" s="148"/>
      <c r="CM19" s="148"/>
      <c r="CN19" s="148"/>
      <c r="CO19" s="148"/>
      <c r="CP19" s="148"/>
      <c r="CQ19" s="148"/>
      <c r="CR19" s="148"/>
      <c r="CS19" s="148"/>
      <c r="CT19" s="148"/>
      <c r="CU19" s="148"/>
      <c r="CV19" s="148"/>
      <c r="CW19" s="148"/>
      <c r="CX19" s="148"/>
      <c r="CY19" s="148"/>
      <c r="CZ19" s="148"/>
      <c r="DA19" s="148"/>
      <c r="DB19" s="148"/>
      <c r="DC19" s="148"/>
      <c r="DD19" s="148"/>
      <c r="DE19" s="148"/>
      <c r="DF19" s="148"/>
      <c r="DG19" s="148"/>
      <c r="DH19" s="148"/>
      <c r="DI19" s="148"/>
      <c r="DJ19" s="148"/>
      <c r="DK19" s="148"/>
      <c r="DL19" s="148"/>
      <c r="DM19" s="148"/>
      <c r="DN19" s="148"/>
      <c r="DO19" s="148"/>
      <c r="DP19" s="148"/>
      <c r="DQ19" s="148"/>
      <c r="DR19" s="148"/>
      <c r="DS19" s="148"/>
      <c r="DT19" s="148"/>
      <c r="DU19" s="148"/>
      <c r="DV19" s="148"/>
      <c r="DW19" s="148"/>
      <c r="DX19" s="148"/>
      <c r="DY19" s="148"/>
      <c r="DZ19" s="148"/>
      <c r="EA19" s="148"/>
      <c r="EB19" s="148"/>
      <c r="EC19" s="148"/>
      <c r="ED19" s="148"/>
      <c r="EE19" s="148"/>
      <c r="EF19" s="148"/>
      <c r="EG19" s="148"/>
      <c r="EH19" s="148"/>
      <c r="EI19" s="148"/>
      <c r="EJ19" s="148"/>
      <c r="EK19" s="148"/>
      <c r="EL19" s="148"/>
      <c r="EM19" s="148"/>
      <c r="EN19" s="148"/>
      <c r="EO19" s="148"/>
      <c r="EP19" s="148"/>
      <c r="EQ19" s="148"/>
      <c r="ER19" s="148"/>
      <c r="ES19" s="148"/>
      <c r="ET19" s="148"/>
      <c r="EU19" s="148"/>
      <c r="EV19" s="148"/>
      <c r="EW19" s="148"/>
      <c r="EX19" s="148"/>
      <c r="EY19" s="148"/>
      <c r="EZ19" s="148"/>
      <c r="FA19" s="148"/>
      <c r="FB19" s="148"/>
      <c r="FC19" s="148"/>
      <c r="FD19" s="148"/>
      <c r="FE19" s="148"/>
      <c r="FF19" s="148"/>
      <c r="FG19" s="148"/>
      <c r="FH19" s="148"/>
      <c r="FI19" s="148"/>
      <c r="FJ19" s="148"/>
      <c r="FK19" s="148"/>
      <c r="FL19" s="148"/>
      <c r="FM19" s="148"/>
      <c r="FN19" s="148"/>
      <c r="FO19" s="148"/>
      <c r="FP19" s="148"/>
      <c r="FQ19" s="148"/>
      <c r="FR19" s="148"/>
      <c r="FS19" s="148"/>
      <c r="FT19" s="148"/>
      <c r="FU19" s="148"/>
      <c r="FV19" s="148"/>
      <c r="FW19" s="148"/>
      <c r="FX19" s="148"/>
      <c r="FY19" s="148"/>
      <c r="FZ19" s="148"/>
      <c r="GA19" s="148"/>
      <c r="GB19" s="148"/>
      <c r="GC19" s="148"/>
      <c r="GD19" s="148"/>
      <c r="GE19" s="148"/>
      <c r="GF19" s="148"/>
      <c r="GG19" s="148"/>
      <c r="GH19" s="148"/>
      <c r="GI19" s="148"/>
      <c r="GJ19" s="148"/>
      <c r="GK19" s="148"/>
      <c r="GL19" s="148"/>
      <c r="GM19" s="148"/>
      <c r="GN19" s="148"/>
      <c r="GO19" s="148"/>
      <c r="GP19" s="148"/>
      <c r="GQ19" s="148"/>
      <c r="GR19" s="148"/>
      <c r="GS19" s="148"/>
      <c r="GT19" s="148"/>
      <c r="GU19" s="148"/>
      <c r="GV19" s="148"/>
      <c r="GW19" s="148"/>
      <c r="GX19" s="148"/>
      <c r="GY19" s="148"/>
      <c r="GZ19" s="148"/>
      <c r="HA19" s="148"/>
      <c r="HB19" s="148"/>
      <c r="HC19" s="148"/>
      <c r="HD19" s="148"/>
      <c r="HE19" s="148"/>
      <c r="HF19" s="148"/>
      <c r="HG19" s="148"/>
      <c r="HH19" s="148"/>
      <c r="HI19" s="148"/>
      <c r="HJ19" s="148"/>
      <c r="HK19" s="148"/>
      <c r="HL19" s="148"/>
      <c r="HM19" s="148"/>
      <c r="HN19" s="148"/>
      <c r="HO19" s="148"/>
      <c r="HP19" s="148"/>
      <c r="HQ19" s="148"/>
      <c r="HR19" s="148"/>
      <c r="HS19" s="148"/>
      <c r="HT19" s="148"/>
      <c r="HU19" s="148"/>
      <c r="HV19" s="148"/>
      <c r="HW19" s="148"/>
      <c r="HX19" s="148"/>
      <c r="HY19" s="148"/>
      <c r="HZ19" s="148"/>
      <c r="IA19" s="148"/>
      <c r="IB19" s="148"/>
      <c r="IC19" s="148"/>
      <c r="ID19" s="148"/>
      <c r="IE19" s="148"/>
      <c r="IF19" s="148"/>
      <c r="IG19" s="148"/>
      <c r="IH19" s="148"/>
      <c r="II19" s="148"/>
      <c r="IJ19" s="148"/>
      <c r="IK19" s="148"/>
      <c r="IL19" s="148"/>
      <c r="IM19" s="148"/>
      <c r="IN19" s="148"/>
      <c r="IO19" s="148"/>
      <c r="IP19" s="148"/>
      <c r="IQ19" s="148"/>
      <c r="IR19" s="148"/>
      <c r="IS19" s="148"/>
      <c r="IT19" s="148"/>
      <c r="IU19" s="148"/>
      <c r="IV19" s="148"/>
    </row>
    <row r="20" spans="1:256" ht="18.75" x14ac:dyDescent="0.25">
      <c r="A20" s="149" t="s">
        <v>187</v>
      </c>
      <c r="B20" s="150"/>
      <c r="C20" s="276"/>
      <c r="D20" s="275">
        <f>+AVERAGE(D10:D12)</f>
        <v>5.9909597325184443</v>
      </c>
      <c r="E20" s="276"/>
      <c r="F20" s="276"/>
      <c r="G20" s="275">
        <f>+AVERAGE(G10:G12)</f>
        <v>28.211003584229388</v>
      </c>
      <c r="H20" s="276"/>
      <c r="I20" s="132">
        <f>+AVERAGE(C10:C18)</f>
        <v>5.0417875789990214</v>
      </c>
      <c r="J20" s="829"/>
      <c r="K20" s="829"/>
      <c r="L20" s="151"/>
      <c r="M20" s="151"/>
      <c r="N20" s="151"/>
      <c r="O20" s="152">
        <f>79.7-N17%</f>
        <v>79.69202902887595</v>
      </c>
      <c r="P20" s="151"/>
      <c r="Q20" s="153"/>
      <c r="X20" s="104"/>
    </row>
    <row r="21" spans="1:256" ht="18.75" x14ac:dyDescent="0.25">
      <c r="A21" s="157">
        <v>1</v>
      </c>
      <c r="B21" s="825" t="s">
        <v>188</v>
      </c>
      <c r="C21" s="825"/>
      <c r="D21" s="825"/>
      <c r="E21" s="825"/>
      <c r="F21" s="825"/>
      <c r="G21" s="825"/>
      <c r="H21" s="825"/>
      <c r="I21" s="825"/>
      <c r="J21" s="825"/>
      <c r="K21" s="825"/>
      <c r="L21" s="158"/>
      <c r="M21" s="158">
        <f>87.6-81.1</f>
        <v>6.5</v>
      </c>
      <c r="N21" s="158"/>
      <c r="O21" s="158"/>
      <c r="P21" s="158"/>
    </row>
    <row r="22" spans="1:256" ht="18.75" x14ac:dyDescent="0.25">
      <c r="A22" s="157">
        <v>2</v>
      </c>
      <c r="B22" s="825" t="s">
        <v>189</v>
      </c>
      <c r="C22" s="825"/>
      <c r="D22" s="825"/>
      <c r="E22" s="825"/>
      <c r="F22" s="825"/>
      <c r="G22" s="825"/>
      <c r="H22" s="825"/>
      <c r="I22" s="825"/>
      <c r="J22" s="825"/>
      <c r="K22" s="825"/>
      <c r="L22" s="158"/>
      <c r="M22" s="158"/>
      <c r="N22" s="158"/>
      <c r="O22" s="158"/>
      <c r="P22" s="158"/>
    </row>
    <row r="23" spans="1:256" ht="15.75" thickBot="1" x14ac:dyDescent="0.3"/>
    <row r="24" spans="1:256" ht="19.5" thickBot="1" x14ac:dyDescent="0.3">
      <c r="A24" s="170" t="s">
        <v>51</v>
      </c>
      <c r="B24" s="126">
        <v>31</v>
      </c>
      <c r="C24" s="127">
        <f>+C11</f>
        <v>6.4629864197775557</v>
      </c>
      <c r="D24" s="127">
        <f>+D12</f>
        <v>5.7309488888888893</v>
      </c>
      <c r="E24" s="128">
        <f>D24*$P$3</f>
        <v>29887.927390119068</v>
      </c>
      <c r="F24" s="128">
        <f>E24*$P$5</f>
        <v>5726.5268879468131</v>
      </c>
      <c r="G24" s="172">
        <f>HLOOKUP('Exception Report F1'!AM3,'Solar Report_Base'!B40:AI75,28,0)</f>
        <v>34.144559299917198</v>
      </c>
      <c r="H24" s="129">
        <f>(25-(G24+20))*0.37%</f>
        <v>-0.10783486940969364</v>
      </c>
      <c r="I24" s="129">
        <v>-0.154</v>
      </c>
      <c r="J24" s="129">
        <f>SUM(H24:I24)</f>
        <v>-0.26183486940969364</v>
      </c>
      <c r="K24" s="128">
        <f>F24*(1+J24)</f>
        <v>4227.1224680701598</v>
      </c>
      <c r="L24" s="128">
        <f>K24*B24</f>
        <v>131040.79651017496</v>
      </c>
      <c r="M24" s="130">
        <f>K24/($P$4*24)</f>
        <v>0.17623584434286238</v>
      </c>
      <c r="N24" s="130">
        <f>K24/(D24*$P$4)</f>
        <v>0.73803838530633614</v>
      </c>
      <c r="O24" s="131">
        <f>D24/C24</f>
        <v>0.88673385903325763</v>
      </c>
      <c r="P24" s="132">
        <f>F24*B24</f>
        <v>177522.3335263512</v>
      </c>
      <c r="Q24" s="132"/>
      <c r="R24" s="133">
        <v>127.6</v>
      </c>
      <c r="S24" s="134">
        <v>21.89</v>
      </c>
      <c r="T24" s="133">
        <v>200.5</v>
      </c>
      <c r="U24" s="135">
        <v>107.6</v>
      </c>
      <c r="V24" s="136">
        <f>R24/B24</f>
        <v>4.1161290322580646</v>
      </c>
      <c r="W24" s="134">
        <f>T24/B24</f>
        <v>6.467741935483871</v>
      </c>
      <c r="X24" s="137"/>
      <c r="Y24" s="137"/>
    </row>
    <row r="25" spans="1:256" ht="19.5" thickBot="1" x14ac:dyDescent="0.3">
      <c r="A25" s="170" t="s">
        <v>51</v>
      </c>
      <c r="B25" s="126">
        <v>31</v>
      </c>
      <c r="C25" s="127">
        <f>+C24</f>
        <v>6.4629864197775557</v>
      </c>
      <c r="D25" s="173">
        <f>+'Exception Report F1'!T10</f>
        <v>7.3707054980993272</v>
      </c>
      <c r="E25" s="128">
        <f>D25*$P$3</f>
        <v>38439.552509053123</v>
      </c>
      <c r="F25" s="128">
        <f>E25*$P$5</f>
        <v>7365.0182607345778</v>
      </c>
      <c r="G25" s="128">
        <f>G12</f>
        <v>30.99</v>
      </c>
      <c r="H25" s="129">
        <f>(25-(G25+20))*0.37%</f>
        <v>-9.6162999999999985E-2</v>
      </c>
      <c r="I25" s="129">
        <v>-0.154</v>
      </c>
      <c r="J25" s="129">
        <f>SUM(H25:I25)</f>
        <v>-0.25016299999999997</v>
      </c>
      <c r="K25" s="128">
        <f>F25*(1+J25)</f>
        <v>5522.5631975744345</v>
      </c>
      <c r="L25" s="128">
        <f>K25*B25</f>
        <v>171199.45912480747</v>
      </c>
      <c r="M25" s="130">
        <f>K25/($P$4*24)</f>
        <v>0.23024494686705502</v>
      </c>
      <c r="N25" s="130">
        <f>K25/(D25*$P$4)</f>
        <v>0.74970825061919388</v>
      </c>
      <c r="O25" s="131">
        <f>D25/C25</f>
        <v>1.1404488605366765</v>
      </c>
      <c r="P25" s="132">
        <f>F25*B25</f>
        <v>228315.56608277193</v>
      </c>
      <c r="Q25" s="132"/>
      <c r="R25" s="133">
        <v>127.6</v>
      </c>
      <c r="S25" s="134">
        <v>21.89</v>
      </c>
      <c r="T25" s="133">
        <v>200.5</v>
      </c>
      <c r="U25" s="135">
        <v>107.6</v>
      </c>
      <c r="V25" s="136">
        <f>R25/B25</f>
        <v>4.1161290322580646</v>
      </c>
      <c r="W25" s="134">
        <f>T25/B25</f>
        <v>6.467741935483871</v>
      </c>
      <c r="X25" s="137"/>
      <c r="Y25" s="137"/>
    </row>
    <row r="26" spans="1:256" ht="18.75" x14ac:dyDescent="0.25">
      <c r="A26" s="170" t="s">
        <v>51</v>
      </c>
      <c r="B26" s="126">
        <v>31</v>
      </c>
      <c r="C26" s="290">
        <f>+C25</f>
        <v>6.4629864197775557</v>
      </c>
      <c r="D26" s="173">
        <f>D25</f>
        <v>7.3707054980993272</v>
      </c>
      <c r="E26" s="291">
        <f>D26*$P$3</f>
        <v>38439.552509053123</v>
      </c>
      <c r="F26" s="291">
        <f>E26*$P$5</f>
        <v>7365.0182607345778</v>
      </c>
      <c r="G26" s="291">
        <f>G20</f>
        <v>28.211003584229388</v>
      </c>
      <c r="H26" s="129">
        <f>(25-(G26+20))*0.37%</f>
        <v>-8.5880713261648742E-2</v>
      </c>
      <c r="I26" s="129">
        <v>-0.154</v>
      </c>
      <c r="J26" s="129">
        <f>SUM(H26:I26)</f>
        <v>-0.23988071326164873</v>
      </c>
      <c r="K26" s="291">
        <f>F26*(1+J26)</f>
        <v>5598.2924271644997</v>
      </c>
      <c r="L26" s="291">
        <f>K26*B26</f>
        <v>173547.06524209949</v>
      </c>
      <c r="M26" s="130">
        <f>K26/($P$4*24)</f>
        <v>0.23340222580066791</v>
      </c>
      <c r="N26" s="130">
        <f>K26/(D26*$P$4)</f>
        <v>0.75998877185644165</v>
      </c>
      <c r="O26" s="131"/>
      <c r="P26" s="392"/>
      <c r="Q26" s="392"/>
      <c r="R26" s="133"/>
      <c r="S26" s="134"/>
      <c r="T26" s="133"/>
      <c r="U26" s="135"/>
      <c r="V26" s="136"/>
      <c r="W26" s="134"/>
      <c r="X26" s="137"/>
      <c r="Y26" s="137"/>
    </row>
    <row r="27" spans="1:256" ht="18.75" x14ac:dyDescent="0.25">
      <c r="C27" s="826"/>
      <c r="D27" s="826"/>
      <c r="E27" s="826"/>
      <c r="F27" s="826"/>
      <c r="G27" s="826"/>
      <c r="H27" s="826"/>
      <c r="I27" s="826"/>
      <c r="J27" s="826"/>
      <c r="K27" s="826"/>
      <c r="L27" s="162"/>
      <c r="M27" s="171" t="s">
        <v>216</v>
      </c>
      <c r="N27" s="171" t="s">
        <v>217</v>
      </c>
    </row>
    <row r="28" spans="1:256" ht="18.75" x14ac:dyDescent="0.25">
      <c r="C28" s="831" t="s">
        <v>214</v>
      </c>
      <c r="D28" s="831"/>
      <c r="E28" s="831"/>
      <c r="F28" s="831"/>
      <c r="G28" s="831"/>
      <c r="H28" s="831"/>
      <c r="I28" s="831"/>
      <c r="J28" s="831"/>
      <c r="K28" s="831"/>
      <c r="L28" s="831"/>
      <c r="M28" s="174">
        <f>M12-M24</f>
        <v>2.7866417353418216E-3</v>
      </c>
      <c r="N28" s="174">
        <f>+N12-N24</f>
        <v>1.1669865312857519E-2</v>
      </c>
      <c r="Y28" s="177">
        <f>+M28+M29</f>
        <v>-4.8435819053508994E-2</v>
      </c>
    </row>
    <row r="29" spans="1:256" ht="18.75" x14ac:dyDescent="0.25">
      <c r="C29" s="831" t="s">
        <v>215</v>
      </c>
      <c r="D29" s="831"/>
      <c r="E29" s="831"/>
      <c r="F29" s="831"/>
      <c r="G29" s="831"/>
      <c r="H29" s="831"/>
      <c r="I29" s="831"/>
      <c r="J29" s="831"/>
      <c r="K29" s="831"/>
      <c r="L29" s="831"/>
      <c r="M29" s="174">
        <f>M12-M25</f>
        <v>-5.1222460788850815E-2</v>
      </c>
      <c r="N29" s="169">
        <f>+N12-N25</f>
        <v>0</v>
      </c>
    </row>
    <row r="33" spans="1:26" ht="18.75" x14ac:dyDescent="0.25">
      <c r="A33" s="125" t="s">
        <v>90</v>
      </c>
      <c r="B33" s="126">
        <v>31</v>
      </c>
      <c r="C33" s="127">
        <f>+C24</f>
        <v>6.4629864197775557</v>
      </c>
      <c r="D33" s="127">
        <f>+D24</f>
        <v>5.7309488888888893</v>
      </c>
      <c r="E33" s="128">
        <f>D33*$P$3</f>
        <v>29887.927390119068</v>
      </c>
      <c r="F33" s="128">
        <f>E33*$P$5</f>
        <v>5726.5268879468131</v>
      </c>
      <c r="G33" s="172">
        <f>+'Solar Report_Base'!AI67</f>
        <v>33.516978315425597</v>
      </c>
      <c r="H33" s="129">
        <f>(25-(G33+20))*0.37%</f>
        <v>-0.10551281976707472</v>
      </c>
      <c r="I33" s="129">
        <v>-0.154</v>
      </c>
      <c r="J33" s="129">
        <f>SUM(H33:I33)</f>
        <v>-0.25951281976707474</v>
      </c>
      <c r="K33" s="128">
        <f>F33*(1+J33)</f>
        <v>4240.4197477837643</v>
      </c>
      <c r="L33" s="128">
        <f>K33*B33</f>
        <v>131453.01218129668</v>
      </c>
      <c r="M33" s="130">
        <f>K33/($P$4*24)</f>
        <v>0.17679023029583435</v>
      </c>
      <c r="N33" s="130">
        <f>K33/(D33*$P$4)</f>
        <v>0.74036003624569868</v>
      </c>
      <c r="O33" s="131">
        <f>D33/C33</f>
        <v>0.88673385903325763</v>
      </c>
      <c r="P33" s="132">
        <f>F33*B33</f>
        <v>177522.3335263512</v>
      </c>
      <c r="Q33" s="132"/>
      <c r="R33" s="133">
        <v>127.6</v>
      </c>
      <c r="S33" s="134">
        <v>21.89</v>
      </c>
      <c r="T33" s="133">
        <v>200.5</v>
      </c>
      <c r="U33" s="135">
        <v>107.6</v>
      </c>
      <c r="V33" s="136">
        <f>R33/B33</f>
        <v>4.1161290322580646</v>
      </c>
      <c r="W33" s="134">
        <f>T33/B33</f>
        <v>6.467741935483871</v>
      </c>
      <c r="X33" s="137"/>
      <c r="Y33" s="137"/>
    </row>
    <row r="34" spans="1:26" ht="18.75" x14ac:dyDescent="0.25">
      <c r="A34" s="125" t="s">
        <v>226</v>
      </c>
      <c r="B34" s="126">
        <v>31</v>
      </c>
      <c r="C34" s="127">
        <f>+C25</f>
        <v>6.4629864197775557</v>
      </c>
      <c r="D34" s="173">
        <f>+'Exception Report F1'!V10</f>
        <v>6.6675562332525002</v>
      </c>
      <c r="E34" s="128">
        <f>D34*$P$3</f>
        <v>34772.502849457909</v>
      </c>
      <c r="F34" s="128">
        <f>E34*$P$5</f>
        <v>6662.4115459561353</v>
      </c>
      <c r="G34" s="128">
        <f>G9</f>
        <v>22.04</v>
      </c>
      <c r="H34" s="129">
        <f>(25-(G34+20))*0.37%</f>
        <v>-6.3047999999999993E-2</v>
      </c>
      <c r="I34" s="129">
        <v>-0.154</v>
      </c>
      <c r="J34" s="129">
        <f>SUM(H34:I34)</f>
        <v>-0.21704799999999999</v>
      </c>
      <c r="K34" s="128">
        <f>F34*(1+J34)</f>
        <v>5216.3484447294477</v>
      </c>
      <c r="L34" s="128">
        <f>K34*B34</f>
        <v>161706.80178661286</v>
      </c>
      <c r="M34" s="130">
        <f>K34/($P$4*24)</f>
        <v>0.21747833886704723</v>
      </c>
      <c r="N34" s="130">
        <f>K34/(D34*$P$4)</f>
        <v>0.78281756466912</v>
      </c>
      <c r="O34" s="131">
        <f>D34/C34</f>
        <v>1.0316525210155068</v>
      </c>
      <c r="P34" s="132">
        <f>F34*B34</f>
        <v>206534.7579246402</v>
      </c>
      <c r="Q34" s="132"/>
      <c r="R34" s="133">
        <v>127.6</v>
      </c>
      <c r="S34" s="134">
        <v>21.89</v>
      </c>
      <c r="T34" s="133">
        <v>200.5</v>
      </c>
      <c r="U34" s="135">
        <v>107.6</v>
      </c>
      <c r="V34" s="136">
        <f>R34/B34</f>
        <v>4.1161290322580646</v>
      </c>
      <c r="W34" s="134">
        <f>T34/B34</f>
        <v>6.467741935483871</v>
      </c>
      <c r="X34" s="137"/>
      <c r="Y34" s="137"/>
    </row>
    <row r="35" spans="1:26" ht="18.75" x14ac:dyDescent="0.25">
      <c r="C35" s="826"/>
      <c r="D35" s="826"/>
      <c r="E35" s="826"/>
      <c r="F35" s="826"/>
      <c r="G35" s="826"/>
      <c r="H35" s="826"/>
      <c r="I35" s="826"/>
      <c r="J35" s="826"/>
      <c r="K35" s="826"/>
      <c r="L35" s="162"/>
      <c r="M35" s="171" t="s">
        <v>216</v>
      </c>
      <c r="N35" s="171" t="s">
        <v>217</v>
      </c>
    </row>
    <row r="36" spans="1:26" ht="18.75" x14ac:dyDescent="0.25">
      <c r="C36" s="831" t="s">
        <v>214</v>
      </c>
      <c r="D36" s="831"/>
      <c r="E36" s="831"/>
      <c r="F36" s="831"/>
      <c r="G36" s="831"/>
      <c r="H36" s="831"/>
      <c r="I36" s="831"/>
      <c r="J36" s="831"/>
      <c r="K36" s="831"/>
      <c r="L36" s="831"/>
      <c r="M36" s="169">
        <f>+M9-M33</f>
        <v>3.7533297644295138E-2</v>
      </c>
      <c r="N36" s="169">
        <f>+N9-N33</f>
        <v>4.245752842342132E-2</v>
      </c>
    </row>
    <row r="37" spans="1:26" ht="18.75" x14ac:dyDescent="0.25">
      <c r="C37" s="831" t="s">
        <v>215</v>
      </c>
      <c r="D37" s="831"/>
      <c r="E37" s="831"/>
      <c r="F37" s="831"/>
      <c r="G37" s="831"/>
      <c r="H37" s="831"/>
      <c r="I37" s="831"/>
      <c r="J37" s="831"/>
      <c r="K37" s="831"/>
      <c r="L37" s="831"/>
      <c r="M37" s="169">
        <f>+M9-M34</f>
        <v>-3.1548109269177449E-3</v>
      </c>
      <c r="N37" s="169">
        <f>+N9-N34</f>
        <v>0</v>
      </c>
      <c r="Z37" s="104">
        <v>1.5</v>
      </c>
    </row>
    <row r="38" spans="1:26" x14ac:dyDescent="0.25">
      <c r="Z38" s="104">
        <v>0.35</v>
      </c>
    </row>
    <row r="39" spans="1:26" x14ac:dyDescent="0.25">
      <c r="Z39" s="104">
        <f>+Z38+Z37</f>
        <v>1.85</v>
      </c>
    </row>
    <row r="40" spans="1:26" ht="18.75" x14ac:dyDescent="0.25">
      <c r="A40" s="125" t="s">
        <v>184</v>
      </c>
      <c r="B40" s="126">
        <v>30</v>
      </c>
      <c r="C40" s="127">
        <f>+C41</f>
        <v>4.8217101217385139</v>
      </c>
      <c r="D40" s="127">
        <f>AVERAGE(D10:D18,D7:D8)</f>
        <v>5.6299025555332873</v>
      </c>
      <c r="E40" s="128">
        <f>D40*$P$3</f>
        <v>29360.952619810916</v>
      </c>
      <c r="F40" s="128">
        <f>E40*$P$5</f>
        <v>5625.5585219557715</v>
      </c>
      <c r="G40" s="172">
        <f>AVERAGE(G10:G18,G7:G9)</f>
        <v>23.356084229390685</v>
      </c>
      <c r="H40" s="129">
        <f>(25-(G40+20))*0.37%</f>
        <v>-6.7917511648745557E-2</v>
      </c>
      <c r="I40" s="129">
        <v>-0.154</v>
      </c>
      <c r="J40" s="129">
        <f>SUM(H40:I40)</f>
        <v>-0.22191751164874557</v>
      </c>
      <c r="K40" s="128">
        <f>F40*(1+J40)</f>
        <v>4377.1485731289522</v>
      </c>
      <c r="L40" s="128">
        <f>K40*B40</f>
        <v>131314.45719386855</v>
      </c>
      <c r="M40" s="130">
        <f>K40/($P$4*24)</f>
        <v>0.18249068495801449</v>
      </c>
      <c r="N40" s="130">
        <f>K40/(D40*$P$4)</f>
        <v>0.7779488891309021</v>
      </c>
      <c r="O40" s="131">
        <f>D40/C40</f>
        <v>1.1676153093797708</v>
      </c>
      <c r="P40" s="132">
        <f>F40*B40</f>
        <v>168766.75565867315</v>
      </c>
      <c r="Q40" s="132"/>
      <c r="R40" s="133">
        <v>127.6</v>
      </c>
      <c r="S40" s="134">
        <v>21.89</v>
      </c>
      <c r="T40" s="133">
        <v>200.5</v>
      </c>
      <c r="U40" s="135">
        <v>107.6</v>
      </c>
      <c r="V40" s="136">
        <f>R40/B40</f>
        <v>4.253333333333333</v>
      </c>
      <c r="W40" s="134">
        <f>T40/B40</f>
        <v>6.6833333333333336</v>
      </c>
      <c r="X40" s="137"/>
      <c r="Y40" s="137"/>
    </row>
    <row r="41" spans="1:26" ht="18.75" x14ac:dyDescent="0.25">
      <c r="A41" s="125" t="s">
        <v>184</v>
      </c>
      <c r="B41" s="126">
        <v>30</v>
      </c>
      <c r="C41" s="127">
        <f>AVERAGE(C10:C18,C7:C8)</f>
        <v>4.8217101217385139</v>
      </c>
      <c r="D41" s="181">
        <f>+'Exception Report F1'!X10</f>
        <v>6.3780427451917783</v>
      </c>
      <c r="E41" s="128">
        <f>D41*$P$3</f>
        <v>33262.638029969596</v>
      </c>
      <c r="F41" s="128">
        <f>E41*$P$5</f>
        <v>6373.1214465421745</v>
      </c>
      <c r="G41" s="128">
        <f>+G40</f>
        <v>23.356084229390685</v>
      </c>
      <c r="H41" s="129">
        <f>(25-(G41+20))*0.37%</f>
        <v>-6.7917511648745557E-2</v>
      </c>
      <c r="I41" s="129">
        <v>-0.154</v>
      </c>
      <c r="J41" s="129">
        <f>SUM(H41:I41)</f>
        <v>-0.22191751164874557</v>
      </c>
      <c r="K41" s="128">
        <f>F41*(1+J41)</f>
        <v>4958.8141936902812</v>
      </c>
      <c r="L41" s="128">
        <f>K41*B41</f>
        <v>148764.42581070843</v>
      </c>
      <c r="M41" s="130">
        <f>K41/($P$4*24)</f>
        <v>0.20674130285213968</v>
      </c>
      <c r="N41" s="130">
        <f>K41/(D41*$P$4)</f>
        <v>0.77794888913090199</v>
      </c>
      <c r="O41" s="131">
        <f>D41/C41</f>
        <v>1.3227760657855794</v>
      </c>
      <c r="P41" s="132">
        <f>F41*B41</f>
        <v>191193.64339626522</v>
      </c>
      <c r="Q41" s="132"/>
      <c r="R41" s="133">
        <v>127.6</v>
      </c>
      <c r="S41" s="134">
        <v>21.89</v>
      </c>
      <c r="T41" s="133">
        <v>200.5</v>
      </c>
      <c r="U41" s="135">
        <v>107.6</v>
      </c>
      <c r="V41" s="136">
        <f>R41/B41</f>
        <v>4.253333333333333</v>
      </c>
      <c r="W41" s="134">
        <f>T41/B41</f>
        <v>6.6833333333333336</v>
      </c>
      <c r="X41" s="137"/>
      <c r="Y41" s="137"/>
    </row>
    <row r="42" spans="1:26" ht="18.75" x14ac:dyDescent="0.25">
      <c r="A42" s="125" t="s">
        <v>184</v>
      </c>
      <c r="B42" s="126">
        <v>30</v>
      </c>
      <c r="C42" s="127">
        <f>AVERAGE(C10:C18,C7:C8)</f>
        <v>4.8217101217385139</v>
      </c>
      <c r="D42" s="127">
        <f>D40</f>
        <v>5.6299025555332873</v>
      </c>
      <c r="E42" s="128">
        <f>D42*$P$3</f>
        <v>29360.952619810916</v>
      </c>
      <c r="F42" s="128">
        <f>E42*$P$5</f>
        <v>5625.5585219557715</v>
      </c>
      <c r="G42" s="172">
        <v>28</v>
      </c>
      <c r="H42" s="129">
        <f>(25-(G42+20))*0.37%</f>
        <v>-8.5100000000000009E-2</v>
      </c>
      <c r="I42" s="129">
        <v>-0.154</v>
      </c>
      <c r="J42" s="129">
        <f>SUM(H42:I42)</f>
        <v>-0.23910000000000001</v>
      </c>
      <c r="K42" s="128">
        <f>F42*(1+J42)</f>
        <v>4280.4874793561467</v>
      </c>
      <c r="L42" s="128">
        <f>K42*B42</f>
        <v>128414.6243806844</v>
      </c>
      <c r="M42" s="130">
        <f>K42/($P$4*24)</f>
        <v>0.1784607214060164</v>
      </c>
      <c r="N42" s="130">
        <f>K42/(D42*$P$4)</f>
        <v>0.76076935106715804</v>
      </c>
      <c r="O42" s="131">
        <f>D42/C42</f>
        <v>1.1676153093797708</v>
      </c>
      <c r="P42" s="132">
        <f>F42*B42</f>
        <v>168766.75565867315</v>
      </c>
      <c r="Q42" s="132"/>
      <c r="R42" s="133">
        <v>127.6</v>
      </c>
      <c r="S42" s="134">
        <v>21.89</v>
      </c>
      <c r="T42" s="133">
        <v>200.5</v>
      </c>
      <c r="U42" s="135">
        <v>107.6</v>
      </c>
      <c r="V42" s="136">
        <f>R42/B42</f>
        <v>4.253333333333333</v>
      </c>
      <c r="W42" s="134">
        <f>T42/B42</f>
        <v>6.6833333333333336</v>
      </c>
      <c r="X42" s="137"/>
      <c r="Y42" s="137"/>
    </row>
    <row r="43" spans="1:26" ht="18.75" x14ac:dyDescent="0.25">
      <c r="C43" s="826"/>
      <c r="D43" s="826"/>
      <c r="E43" s="826"/>
      <c r="F43" s="826"/>
      <c r="G43" s="826"/>
      <c r="H43" s="826"/>
      <c r="I43" s="826"/>
      <c r="J43" s="826"/>
      <c r="K43" s="826"/>
      <c r="L43" s="162"/>
      <c r="M43" s="171" t="s">
        <v>216</v>
      </c>
      <c r="N43" s="171" t="s">
        <v>217</v>
      </c>
    </row>
    <row r="44" spans="1:26" ht="18.75" x14ac:dyDescent="0.25">
      <c r="C44" s="831" t="s">
        <v>214</v>
      </c>
      <c r="D44" s="831"/>
      <c r="E44" s="831"/>
      <c r="F44" s="831"/>
      <c r="G44" s="831"/>
      <c r="H44" s="831"/>
      <c r="I44" s="831"/>
      <c r="J44" s="831"/>
      <c r="K44" s="831"/>
      <c r="L44" s="831"/>
      <c r="M44" s="169">
        <f>M40-M42</f>
        <v>4.0299635519980836E-3</v>
      </c>
      <c r="N44" s="169">
        <f>N40-N42</f>
        <v>1.717953806374406E-2</v>
      </c>
    </row>
    <row r="45" spans="1:26" ht="18.75" x14ac:dyDescent="0.25">
      <c r="C45" s="831" t="s">
        <v>215</v>
      </c>
      <c r="D45" s="831"/>
      <c r="E45" s="831"/>
      <c r="F45" s="831"/>
      <c r="G45" s="831"/>
      <c r="H45" s="831"/>
      <c r="I45" s="831"/>
      <c r="J45" s="831"/>
      <c r="K45" s="831"/>
      <c r="L45" s="831"/>
      <c r="M45" s="169">
        <f>M40-M41</f>
        <v>-2.4250617894125193E-2</v>
      </c>
      <c r="N45" s="169">
        <f>N40-N41</f>
        <v>0</v>
      </c>
    </row>
  </sheetData>
  <mergeCells count="24">
    <mergeCell ref="A1:L1"/>
    <mergeCell ref="A2:A5"/>
    <mergeCell ref="B2:B5"/>
    <mergeCell ref="C2:E2"/>
    <mergeCell ref="F2:F3"/>
    <mergeCell ref="G2:G3"/>
    <mergeCell ref="H2:J2"/>
    <mergeCell ref="K2:K3"/>
    <mergeCell ref="L2:L3"/>
    <mergeCell ref="M2:M3"/>
    <mergeCell ref="N2:N3"/>
    <mergeCell ref="C4:D4"/>
    <mergeCell ref="J20:K20"/>
    <mergeCell ref="C37:L37"/>
    <mergeCell ref="B22:K22"/>
    <mergeCell ref="B21:K21"/>
    <mergeCell ref="C43:K43"/>
    <mergeCell ref="C44:L44"/>
    <mergeCell ref="C45:L45"/>
    <mergeCell ref="C27:K27"/>
    <mergeCell ref="C28:L28"/>
    <mergeCell ref="C29:L29"/>
    <mergeCell ref="C35:K35"/>
    <mergeCell ref="C36:L36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topLeftCell="A12" workbookViewId="0">
      <selection activeCell="A25" sqref="A25:A27"/>
    </sheetView>
  </sheetViews>
  <sheetFormatPr defaultColWidth="9.140625" defaultRowHeight="15" x14ac:dyDescent="0.25"/>
  <cols>
    <col min="1" max="1" width="14.28515625" style="104" customWidth="1"/>
    <col min="2" max="2" width="9.140625" style="104" customWidth="1"/>
    <col min="3" max="3" width="15.42578125" style="159" customWidth="1"/>
    <col min="4" max="4" width="14.42578125" style="159" customWidth="1"/>
    <col min="5" max="5" width="20.140625" style="154" customWidth="1"/>
    <col min="6" max="6" width="18" style="154" customWidth="1"/>
    <col min="7" max="7" width="11.28515625" style="154" customWidth="1"/>
    <col min="8" max="8" width="18.5703125" style="160" customWidth="1"/>
    <col min="9" max="9" width="15.85546875" style="161" customWidth="1"/>
    <col min="10" max="10" width="10.85546875" style="160" customWidth="1"/>
    <col min="11" max="16" width="16.85546875" style="154" customWidth="1"/>
    <col min="17" max="18" width="18.7109375" style="154" hidden="1" customWidth="1"/>
    <col min="19" max="19" width="14.140625" style="154" hidden="1" customWidth="1"/>
    <col min="20" max="22" width="11.5703125" style="154" hidden="1" customWidth="1"/>
    <col min="23" max="23" width="11.5703125" style="155" hidden="1" customWidth="1"/>
    <col min="24" max="24" width="11.5703125" style="156" hidden="1" customWidth="1"/>
    <col min="25" max="25" width="11.5703125" style="154" hidden="1" customWidth="1"/>
    <col min="26" max="26" width="8.85546875" hidden="1" customWidth="1"/>
    <col min="27" max="30" width="13.42578125" style="104" hidden="1" customWidth="1"/>
    <col min="31" max="33" width="9.140625" style="104" hidden="1" customWidth="1"/>
    <col min="34" max="34" width="20.42578125" style="104" hidden="1" customWidth="1"/>
    <col min="35" max="35" width="16.7109375" style="104" bestFit="1" customWidth="1"/>
    <col min="36" max="36" width="11.5703125" style="104" bestFit="1" customWidth="1"/>
    <col min="37" max="16384" width="9.140625" style="104"/>
  </cols>
  <sheetData>
    <row r="1" spans="1:256" ht="28.5" x14ac:dyDescent="0.25">
      <c r="A1" s="832" t="s">
        <v>201</v>
      </c>
      <c r="B1" s="832"/>
      <c r="C1" s="832"/>
      <c r="D1" s="832"/>
      <c r="E1" s="832"/>
      <c r="F1" s="832"/>
      <c r="G1" s="832"/>
      <c r="H1" s="832"/>
      <c r="I1" s="832"/>
      <c r="J1" s="832"/>
      <c r="K1" s="832"/>
      <c r="L1" s="832"/>
      <c r="M1" s="98">
        <v>43713</v>
      </c>
      <c r="N1" s="98"/>
      <c r="O1" s="98"/>
      <c r="P1" s="98"/>
      <c r="Q1" s="99" t="s">
        <v>119</v>
      </c>
      <c r="R1" s="100">
        <v>2630</v>
      </c>
      <c r="S1" s="100" t="s">
        <v>120</v>
      </c>
      <c r="T1" s="163"/>
      <c r="U1" s="101"/>
      <c r="V1" s="101"/>
      <c r="W1" s="102"/>
      <c r="X1" s="103"/>
      <c r="Y1" s="101"/>
    </row>
    <row r="2" spans="1:256" x14ac:dyDescent="0.25">
      <c r="A2" s="833" t="s">
        <v>121</v>
      </c>
      <c r="B2" s="833" t="s">
        <v>122</v>
      </c>
      <c r="C2" s="836" t="s">
        <v>123</v>
      </c>
      <c r="D2" s="836"/>
      <c r="E2" s="836"/>
      <c r="F2" s="885" t="s">
        <v>124</v>
      </c>
      <c r="G2" s="830" t="s">
        <v>125</v>
      </c>
      <c r="H2" s="837" t="s">
        <v>126</v>
      </c>
      <c r="I2" s="837"/>
      <c r="J2" s="837"/>
      <c r="K2" s="830" t="s">
        <v>127</v>
      </c>
      <c r="L2" s="830" t="s">
        <v>127</v>
      </c>
      <c r="M2" s="830" t="s">
        <v>128</v>
      </c>
      <c r="N2" s="827" t="s">
        <v>129</v>
      </c>
      <c r="O2" s="830" t="s">
        <v>128</v>
      </c>
      <c r="P2" s="827" t="s">
        <v>129</v>
      </c>
      <c r="Q2" s="105" t="s">
        <v>130</v>
      </c>
      <c r="R2" s="106">
        <f>1.979*1.002</f>
        <v>1.982958</v>
      </c>
      <c r="S2" s="105" t="s">
        <v>131</v>
      </c>
      <c r="T2" s="105"/>
      <c r="U2" s="105"/>
      <c r="V2" s="105"/>
      <c r="W2" s="107"/>
      <c r="X2" s="108"/>
      <c r="Y2" s="105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/>
      <c r="EL2" s="109"/>
      <c r="EM2" s="109"/>
      <c r="EN2" s="109"/>
      <c r="EO2" s="109"/>
      <c r="EP2" s="109"/>
      <c r="EQ2" s="109"/>
      <c r="ER2" s="109"/>
      <c r="ES2" s="109"/>
      <c r="ET2" s="109"/>
      <c r="EU2" s="109"/>
      <c r="EV2" s="109"/>
      <c r="EW2" s="109"/>
      <c r="EX2" s="109"/>
      <c r="EY2" s="109"/>
      <c r="EZ2" s="109"/>
      <c r="FA2" s="109"/>
      <c r="FB2" s="109"/>
      <c r="FC2" s="109"/>
      <c r="FD2" s="109"/>
      <c r="FE2" s="109"/>
      <c r="FF2" s="109"/>
      <c r="FG2" s="109"/>
      <c r="FH2" s="109"/>
      <c r="FI2" s="109"/>
      <c r="FJ2" s="109"/>
      <c r="FK2" s="109"/>
      <c r="FL2" s="109"/>
      <c r="FM2" s="109"/>
      <c r="FN2" s="109"/>
      <c r="FO2" s="109"/>
      <c r="FP2" s="109"/>
      <c r="FQ2" s="109"/>
      <c r="FR2" s="109"/>
      <c r="FS2" s="109"/>
      <c r="FT2" s="109"/>
      <c r="FU2" s="109"/>
      <c r="FV2" s="109"/>
      <c r="FW2" s="109"/>
      <c r="FX2" s="109"/>
      <c r="FY2" s="109"/>
      <c r="FZ2" s="109"/>
      <c r="GA2" s="109"/>
      <c r="GB2" s="109"/>
      <c r="GC2" s="109"/>
      <c r="GD2" s="109"/>
      <c r="GE2" s="109"/>
      <c r="GF2" s="109"/>
      <c r="GG2" s="109"/>
      <c r="GH2" s="109"/>
      <c r="GI2" s="109"/>
      <c r="GJ2" s="109"/>
      <c r="GK2" s="109"/>
      <c r="GL2" s="109"/>
      <c r="GM2" s="109"/>
      <c r="GN2" s="109"/>
      <c r="GO2" s="109"/>
      <c r="GP2" s="109"/>
      <c r="GQ2" s="109"/>
      <c r="GR2" s="109"/>
      <c r="GS2" s="109"/>
      <c r="GT2" s="109"/>
      <c r="GU2" s="109"/>
      <c r="GV2" s="109"/>
      <c r="GW2" s="109"/>
      <c r="GX2" s="109"/>
      <c r="GY2" s="109"/>
      <c r="GZ2" s="109"/>
      <c r="HA2" s="109"/>
      <c r="HB2" s="109"/>
      <c r="HC2" s="109"/>
      <c r="HD2" s="109"/>
      <c r="HE2" s="109"/>
      <c r="HF2" s="109"/>
      <c r="HG2" s="109"/>
      <c r="HH2" s="109"/>
      <c r="HI2" s="109"/>
      <c r="HJ2" s="109"/>
      <c r="HK2" s="109"/>
      <c r="HL2" s="109"/>
      <c r="HM2" s="109"/>
      <c r="HN2" s="109"/>
      <c r="HO2" s="109"/>
      <c r="HP2" s="109"/>
      <c r="HQ2" s="109"/>
      <c r="HR2" s="109"/>
      <c r="HS2" s="109"/>
      <c r="HT2" s="109"/>
      <c r="HU2" s="109"/>
      <c r="HV2" s="109"/>
      <c r="HW2" s="109"/>
      <c r="HX2" s="109"/>
      <c r="HY2" s="109"/>
      <c r="HZ2" s="109"/>
      <c r="IA2" s="109"/>
      <c r="IB2" s="109"/>
      <c r="IC2" s="109"/>
      <c r="ID2" s="109"/>
      <c r="IE2" s="109"/>
      <c r="IF2" s="109"/>
      <c r="IG2" s="109"/>
      <c r="IH2" s="109"/>
      <c r="II2" s="109"/>
      <c r="IJ2" s="109"/>
      <c r="IK2" s="109"/>
      <c r="IL2" s="109"/>
      <c r="IM2" s="109"/>
      <c r="IN2" s="109"/>
      <c r="IO2" s="109"/>
      <c r="IP2" s="109"/>
      <c r="IQ2" s="109"/>
      <c r="IR2" s="109"/>
      <c r="IS2" s="109"/>
      <c r="IT2" s="109"/>
      <c r="IU2" s="109"/>
      <c r="IV2" s="109"/>
    </row>
    <row r="3" spans="1:256" ht="60" x14ac:dyDescent="0.25">
      <c r="A3" s="834"/>
      <c r="B3" s="834"/>
      <c r="C3" s="110" t="s">
        <v>132</v>
      </c>
      <c r="D3" s="110" t="s">
        <v>133</v>
      </c>
      <c r="E3" s="111" t="s">
        <v>134</v>
      </c>
      <c r="F3" s="885"/>
      <c r="G3" s="830"/>
      <c r="H3" s="111" t="s">
        <v>135</v>
      </c>
      <c r="I3" s="112" t="s">
        <v>136</v>
      </c>
      <c r="J3" s="113" t="s">
        <v>137</v>
      </c>
      <c r="K3" s="830"/>
      <c r="L3" s="830"/>
      <c r="M3" s="830"/>
      <c r="N3" s="827"/>
      <c r="O3" s="830"/>
      <c r="P3" s="827"/>
      <c r="Q3" s="105" t="s">
        <v>138</v>
      </c>
      <c r="R3" s="114">
        <f>R1*R2</f>
        <v>5215.1795400000001</v>
      </c>
      <c r="S3" s="105" t="s">
        <v>131</v>
      </c>
      <c r="T3" s="115" t="s">
        <v>139</v>
      </c>
      <c r="U3" s="105" t="s">
        <v>140</v>
      </c>
      <c r="V3" s="115" t="s">
        <v>141</v>
      </c>
      <c r="W3" s="107" t="s">
        <v>142</v>
      </c>
      <c r="X3" s="108"/>
      <c r="Y3" s="105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09"/>
      <c r="HD3" s="109"/>
      <c r="HE3" s="109"/>
      <c r="HF3" s="109"/>
      <c r="HG3" s="109"/>
      <c r="HH3" s="109"/>
      <c r="HI3" s="109"/>
      <c r="HJ3" s="109"/>
      <c r="HK3" s="109"/>
      <c r="HL3" s="109"/>
      <c r="HM3" s="109"/>
      <c r="HN3" s="109"/>
      <c r="HO3" s="109"/>
      <c r="HP3" s="109"/>
      <c r="HQ3" s="109"/>
      <c r="HR3" s="109"/>
      <c r="HS3" s="109"/>
      <c r="HT3" s="109"/>
      <c r="HU3" s="109"/>
      <c r="HV3" s="109"/>
      <c r="HW3" s="109"/>
      <c r="HX3" s="109"/>
      <c r="HY3" s="109"/>
      <c r="HZ3" s="109"/>
      <c r="IA3" s="109"/>
      <c r="IB3" s="109"/>
      <c r="IC3" s="109"/>
      <c r="ID3" s="109"/>
      <c r="IE3" s="109"/>
      <c r="IF3" s="109"/>
      <c r="IG3" s="109"/>
      <c r="IH3" s="109"/>
      <c r="II3" s="109"/>
      <c r="IJ3" s="109"/>
      <c r="IK3" s="109"/>
      <c r="IL3" s="109"/>
      <c r="IM3" s="109"/>
      <c r="IN3" s="109"/>
      <c r="IO3" s="109"/>
      <c r="IP3" s="109"/>
      <c r="IQ3" s="109"/>
      <c r="IR3" s="109"/>
      <c r="IS3" s="109"/>
      <c r="IT3" s="109"/>
      <c r="IU3" s="109"/>
      <c r="IV3" s="109"/>
    </row>
    <row r="4" spans="1:256" x14ac:dyDescent="0.25">
      <c r="A4" s="834"/>
      <c r="B4" s="834"/>
      <c r="C4" s="828" t="s">
        <v>143</v>
      </c>
      <c r="D4" s="828"/>
      <c r="E4" s="111" t="s">
        <v>144</v>
      </c>
      <c r="F4" s="111" t="s">
        <v>144</v>
      </c>
      <c r="G4" s="111" t="s">
        <v>145</v>
      </c>
      <c r="H4" s="111" t="s">
        <v>0</v>
      </c>
      <c r="I4" s="111" t="s">
        <v>0</v>
      </c>
      <c r="J4" s="111" t="s">
        <v>0</v>
      </c>
      <c r="K4" s="111" t="s">
        <v>144</v>
      </c>
      <c r="L4" s="111" t="s">
        <v>144</v>
      </c>
      <c r="M4" s="111" t="s">
        <v>0</v>
      </c>
      <c r="N4" s="111" t="s">
        <v>0</v>
      </c>
      <c r="O4" s="111" t="s">
        <v>0</v>
      </c>
      <c r="P4" s="111" t="s">
        <v>0</v>
      </c>
      <c r="Q4" s="109" t="s">
        <v>146</v>
      </c>
      <c r="R4" s="116">
        <f>R1*R6/1000</f>
        <v>999.4</v>
      </c>
      <c r="S4" s="105"/>
      <c r="T4" s="105" t="s">
        <v>147</v>
      </c>
      <c r="U4" s="105" t="s">
        <v>148</v>
      </c>
      <c r="V4" s="105" t="s">
        <v>147</v>
      </c>
      <c r="W4" s="107" t="s">
        <v>149</v>
      </c>
      <c r="X4" s="108"/>
      <c r="Y4" s="105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/>
      <c r="DD4" s="109"/>
      <c r="DE4" s="109"/>
      <c r="DF4" s="109"/>
      <c r="DG4" s="109"/>
      <c r="DH4" s="109"/>
      <c r="DI4" s="109"/>
      <c r="DJ4" s="109"/>
      <c r="DK4" s="109"/>
      <c r="DL4" s="109"/>
      <c r="DM4" s="109"/>
      <c r="DN4" s="109"/>
      <c r="DO4" s="109"/>
      <c r="DP4" s="109"/>
      <c r="DQ4" s="109"/>
      <c r="DR4" s="109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109"/>
      <c r="ET4" s="109"/>
      <c r="EU4" s="109"/>
      <c r="EV4" s="109"/>
      <c r="EW4" s="109"/>
      <c r="EX4" s="109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109"/>
      <c r="FL4" s="109"/>
      <c r="FM4" s="109"/>
      <c r="FN4" s="109"/>
      <c r="FO4" s="109"/>
      <c r="FP4" s="109"/>
      <c r="FQ4" s="109"/>
      <c r="FR4" s="109"/>
      <c r="FS4" s="109"/>
      <c r="FT4" s="109"/>
      <c r="FU4" s="109"/>
      <c r="FV4" s="109"/>
      <c r="FW4" s="109"/>
      <c r="FX4" s="109"/>
      <c r="FY4" s="109"/>
      <c r="FZ4" s="109"/>
      <c r="GA4" s="109"/>
      <c r="GB4" s="109"/>
      <c r="GC4" s="109"/>
      <c r="GD4" s="109"/>
      <c r="GE4" s="109"/>
      <c r="GF4" s="109"/>
      <c r="GG4" s="109"/>
      <c r="GH4" s="109"/>
      <c r="GI4" s="109"/>
      <c r="GJ4" s="109"/>
      <c r="GK4" s="109"/>
      <c r="GL4" s="109"/>
      <c r="GM4" s="109"/>
      <c r="GN4" s="109"/>
      <c r="GO4" s="109"/>
      <c r="GP4" s="109"/>
      <c r="GQ4" s="109"/>
      <c r="GR4" s="109"/>
      <c r="GS4" s="109"/>
      <c r="GT4" s="109"/>
      <c r="GU4" s="109"/>
      <c r="GV4" s="109"/>
      <c r="GW4" s="109"/>
      <c r="GX4" s="109"/>
      <c r="GY4" s="109"/>
      <c r="GZ4" s="109"/>
      <c r="HA4" s="109"/>
      <c r="HB4" s="109"/>
      <c r="HC4" s="109"/>
      <c r="HD4" s="109"/>
      <c r="HE4" s="109"/>
      <c r="HF4" s="109"/>
      <c r="HG4" s="109"/>
      <c r="HH4" s="109"/>
      <c r="HI4" s="109"/>
      <c r="HJ4" s="109"/>
      <c r="HK4" s="109"/>
      <c r="HL4" s="109"/>
      <c r="HM4" s="109"/>
      <c r="HN4" s="109"/>
      <c r="HO4" s="109"/>
      <c r="HP4" s="109"/>
      <c r="HQ4" s="109"/>
      <c r="HR4" s="109"/>
      <c r="HS4" s="109"/>
      <c r="HT4" s="109"/>
      <c r="HU4" s="109"/>
      <c r="HV4" s="109"/>
      <c r="HW4" s="109"/>
      <c r="HX4" s="109"/>
      <c r="HY4" s="109"/>
      <c r="HZ4" s="109"/>
      <c r="IA4" s="109"/>
      <c r="IB4" s="109"/>
      <c r="IC4" s="109"/>
      <c r="ID4" s="109"/>
      <c r="IE4" s="109"/>
      <c r="IF4" s="109"/>
      <c r="IG4" s="109"/>
      <c r="IH4" s="109"/>
      <c r="II4" s="109"/>
      <c r="IJ4" s="109"/>
      <c r="IK4" s="109"/>
      <c r="IL4" s="109"/>
      <c r="IM4" s="109"/>
      <c r="IN4" s="109"/>
      <c r="IO4" s="109"/>
      <c r="IP4" s="109"/>
      <c r="IQ4" s="109"/>
      <c r="IR4" s="109"/>
      <c r="IS4" s="109"/>
      <c r="IT4" s="109"/>
      <c r="IU4" s="109"/>
      <c r="IV4" s="109"/>
    </row>
    <row r="5" spans="1:256" x14ac:dyDescent="0.25">
      <c r="A5" s="835"/>
      <c r="B5" s="835"/>
      <c r="C5" s="110" t="s">
        <v>150</v>
      </c>
      <c r="D5" s="110" t="s">
        <v>151</v>
      </c>
      <c r="E5" s="111" t="s">
        <v>152</v>
      </c>
      <c r="F5" s="111" t="s">
        <v>153</v>
      </c>
      <c r="G5" s="111" t="s">
        <v>154</v>
      </c>
      <c r="H5" s="111" t="s">
        <v>155</v>
      </c>
      <c r="I5" s="111" t="s">
        <v>156</v>
      </c>
      <c r="J5" s="111" t="s">
        <v>157</v>
      </c>
      <c r="K5" s="111" t="s">
        <v>158</v>
      </c>
      <c r="L5" s="111" t="s">
        <v>159</v>
      </c>
      <c r="M5" s="111" t="s">
        <v>160</v>
      </c>
      <c r="N5" s="111" t="s">
        <v>161</v>
      </c>
      <c r="O5" s="105" t="s">
        <v>202</v>
      </c>
      <c r="P5" s="105" t="s">
        <v>203</v>
      </c>
      <c r="Q5" s="105" t="s">
        <v>194</v>
      </c>
      <c r="R5" s="117">
        <v>0.19159999999999999</v>
      </c>
      <c r="S5" s="105"/>
      <c r="T5" s="105"/>
      <c r="U5" s="105"/>
      <c r="V5" s="105"/>
      <c r="W5" s="107"/>
      <c r="X5" s="108"/>
      <c r="Y5" s="105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09"/>
      <c r="CC5" s="109"/>
      <c r="CD5" s="109"/>
      <c r="CE5" s="109"/>
      <c r="CF5" s="109"/>
      <c r="CG5" s="109"/>
      <c r="CH5" s="109"/>
      <c r="CI5" s="109"/>
      <c r="CJ5" s="109"/>
      <c r="CK5" s="109"/>
      <c r="CL5" s="109"/>
      <c r="CM5" s="109"/>
      <c r="CN5" s="109"/>
      <c r="CO5" s="109"/>
      <c r="CP5" s="109"/>
      <c r="CQ5" s="109"/>
      <c r="CR5" s="109"/>
      <c r="CS5" s="109"/>
      <c r="CT5" s="109"/>
      <c r="CU5" s="109"/>
      <c r="CV5" s="109"/>
      <c r="CW5" s="109"/>
      <c r="CX5" s="109"/>
      <c r="CY5" s="109"/>
      <c r="CZ5" s="109"/>
      <c r="DA5" s="109"/>
      <c r="DB5" s="109"/>
      <c r="DC5" s="109"/>
      <c r="DD5" s="109"/>
      <c r="DE5" s="109"/>
      <c r="DF5" s="109"/>
      <c r="DG5" s="109"/>
      <c r="DH5" s="109"/>
      <c r="DI5" s="109"/>
      <c r="DJ5" s="109"/>
      <c r="DK5" s="109"/>
      <c r="DL5" s="109"/>
      <c r="DM5" s="109"/>
      <c r="DN5" s="109"/>
      <c r="DO5" s="109"/>
      <c r="DP5" s="109"/>
      <c r="DQ5" s="109"/>
      <c r="DR5" s="109"/>
      <c r="DS5" s="109"/>
      <c r="DT5" s="109"/>
      <c r="DU5" s="109"/>
      <c r="DV5" s="109"/>
      <c r="DW5" s="109"/>
      <c r="DX5" s="109"/>
      <c r="DY5" s="109"/>
      <c r="DZ5" s="109"/>
      <c r="EA5" s="109"/>
      <c r="EB5" s="109"/>
      <c r="EC5" s="109"/>
      <c r="ED5" s="109"/>
      <c r="EE5" s="109"/>
      <c r="EF5" s="109"/>
      <c r="EG5" s="109"/>
      <c r="EH5" s="109"/>
      <c r="EI5" s="109"/>
      <c r="EJ5" s="109"/>
      <c r="EK5" s="109"/>
      <c r="EL5" s="109"/>
      <c r="EM5" s="109"/>
      <c r="EN5" s="109"/>
      <c r="EO5" s="109"/>
      <c r="EP5" s="109"/>
      <c r="EQ5" s="109"/>
      <c r="ER5" s="109"/>
      <c r="ES5" s="109"/>
      <c r="ET5" s="109"/>
      <c r="EU5" s="109"/>
      <c r="EV5" s="109"/>
      <c r="EW5" s="109"/>
      <c r="EX5" s="109"/>
      <c r="EY5" s="109"/>
      <c r="EZ5" s="109"/>
      <c r="FA5" s="109"/>
      <c r="FB5" s="109"/>
      <c r="FC5" s="109"/>
      <c r="FD5" s="109"/>
      <c r="FE5" s="109"/>
      <c r="FF5" s="109"/>
      <c r="FG5" s="109"/>
      <c r="FH5" s="109"/>
      <c r="FI5" s="109"/>
      <c r="FJ5" s="109"/>
      <c r="FK5" s="109"/>
      <c r="FL5" s="109"/>
      <c r="FM5" s="109"/>
      <c r="FN5" s="109"/>
      <c r="FO5" s="109"/>
      <c r="FP5" s="109"/>
      <c r="FQ5" s="109"/>
      <c r="FR5" s="109"/>
      <c r="FS5" s="109"/>
      <c r="FT5" s="109"/>
      <c r="FU5" s="109"/>
      <c r="FV5" s="109"/>
      <c r="FW5" s="109"/>
      <c r="FX5" s="109"/>
      <c r="FY5" s="109"/>
      <c r="FZ5" s="109"/>
      <c r="GA5" s="109"/>
      <c r="GB5" s="109"/>
      <c r="GC5" s="109"/>
      <c r="GD5" s="109"/>
      <c r="GE5" s="109"/>
      <c r="GF5" s="109"/>
      <c r="GG5" s="109"/>
      <c r="GH5" s="109"/>
      <c r="GI5" s="109"/>
      <c r="GJ5" s="109"/>
      <c r="GK5" s="109"/>
      <c r="GL5" s="109"/>
      <c r="GM5" s="109"/>
      <c r="GN5" s="109"/>
      <c r="GO5" s="109"/>
      <c r="GP5" s="109"/>
      <c r="GQ5" s="109"/>
      <c r="GR5" s="109"/>
      <c r="GS5" s="109"/>
      <c r="GT5" s="109"/>
      <c r="GU5" s="109"/>
      <c r="GV5" s="109"/>
      <c r="GW5" s="109"/>
      <c r="GX5" s="109"/>
      <c r="GY5" s="109"/>
      <c r="GZ5" s="109"/>
      <c r="HA5" s="109"/>
      <c r="HB5" s="109"/>
      <c r="HC5" s="109"/>
      <c r="HD5" s="109"/>
      <c r="HE5" s="109"/>
      <c r="HF5" s="109"/>
      <c r="HG5" s="109"/>
      <c r="HH5" s="109"/>
      <c r="HI5" s="109"/>
      <c r="HJ5" s="109"/>
      <c r="HK5" s="109"/>
      <c r="HL5" s="109"/>
      <c r="HM5" s="109"/>
      <c r="HN5" s="109"/>
      <c r="HO5" s="109"/>
      <c r="HP5" s="109"/>
      <c r="HQ5" s="109"/>
      <c r="HR5" s="109"/>
      <c r="HS5" s="109"/>
      <c r="HT5" s="109"/>
      <c r="HU5" s="109"/>
      <c r="HV5" s="109"/>
      <c r="HW5" s="109"/>
      <c r="HX5" s="109"/>
      <c r="HY5" s="109"/>
      <c r="HZ5" s="109"/>
      <c r="IA5" s="109"/>
      <c r="IB5" s="109"/>
      <c r="IC5" s="109"/>
      <c r="ID5" s="109"/>
      <c r="IE5" s="109"/>
      <c r="IF5" s="109"/>
      <c r="IG5" s="109"/>
      <c r="IH5" s="109"/>
      <c r="II5" s="109"/>
      <c r="IJ5" s="109"/>
      <c r="IK5" s="109"/>
      <c r="IL5" s="109"/>
      <c r="IM5" s="109"/>
      <c r="IN5" s="109"/>
      <c r="IO5" s="109"/>
      <c r="IP5" s="109"/>
      <c r="IQ5" s="109"/>
      <c r="IR5" s="109"/>
      <c r="IS5" s="109"/>
      <c r="IT5" s="109"/>
      <c r="IU5" s="109"/>
      <c r="IV5" s="109"/>
    </row>
    <row r="6" spans="1:256" x14ac:dyDescent="0.25">
      <c r="A6" s="118"/>
      <c r="B6" s="118"/>
      <c r="C6" s="119" t="s">
        <v>163</v>
      </c>
      <c r="D6" s="119" t="s">
        <v>163</v>
      </c>
      <c r="E6" s="120" t="s">
        <v>164</v>
      </c>
      <c r="F6" s="121" t="s">
        <v>165</v>
      </c>
      <c r="G6" s="122"/>
      <c r="H6" s="122" t="s">
        <v>166</v>
      </c>
      <c r="I6" s="122"/>
      <c r="J6" s="122" t="s">
        <v>167</v>
      </c>
      <c r="K6" s="122" t="s">
        <v>168</v>
      </c>
      <c r="L6" s="122" t="s">
        <v>169</v>
      </c>
      <c r="M6" s="122" t="s">
        <v>170</v>
      </c>
      <c r="N6" s="115" t="s">
        <v>171</v>
      </c>
      <c r="O6" s="115"/>
      <c r="P6" s="115"/>
      <c r="Q6" s="115" t="s">
        <v>172</v>
      </c>
      <c r="R6" s="115">
        <v>380</v>
      </c>
      <c r="S6" s="115"/>
      <c r="T6" s="115"/>
      <c r="U6" s="115"/>
      <c r="V6" s="115"/>
      <c r="W6" s="123"/>
      <c r="X6" s="164"/>
      <c r="Y6" s="115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4"/>
      <c r="DY6" s="124"/>
      <c r="DZ6" s="124"/>
      <c r="EA6" s="124"/>
      <c r="EB6" s="124"/>
      <c r="EC6" s="124"/>
      <c r="ED6" s="124"/>
      <c r="EE6" s="124"/>
      <c r="EF6" s="124"/>
      <c r="EG6" s="124"/>
      <c r="EH6" s="124"/>
      <c r="EI6" s="124"/>
      <c r="EJ6" s="124"/>
      <c r="EK6" s="124"/>
      <c r="EL6" s="124"/>
      <c r="EM6" s="124"/>
      <c r="EN6" s="124"/>
      <c r="EO6" s="124"/>
      <c r="EP6" s="124"/>
      <c r="EQ6" s="124"/>
      <c r="ER6" s="124"/>
      <c r="ES6" s="124"/>
      <c r="ET6" s="124"/>
      <c r="EU6" s="124"/>
      <c r="EV6" s="124"/>
      <c r="EW6" s="124"/>
      <c r="EX6" s="124"/>
      <c r="EY6" s="124"/>
      <c r="EZ6" s="124"/>
      <c r="FA6" s="124"/>
      <c r="FB6" s="124"/>
      <c r="FC6" s="124"/>
      <c r="FD6" s="124"/>
      <c r="FE6" s="124"/>
      <c r="FF6" s="124"/>
      <c r="FG6" s="124"/>
      <c r="FH6" s="124"/>
      <c r="FI6" s="124"/>
      <c r="FJ6" s="124"/>
      <c r="FK6" s="124"/>
      <c r="FL6" s="124"/>
      <c r="FM6" s="124"/>
      <c r="FN6" s="124"/>
      <c r="FO6" s="124"/>
      <c r="FP6" s="124"/>
      <c r="FQ6" s="124"/>
      <c r="FR6" s="124"/>
      <c r="FS6" s="124"/>
      <c r="FT6" s="124"/>
      <c r="FU6" s="124"/>
      <c r="FV6" s="124"/>
      <c r="FW6" s="124"/>
      <c r="FX6" s="124"/>
      <c r="FY6" s="124"/>
      <c r="FZ6" s="124"/>
      <c r="GA6" s="124"/>
      <c r="GB6" s="124"/>
      <c r="GC6" s="124"/>
      <c r="GD6" s="124"/>
      <c r="GE6" s="124"/>
      <c r="GF6" s="124"/>
      <c r="GG6" s="124"/>
      <c r="GH6" s="124"/>
      <c r="GI6" s="124"/>
      <c r="GJ6" s="124"/>
      <c r="GK6" s="124"/>
      <c r="GL6" s="124"/>
      <c r="GM6" s="124"/>
      <c r="GN6" s="124"/>
      <c r="GO6" s="124"/>
      <c r="GP6" s="124"/>
      <c r="GQ6" s="124"/>
      <c r="GR6" s="124"/>
      <c r="GS6" s="124"/>
      <c r="GT6" s="124"/>
      <c r="GU6" s="124"/>
      <c r="GV6" s="124"/>
      <c r="GW6" s="124"/>
      <c r="GX6" s="124"/>
      <c r="GY6" s="124"/>
      <c r="GZ6" s="124"/>
      <c r="HA6" s="124"/>
      <c r="HB6" s="124"/>
      <c r="HC6" s="124"/>
      <c r="HD6" s="124"/>
      <c r="HE6" s="124"/>
      <c r="HF6" s="124"/>
      <c r="HG6" s="124"/>
      <c r="HH6" s="124"/>
      <c r="HI6" s="124"/>
      <c r="HJ6" s="124"/>
      <c r="HK6" s="124"/>
      <c r="HL6" s="124"/>
      <c r="HM6" s="124"/>
      <c r="HN6" s="124"/>
      <c r="HO6" s="124"/>
      <c r="HP6" s="124"/>
      <c r="HQ6" s="124"/>
      <c r="HR6" s="124"/>
      <c r="HS6" s="124"/>
      <c r="HT6" s="124"/>
      <c r="HU6" s="124"/>
      <c r="HV6" s="124"/>
      <c r="HW6" s="124"/>
      <c r="HX6" s="124"/>
      <c r="HY6" s="124"/>
      <c r="HZ6" s="124"/>
      <c r="IA6" s="124"/>
      <c r="IB6" s="124"/>
      <c r="IC6" s="124"/>
      <c r="ID6" s="124"/>
      <c r="IE6" s="124"/>
      <c r="IF6" s="124"/>
      <c r="IG6" s="124"/>
      <c r="IH6" s="124"/>
      <c r="II6" s="124"/>
      <c r="IJ6" s="124"/>
      <c r="IK6" s="124"/>
      <c r="IL6" s="124"/>
      <c r="IM6" s="124"/>
      <c r="IN6" s="124"/>
      <c r="IO6" s="124"/>
      <c r="IP6" s="124"/>
      <c r="IQ6" s="124"/>
      <c r="IR6" s="124"/>
      <c r="IS6" s="124"/>
      <c r="IT6" s="124"/>
      <c r="IU6" s="124"/>
      <c r="IV6" s="124"/>
    </row>
    <row r="7" spans="1:256" ht="18.75" x14ac:dyDescent="0.25">
      <c r="A7" s="125" t="s">
        <v>175</v>
      </c>
      <c r="B7" s="126">
        <v>31</v>
      </c>
      <c r="C7" s="127">
        <f>X7</f>
        <v>3.2967158161650487</v>
      </c>
      <c r="D7" s="127">
        <f>Y7</f>
        <v>5.0029642977292141</v>
      </c>
      <c r="E7" s="128">
        <f>D7*$R$3</f>
        <v>26091.357044867866</v>
      </c>
      <c r="F7" s="128">
        <f t="shared" ref="F7:F18" si="0">E7*$R$5</f>
        <v>4999.1040097966825</v>
      </c>
      <c r="G7" s="128">
        <v>13.65</v>
      </c>
      <c r="H7" s="129">
        <f>(25-(G7+20))*0.37%</f>
        <v>-3.2004999999999999E-2</v>
      </c>
      <c r="I7" s="129">
        <v>-0.151</v>
      </c>
      <c r="J7" s="129">
        <f t="shared" ref="J7:J18" si="1">SUM(H7:I7)</f>
        <v>-0.183005</v>
      </c>
      <c r="K7" s="128">
        <f>+F7*(1+J7)</f>
        <v>4084.2429804838407</v>
      </c>
      <c r="L7" s="128">
        <f>K7*B7</f>
        <v>126611.53239499906</v>
      </c>
      <c r="M7" s="130">
        <f>K7/($R$4*24)</f>
        <v>0.17027895822843042</v>
      </c>
      <c r="N7" s="130">
        <f>K7/(D7*$R$4)</f>
        <v>0.81685471937851573</v>
      </c>
      <c r="O7" s="165">
        <f>+L7/(999.4*24*B7)</f>
        <v>0.17027895822843042</v>
      </c>
      <c r="P7" s="165">
        <f>+L7/(D7*999.4*B7)</f>
        <v>0.81685471937851573</v>
      </c>
      <c r="Q7" s="131">
        <f>D7/C7</f>
        <v>1.5175600739371533</v>
      </c>
      <c r="R7" s="132"/>
      <c r="S7" s="132"/>
      <c r="T7" s="133">
        <v>108.2</v>
      </c>
      <c r="U7" s="134"/>
      <c r="V7" s="133">
        <v>164.2</v>
      </c>
      <c r="W7" s="135">
        <v>115.5</v>
      </c>
      <c r="X7" s="136">
        <f>(T7/B7)*0.944530409437306</f>
        <v>3.2967158161650487</v>
      </c>
      <c r="Y7" s="134">
        <f>(V7/B7)*0.944530409437306</f>
        <v>5.0029642977292141</v>
      </c>
      <c r="Z7" s="137"/>
      <c r="AA7" s="137"/>
      <c r="AD7" s="104">
        <v>4084.2429804838421</v>
      </c>
      <c r="AE7" s="297">
        <f>AD7-K7</f>
        <v>0</v>
      </c>
      <c r="AF7" s="104">
        <f>AD7/K7</f>
        <v>1.0000000000000004</v>
      </c>
    </row>
    <row r="8" spans="1:256" ht="18.75" x14ac:dyDescent="0.25">
      <c r="A8" s="125" t="s">
        <v>176</v>
      </c>
      <c r="B8" s="126">
        <v>28</v>
      </c>
      <c r="C8" s="127">
        <f t="shared" ref="C8:D18" si="2">X8</f>
        <v>4.4245514741661074</v>
      </c>
      <c r="D8" s="127">
        <f t="shared" si="2"/>
        <v>6.0616355196075666</v>
      </c>
      <c r="E8" s="128">
        <f>D8*$R$3</f>
        <v>31612.517540794652</v>
      </c>
      <c r="F8" s="128">
        <f t="shared" si="0"/>
        <v>6056.9583608162548</v>
      </c>
      <c r="G8" s="128">
        <v>17.54</v>
      </c>
      <c r="H8" s="129">
        <f t="shared" ref="H8:H18" si="3">(25-(G8+20))*0.37%</f>
        <v>-4.6398000000000002E-2</v>
      </c>
      <c r="I8" s="129">
        <v>-0.151</v>
      </c>
      <c r="J8" s="129">
        <f t="shared" si="1"/>
        <v>-0.19739799999999999</v>
      </c>
      <c r="K8" s="291">
        <f t="shared" ref="K8:K18" si="4">+F8*(1+J8)</f>
        <v>4861.3268943078483</v>
      </c>
      <c r="L8" s="128">
        <f t="shared" ref="L8:L18" si="5">K8*B8</f>
        <v>136117.15304061974</v>
      </c>
      <c r="M8" s="199">
        <f t="shared" ref="M8:M18" si="6">K8/($R$4*24)</f>
        <v>0.20267689339886635</v>
      </c>
      <c r="N8" s="199">
        <f t="shared" ref="N8:N17" si="7">K8/(D8*$R$4)</f>
        <v>0.80246419070206743</v>
      </c>
      <c r="O8" s="165">
        <f t="shared" ref="O8:O18" si="8">+L8/(999.4*24*B8)</f>
        <v>0.20267689339886633</v>
      </c>
      <c r="P8" s="165">
        <f t="shared" ref="P8:P18" si="9">+L8/(D8*999.4*B8)</f>
        <v>0.80246419070206743</v>
      </c>
      <c r="Q8" s="131">
        <f>D8/C8</f>
        <v>1.3699999999999999</v>
      </c>
      <c r="R8" s="132"/>
      <c r="S8" s="132"/>
      <c r="T8" s="133">
        <v>130</v>
      </c>
      <c r="U8" s="134"/>
      <c r="V8" s="133">
        <v>178.1</v>
      </c>
      <c r="W8" s="135">
        <v>126.4</v>
      </c>
      <c r="X8" s="136">
        <f>(T8/B8)*0.9529803175127</f>
        <v>4.4245514741661074</v>
      </c>
      <c r="Y8" s="134">
        <f>(V8/B8)*0.9529803175127</f>
        <v>6.0616355196075666</v>
      </c>
      <c r="Z8" s="137"/>
      <c r="AA8" s="137"/>
      <c r="AD8" s="104">
        <v>4861.3268943078501</v>
      </c>
      <c r="AE8" s="297">
        <f t="shared" ref="AE8:AE18" si="10">AD8-K8</f>
        <v>0</v>
      </c>
      <c r="AF8" s="104">
        <f t="shared" ref="AF8:AF18" si="11">AD8/K8</f>
        <v>1.0000000000000004</v>
      </c>
    </row>
    <row r="9" spans="1:256" ht="18.75" x14ac:dyDescent="0.25">
      <c r="A9" s="125" t="s">
        <v>51</v>
      </c>
      <c r="B9" s="138">
        <v>31</v>
      </c>
      <c r="C9" s="251">
        <f t="shared" si="2"/>
        <v>5.4963914630418635</v>
      </c>
      <c r="D9" s="251">
        <f t="shared" si="2"/>
        <v>6.4601844758889806</v>
      </c>
      <c r="E9" s="128">
        <f t="shared" ref="E9:E18" si="12">D9*$R$3</f>
        <v>33691.021903281835</v>
      </c>
      <c r="F9" s="128">
        <f t="shared" si="0"/>
        <v>6455.1997966687995</v>
      </c>
      <c r="G9" s="128">
        <v>23.52</v>
      </c>
      <c r="H9" s="129">
        <f t="shared" si="3"/>
        <v>-6.8523999999999988E-2</v>
      </c>
      <c r="I9" s="129">
        <v>-0.151</v>
      </c>
      <c r="J9" s="129">
        <f t="shared" si="1"/>
        <v>-0.219524</v>
      </c>
      <c r="K9" s="139">
        <f t="shared" si="4"/>
        <v>5038.1285165048776</v>
      </c>
      <c r="L9" s="128">
        <f t="shared" si="5"/>
        <v>156181.98401165119</v>
      </c>
      <c r="M9" s="130">
        <f t="shared" si="6"/>
        <v>0.21004805035124732</v>
      </c>
      <c r="N9" s="130">
        <f t="shared" si="7"/>
        <v>0.78034198980613889</v>
      </c>
      <c r="O9" s="165">
        <f t="shared" si="8"/>
        <v>0.2100480503512473</v>
      </c>
      <c r="P9" s="165">
        <f t="shared" si="9"/>
        <v>0.78034198980613878</v>
      </c>
      <c r="Q9" s="131">
        <f>D9/C9</f>
        <v>1.1753501400560225</v>
      </c>
      <c r="R9" s="132"/>
      <c r="S9" s="132"/>
      <c r="T9" s="133">
        <v>178.5</v>
      </c>
      <c r="U9" s="134"/>
      <c r="V9" s="133">
        <v>209.8</v>
      </c>
      <c r="W9" s="135">
        <v>151.69999999999999</v>
      </c>
      <c r="X9" s="136">
        <f>(T9/B9)*0.954555380136122</f>
        <v>5.4963914630418635</v>
      </c>
      <c r="Y9" s="134">
        <f>(V9/B9)*0.954555380136122</f>
        <v>6.4601844758889806</v>
      </c>
      <c r="Z9" s="137"/>
      <c r="AA9" s="137"/>
      <c r="AD9" s="104">
        <v>5038.1285165048766</v>
      </c>
      <c r="AE9" s="297">
        <f t="shared" si="10"/>
        <v>0</v>
      </c>
      <c r="AF9" s="104">
        <f t="shared" si="11"/>
        <v>0.99999999999999978</v>
      </c>
    </row>
    <row r="10" spans="1:256" ht="18.75" x14ac:dyDescent="0.25">
      <c r="A10" s="125" t="s">
        <v>177</v>
      </c>
      <c r="B10" s="580">
        <v>30</v>
      </c>
      <c r="C10" s="581">
        <f t="shared" si="2"/>
        <v>6.3142851136359033</v>
      </c>
      <c r="D10" s="581">
        <f>6.23322506140001-0.005</f>
        <v>6.2282250614000105</v>
      </c>
      <c r="E10" s="285">
        <f t="shared" si="12"/>
        <v>32481.311910728578</v>
      </c>
      <c r="F10" s="285">
        <f t="shared" si="0"/>
        <v>6223.4193620955957</v>
      </c>
      <c r="G10" s="285">
        <v>31.433333333333334</v>
      </c>
      <c r="H10" s="582">
        <f t="shared" si="3"/>
        <v>-9.7803333333333353E-2</v>
      </c>
      <c r="I10" s="582">
        <v>-0.151</v>
      </c>
      <c r="J10" s="582">
        <f t="shared" si="1"/>
        <v>-0.24880333333333335</v>
      </c>
      <c r="K10" s="285">
        <f>+F10*(1+J10)+2</f>
        <v>4677.0118800750042</v>
      </c>
      <c r="L10" s="285">
        <f t="shared" si="5"/>
        <v>140310.35640225012</v>
      </c>
      <c r="M10" s="583">
        <f t="shared" si="6"/>
        <v>0.19499249049742365</v>
      </c>
      <c r="N10" s="583">
        <f t="shared" si="7"/>
        <v>0.7513889953883931</v>
      </c>
      <c r="O10" s="165">
        <f t="shared" si="8"/>
        <v>0.19499249049742362</v>
      </c>
      <c r="P10" s="165">
        <f t="shared" si="9"/>
        <v>0.7513889953883931</v>
      </c>
      <c r="Q10" s="131">
        <f t="shared" ref="Q10:Q18" si="13">D10/C10</f>
        <v>0.98637057866613542</v>
      </c>
      <c r="R10" s="132"/>
      <c r="S10" s="132"/>
      <c r="T10" s="133">
        <v>198.5</v>
      </c>
      <c r="U10" s="134"/>
      <c r="V10" s="133">
        <v>207.9</v>
      </c>
      <c r="W10" s="135">
        <v>157.1</v>
      </c>
      <c r="X10" s="136">
        <f>(T10/B10)*0.954300017174192</f>
        <v>6.3142851136359033</v>
      </c>
      <c r="Y10" s="134">
        <f>(V10/B10)*0.954300017174192</f>
        <v>6.6132991190171513</v>
      </c>
      <c r="Z10" s="137"/>
      <c r="AA10" s="137"/>
      <c r="AD10" s="104">
        <v>5008.6361255713691</v>
      </c>
      <c r="AE10" s="297">
        <f t="shared" si="10"/>
        <v>331.62424549636489</v>
      </c>
      <c r="AF10" s="104">
        <f t="shared" si="11"/>
        <v>1.07090515354668</v>
      </c>
      <c r="AJ10" s="297"/>
    </row>
    <row r="11" spans="1:256" ht="18.75" x14ac:dyDescent="0.25">
      <c r="A11" s="125" t="s">
        <v>178</v>
      </c>
      <c r="B11" s="126">
        <v>31</v>
      </c>
      <c r="C11" s="127">
        <f t="shared" si="2"/>
        <v>6.5363634103656088</v>
      </c>
      <c r="D11" s="127">
        <f>Y11-0.31</f>
        <v>6.2509593215993471</v>
      </c>
      <c r="E11" s="128">
        <f t="shared" si="12"/>
        <v>32599.875159377196</v>
      </c>
      <c r="F11" s="128">
        <f t="shared" si="0"/>
        <v>6246.1360805366703</v>
      </c>
      <c r="G11" s="128">
        <v>34.483870967741936</v>
      </c>
      <c r="H11" s="129">
        <f t="shared" si="3"/>
        <v>-0.10909032258064517</v>
      </c>
      <c r="I11" s="129">
        <v>-0.151</v>
      </c>
      <c r="J11" s="129">
        <f t="shared" si="1"/>
        <v>-0.26009032258064518</v>
      </c>
      <c r="K11" s="291">
        <f>+F11*(1+J11)-2</f>
        <v>4619.5765324672802</v>
      </c>
      <c r="L11" s="128">
        <f t="shared" si="5"/>
        <v>143206.8725064857</v>
      </c>
      <c r="M11" s="130">
        <f t="shared" si="6"/>
        <v>0.19259791426803083</v>
      </c>
      <c r="N11" s="130">
        <f t="shared" si="7"/>
        <v>0.73946248961512717</v>
      </c>
      <c r="O11" s="165">
        <f t="shared" si="8"/>
        <v>0.19259791426803086</v>
      </c>
      <c r="P11" s="165">
        <f t="shared" si="9"/>
        <v>0.73946248961512728</v>
      </c>
      <c r="Q11" s="131">
        <f t="shared" si="13"/>
        <v>0.95633595153022588</v>
      </c>
      <c r="R11" s="132"/>
      <c r="S11" s="132"/>
      <c r="T11" s="133">
        <v>212.6</v>
      </c>
      <c r="U11" s="134"/>
      <c r="V11" s="133">
        <v>213.4</v>
      </c>
      <c r="W11" s="135">
        <v>162.19999999999999</v>
      </c>
      <c r="X11" s="136">
        <f>(T11/B11)*0.953091560307309</f>
        <v>6.5363634103656088</v>
      </c>
      <c r="Y11" s="134">
        <f>(V11/B11)*0.953091560307309</f>
        <v>6.5609593215993467</v>
      </c>
      <c r="Z11" s="137"/>
      <c r="AA11" s="137"/>
      <c r="AD11" s="104">
        <v>4873.4242875422624</v>
      </c>
      <c r="AE11" s="297">
        <f t="shared" si="10"/>
        <v>253.84775507498216</v>
      </c>
      <c r="AF11" s="104">
        <f t="shared" si="11"/>
        <v>1.0549504382687225</v>
      </c>
      <c r="AI11" s="104">
        <v>4620.3485281432595</v>
      </c>
      <c r="AJ11" s="297">
        <f>K11-AI11</f>
        <v>-0.77199567597926944</v>
      </c>
    </row>
    <row r="12" spans="1:256" ht="18.75" x14ac:dyDescent="0.25">
      <c r="A12" s="125" t="s">
        <v>179</v>
      </c>
      <c r="B12" s="584">
        <v>30</v>
      </c>
      <c r="C12" s="585">
        <f t="shared" si="2"/>
        <v>5.8981860209487103</v>
      </c>
      <c r="D12" s="585">
        <f>5.90162280384445+0.01544443</f>
        <v>5.9170672338444499</v>
      </c>
      <c r="E12" s="586">
        <f t="shared" si="12"/>
        <v>30858.567974749971</v>
      </c>
      <c r="F12" s="586">
        <f t="shared" si="0"/>
        <v>5912.5016239620945</v>
      </c>
      <c r="G12" s="586">
        <v>33.549999999999997</v>
      </c>
      <c r="H12" s="587">
        <f t="shared" si="3"/>
        <v>-0.10563499999999999</v>
      </c>
      <c r="I12" s="587">
        <v>-0.151</v>
      </c>
      <c r="J12" s="587">
        <f t="shared" si="1"/>
        <v>-0.256635</v>
      </c>
      <c r="K12" s="586">
        <f t="shared" si="4"/>
        <v>4395.1467696965829</v>
      </c>
      <c r="L12" s="586">
        <f t="shared" si="5"/>
        <v>131854.40309089748</v>
      </c>
      <c r="M12" s="588">
        <f t="shared" si="6"/>
        <v>0.18324106004004834</v>
      </c>
      <c r="N12" s="588">
        <f t="shared" si="7"/>
        <v>0.74323736188203171</v>
      </c>
      <c r="O12" s="589">
        <f t="shared" si="8"/>
        <v>0.18324106004004831</v>
      </c>
      <c r="P12" s="589">
        <f t="shared" si="9"/>
        <v>0.74323736188203171</v>
      </c>
      <c r="Q12" s="131">
        <f t="shared" si="13"/>
        <v>1.0032011897944011</v>
      </c>
      <c r="R12" s="132"/>
      <c r="S12" s="132"/>
      <c r="T12" s="133">
        <v>186.7</v>
      </c>
      <c r="U12" s="134"/>
      <c r="V12" s="133">
        <v>184.8</v>
      </c>
      <c r="W12" s="135">
        <v>142</v>
      </c>
      <c r="X12" s="136">
        <f>(T12/B12)*0.947753511668245</f>
        <v>5.8981860209487103</v>
      </c>
      <c r="Y12" s="134">
        <f>(V12/B12)*0.947753511668245</f>
        <v>5.8381616318763889</v>
      </c>
      <c r="Z12" s="137"/>
      <c r="AA12" s="137"/>
      <c r="AD12" s="104">
        <v>4350.9980010758964</v>
      </c>
      <c r="AE12" s="297">
        <f t="shared" si="10"/>
        <v>-44.148768620686496</v>
      </c>
      <c r="AF12" s="104">
        <f t="shared" si="11"/>
        <v>0.98995510936629438</v>
      </c>
    </row>
    <row r="13" spans="1:256" ht="18.75" x14ac:dyDescent="0.25">
      <c r="A13" s="125" t="s">
        <v>180</v>
      </c>
      <c r="B13" s="126">
        <v>31</v>
      </c>
      <c r="C13" s="127">
        <f t="shared" si="2"/>
        <v>5.0189655998417031</v>
      </c>
      <c r="D13" s="127">
        <f t="shared" si="2"/>
        <v>4.982596283900822</v>
      </c>
      <c r="E13" s="128">
        <f t="shared" si="12"/>
        <v>25985.1341958796</v>
      </c>
      <c r="F13" s="128">
        <f t="shared" si="0"/>
        <v>4978.7517119305312</v>
      </c>
      <c r="G13" s="128">
        <v>32.119999999999997</v>
      </c>
      <c r="H13" s="129">
        <f t="shared" si="3"/>
        <v>-0.10034399999999999</v>
      </c>
      <c r="I13" s="129">
        <v>-0.151</v>
      </c>
      <c r="J13" s="129">
        <f t="shared" si="1"/>
        <v>-0.25134400000000001</v>
      </c>
      <c r="K13" s="291">
        <f t="shared" si="4"/>
        <v>3727.3723416470639</v>
      </c>
      <c r="L13" s="128">
        <f t="shared" si="5"/>
        <v>115548.54259105898</v>
      </c>
      <c r="M13" s="130">
        <f t="shared" si="6"/>
        <v>0.1554004211546538</v>
      </c>
      <c r="N13" s="130">
        <f t="shared" si="7"/>
        <v>0.74852745340062321</v>
      </c>
      <c r="O13" s="165">
        <f t="shared" si="8"/>
        <v>0.1554004211546538</v>
      </c>
      <c r="P13" s="165">
        <f t="shared" si="9"/>
        <v>0.74852745340062321</v>
      </c>
      <c r="Q13" s="131">
        <f t="shared" si="13"/>
        <v>0.99275362318840599</v>
      </c>
      <c r="R13" s="132"/>
      <c r="S13" s="132"/>
      <c r="T13" s="133">
        <v>165.6</v>
      </c>
      <c r="U13" s="134"/>
      <c r="V13" s="133">
        <v>164.4</v>
      </c>
      <c r="W13" s="135">
        <v>128.5</v>
      </c>
      <c r="X13" s="136">
        <f>(T13/B13)*0.939540661806116</f>
        <v>5.0189655998417031</v>
      </c>
      <c r="Y13" s="134">
        <f>(V13/B13)*0.939540661806116</f>
        <v>4.982596283900822</v>
      </c>
      <c r="Z13" s="137"/>
      <c r="AA13" s="137"/>
      <c r="AD13" s="104">
        <v>3727.3723416470648</v>
      </c>
      <c r="AE13" s="297">
        <f t="shared" si="10"/>
        <v>0</v>
      </c>
      <c r="AF13" s="104">
        <f t="shared" si="11"/>
        <v>1.0000000000000002</v>
      </c>
    </row>
    <row r="14" spans="1:256" ht="18.75" x14ac:dyDescent="0.25">
      <c r="A14" s="125" t="s">
        <v>181</v>
      </c>
      <c r="B14" s="126">
        <v>31</v>
      </c>
      <c r="C14" s="127">
        <f t="shared" si="2"/>
        <v>4.8516553844162233</v>
      </c>
      <c r="D14" s="127">
        <f t="shared" si="2"/>
        <v>4.8940543702975141</v>
      </c>
      <c r="E14" s="128">
        <f t="shared" si="12"/>
        <v>25523.372219623179</v>
      </c>
      <c r="F14" s="128">
        <f t="shared" si="0"/>
        <v>4890.2781172798013</v>
      </c>
      <c r="G14" s="128">
        <v>30.99</v>
      </c>
      <c r="H14" s="129">
        <f t="shared" si="3"/>
        <v>-9.6162999999999985E-2</v>
      </c>
      <c r="I14" s="129">
        <v>-0.151</v>
      </c>
      <c r="J14" s="129">
        <f t="shared" si="1"/>
        <v>-0.24716299999999997</v>
      </c>
      <c r="K14" s="291">
        <f t="shared" si="4"/>
        <v>3681.5823069785738</v>
      </c>
      <c r="L14" s="128">
        <f t="shared" si="5"/>
        <v>114129.05151633579</v>
      </c>
      <c r="M14" s="130">
        <f t="shared" si="6"/>
        <v>0.15349135760533711</v>
      </c>
      <c r="N14" s="130">
        <f t="shared" si="7"/>
        <v>0.75270773550972003</v>
      </c>
      <c r="O14" s="165">
        <f t="shared" si="8"/>
        <v>0.15349135760533711</v>
      </c>
      <c r="P14" s="165">
        <f t="shared" si="9"/>
        <v>0.75270773550972003</v>
      </c>
      <c r="Q14" s="131">
        <f t="shared" si="13"/>
        <v>1.0087390761548065</v>
      </c>
      <c r="R14" s="132"/>
      <c r="S14" s="132"/>
      <c r="T14" s="133">
        <v>160.19999999999999</v>
      </c>
      <c r="U14" s="134"/>
      <c r="V14" s="133">
        <v>161.6</v>
      </c>
      <c r="W14" s="135">
        <v>122.7</v>
      </c>
      <c r="X14" s="136">
        <f>(T14/B14)*0.938834687371429</f>
        <v>4.8516553844162233</v>
      </c>
      <c r="Y14" s="134">
        <f>(V14/B14)*0.938834687371429</f>
        <v>4.8940543702975141</v>
      </c>
      <c r="Z14" s="137"/>
      <c r="AA14" s="137"/>
      <c r="AD14" s="104">
        <v>3681.582306978572</v>
      </c>
      <c r="AE14" s="297">
        <f t="shared" si="10"/>
        <v>0</v>
      </c>
      <c r="AF14" s="104">
        <f t="shared" si="11"/>
        <v>0.99999999999999956</v>
      </c>
    </row>
    <row r="15" spans="1:256" ht="18.75" x14ac:dyDescent="0.25">
      <c r="A15" s="125" t="s">
        <v>182</v>
      </c>
      <c r="B15" s="126">
        <v>30</v>
      </c>
      <c r="C15" s="127">
        <f t="shared" si="2"/>
        <v>5.0390965284089946</v>
      </c>
      <c r="D15" s="127">
        <f t="shared" si="2"/>
        <v>5.477141817620284</v>
      </c>
      <c r="E15" s="128">
        <f t="shared" si="12"/>
        <v>28564.277944931717</v>
      </c>
      <c r="F15" s="128">
        <f t="shared" si="0"/>
        <v>5472.9156542489163</v>
      </c>
      <c r="G15" s="128">
        <v>29.28</v>
      </c>
      <c r="H15" s="129">
        <f t="shared" si="3"/>
        <v>-8.9836000000000013E-2</v>
      </c>
      <c r="I15" s="129">
        <v>-0.151</v>
      </c>
      <c r="J15" s="129">
        <f t="shared" si="1"/>
        <v>-0.24083599999999999</v>
      </c>
      <c r="K15" s="291">
        <f t="shared" si="4"/>
        <v>4154.8405397422239</v>
      </c>
      <c r="L15" s="128">
        <f t="shared" si="5"/>
        <v>124645.21619226671</v>
      </c>
      <c r="M15" s="130">
        <f t="shared" si="6"/>
        <v>0.17322228919611035</v>
      </c>
      <c r="N15" s="130">
        <f t="shared" si="7"/>
        <v>0.75903364914383986</v>
      </c>
      <c r="O15" s="165">
        <f t="shared" si="8"/>
        <v>0.17322228919611032</v>
      </c>
      <c r="P15" s="165">
        <f t="shared" si="9"/>
        <v>0.75903364914383975</v>
      </c>
      <c r="Q15" s="131">
        <f t="shared" si="13"/>
        <v>1.08692933083177</v>
      </c>
      <c r="R15" s="132"/>
      <c r="S15" s="132"/>
      <c r="T15" s="133">
        <v>159.9</v>
      </c>
      <c r="U15" s="134"/>
      <c r="V15" s="133">
        <v>173.8</v>
      </c>
      <c r="W15" s="135">
        <v>133.5</v>
      </c>
      <c r="X15" s="136">
        <f>(T15/B15)*0.945421487506378</f>
        <v>5.0390965284089946</v>
      </c>
      <c r="Y15" s="134">
        <f>(V15/B15)*0.945421487506378</f>
        <v>5.477141817620284</v>
      </c>
      <c r="Z15" s="137">
        <v>491</v>
      </c>
      <c r="AA15" s="137"/>
      <c r="AD15" s="104">
        <v>4154.840539742223</v>
      </c>
      <c r="AE15" s="297">
        <f t="shared" si="10"/>
        <v>0</v>
      </c>
      <c r="AF15" s="104">
        <f t="shared" si="11"/>
        <v>0.99999999999999978</v>
      </c>
    </row>
    <row r="16" spans="1:256" ht="18.75" x14ac:dyDescent="0.25">
      <c r="A16" s="125" t="s">
        <v>183</v>
      </c>
      <c r="B16" s="126">
        <v>31</v>
      </c>
      <c r="C16" s="127">
        <f t="shared" si="2"/>
        <v>4.6836083337281407</v>
      </c>
      <c r="D16" s="127">
        <f t="shared" si="2"/>
        <v>5.9525964555628574</v>
      </c>
      <c r="E16" s="128">
        <f t="shared" si="12"/>
        <v>31043.859244927935</v>
      </c>
      <c r="F16" s="128">
        <f t="shared" si="0"/>
        <v>5948.0034313281922</v>
      </c>
      <c r="G16" s="128">
        <v>26.47</v>
      </c>
      <c r="H16" s="129">
        <f t="shared" si="3"/>
        <v>-7.9438999999999996E-2</v>
      </c>
      <c r="I16" s="129">
        <v>-0.151</v>
      </c>
      <c r="J16" s="129">
        <f t="shared" si="1"/>
        <v>-0.230439</v>
      </c>
      <c r="K16" s="291">
        <f t="shared" si="4"/>
        <v>4577.3514686163544</v>
      </c>
      <c r="L16" s="128">
        <f>(K16*B16)</f>
        <v>141897.895527107</v>
      </c>
      <c r="M16" s="130">
        <f t="shared" si="6"/>
        <v>0.19083748034722312</v>
      </c>
      <c r="N16" s="130">
        <f t="shared" si="7"/>
        <v>0.76942886394610732</v>
      </c>
      <c r="O16" s="165">
        <f t="shared" si="8"/>
        <v>0.19083748034722312</v>
      </c>
      <c r="P16" s="165">
        <f t="shared" si="9"/>
        <v>0.76942886394610732</v>
      </c>
      <c r="Q16" s="131">
        <f t="shared" si="13"/>
        <v>1.2709424083769629</v>
      </c>
      <c r="R16" s="166">
        <f>+P16-N16</f>
        <v>0</v>
      </c>
      <c r="S16" s="132"/>
      <c r="T16" s="133">
        <v>152.80000000000001</v>
      </c>
      <c r="U16" s="134"/>
      <c r="V16" s="133">
        <v>194.2</v>
      </c>
      <c r="W16" s="135">
        <v>133.1</v>
      </c>
      <c r="X16" s="136">
        <f>(T16/B16)*0.950208497025997</f>
        <v>4.6836083337281407</v>
      </c>
      <c r="Y16" s="134">
        <f>(V16/B16)*0.950208497025997</f>
        <v>5.9525964555628574</v>
      </c>
      <c r="Z16" s="137">
        <f>+Z15/1998.8/24</f>
        <v>1.0235307851377494E-2</v>
      </c>
      <c r="AA16" s="137"/>
      <c r="AD16" s="104">
        <v>4577.3514686163562</v>
      </c>
      <c r="AE16" s="297">
        <f t="shared" si="10"/>
        <v>0</v>
      </c>
      <c r="AF16" s="104">
        <f t="shared" si="11"/>
        <v>1.0000000000000004</v>
      </c>
    </row>
    <row r="17" spans="1:256" ht="18.75" x14ac:dyDescent="0.25">
      <c r="A17" s="125" t="s">
        <v>184</v>
      </c>
      <c r="B17" s="126">
        <v>30</v>
      </c>
      <c r="C17" s="127">
        <f t="shared" si="2"/>
        <v>3.8864124076564974</v>
      </c>
      <c r="D17" s="207">
        <f t="shared" si="2"/>
        <v>5.8971804165847352</v>
      </c>
      <c r="E17" s="128">
        <f t="shared" si="12"/>
        <v>30754.854652261387</v>
      </c>
      <c r="F17" s="128">
        <f t="shared" si="0"/>
        <v>5892.6301513732815</v>
      </c>
      <c r="G17" s="128">
        <v>23.5</v>
      </c>
      <c r="H17" s="129">
        <f t="shared" si="3"/>
        <v>-6.8449999999999997E-2</v>
      </c>
      <c r="I17" s="129">
        <v>-0.151</v>
      </c>
      <c r="J17" s="129">
        <f t="shared" si="1"/>
        <v>-0.21944999999999998</v>
      </c>
      <c r="K17" s="291">
        <f t="shared" si="4"/>
        <v>4599.492464654415</v>
      </c>
      <c r="L17" s="128">
        <f t="shared" si="5"/>
        <v>137984.77393963246</v>
      </c>
      <c r="M17" s="199">
        <f t="shared" si="6"/>
        <v>0.19176057570602426</v>
      </c>
      <c r="N17" s="130">
        <f t="shared" si="7"/>
        <v>0.78041597710010524</v>
      </c>
      <c r="O17" s="165">
        <f t="shared" si="8"/>
        <v>0.19176057570602426</v>
      </c>
      <c r="P17" s="165">
        <f t="shared" si="9"/>
        <v>0.78041597710010535</v>
      </c>
      <c r="Q17" s="131">
        <f t="shared" si="13"/>
        <v>1.5173841059602651</v>
      </c>
      <c r="R17" s="132"/>
      <c r="S17" s="132"/>
      <c r="T17" s="133">
        <v>120.8</v>
      </c>
      <c r="U17" s="134"/>
      <c r="V17" s="133">
        <v>183.3</v>
      </c>
      <c r="W17" s="135">
        <v>107.6</v>
      </c>
      <c r="X17" s="136">
        <f>(T17/B17)*0.965168644285554</f>
        <v>3.8864124076564974</v>
      </c>
      <c r="Y17" s="134">
        <f>(V17/B17)*0.965168644285554</f>
        <v>5.8971804165847352</v>
      </c>
      <c r="Z17" s="137"/>
      <c r="AA17" s="137"/>
      <c r="AD17" s="104">
        <v>4599.492464654415</v>
      </c>
      <c r="AE17" s="297">
        <f t="shared" si="10"/>
        <v>0</v>
      </c>
      <c r="AF17" s="104">
        <f t="shared" si="11"/>
        <v>1</v>
      </c>
      <c r="AI17" s="184">
        <f>+K17+'Exception Report F1'!L36</f>
        <v>4647.9478344767385</v>
      </c>
      <c r="AJ17" s="182">
        <f>+AI17/(D17*999.4)</f>
        <v>0.78863761135132626</v>
      </c>
      <c r="AK17" s="185">
        <f>+N17-AJ17</f>
        <v>-8.2216342512210216E-3</v>
      </c>
    </row>
    <row r="18" spans="1:256" ht="18.75" x14ac:dyDescent="0.25">
      <c r="A18" s="125" t="s">
        <v>185</v>
      </c>
      <c r="B18" s="126">
        <v>31</v>
      </c>
      <c r="C18" s="127">
        <f t="shared" si="2"/>
        <v>3.2239865661142688</v>
      </c>
      <c r="D18" s="127">
        <f t="shared" si="2"/>
        <v>5.235925152354139</v>
      </c>
      <c r="E18" s="128">
        <f t="shared" si="12"/>
        <v>27306.289727528689</v>
      </c>
      <c r="F18" s="128">
        <f t="shared" si="0"/>
        <v>5231.8851117944969</v>
      </c>
      <c r="G18" s="128">
        <v>15.53</v>
      </c>
      <c r="H18" s="129">
        <f t="shared" si="3"/>
        <v>-3.8961000000000003E-2</v>
      </c>
      <c r="I18" s="129">
        <v>-0.151</v>
      </c>
      <c r="J18" s="129">
        <f t="shared" si="1"/>
        <v>-0.18996099999999999</v>
      </c>
      <c r="K18" s="291">
        <f t="shared" si="4"/>
        <v>4238.0309840729024</v>
      </c>
      <c r="L18" s="128">
        <f t="shared" si="5"/>
        <v>131378.96050625999</v>
      </c>
      <c r="M18" s="199">
        <f t="shared" si="6"/>
        <v>0.17669063871960269</v>
      </c>
      <c r="N18" s="130">
        <f>K18/(D18*$R$4)</f>
        <v>0.80989991374568215</v>
      </c>
      <c r="O18" s="165">
        <f t="shared" si="8"/>
        <v>0.17669063871960272</v>
      </c>
      <c r="P18" s="165">
        <f t="shared" si="9"/>
        <v>0.80989991374568227</v>
      </c>
      <c r="Q18" s="131">
        <f t="shared" si="13"/>
        <v>1.6240530303030303</v>
      </c>
      <c r="R18" s="132"/>
      <c r="S18" s="132"/>
      <c r="T18" s="133">
        <v>105.6</v>
      </c>
      <c r="U18" s="134"/>
      <c r="V18" s="133">
        <v>171.5</v>
      </c>
      <c r="W18" s="135">
        <v>109.7</v>
      </c>
      <c r="X18" s="136">
        <f>(T18/B18)*0.946435450279757</f>
        <v>3.2239865661142688</v>
      </c>
      <c r="Y18" s="134">
        <f>(V18/B18)*0.946435450279757</f>
        <v>5.235925152354139</v>
      </c>
      <c r="Z18" s="137"/>
      <c r="AA18" s="137"/>
      <c r="AD18" s="104">
        <v>4238.0309840729042</v>
      </c>
      <c r="AE18" s="297">
        <f t="shared" si="10"/>
        <v>0</v>
      </c>
      <c r="AF18" s="104">
        <f t="shared" si="11"/>
        <v>1.0000000000000004</v>
      </c>
    </row>
    <row r="19" spans="1:256" ht="30" x14ac:dyDescent="0.25">
      <c r="A19" s="140" t="s">
        <v>186</v>
      </c>
      <c r="B19" s="140"/>
      <c r="C19" s="141">
        <f>AVERAGE(C10:C18)</f>
        <v>5.0502843739017838</v>
      </c>
      <c r="D19" s="141">
        <f>AVERAGE(D10:D18)</f>
        <v>5.6484162347960183</v>
      </c>
      <c r="E19" s="141">
        <f t="shared" ref="E19:N19" si="14">AVERAGE(E10:E18)</f>
        <v>29457.504781112024</v>
      </c>
      <c r="F19" s="141">
        <f t="shared" si="14"/>
        <v>5644.0579160610641</v>
      </c>
      <c r="G19" s="141">
        <f t="shared" si="14"/>
        <v>28.595244922341699</v>
      </c>
      <c r="H19" s="141">
        <f t="shared" si="14"/>
        <v>-8.7302406212664288E-2</v>
      </c>
      <c r="I19" s="141">
        <f t="shared" si="14"/>
        <v>-0.151</v>
      </c>
      <c r="J19" s="141">
        <f t="shared" si="14"/>
        <v>-0.23830240621266427</v>
      </c>
      <c r="K19" s="141">
        <f t="shared" si="14"/>
        <v>4296.7116986611554</v>
      </c>
      <c r="L19" s="141">
        <f t="shared" si="14"/>
        <v>131217.34136358823</v>
      </c>
      <c r="M19" s="130">
        <f t="shared" si="14"/>
        <v>0.17913713639271714</v>
      </c>
      <c r="N19" s="130">
        <f t="shared" si="14"/>
        <v>0.76156693774795881</v>
      </c>
      <c r="O19" s="167"/>
      <c r="P19" s="167"/>
      <c r="Q19" s="145"/>
      <c r="R19" s="145"/>
      <c r="S19" s="145"/>
      <c r="T19" s="146">
        <f>SUM(T7:T18)</f>
        <v>1879.3999999999999</v>
      </c>
      <c r="U19" s="146"/>
      <c r="V19" s="147">
        <f>SUM(V7:V18)</f>
        <v>2207</v>
      </c>
      <c r="W19" s="147">
        <f>SUM(W7:W18)</f>
        <v>1590</v>
      </c>
      <c r="X19" s="146">
        <f>AVERAGE(X7:X18)</f>
        <v>4.8891848432074232</v>
      </c>
      <c r="Y19" s="146">
        <f>AVERAGE(Y7:Y18)</f>
        <v>5.7480582385032504</v>
      </c>
      <c r="Z19" s="137"/>
      <c r="AA19" s="137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  <c r="CE19" s="148"/>
      <c r="CF19" s="148"/>
      <c r="CG19" s="148"/>
      <c r="CH19" s="148"/>
      <c r="CI19" s="148"/>
      <c r="CJ19" s="148"/>
      <c r="CK19" s="148"/>
      <c r="CL19" s="148"/>
      <c r="CM19" s="148"/>
      <c r="CN19" s="148"/>
      <c r="CO19" s="148"/>
      <c r="CP19" s="148"/>
      <c r="CQ19" s="148"/>
      <c r="CR19" s="148"/>
      <c r="CS19" s="148"/>
      <c r="CT19" s="148"/>
      <c r="CU19" s="148"/>
      <c r="CV19" s="148"/>
      <c r="CW19" s="148"/>
      <c r="CX19" s="148"/>
      <c r="CY19" s="148"/>
      <c r="CZ19" s="148"/>
      <c r="DA19" s="148"/>
      <c r="DB19" s="148"/>
      <c r="DC19" s="148"/>
      <c r="DD19" s="148"/>
      <c r="DE19" s="148"/>
      <c r="DF19" s="148"/>
      <c r="DG19" s="148"/>
      <c r="DH19" s="148"/>
      <c r="DI19" s="148"/>
      <c r="DJ19" s="148"/>
      <c r="DK19" s="148"/>
      <c r="DL19" s="148"/>
      <c r="DM19" s="148"/>
      <c r="DN19" s="148"/>
      <c r="DO19" s="148"/>
      <c r="DP19" s="148"/>
      <c r="DQ19" s="148"/>
      <c r="DR19" s="148"/>
      <c r="DS19" s="148"/>
      <c r="DT19" s="148"/>
      <c r="DU19" s="148"/>
      <c r="DV19" s="148"/>
      <c r="DW19" s="148"/>
      <c r="DX19" s="148"/>
      <c r="DY19" s="148"/>
      <c r="DZ19" s="148"/>
      <c r="EA19" s="148"/>
      <c r="EB19" s="148"/>
      <c r="EC19" s="148"/>
      <c r="ED19" s="148"/>
      <c r="EE19" s="148"/>
      <c r="EF19" s="148"/>
      <c r="EG19" s="148"/>
      <c r="EH19" s="148"/>
      <c r="EI19" s="148"/>
      <c r="EJ19" s="148"/>
      <c r="EK19" s="148"/>
      <c r="EL19" s="148"/>
      <c r="EM19" s="148"/>
      <c r="EN19" s="148"/>
      <c r="EO19" s="148"/>
      <c r="EP19" s="148"/>
      <c r="EQ19" s="148"/>
      <c r="ER19" s="148"/>
      <c r="ES19" s="148"/>
      <c r="ET19" s="148"/>
      <c r="EU19" s="148"/>
      <c r="EV19" s="148"/>
      <c r="EW19" s="148"/>
      <c r="EX19" s="148"/>
      <c r="EY19" s="148"/>
      <c r="EZ19" s="148"/>
      <c r="FA19" s="148"/>
      <c r="FB19" s="148"/>
      <c r="FC19" s="148"/>
      <c r="FD19" s="148"/>
      <c r="FE19" s="148"/>
      <c r="FF19" s="148"/>
      <c r="FG19" s="148"/>
      <c r="FH19" s="148"/>
      <c r="FI19" s="148"/>
      <c r="FJ19" s="148"/>
      <c r="FK19" s="148"/>
      <c r="FL19" s="148"/>
      <c r="FM19" s="148"/>
      <c r="FN19" s="148"/>
      <c r="FO19" s="148"/>
      <c r="FP19" s="148"/>
      <c r="FQ19" s="148"/>
      <c r="FR19" s="148"/>
      <c r="FS19" s="148"/>
      <c r="FT19" s="148"/>
      <c r="FU19" s="148"/>
      <c r="FV19" s="148"/>
      <c r="FW19" s="148"/>
      <c r="FX19" s="148"/>
      <c r="FY19" s="148"/>
      <c r="FZ19" s="148"/>
      <c r="GA19" s="148"/>
      <c r="GB19" s="148"/>
      <c r="GC19" s="148"/>
      <c r="GD19" s="148"/>
      <c r="GE19" s="148"/>
      <c r="GF19" s="148"/>
      <c r="GG19" s="148"/>
      <c r="GH19" s="148"/>
      <c r="GI19" s="148"/>
      <c r="GJ19" s="148"/>
      <c r="GK19" s="148"/>
      <c r="GL19" s="148"/>
      <c r="GM19" s="148"/>
      <c r="GN19" s="148"/>
      <c r="GO19" s="148"/>
      <c r="GP19" s="148"/>
      <c r="GQ19" s="148"/>
      <c r="GR19" s="148"/>
      <c r="GS19" s="148"/>
      <c r="GT19" s="148"/>
      <c r="GU19" s="148"/>
      <c r="GV19" s="148"/>
      <c r="GW19" s="148"/>
      <c r="GX19" s="148"/>
      <c r="GY19" s="148"/>
      <c r="GZ19" s="148"/>
      <c r="HA19" s="148"/>
      <c r="HB19" s="148"/>
      <c r="HC19" s="148"/>
      <c r="HD19" s="148"/>
      <c r="HE19" s="148"/>
      <c r="HF19" s="148"/>
      <c r="HG19" s="148"/>
      <c r="HH19" s="148"/>
      <c r="HI19" s="148"/>
      <c r="HJ19" s="148"/>
      <c r="HK19" s="148"/>
      <c r="HL19" s="148"/>
      <c r="HM19" s="148"/>
      <c r="HN19" s="148"/>
      <c r="HO19" s="148"/>
      <c r="HP19" s="148"/>
      <c r="HQ19" s="148"/>
      <c r="HR19" s="148"/>
      <c r="HS19" s="148"/>
      <c r="HT19" s="148"/>
      <c r="HU19" s="148"/>
      <c r="HV19" s="148"/>
      <c r="HW19" s="148"/>
      <c r="HX19" s="148"/>
      <c r="HY19" s="148"/>
      <c r="HZ19" s="148"/>
      <c r="IA19" s="148"/>
      <c r="IB19" s="148"/>
      <c r="IC19" s="148"/>
      <c r="ID19" s="148"/>
      <c r="IE19" s="148"/>
      <c r="IF19" s="148"/>
      <c r="IG19" s="148"/>
      <c r="IH19" s="148"/>
      <c r="II19" s="148"/>
      <c r="IJ19" s="148"/>
      <c r="IK19" s="148"/>
      <c r="IL19" s="148"/>
      <c r="IM19" s="148"/>
      <c r="IN19" s="148"/>
      <c r="IO19" s="148"/>
      <c r="IP19" s="148"/>
      <c r="IQ19" s="148"/>
      <c r="IR19" s="148"/>
      <c r="IS19" s="148"/>
      <c r="IT19" s="148"/>
      <c r="IU19" s="148"/>
      <c r="IV19" s="148"/>
    </row>
    <row r="20" spans="1:256" ht="18.75" x14ac:dyDescent="0.25">
      <c r="A20" s="149" t="s">
        <v>187</v>
      </c>
      <c r="B20" s="150"/>
      <c r="C20" s="276"/>
      <c r="D20" s="275">
        <f>+AVERAGE(D10:D12)</f>
        <v>6.1320838722812683</v>
      </c>
      <c r="E20" s="276"/>
      <c r="F20" s="276"/>
      <c r="G20" s="275">
        <f>+AVERAGE(G10:G12)</f>
        <v>33.155734767025088</v>
      </c>
      <c r="H20" s="276"/>
      <c r="I20" s="132"/>
      <c r="J20" s="886"/>
      <c r="K20" s="829"/>
      <c r="L20" s="132"/>
      <c r="M20" s="151"/>
      <c r="N20" s="151"/>
      <c r="O20" s="151"/>
      <c r="P20" s="151"/>
      <c r="Q20" s="151"/>
      <c r="R20" s="151"/>
      <c r="S20" s="153"/>
      <c r="Z20" s="104"/>
    </row>
    <row r="21" spans="1:256" ht="18.75" x14ac:dyDescent="0.25">
      <c r="A21" s="157">
        <v>1</v>
      </c>
      <c r="B21" s="825" t="s">
        <v>188</v>
      </c>
      <c r="C21" s="825"/>
      <c r="D21" s="825"/>
      <c r="E21" s="825"/>
      <c r="F21" s="825"/>
      <c r="G21" s="825"/>
      <c r="H21" s="825"/>
      <c r="I21" s="825"/>
      <c r="J21" s="825"/>
      <c r="K21" s="825"/>
      <c r="L21" s="158"/>
      <c r="M21" s="158"/>
      <c r="N21" s="158"/>
      <c r="O21" s="158"/>
      <c r="P21" s="158"/>
      <c r="Q21" s="158"/>
      <c r="R21" s="158"/>
    </row>
    <row r="22" spans="1:256" ht="18.75" x14ac:dyDescent="0.25">
      <c r="A22" s="157">
        <v>2</v>
      </c>
      <c r="B22" s="825" t="s">
        <v>189</v>
      </c>
      <c r="C22" s="825"/>
      <c r="D22" s="825"/>
      <c r="E22" s="825"/>
      <c r="F22" s="825"/>
      <c r="G22" s="825"/>
      <c r="H22" s="825"/>
      <c r="I22" s="825"/>
      <c r="J22" s="825"/>
      <c r="K22" s="825"/>
      <c r="L22" s="158"/>
      <c r="M22" s="158"/>
      <c r="N22" s="158"/>
      <c r="O22" s="158"/>
      <c r="P22" s="158"/>
      <c r="Q22" s="158"/>
      <c r="R22" s="158"/>
    </row>
    <row r="23" spans="1:256" x14ac:dyDescent="0.25">
      <c r="F23" s="154">
        <f>+K19+Panipat_248!K19</f>
        <v>5241.2597423815569</v>
      </c>
    </row>
    <row r="24" spans="1:256" ht="15.75" thickBot="1" x14ac:dyDescent="0.3">
      <c r="C24" s="826"/>
      <c r="D24" s="826"/>
      <c r="E24" s="826"/>
      <c r="F24" s="826"/>
      <c r="G24" s="826"/>
      <c r="H24" s="826"/>
      <c r="I24" s="826"/>
      <c r="J24" s="826"/>
      <c r="K24" s="826"/>
      <c r="L24" s="162"/>
      <c r="M24" s="162"/>
      <c r="N24" s="162"/>
      <c r="O24" s="162"/>
      <c r="P24" s="162"/>
    </row>
    <row r="25" spans="1:256" ht="19.5" thickBot="1" x14ac:dyDescent="0.3">
      <c r="A25" s="170"/>
      <c r="B25" s="126">
        <v>30</v>
      </c>
      <c r="C25" s="127">
        <f>C11</f>
        <v>6.5363634103656088</v>
      </c>
      <c r="D25" s="127">
        <f>D12</f>
        <v>5.9170672338444499</v>
      </c>
      <c r="E25" s="128">
        <f>D25*$R$3</f>
        <v>30858.567974749971</v>
      </c>
      <c r="F25" s="128">
        <f>E25*$R$5</f>
        <v>5912.5016239620945</v>
      </c>
      <c r="G25" s="172">
        <f>HLOOKUP('Exception Report F1'!AM3,'Solar Report_Base'!B77:AI112,28,0)</f>
        <v>34.192232142857172</v>
      </c>
      <c r="H25" s="129">
        <f>(25-(G25+20))*0.37%</f>
        <v>-0.10801125892857154</v>
      </c>
      <c r="I25" s="129">
        <f>+I7</f>
        <v>-0.151</v>
      </c>
      <c r="J25" s="129">
        <f>SUM(H25:I25)</f>
        <v>-0.25901125892857152</v>
      </c>
      <c r="K25" s="128">
        <f>F25*(1+J25)</f>
        <v>4381.0971349224483</v>
      </c>
      <c r="L25" s="128">
        <f>K25*B25</f>
        <v>131432.91404767346</v>
      </c>
      <c r="M25" s="130">
        <f>K25/($R$4*24)</f>
        <v>0.18265530713938566</v>
      </c>
      <c r="N25" s="130">
        <f>K25/(D25*$R$4)</f>
        <v>0.74086151096462205</v>
      </c>
      <c r="O25" s="165">
        <f>+L25/(999.4*24*B25)</f>
        <v>0.18265530713938566</v>
      </c>
      <c r="P25" s="165">
        <f>+L25/(D25*999.4*B25)</f>
        <v>0.74086151096462216</v>
      </c>
      <c r="Q25" s="131">
        <f>D25/C25</f>
        <v>0.90525371102545249</v>
      </c>
      <c r="R25" s="132"/>
      <c r="S25" s="132"/>
      <c r="T25" s="133">
        <v>120.8</v>
      </c>
      <c r="U25" s="134"/>
      <c r="V25" s="133">
        <v>183.3</v>
      </c>
      <c r="W25" s="135">
        <v>107.6</v>
      </c>
      <c r="X25" s="136">
        <f>T25/B25</f>
        <v>4.0266666666666664</v>
      </c>
      <c r="Y25" s="134">
        <f>V25/B25</f>
        <v>6.11</v>
      </c>
    </row>
    <row r="26" spans="1:256" ht="19.5" thickBot="1" x14ac:dyDescent="0.3">
      <c r="A26" s="170"/>
      <c r="B26" s="126">
        <v>30</v>
      </c>
      <c r="C26" s="127">
        <f>C25</f>
        <v>6.5363634103656088</v>
      </c>
      <c r="D26" s="173">
        <f>'Exception Report F1'!M10</f>
        <v>6.7473781860871211</v>
      </c>
      <c r="E26" s="128">
        <f>D26*$R$3</f>
        <v>35188.78866472387</v>
      </c>
      <c r="F26" s="128">
        <f>E26*$R$5</f>
        <v>6742.1719081610936</v>
      </c>
      <c r="G26" s="128">
        <f>G12</f>
        <v>33.549999999999997</v>
      </c>
      <c r="H26" s="129">
        <f>(25-(G26+20))*0.37%</f>
        <v>-0.10563499999999999</v>
      </c>
      <c r="I26" s="129">
        <f>I25</f>
        <v>-0.151</v>
      </c>
      <c r="J26" s="129">
        <f>SUM(H26:I26)</f>
        <v>-0.256635</v>
      </c>
      <c r="K26" s="128">
        <f>F26*(1+J26)</f>
        <v>5011.894620510172</v>
      </c>
      <c r="L26" s="128">
        <f>K26*B26</f>
        <v>150356.83861530517</v>
      </c>
      <c r="M26" s="130">
        <f>K26/($R$4*24)</f>
        <v>0.20895431511032336</v>
      </c>
      <c r="N26" s="130">
        <f>K26/(D26*$R$4)</f>
        <v>0.74323736188203171</v>
      </c>
      <c r="O26" s="165">
        <f>+L26/(999.4*24*B26)</f>
        <v>0.20895431511032336</v>
      </c>
      <c r="P26" s="165">
        <f>+L26/(D26*999.4*B26)</f>
        <v>0.74323736188203182</v>
      </c>
      <c r="Q26" s="131">
        <f>D26/C26</f>
        <v>1.032283207415744</v>
      </c>
      <c r="R26" s="132"/>
      <c r="S26" s="132"/>
      <c r="T26" s="133">
        <v>120.8</v>
      </c>
      <c r="U26" s="134"/>
      <c r="V26" s="133">
        <v>183.3</v>
      </c>
      <c r="W26" s="135">
        <v>107.6</v>
      </c>
      <c r="X26" s="136">
        <f>T26/B26</f>
        <v>4.0266666666666664</v>
      </c>
      <c r="Y26" s="134">
        <f>V26/B26</f>
        <v>6.11</v>
      </c>
    </row>
    <row r="27" spans="1:256" ht="18.75" x14ac:dyDescent="0.25">
      <c r="A27" s="170"/>
      <c r="B27" s="126">
        <v>30</v>
      </c>
      <c r="C27" s="290">
        <f>C26</f>
        <v>6.5363634103656088</v>
      </c>
      <c r="D27" s="173">
        <f>D26</f>
        <v>6.7473781860871211</v>
      </c>
      <c r="E27" s="291">
        <f>D27*$R$3</f>
        <v>35188.78866472387</v>
      </c>
      <c r="F27" s="291">
        <f>E27*$R$5</f>
        <v>6742.1719081610936</v>
      </c>
      <c r="G27" s="291">
        <f>G20</f>
        <v>33.155734767025088</v>
      </c>
      <c r="H27" s="129">
        <f>(25-(G27+20))*0.37%</f>
        <v>-0.10417621863799283</v>
      </c>
      <c r="I27" s="129">
        <f>I26</f>
        <v>-0.151</v>
      </c>
      <c r="J27" s="129">
        <f>SUM(H27:I27)</f>
        <v>-0.25517621863799284</v>
      </c>
      <c r="K27" s="291">
        <f>F27*(1+J27)</f>
        <v>5021.7299752292447</v>
      </c>
      <c r="L27" s="291">
        <f>K27*B27</f>
        <v>150651.89925687734</v>
      </c>
      <c r="M27" s="130">
        <f>K27/($R$4*24)</f>
        <v>0.20936436758843827</v>
      </c>
      <c r="N27" s="130">
        <f>K27/(D27*$R$4)</f>
        <v>0.74469589276667225</v>
      </c>
      <c r="O27" s="165"/>
      <c r="P27" s="165"/>
      <c r="Q27" s="131"/>
      <c r="R27" s="415"/>
      <c r="S27" s="415"/>
      <c r="T27" s="133"/>
      <c r="U27" s="134"/>
      <c r="V27" s="133"/>
      <c r="W27" s="135"/>
      <c r="X27" s="136"/>
      <c r="Y27" s="134"/>
    </row>
    <row r="28" spans="1:256" ht="18.75" x14ac:dyDescent="0.25">
      <c r="C28" s="826"/>
      <c r="D28" s="826"/>
      <c r="E28" s="826"/>
      <c r="F28" s="826"/>
      <c r="G28" s="826"/>
      <c r="H28" s="826"/>
      <c r="I28" s="826"/>
      <c r="J28" s="826"/>
      <c r="K28" s="826"/>
      <c r="L28" s="162"/>
      <c r="M28" s="171" t="s">
        <v>216</v>
      </c>
      <c r="N28" s="171" t="s">
        <v>217</v>
      </c>
      <c r="O28" s="162"/>
      <c r="P28" s="162"/>
    </row>
    <row r="29" spans="1:256" ht="18.75" x14ac:dyDescent="0.25">
      <c r="C29" s="831" t="s">
        <v>214</v>
      </c>
      <c r="D29" s="831"/>
      <c r="E29" s="831"/>
      <c r="F29" s="831"/>
      <c r="G29" s="831"/>
      <c r="H29" s="831"/>
      <c r="I29" s="831"/>
      <c r="J29" s="831"/>
      <c r="K29" s="831"/>
      <c r="L29" s="831"/>
      <c r="M29" s="174">
        <f>+M12-M25</f>
        <v>5.8575290066267827E-4</v>
      </c>
      <c r="N29" s="174">
        <f>+N12-N25</f>
        <v>2.3758509174096609E-3</v>
      </c>
      <c r="O29" s="252">
        <f>M30+Panipat_248!M26</f>
        <v>0.12926194493375728</v>
      </c>
      <c r="P29" s="252">
        <f>+O29/2</f>
        <v>6.4630972466878642E-2</v>
      </c>
      <c r="AH29" s="178">
        <f>+M29+M30</f>
        <v>-2.5127502169612348E-2</v>
      </c>
    </row>
    <row r="30" spans="1:256" ht="18.75" x14ac:dyDescent="0.25">
      <c r="C30" s="831" t="s">
        <v>215</v>
      </c>
      <c r="D30" s="831"/>
      <c r="E30" s="831"/>
      <c r="F30" s="831"/>
      <c r="G30" s="831"/>
      <c r="H30" s="831"/>
      <c r="I30" s="831"/>
      <c r="J30" s="831"/>
      <c r="K30" s="831"/>
      <c r="L30" s="831"/>
      <c r="M30" s="174">
        <f>+M12-M26</f>
        <v>-2.5713255070275026E-2</v>
      </c>
      <c r="N30" s="169">
        <f>N12-N26</f>
        <v>0</v>
      </c>
      <c r="O30" s="162"/>
      <c r="P30" s="162"/>
    </row>
    <row r="31" spans="1:256" x14ac:dyDescent="0.25">
      <c r="C31" s="826"/>
      <c r="D31" s="826"/>
      <c r="E31" s="826"/>
      <c r="F31" s="826"/>
      <c r="G31" s="826"/>
      <c r="H31" s="826"/>
      <c r="I31" s="826"/>
      <c r="J31" s="826"/>
      <c r="K31" s="826"/>
      <c r="L31" s="162"/>
      <c r="M31" s="416">
        <f>M25-M27</f>
        <v>-2.6709060449052607E-2</v>
      </c>
      <c r="N31" s="162"/>
      <c r="O31" s="162"/>
      <c r="P31" s="162"/>
    </row>
    <row r="32" spans="1:256" ht="18.75" x14ac:dyDescent="0.25">
      <c r="A32" s="125" t="s">
        <v>90</v>
      </c>
      <c r="B32" s="126">
        <v>30</v>
      </c>
      <c r="C32" s="127">
        <f>C9</f>
        <v>5.4963914630418635</v>
      </c>
      <c r="D32" s="127">
        <f>D25</f>
        <v>5.9170672338444499</v>
      </c>
      <c r="E32" s="128">
        <f>D32*$R$3</f>
        <v>30858.567974749971</v>
      </c>
      <c r="F32" s="128">
        <f>E32*$R$5</f>
        <v>5912.5016239620945</v>
      </c>
      <c r="G32" s="172">
        <f>+'Solar Report_Base'!AI167</f>
        <v>34.312973852040827</v>
      </c>
      <c r="H32" s="129">
        <f>(25-(G32+20))*0.37%</f>
        <v>-0.10845800325255106</v>
      </c>
      <c r="I32" s="129">
        <v>-0.151</v>
      </c>
      <c r="J32" s="129">
        <f>SUM(H32:I32)</f>
        <v>-0.25945800325255108</v>
      </c>
      <c r="K32" s="128">
        <f>F32*(1+J32)</f>
        <v>4378.4557583814239</v>
      </c>
      <c r="L32" s="128">
        <f>K32*B32</f>
        <v>131353.6727514427</v>
      </c>
      <c r="M32" s="130">
        <f>K32/($R$4*24)</f>
        <v>0.18254518370945169</v>
      </c>
      <c r="N32" s="130">
        <f>K32/(D32*$R$4)</f>
        <v>0.74041484334805374</v>
      </c>
      <c r="O32" s="165">
        <f>+L32/(999.4*24*B32)</f>
        <v>0.18254518370945164</v>
      </c>
      <c r="P32" s="165">
        <f>+L32/(D32*999.4*B32)</f>
        <v>0.74041484334805374</v>
      </c>
      <c r="Q32" s="131">
        <f>D32/C32</f>
        <v>1.0765367193423614</v>
      </c>
      <c r="R32" s="132"/>
      <c r="S32" s="132"/>
      <c r="T32" s="133">
        <v>120.8</v>
      </c>
      <c r="U32" s="134"/>
      <c r="V32" s="133">
        <v>183.3</v>
      </c>
      <c r="W32" s="135">
        <v>107.6</v>
      </c>
      <c r="X32" s="136">
        <f>T32/B32</f>
        <v>4.0266666666666664</v>
      </c>
      <c r="Y32" s="134">
        <f>V32/B32</f>
        <v>6.11</v>
      </c>
      <c r="Z32" s="137"/>
      <c r="AA32" s="137"/>
    </row>
    <row r="33" spans="1:27" ht="18.75" x14ac:dyDescent="0.25">
      <c r="A33" s="125" t="s">
        <v>90</v>
      </c>
      <c r="B33" s="126">
        <v>30</v>
      </c>
      <c r="C33" s="127">
        <f>+C32</f>
        <v>5.4963914630418635</v>
      </c>
      <c r="D33" s="173">
        <f>+'Exception Report F1'!O10</f>
        <v>5.7787859231241328</v>
      </c>
      <c r="E33" s="128">
        <f>D33*$R$3</f>
        <v>30137.406112316992</v>
      </c>
      <c r="F33" s="128">
        <f>E33*$R$5</f>
        <v>5774.3270111199354</v>
      </c>
      <c r="G33" s="128">
        <v>24</v>
      </c>
      <c r="H33" s="129">
        <f>(25-(G33+20))*0.37%</f>
        <v>-7.0300000000000001E-2</v>
      </c>
      <c r="I33" s="129">
        <v>-0.151</v>
      </c>
      <c r="J33" s="129">
        <f>SUM(H33:I33)</f>
        <v>-0.2213</v>
      </c>
      <c r="K33" s="128">
        <f>F33*(1+J33)</f>
        <v>4496.4684435590934</v>
      </c>
      <c r="L33" s="128">
        <f>K33*B33</f>
        <v>134894.05330677281</v>
      </c>
      <c r="M33" s="130">
        <f>K33/($R$4*24)</f>
        <v>0.18746533101357038</v>
      </c>
      <c r="N33" s="130">
        <f>K33/(D33*$R$4)</f>
        <v>0.7785662947509473</v>
      </c>
      <c r="O33" s="165">
        <f>+L33/(999.4*24*B33)</f>
        <v>0.18746533101357038</v>
      </c>
      <c r="P33" s="165">
        <f>+L33/(D33*999.4*B33)</f>
        <v>0.77856629475094741</v>
      </c>
      <c r="Q33" s="131">
        <f>D33/C33</f>
        <v>1.0513781563742521</v>
      </c>
      <c r="R33" s="132"/>
      <c r="S33" s="132"/>
      <c r="T33" s="133">
        <v>120.8</v>
      </c>
      <c r="U33" s="134"/>
      <c r="V33" s="133">
        <v>183.3</v>
      </c>
      <c r="W33" s="135">
        <v>107.6</v>
      </c>
      <c r="X33" s="136">
        <f>T33/B33</f>
        <v>4.0266666666666664</v>
      </c>
      <c r="Y33" s="134">
        <f>V33/B33</f>
        <v>6.11</v>
      </c>
      <c r="Z33" s="137"/>
      <c r="AA33" s="137"/>
    </row>
    <row r="34" spans="1:27" ht="18.75" x14ac:dyDescent="0.25">
      <c r="C34" s="826"/>
      <c r="D34" s="826"/>
      <c r="E34" s="826"/>
      <c r="F34" s="826"/>
      <c r="G34" s="826"/>
      <c r="H34" s="826"/>
      <c r="I34" s="826"/>
      <c r="J34" s="826"/>
      <c r="K34" s="826"/>
      <c r="L34" s="162"/>
      <c r="M34" s="171" t="s">
        <v>216</v>
      </c>
      <c r="N34" s="171" t="s">
        <v>217</v>
      </c>
      <c r="O34" s="162"/>
      <c r="P34" s="162"/>
    </row>
    <row r="35" spans="1:27" ht="18.75" x14ac:dyDescent="0.25">
      <c r="C35" s="831" t="s">
        <v>214</v>
      </c>
      <c r="D35" s="831"/>
      <c r="E35" s="831"/>
      <c r="F35" s="831"/>
      <c r="G35" s="831"/>
      <c r="H35" s="831"/>
      <c r="I35" s="831"/>
      <c r="J35" s="831"/>
      <c r="K35" s="831"/>
      <c r="L35" s="831"/>
      <c r="M35" s="174">
        <f>+M8-M32</f>
        <v>2.0131709689414662E-2</v>
      </c>
      <c r="N35" s="174">
        <f>+N8-N32</f>
        <v>6.2049347354013684E-2</v>
      </c>
      <c r="P35" s="195">
        <f>M30*999.4</f>
        <v>-25.697827117232862</v>
      </c>
      <c r="Q35" s="154">
        <f>Panipat_248!M26*248</f>
        <v>38.433849601000013</v>
      </c>
    </row>
    <row r="36" spans="1:27" ht="18.75" x14ac:dyDescent="0.25">
      <c r="C36" s="831" t="s">
        <v>215</v>
      </c>
      <c r="D36" s="831"/>
      <c r="E36" s="831"/>
      <c r="F36" s="831"/>
      <c r="G36" s="831"/>
      <c r="H36" s="831"/>
      <c r="I36" s="831"/>
      <c r="J36" s="831"/>
      <c r="K36" s="831"/>
      <c r="L36" s="831"/>
      <c r="M36" s="174">
        <f>+M8-M33</f>
        <v>1.5211562385295974E-2</v>
      </c>
      <c r="N36" s="169">
        <f>+N8-N33</f>
        <v>2.3897895951120129E-2</v>
      </c>
    </row>
    <row r="39" spans="1:27" ht="18.75" x14ac:dyDescent="0.25">
      <c r="A39" s="125" t="s">
        <v>185</v>
      </c>
      <c r="B39" s="126">
        <v>31</v>
      </c>
      <c r="C39" s="127">
        <f>X39</f>
        <v>3.4064516129032256</v>
      </c>
      <c r="D39" s="127">
        <f>AVERAGE(D8:D18,D7)</f>
        <v>5.6967108671991609</v>
      </c>
      <c r="E39" s="128">
        <f>D39*$R$3</f>
        <v>29709.369959912721</v>
      </c>
      <c r="F39" s="128">
        <f>E39*$R$5</f>
        <v>5692.3152843192775</v>
      </c>
      <c r="G39" s="127">
        <f>AVERAGE(G10:G18,G7:G9)</f>
        <v>26.005600358422939</v>
      </c>
      <c r="H39" s="129">
        <f>(25-(G39+20))*0.37%</f>
        <v>-7.7720721326164879E-2</v>
      </c>
      <c r="I39" s="129">
        <v>-0.151</v>
      </c>
      <c r="J39" s="129">
        <f>SUM(H39:I39)</f>
        <v>-0.22872072132616489</v>
      </c>
      <c r="K39" s="128">
        <f>F39*(1+J39)</f>
        <v>4390.3648264738194</v>
      </c>
      <c r="L39" s="128">
        <f>K39*B39</f>
        <v>136101.30962068841</v>
      </c>
      <c r="M39" s="130">
        <f>K39/($R$4*24)</f>
        <v>0.18304169278541374</v>
      </c>
      <c r="N39" s="130">
        <f>K39/(D39*$R$4)</f>
        <v>0.77114684758606811</v>
      </c>
      <c r="O39" s="165">
        <f>+L39/(999.4*24*B39)</f>
        <v>0.18304169278541374</v>
      </c>
      <c r="P39" s="165">
        <f>+L39/(D39*999.4*B39)</f>
        <v>0.77114684758606811</v>
      </c>
      <c r="Q39" s="131">
        <f>D39/C39</f>
        <v>1.6723298947270264</v>
      </c>
      <c r="R39" s="132"/>
      <c r="S39" s="132"/>
      <c r="T39" s="133">
        <v>105.6</v>
      </c>
      <c r="U39" s="134"/>
      <c r="V39" s="133">
        <v>171.5</v>
      </c>
      <c r="W39" s="135">
        <v>109.7</v>
      </c>
      <c r="X39" s="136">
        <f>T39/B39</f>
        <v>3.4064516129032256</v>
      </c>
      <c r="Y39" s="134">
        <f>V39/B39</f>
        <v>5.532258064516129</v>
      </c>
      <c r="Z39" s="137"/>
      <c r="AA39" s="137"/>
    </row>
    <row r="40" spans="1:27" ht="18.75" x14ac:dyDescent="0.25">
      <c r="A40" s="125" t="s">
        <v>185</v>
      </c>
      <c r="B40" s="126">
        <v>31</v>
      </c>
      <c r="C40" s="127">
        <f>X40</f>
        <v>3.4064516129032256</v>
      </c>
      <c r="D40" s="173">
        <f>'Exception Report F1'!Q10</f>
        <v>6.1007164044554836</v>
      </c>
      <c r="E40" s="128">
        <f>D40*$R$3</f>
        <v>31816.331371858603</v>
      </c>
      <c r="F40" s="128">
        <f>E40*$R$5</f>
        <v>6096.0090908481079</v>
      </c>
      <c r="G40" s="128">
        <f>G39</f>
        <v>26.005600358422939</v>
      </c>
      <c r="H40" s="129">
        <f>(25-(G40+20))*0.37%</f>
        <v>-7.7720721326164879E-2</v>
      </c>
      <c r="I40" s="129">
        <v>-0.151</v>
      </c>
      <c r="J40" s="129">
        <f>SUM(H40:I40)</f>
        <v>-0.22872072132616489</v>
      </c>
      <c r="K40" s="128">
        <f>F40*(1+J40)</f>
        <v>4701.7254943784701</v>
      </c>
      <c r="L40" s="128">
        <f>K40*B40</f>
        <v>145753.49032573256</v>
      </c>
      <c r="M40" s="130">
        <f>K40/($R$4*24)</f>
        <v>0.19602284263801908</v>
      </c>
      <c r="N40" s="130">
        <f>K40/(D40*$R$4)</f>
        <v>0.771146847586068</v>
      </c>
      <c r="O40" s="165">
        <f>+L40/(999.4*24*B40)</f>
        <v>0.19602284263801906</v>
      </c>
      <c r="P40" s="165">
        <f>+L40/(D40*999.4*B40)</f>
        <v>0.77114684758606789</v>
      </c>
      <c r="Q40" s="131">
        <f>D40/C40</f>
        <v>1.7909300050958334</v>
      </c>
      <c r="R40" s="132"/>
      <c r="S40" s="132"/>
      <c r="T40" s="133">
        <v>105.6</v>
      </c>
      <c r="U40" s="134"/>
      <c r="V40" s="133">
        <v>171.5</v>
      </c>
      <c r="W40" s="135">
        <v>109.7</v>
      </c>
      <c r="X40" s="136">
        <f>T40/B40</f>
        <v>3.4064516129032256</v>
      </c>
      <c r="Y40" s="134">
        <f>V40/B40</f>
        <v>5.532258064516129</v>
      </c>
      <c r="Z40" s="137"/>
      <c r="AA40" s="137"/>
    </row>
    <row r="41" spans="1:27" ht="18.75" x14ac:dyDescent="0.25">
      <c r="A41" s="125" t="s">
        <v>185</v>
      </c>
      <c r="B41" s="126">
        <v>31</v>
      </c>
      <c r="C41" s="127">
        <f>X41</f>
        <v>3.4064516129032256</v>
      </c>
      <c r="D41" s="127">
        <f>D39</f>
        <v>5.6967108671991609</v>
      </c>
      <c r="E41" s="128">
        <f>D41*$R$3</f>
        <v>29709.369959912721</v>
      </c>
      <c r="F41" s="128">
        <f>E41*$R$5</f>
        <v>5692.3152843192775</v>
      </c>
      <c r="G41" s="173">
        <v>27.5</v>
      </c>
      <c r="H41" s="129">
        <f>(25-(G41+20))*0.37%</f>
        <v>-8.3250000000000005E-2</v>
      </c>
      <c r="I41" s="129">
        <v>-0.151</v>
      </c>
      <c r="J41" s="129">
        <f>SUM(H41:I41)</f>
        <v>-0.23425000000000001</v>
      </c>
      <c r="K41" s="128">
        <f>F41*(1+J41)</f>
        <v>4358.8904289674865</v>
      </c>
      <c r="L41" s="128">
        <f>K41*B41</f>
        <v>135125.60329799209</v>
      </c>
      <c r="M41" s="130">
        <f>K41/($R$4*24)</f>
        <v>0.18172947222364613</v>
      </c>
      <c r="N41" s="130">
        <f>K41/(D41*$R$4)</f>
        <v>0.76561851830684213</v>
      </c>
      <c r="O41" s="165">
        <f>+L41/(999.4*24*B41)</f>
        <v>0.18172947222364613</v>
      </c>
      <c r="P41" s="165">
        <f>+L41/(D41*999.4*B41)</f>
        <v>0.76561851830684202</v>
      </c>
      <c r="Q41" s="131">
        <f>D41/C41</f>
        <v>1.6723298947270264</v>
      </c>
      <c r="R41" s="132"/>
      <c r="S41" s="132"/>
      <c r="T41" s="133">
        <v>105.6</v>
      </c>
      <c r="U41" s="134"/>
      <c r="V41" s="133">
        <v>171.5</v>
      </c>
      <c r="W41" s="135">
        <v>109.7</v>
      </c>
      <c r="X41" s="136">
        <f>T41/B41</f>
        <v>3.4064516129032256</v>
      </c>
      <c r="Y41" s="134">
        <f>V41/B41</f>
        <v>5.532258064516129</v>
      </c>
      <c r="Z41" s="137"/>
      <c r="AA41" s="137"/>
    </row>
    <row r="42" spans="1:27" ht="18.75" x14ac:dyDescent="0.25">
      <c r="C42" s="826"/>
      <c r="D42" s="826"/>
      <c r="E42" s="826"/>
      <c r="F42" s="826"/>
      <c r="G42" s="826"/>
      <c r="H42" s="826"/>
      <c r="I42" s="826"/>
      <c r="J42" s="826"/>
      <c r="K42" s="826"/>
      <c r="L42" s="162"/>
      <c r="M42" s="171" t="s">
        <v>216</v>
      </c>
      <c r="N42" s="171" t="s">
        <v>217</v>
      </c>
    </row>
    <row r="43" spans="1:27" ht="18.75" x14ac:dyDescent="0.25">
      <c r="C43" s="831" t="s">
        <v>214</v>
      </c>
      <c r="D43" s="831"/>
      <c r="E43" s="831"/>
      <c r="F43" s="831"/>
      <c r="G43" s="831"/>
      <c r="H43" s="831"/>
      <c r="I43" s="831"/>
      <c r="J43" s="831"/>
      <c r="K43" s="831"/>
      <c r="L43" s="831"/>
      <c r="M43" s="169">
        <f>M39-M41</f>
        <v>1.3122205617676075E-3</v>
      </c>
      <c r="N43" s="169">
        <f>N39-N40</f>
        <v>0</v>
      </c>
    </row>
    <row r="44" spans="1:27" ht="18.75" x14ac:dyDescent="0.25">
      <c r="C44" s="831" t="s">
        <v>215</v>
      </c>
      <c r="D44" s="831"/>
      <c r="E44" s="831"/>
      <c r="F44" s="831"/>
      <c r="G44" s="831"/>
      <c r="H44" s="831"/>
      <c r="I44" s="831"/>
      <c r="J44" s="831"/>
      <c r="K44" s="831"/>
      <c r="L44" s="831"/>
      <c r="M44" s="169">
        <f>M39-M40</f>
        <v>-1.2981149852605345E-2</v>
      </c>
      <c r="N44" s="169">
        <f>N39-N40</f>
        <v>0</v>
      </c>
    </row>
    <row r="49" spans="4:4" x14ac:dyDescent="0.25">
      <c r="D49" s="159">
        <f>AVERAGE(D10:D11)</f>
        <v>6.2395921914996784</v>
      </c>
    </row>
  </sheetData>
  <mergeCells count="28">
    <mergeCell ref="J20:K20"/>
    <mergeCell ref="A1:L1"/>
    <mergeCell ref="A2:A5"/>
    <mergeCell ref="B2:B5"/>
    <mergeCell ref="C2:E2"/>
    <mergeCell ref="F2:F3"/>
    <mergeCell ref="G2:G3"/>
    <mergeCell ref="H2:J2"/>
    <mergeCell ref="K2:K3"/>
    <mergeCell ref="L2:L3"/>
    <mergeCell ref="M2:M3"/>
    <mergeCell ref="N2:N3"/>
    <mergeCell ref="O2:O3"/>
    <mergeCell ref="P2:P3"/>
    <mergeCell ref="C4:D4"/>
    <mergeCell ref="B21:K21"/>
    <mergeCell ref="B22:K22"/>
    <mergeCell ref="C24:K24"/>
    <mergeCell ref="C28:K28"/>
    <mergeCell ref="C35:L35"/>
    <mergeCell ref="C44:L44"/>
    <mergeCell ref="C31:K31"/>
    <mergeCell ref="C34:K34"/>
    <mergeCell ref="C29:L29"/>
    <mergeCell ref="C30:L30"/>
    <mergeCell ref="C42:K42"/>
    <mergeCell ref="C43:L43"/>
    <mergeCell ref="C36:L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7"/>
  <sheetViews>
    <sheetView view="pageBreakPreview" zoomScale="55" workbookViewId="0">
      <pane xSplit="1" ySplit="6" topLeftCell="C13" activePane="bottomRight" state="frozen"/>
      <selection activeCell="U23" sqref="U23:V23"/>
      <selection pane="topRight" activeCell="U23" sqref="U23:V23"/>
      <selection pane="bottomLeft" activeCell="U23" sqref="U23:V23"/>
      <selection pane="bottomRight" activeCell="I16" sqref="I16"/>
    </sheetView>
  </sheetViews>
  <sheetFormatPr defaultRowHeight="15" x14ac:dyDescent="0.25"/>
  <cols>
    <col min="1" max="1" width="15" style="104" bestFit="1" customWidth="1"/>
    <col min="2" max="2" width="15" style="104" customWidth="1"/>
    <col min="3" max="3" width="15.42578125" style="159" customWidth="1"/>
    <col min="4" max="5" width="19.42578125" style="159" customWidth="1"/>
    <col min="6" max="6" width="19.85546875" style="159" customWidth="1"/>
    <col min="7" max="7" width="21.42578125" style="159" customWidth="1"/>
    <col min="8" max="8" width="13.28515625" style="154" customWidth="1"/>
    <col min="9" max="9" width="18.5703125" style="160" customWidth="1"/>
    <col min="10" max="10" width="15.85546875" style="161" customWidth="1"/>
    <col min="11" max="11" width="10.85546875" style="160" customWidth="1"/>
    <col min="12" max="12" width="20.42578125" style="154" customWidth="1"/>
    <col min="13" max="14" width="16" style="155" customWidth="1"/>
    <col min="15" max="15" width="21.140625" style="156" customWidth="1"/>
    <col min="16" max="16" width="14.140625" style="154" customWidth="1"/>
    <col min="17" max="17" width="18.28515625" style="154" customWidth="1"/>
    <col min="18" max="18" width="15.5703125" style="6" customWidth="1"/>
    <col min="19" max="19" width="13.42578125" style="160" bestFit="1" customWidth="1"/>
    <col min="20" max="20" width="13.42578125" style="160" customWidth="1"/>
    <col min="21" max="21" width="13.42578125" style="160" bestFit="1" customWidth="1"/>
    <col min="22" max="22" width="18.28515625" style="104" bestFit="1" customWidth="1"/>
    <col min="23" max="23" width="18.28515625" style="104" customWidth="1"/>
    <col min="24" max="24" width="13.42578125" style="104" bestFit="1" customWidth="1"/>
    <col min="25" max="25" width="12" style="104" customWidth="1"/>
    <col min="26" max="31" width="9.140625" style="104"/>
    <col min="32" max="32" width="11.42578125" style="104" customWidth="1"/>
    <col min="33" max="33" width="9.140625" style="104"/>
    <col min="34" max="34" width="18" style="104" bestFit="1" customWidth="1"/>
    <col min="35" max="256" width="9.140625" style="104"/>
    <col min="257" max="257" width="15" style="104" bestFit="1" customWidth="1"/>
    <col min="258" max="258" width="15.42578125" style="104" customWidth="1"/>
    <col min="259" max="260" width="19.42578125" style="104" customWidth="1"/>
    <col min="261" max="261" width="19.85546875" style="104" customWidth="1"/>
    <col min="262" max="262" width="21.42578125" style="104" customWidth="1"/>
    <col min="263" max="263" width="24.28515625" style="104" customWidth="1"/>
    <col min="264" max="264" width="18" style="104" customWidth="1"/>
    <col min="265" max="265" width="13.28515625" style="104" customWidth="1"/>
    <col min="266" max="266" width="18.5703125" style="104" customWidth="1"/>
    <col min="267" max="267" width="15.85546875" style="104" customWidth="1"/>
    <col min="268" max="268" width="10.85546875" style="104" customWidth="1"/>
    <col min="269" max="269" width="16.85546875" style="104" customWidth="1"/>
    <col min="270" max="270" width="20.42578125" style="104" customWidth="1"/>
    <col min="271" max="272" width="16" style="104" customWidth="1"/>
    <col min="273" max="273" width="21.140625" style="104" customWidth="1"/>
    <col min="274" max="274" width="14.140625" style="104" customWidth="1"/>
    <col min="275" max="275" width="15.5703125" style="104" customWidth="1"/>
    <col min="276" max="276" width="13.42578125" style="104" bestFit="1" customWidth="1"/>
    <col min="277" max="277" width="13.42578125" style="104" customWidth="1"/>
    <col min="278" max="278" width="13.42578125" style="104" bestFit="1" customWidth="1"/>
    <col min="279" max="279" width="18.28515625" style="104" bestFit="1" customWidth="1"/>
    <col min="280" max="280" width="13.42578125" style="104" bestFit="1" customWidth="1"/>
    <col min="281" max="512" width="9.140625" style="104"/>
    <col min="513" max="513" width="15" style="104" bestFit="1" customWidth="1"/>
    <col min="514" max="514" width="15.42578125" style="104" customWidth="1"/>
    <col min="515" max="516" width="19.42578125" style="104" customWidth="1"/>
    <col min="517" max="517" width="19.85546875" style="104" customWidth="1"/>
    <col min="518" max="518" width="21.42578125" style="104" customWidth="1"/>
    <col min="519" max="519" width="24.28515625" style="104" customWidth="1"/>
    <col min="520" max="520" width="18" style="104" customWidth="1"/>
    <col min="521" max="521" width="13.28515625" style="104" customWidth="1"/>
    <col min="522" max="522" width="18.5703125" style="104" customWidth="1"/>
    <col min="523" max="523" width="15.85546875" style="104" customWidth="1"/>
    <col min="524" max="524" width="10.85546875" style="104" customWidth="1"/>
    <col min="525" max="525" width="16.85546875" style="104" customWidth="1"/>
    <col min="526" max="526" width="20.42578125" style="104" customWidth="1"/>
    <col min="527" max="528" width="16" style="104" customWidth="1"/>
    <col min="529" max="529" width="21.140625" style="104" customWidth="1"/>
    <col min="530" max="530" width="14.140625" style="104" customWidth="1"/>
    <col min="531" max="531" width="15.5703125" style="104" customWidth="1"/>
    <col min="532" max="532" width="13.42578125" style="104" bestFit="1" customWidth="1"/>
    <col min="533" max="533" width="13.42578125" style="104" customWidth="1"/>
    <col min="534" max="534" width="13.42578125" style="104" bestFit="1" customWidth="1"/>
    <col min="535" max="535" width="18.28515625" style="104" bestFit="1" customWidth="1"/>
    <col min="536" max="536" width="13.42578125" style="104" bestFit="1" customWidth="1"/>
    <col min="537" max="768" width="9.140625" style="104"/>
    <col min="769" max="769" width="15" style="104" bestFit="1" customWidth="1"/>
    <col min="770" max="770" width="15.42578125" style="104" customWidth="1"/>
    <col min="771" max="772" width="19.42578125" style="104" customWidth="1"/>
    <col min="773" max="773" width="19.85546875" style="104" customWidth="1"/>
    <col min="774" max="774" width="21.42578125" style="104" customWidth="1"/>
    <col min="775" max="775" width="24.28515625" style="104" customWidth="1"/>
    <col min="776" max="776" width="18" style="104" customWidth="1"/>
    <col min="777" max="777" width="13.28515625" style="104" customWidth="1"/>
    <col min="778" max="778" width="18.5703125" style="104" customWidth="1"/>
    <col min="779" max="779" width="15.85546875" style="104" customWidth="1"/>
    <col min="780" max="780" width="10.85546875" style="104" customWidth="1"/>
    <col min="781" max="781" width="16.85546875" style="104" customWidth="1"/>
    <col min="782" max="782" width="20.42578125" style="104" customWidth="1"/>
    <col min="783" max="784" width="16" style="104" customWidth="1"/>
    <col min="785" max="785" width="21.140625" style="104" customWidth="1"/>
    <col min="786" max="786" width="14.140625" style="104" customWidth="1"/>
    <col min="787" max="787" width="15.5703125" style="104" customWidth="1"/>
    <col min="788" max="788" width="13.42578125" style="104" bestFit="1" customWidth="1"/>
    <col min="789" max="789" width="13.42578125" style="104" customWidth="1"/>
    <col min="790" max="790" width="13.42578125" style="104" bestFit="1" customWidth="1"/>
    <col min="791" max="791" width="18.28515625" style="104" bestFit="1" customWidth="1"/>
    <col min="792" max="792" width="13.42578125" style="104" bestFit="1" customWidth="1"/>
    <col min="793" max="1024" width="9.140625" style="104"/>
    <col min="1025" max="1025" width="15" style="104" bestFit="1" customWidth="1"/>
    <col min="1026" max="1026" width="15.42578125" style="104" customWidth="1"/>
    <col min="1027" max="1028" width="19.42578125" style="104" customWidth="1"/>
    <col min="1029" max="1029" width="19.85546875" style="104" customWidth="1"/>
    <col min="1030" max="1030" width="21.42578125" style="104" customWidth="1"/>
    <col min="1031" max="1031" width="24.28515625" style="104" customWidth="1"/>
    <col min="1032" max="1032" width="18" style="104" customWidth="1"/>
    <col min="1033" max="1033" width="13.28515625" style="104" customWidth="1"/>
    <col min="1034" max="1034" width="18.5703125" style="104" customWidth="1"/>
    <col min="1035" max="1035" width="15.85546875" style="104" customWidth="1"/>
    <col min="1036" max="1036" width="10.85546875" style="104" customWidth="1"/>
    <col min="1037" max="1037" width="16.85546875" style="104" customWidth="1"/>
    <col min="1038" max="1038" width="20.42578125" style="104" customWidth="1"/>
    <col min="1039" max="1040" width="16" style="104" customWidth="1"/>
    <col min="1041" max="1041" width="21.140625" style="104" customWidth="1"/>
    <col min="1042" max="1042" width="14.140625" style="104" customWidth="1"/>
    <col min="1043" max="1043" width="15.5703125" style="104" customWidth="1"/>
    <col min="1044" max="1044" width="13.42578125" style="104" bestFit="1" customWidth="1"/>
    <col min="1045" max="1045" width="13.42578125" style="104" customWidth="1"/>
    <col min="1046" max="1046" width="13.42578125" style="104" bestFit="1" customWidth="1"/>
    <col min="1047" max="1047" width="18.28515625" style="104" bestFit="1" customWidth="1"/>
    <col min="1048" max="1048" width="13.42578125" style="104" bestFit="1" customWidth="1"/>
    <col min="1049" max="1280" width="9.140625" style="104"/>
    <col min="1281" max="1281" width="15" style="104" bestFit="1" customWidth="1"/>
    <col min="1282" max="1282" width="15.42578125" style="104" customWidth="1"/>
    <col min="1283" max="1284" width="19.42578125" style="104" customWidth="1"/>
    <col min="1285" max="1285" width="19.85546875" style="104" customWidth="1"/>
    <col min="1286" max="1286" width="21.42578125" style="104" customWidth="1"/>
    <col min="1287" max="1287" width="24.28515625" style="104" customWidth="1"/>
    <col min="1288" max="1288" width="18" style="104" customWidth="1"/>
    <col min="1289" max="1289" width="13.28515625" style="104" customWidth="1"/>
    <col min="1290" max="1290" width="18.5703125" style="104" customWidth="1"/>
    <col min="1291" max="1291" width="15.85546875" style="104" customWidth="1"/>
    <col min="1292" max="1292" width="10.85546875" style="104" customWidth="1"/>
    <col min="1293" max="1293" width="16.85546875" style="104" customWidth="1"/>
    <col min="1294" max="1294" width="20.42578125" style="104" customWidth="1"/>
    <col min="1295" max="1296" width="16" style="104" customWidth="1"/>
    <col min="1297" max="1297" width="21.140625" style="104" customWidth="1"/>
    <col min="1298" max="1298" width="14.140625" style="104" customWidth="1"/>
    <col min="1299" max="1299" width="15.5703125" style="104" customWidth="1"/>
    <col min="1300" max="1300" width="13.42578125" style="104" bestFit="1" customWidth="1"/>
    <col min="1301" max="1301" width="13.42578125" style="104" customWidth="1"/>
    <col min="1302" max="1302" width="13.42578125" style="104" bestFit="1" customWidth="1"/>
    <col min="1303" max="1303" width="18.28515625" style="104" bestFit="1" customWidth="1"/>
    <col min="1304" max="1304" width="13.42578125" style="104" bestFit="1" customWidth="1"/>
    <col min="1305" max="1536" width="9.140625" style="104"/>
    <col min="1537" max="1537" width="15" style="104" bestFit="1" customWidth="1"/>
    <col min="1538" max="1538" width="15.42578125" style="104" customWidth="1"/>
    <col min="1539" max="1540" width="19.42578125" style="104" customWidth="1"/>
    <col min="1541" max="1541" width="19.85546875" style="104" customWidth="1"/>
    <col min="1542" max="1542" width="21.42578125" style="104" customWidth="1"/>
    <col min="1543" max="1543" width="24.28515625" style="104" customWidth="1"/>
    <col min="1544" max="1544" width="18" style="104" customWidth="1"/>
    <col min="1545" max="1545" width="13.28515625" style="104" customWidth="1"/>
    <col min="1546" max="1546" width="18.5703125" style="104" customWidth="1"/>
    <col min="1547" max="1547" width="15.85546875" style="104" customWidth="1"/>
    <col min="1548" max="1548" width="10.85546875" style="104" customWidth="1"/>
    <col min="1549" max="1549" width="16.85546875" style="104" customWidth="1"/>
    <col min="1550" max="1550" width="20.42578125" style="104" customWidth="1"/>
    <col min="1551" max="1552" width="16" style="104" customWidth="1"/>
    <col min="1553" max="1553" width="21.140625" style="104" customWidth="1"/>
    <col min="1554" max="1554" width="14.140625" style="104" customWidth="1"/>
    <col min="1555" max="1555" width="15.5703125" style="104" customWidth="1"/>
    <col min="1556" max="1556" width="13.42578125" style="104" bestFit="1" customWidth="1"/>
    <col min="1557" max="1557" width="13.42578125" style="104" customWidth="1"/>
    <col min="1558" max="1558" width="13.42578125" style="104" bestFit="1" customWidth="1"/>
    <col min="1559" max="1559" width="18.28515625" style="104" bestFit="1" customWidth="1"/>
    <col min="1560" max="1560" width="13.42578125" style="104" bestFit="1" customWidth="1"/>
    <col min="1561" max="1792" width="9.140625" style="104"/>
    <col min="1793" max="1793" width="15" style="104" bestFit="1" customWidth="1"/>
    <col min="1794" max="1794" width="15.42578125" style="104" customWidth="1"/>
    <col min="1795" max="1796" width="19.42578125" style="104" customWidth="1"/>
    <col min="1797" max="1797" width="19.85546875" style="104" customWidth="1"/>
    <col min="1798" max="1798" width="21.42578125" style="104" customWidth="1"/>
    <col min="1799" max="1799" width="24.28515625" style="104" customWidth="1"/>
    <col min="1800" max="1800" width="18" style="104" customWidth="1"/>
    <col min="1801" max="1801" width="13.28515625" style="104" customWidth="1"/>
    <col min="1802" max="1802" width="18.5703125" style="104" customWidth="1"/>
    <col min="1803" max="1803" width="15.85546875" style="104" customWidth="1"/>
    <col min="1804" max="1804" width="10.85546875" style="104" customWidth="1"/>
    <col min="1805" max="1805" width="16.85546875" style="104" customWidth="1"/>
    <col min="1806" max="1806" width="20.42578125" style="104" customWidth="1"/>
    <col min="1807" max="1808" width="16" style="104" customWidth="1"/>
    <col min="1809" max="1809" width="21.140625" style="104" customWidth="1"/>
    <col min="1810" max="1810" width="14.140625" style="104" customWidth="1"/>
    <col min="1811" max="1811" width="15.5703125" style="104" customWidth="1"/>
    <col min="1812" max="1812" width="13.42578125" style="104" bestFit="1" customWidth="1"/>
    <col min="1813" max="1813" width="13.42578125" style="104" customWidth="1"/>
    <col min="1814" max="1814" width="13.42578125" style="104" bestFit="1" customWidth="1"/>
    <col min="1815" max="1815" width="18.28515625" style="104" bestFit="1" customWidth="1"/>
    <col min="1816" max="1816" width="13.42578125" style="104" bestFit="1" customWidth="1"/>
    <col min="1817" max="2048" width="9.140625" style="104"/>
    <col min="2049" max="2049" width="15" style="104" bestFit="1" customWidth="1"/>
    <col min="2050" max="2050" width="15.42578125" style="104" customWidth="1"/>
    <col min="2051" max="2052" width="19.42578125" style="104" customWidth="1"/>
    <col min="2053" max="2053" width="19.85546875" style="104" customWidth="1"/>
    <col min="2054" max="2054" width="21.42578125" style="104" customWidth="1"/>
    <col min="2055" max="2055" width="24.28515625" style="104" customWidth="1"/>
    <col min="2056" max="2056" width="18" style="104" customWidth="1"/>
    <col min="2057" max="2057" width="13.28515625" style="104" customWidth="1"/>
    <col min="2058" max="2058" width="18.5703125" style="104" customWidth="1"/>
    <col min="2059" max="2059" width="15.85546875" style="104" customWidth="1"/>
    <col min="2060" max="2060" width="10.85546875" style="104" customWidth="1"/>
    <col min="2061" max="2061" width="16.85546875" style="104" customWidth="1"/>
    <col min="2062" max="2062" width="20.42578125" style="104" customWidth="1"/>
    <col min="2063" max="2064" width="16" style="104" customWidth="1"/>
    <col min="2065" max="2065" width="21.140625" style="104" customWidth="1"/>
    <col min="2066" max="2066" width="14.140625" style="104" customWidth="1"/>
    <col min="2067" max="2067" width="15.5703125" style="104" customWidth="1"/>
    <col min="2068" max="2068" width="13.42578125" style="104" bestFit="1" customWidth="1"/>
    <col min="2069" max="2069" width="13.42578125" style="104" customWidth="1"/>
    <col min="2070" max="2070" width="13.42578125" style="104" bestFit="1" customWidth="1"/>
    <col min="2071" max="2071" width="18.28515625" style="104" bestFit="1" customWidth="1"/>
    <col min="2072" max="2072" width="13.42578125" style="104" bestFit="1" customWidth="1"/>
    <col min="2073" max="2304" width="9.140625" style="104"/>
    <col min="2305" max="2305" width="15" style="104" bestFit="1" customWidth="1"/>
    <col min="2306" max="2306" width="15.42578125" style="104" customWidth="1"/>
    <col min="2307" max="2308" width="19.42578125" style="104" customWidth="1"/>
    <col min="2309" max="2309" width="19.85546875" style="104" customWidth="1"/>
    <col min="2310" max="2310" width="21.42578125" style="104" customWidth="1"/>
    <col min="2311" max="2311" width="24.28515625" style="104" customWidth="1"/>
    <col min="2312" max="2312" width="18" style="104" customWidth="1"/>
    <col min="2313" max="2313" width="13.28515625" style="104" customWidth="1"/>
    <col min="2314" max="2314" width="18.5703125" style="104" customWidth="1"/>
    <col min="2315" max="2315" width="15.85546875" style="104" customWidth="1"/>
    <col min="2316" max="2316" width="10.85546875" style="104" customWidth="1"/>
    <col min="2317" max="2317" width="16.85546875" style="104" customWidth="1"/>
    <col min="2318" max="2318" width="20.42578125" style="104" customWidth="1"/>
    <col min="2319" max="2320" width="16" style="104" customWidth="1"/>
    <col min="2321" max="2321" width="21.140625" style="104" customWidth="1"/>
    <col min="2322" max="2322" width="14.140625" style="104" customWidth="1"/>
    <col min="2323" max="2323" width="15.5703125" style="104" customWidth="1"/>
    <col min="2324" max="2324" width="13.42578125" style="104" bestFit="1" customWidth="1"/>
    <col min="2325" max="2325" width="13.42578125" style="104" customWidth="1"/>
    <col min="2326" max="2326" width="13.42578125" style="104" bestFit="1" customWidth="1"/>
    <col min="2327" max="2327" width="18.28515625" style="104" bestFit="1" customWidth="1"/>
    <col min="2328" max="2328" width="13.42578125" style="104" bestFit="1" customWidth="1"/>
    <col min="2329" max="2560" width="9.140625" style="104"/>
    <col min="2561" max="2561" width="15" style="104" bestFit="1" customWidth="1"/>
    <col min="2562" max="2562" width="15.42578125" style="104" customWidth="1"/>
    <col min="2563" max="2564" width="19.42578125" style="104" customWidth="1"/>
    <col min="2565" max="2565" width="19.85546875" style="104" customWidth="1"/>
    <col min="2566" max="2566" width="21.42578125" style="104" customWidth="1"/>
    <col min="2567" max="2567" width="24.28515625" style="104" customWidth="1"/>
    <col min="2568" max="2568" width="18" style="104" customWidth="1"/>
    <col min="2569" max="2569" width="13.28515625" style="104" customWidth="1"/>
    <col min="2570" max="2570" width="18.5703125" style="104" customWidth="1"/>
    <col min="2571" max="2571" width="15.85546875" style="104" customWidth="1"/>
    <col min="2572" max="2572" width="10.85546875" style="104" customWidth="1"/>
    <col min="2573" max="2573" width="16.85546875" style="104" customWidth="1"/>
    <col min="2574" max="2574" width="20.42578125" style="104" customWidth="1"/>
    <col min="2575" max="2576" width="16" style="104" customWidth="1"/>
    <col min="2577" max="2577" width="21.140625" style="104" customWidth="1"/>
    <col min="2578" max="2578" width="14.140625" style="104" customWidth="1"/>
    <col min="2579" max="2579" width="15.5703125" style="104" customWidth="1"/>
    <col min="2580" max="2580" width="13.42578125" style="104" bestFit="1" customWidth="1"/>
    <col min="2581" max="2581" width="13.42578125" style="104" customWidth="1"/>
    <col min="2582" max="2582" width="13.42578125" style="104" bestFit="1" customWidth="1"/>
    <col min="2583" max="2583" width="18.28515625" style="104" bestFit="1" customWidth="1"/>
    <col min="2584" max="2584" width="13.42578125" style="104" bestFit="1" customWidth="1"/>
    <col min="2585" max="2816" width="9.140625" style="104"/>
    <col min="2817" max="2817" width="15" style="104" bestFit="1" customWidth="1"/>
    <col min="2818" max="2818" width="15.42578125" style="104" customWidth="1"/>
    <col min="2819" max="2820" width="19.42578125" style="104" customWidth="1"/>
    <col min="2821" max="2821" width="19.85546875" style="104" customWidth="1"/>
    <col min="2822" max="2822" width="21.42578125" style="104" customWidth="1"/>
    <col min="2823" max="2823" width="24.28515625" style="104" customWidth="1"/>
    <col min="2824" max="2824" width="18" style="104" customWidth="1"/>
    <col min="2825" max="2825" width="13.28515625" style="104" customWidth="1"/>
    <col min="2826" max="2826" width="18.5703125" style="104" customWidth="1"/>
    <col min="2827" max="2827" width="15.85546875" style="104" customWidth="1"/>
    <col min="2828" max="2828" width="10.85546875" style="104" customWidth="1"/>
    <col min="2829" max="2829" width="16.85546875" style="104" customWidth="1"/>
    <col min="2830" max="2830" width="20.42578125" style="104" customWidth="1"/>
    <col min="2831" max="2832" width="16" style="104" customWidth="1"/>
    <col min="2833" max="2833" width="21.140625" style="104" customWidth="1"/>
    <col min="2834" max="2834" width="14.140625" style="104" customWidth="1"/>
    <col min="2835" max="2835" width="15.5703125" style="104" customWidth="1"/>
    <col min="2836" max="2836" width="13.42578125" style="104" bestFit="1" customWidth="1"/>
    <col min="2837" max="2837" width="13.42578125" style="104" customWidth="1"/>
    <col min="2838" max="2838" width="13.42578125" style="104" bestFit="1" customWidth="1"/>
    <col min="2839" max="2839" width="18.28515625" style="104" bestFit="1" customWidth="1"/>
    <col min="2840" max="2840" width="13.42578125" style="104" bestFit="1" customWidth="1"/>
    <col min="2841" max="3072" width="9.140625" style="104"/>
    <col min="3073" max="3073" width="15" style="104" bestFit="1" customWidth="1"/>
    <col min="3074" max="3074" width="15.42578125" style="104" customWidth="1"/>
    <col min="3075" max="3076" width="19.42578125" style="104" customWidth="1"/>
    <col min="3077" max="3077" width="19.85546875" style="104" customWidth="1"/>
    <col min="3078" max="3078" width="21.42578125" style="104" customWidth="1"/>
    <col min="3079" max="3079" width="24.28515625" style="104" customWidth="1"/>
    <col min="3080" max="3080" width="18" style="104" customWidth="1"/>
    <col min="3081" max="3081" width="13.28515625" style="104" customWidth="1"/>
    <col min="3082" max="3082" width="18.5703125" style="104" customWidth="1"/>
    <col min="3083" max="3083" width="15.85546875" style="104" customWidth="1"/>
    <col min="3084" max="3084" width="10.85546875" style="104" customWidth="1"/>
    <col min="3085" max="3085" width="16.85546875" style="104" customWidth="1"/>
    <col min="3086" max="3086" width="20.42578125" style="104" customWidth="1"/>
    <col min="3087" max="3088" width="16" style="104" customWidth="1"/>
    <col min="3089" max="3089" width="21.140625" style="104" customWidth="1"/>
    <col min="3090" max="3090" width="14.140625" style="104" customWidth="1"/>
    <col min="3091" max="3091" width="15.5703125" style="104" customWidth="1"/>
    <col min="3092" max="3092" width="13.42578125" style="104" bestFit="1" customWidth="1"/>
    <col min="3093" max="3093" width="13.42578125" style="104" customWidth="1"/>
    <col min="3094" max="3094" width="13.42578125" style="104" bestFit="1" customWidth="1"/>
    <col min="3095" max="3095" width="18.28515625" style="104" bestFit="1" customWidth="1"/>
    <col min="3096" max="3096" width="13.42578125" style="104" bestFit="1" customWidth="1"/>
    <col min="3097" max="3328" width="9.140625" style="104"/>
    <col min="3329" max="3329" width="15" style="104" bestFit="1" customWidth="1"/>
    <col min="3330" max="3330" width="15.42578125" style="104" customWidth="1"/>
    <col min="3331" max="3332" width="19.42578125" style="104" customWidth="1"/>
    <col min="3333" max="3333" width="19.85546875" style="104" customWidth="1"/>
    <col min="3334" max="3334" width="21.42578125" style="104" customWidth="1"/>
    <col min="3335" max="3335" width="24.28515625" style="104" customWidth="1"/>
    <col min="3336" max="3336" width="18" style="104" customWidth="1"/>
    <col min="3337" max="3337" width="13.28515625" style="104" customWidth="1"/>
    <col min="3338" max="3338" width="18.5703125" style="104" customWidth="1"/>
    <col min="3339" max="3339" width="15.85546875" style="104" customWidth="1"/>
    <col min="3340" max="3340" width="10.85546875" style="104" customWidth="1"/>
    <col min="3341" max="3341" width="16.85546875" style="104" customWidth="1"/>
    <col min="3342" max="3342" width="20.42578125" style="104" customWidth="1"/>
    <col min="3343" max="3344" width="16" style="104" customWidth="1"/>
    <col min="3345" max="3345" width="21.140625" style="104" customWidth="1"/>
    <col min="3346" max="3346" width="14.140625" style="104" customWidth="1"/>
    <col min="3347" max="3347" width="15.5703125" style="104" customWidth="1"/>
    <col min="3348" max="3348" width="13.42578125" style="104" bestFit="1" customWidth="1"/>
    <col min="3349" max="3349" width="13.42578125" style="104" customWidth="1"/>
    <col min="3350" max="3350" width="13.42578125" style="104" bestFit="1" customWidth="1"/>
    <col min="3351" max="3351" width="18.28515625" style="104" bestFit="1" customWidth="1"/>
    <col min="3352" max="3352" width="13.42578125" style="104" bestFit="1" customWidth="1"/>
    <col min="3353" max="3584" width="9.140625" style="104"/>
    <col min="3585" max="3585" width="15" style="104" bestFit="1" customWidth="1"/>
    <col min="3586" max="3586" width="15.42578125" style="104" customWidth="1"/>
    <col min="3587" max="3588" width="19.42578125" style="104" customWidth="1"/>
    <col min="3589" max="3589" width="19.85546875" style="104" customWidth="1"/>
    <col min="3590" max="3590" width="21.42578125" style="104" customWidth="1"/>
    <col min="3591" max="3591" width="24.28515625" style="104" customWidth="1"/>
    <col min="3592" max="3592" width="18" style="104" customWidth="1"/>
    <col min="3593" max="3593" width="13.28515625" style="104" customWidth="1"/>
    <col min="3594" max="3594" width="18.5703125" style="104" customWidth="1"/>
    <col min="3595" max="3595" width="15.85546875" style="104" customWidth="1"/>
    <col min="3596" max="3596" width="10.85546875" style="104" customWidth="1"/>
    <col min="3597" max="3597" width="16.85546875" style="104" customWidth="1"/>
    <col min="3598" max="3598" width="20.42578125" style="104" customWidth="1"/>
    <col min="3599" max="3600" width="16" style="104" customWidth="1"/>
    <col min="3601" max="3601" width="21.140625" style="104" customWidth="1"/>
    <col min="3602" max="3602" width="14.140625" style="104" customWidth="1"/>
    <col min="3603" max="3603" width="15.5703125" style="104" customWidth="1"/>
    <col min="3604" max="3604" width="13.42578125" style="104" bestFit="1" customWidth="1"/>
    <col min="3605" max="3605" width="13.42578125" style="104" customWidth="1"/>
    <col min="3606" max="3606" width="13.42578125" style="104" bestFit="1" customWidth="1"/>
    <col min="3607" max="3607" width="18.28515625" style="104" bestFit="1" customWidth="1"/>
    <col min="3608" max="3608" width="13.42578125" style="104" bestFit="1" customWidth="1"/>
    <col min="3609" max="3840" width="9.140625" style="104"/>
    <col min="3841" max="3841" width="15" style="104" bestFit="1" customWidth="1"/>
    <col min="3842" max="3842" width="15.42578125" style="104" customWidth="1"/>
    <col min="3843" max="3844" width="19.42578125" style="104" customWidth="1"/>
    <col min="3845" max="3845" width="19.85546875" style="104" customWidth="1"/>
    <col min="3846" max="3846" width="21.42578125" style="104" customWidth="1"/>
    <col min="3847" max="3847" width="24.28515625" style="104" customWidth="1"/>
    <col min="3848" max="3848" width="18" style="104" customWidth="1"/>
    <col min="3849" max="3849" width="13.28515625" style="104" customWidth="1"/>
    <col min="3850" max="3850" width="18.5703125" style="104" customWidth="1"/>
    <col min="3851" max="3851" width="15.85546875" style="104" customWidth="1"/>
    <col min="3852" max="3852" width="10.85546875" style="104" customWidth="1"/>
    <col min="3853" max="3853" width="16.85546875" style="104" customWidth="1"/>
    <col min="3854" max="3854" width="20.42578125" style="104" customWidth="1"/>
    <col min="3855" max="3856" width="16" style="104" customWidth="1"/>
    <col min="3857" max="3857" width="21.140625" style="104" customWidth="1"/>
    <col min="3858" max="3858" width="14.140625" style="104" customWidth="1"/>
    <col min="3859" max="3859" width="15.5703125" style="104" customWidth="1"/>
    <col min="3860" max="3860" width="13.42578125" style="104" bestFit="1" customWidth="1"/>
    <col min="3861" max="3861" width="13.42578125" style="104" customWidth="1"/>
    <col min="3862" max="3862" width="13.42578125" style="104" bestFit="1" customWidth="1"/>
    <col min="3863" max="3863" width="18.28515625" style="104" bestFit="1" customWidth="1"/>
    <col min="3864" max="3864" width="13.42578125" style="104" bestFit="1" customWidth="1"/>
    <col min="3865" max="4096" width="9.140625" style="104"/>
    <col min="4097" max="4097" width="15" style="104" bestFit="1" customWidth="1"/>
    <col min="4098" max="4098" width="15.42578125" style="104" customWidth="1"/>
    <col min="4099" max="4100" width="19.42578125" style="104" customWidth="1"/>
    <col min="4101" max="4101" width="19.85546875" style="104" customWidth="1"/>
    <col min="4102" max="4102" width="21.42578125" style="104" customWidth="1"/>
    <col min="4103" max="4103" width="24.28515625" style="104" customWidth="1"/>
    <col min="4104" max="4104" width="18" style="104" customWidth="1"/>
    <col min="4105" max="4105" width="13.28515625" style="104" customWidth="1"/>
    <col min="4106" max="4106" width="18.5703125" style="104" customWidth="1"/>
    <col min="4107" max="4107" width="15.85546875" style="104" customWidth="1"/>
    <col min="4108" max="4108" width="10.85546875" style="104" customWidth="1"/>
    <col min="4109" max="4109" width="16.85546875" style="104" customWidth="1"/>
    <col min="4110" max="4110" width="20.42578125" style="104" customWidth="1"/>
    <col min="4111" max="4112" width="16" style="104" customWidth="1"/>
    <col min="4113" max="4113" width="21.140625" style="104" customWidth="1"/>
    <col min="4114" max="4114" width="14.140625" style="104" customWidth="1"/>
    <col min="4115" max="4115" width="15.5703125" style="104" customWidth="1"/>
    <col min="4116" max="4116" width="13.42578125" style="104" bestFit="1" customWidth="1"/>
    <col min="4117" max="4117" width="13.42578125" style="104" customWidth="1"/>
    <col min="4118" max="4118" width="13.42578125" style="104" bestFit="1" customWidth="1"/>
    <col min="4119" max="4119" width="18.28515625" style="104" bestFit="1" customWidth="1"/>
    <col min="4120" max="4120" width="13.42578125" style="104" bestFit="1" customWidth="1"/>
    <col min="4121" max="4352" width="9.140625" style="104"/>
    <col min="4353" max="4353" width="15" style="104" bestFit="1" customWidth="1"/>
    <col min="4354" max="4354" width="15.42578125" style="104" customWidth="1"/>
    <col min="4355" max="4356" width="19.42578125" style="104" customWidth="1"/>
    <col min="4357" max="4357" width="19.85546875" style="104" customWidth="1"/>
    <col min="4358" max="4358" width="21.42578125" style="104" customWidth="1"/>
    <col min="4359" max="4359" width="24.28515625" style="104" customWidth="1"/>
    <col min="4360" max="4360" width="18" style="104" customWidth="1"/>
    <col min="4361" max="4361" width="13.28515625" style="104" customWidth="1"/>
    <col min="4362" max="4362" width="18.5703125" style="104" customWidth="1"/>
    <col min="4363" max="4363" width="15.85546875" style="104" customWidth="1"/>
    <col min="4364" max="4364" width="10.85546875" style="104" customWidth="1"/>
    <col min="4365" max="4365" width="16.85546875" style="104" customWidth="1"/>
    <col min="4366" max="4366" width="20.42578125" style="104" customWidth="1"/>
    <col min="4367" max="4368" width="16" style="104" customWidth="1"/>
    <col min="4369" max="4369" width="21.140625" style="104" customWidth="1"/>
    <col min="4370" max="4370" width="14.140625" style="104" customWidth="1"/>
    <col min="4371" max="4371" width="15.5703125" style="104" customWidth="1"/>
    <col min="4372" max="4372" width="13.42578125" style="104" bestFit="1" customWidth="1"/>
    <col min="4373" max="4373" width="13.42578125" style="104" customWidth="1"/>
    <col min="4374" max="4374" width="13.42578125" style="104" bestFit="1" customWidth="1"/>
    <col min="4375" max="4375" width="18.28515625" style="104" bestFit="1" customWidth="1"/>
    <col min="4376" max="4376" width="13.42578125" style="104" bestFit="1" customWidth="1"/>
    <col min="4377" max="4608" width="9.140625" style="104"/>
    <col min="4609" max="4609" width="15" style="104" bestFit="1" customWidth="1"/>
    <col min="4610" max="4610" width="15.42578125" style="104" customWidth="1"/>
    <col min="4611" max="4612" width="19.42578125" style="104" customWidth="1"/>
    <col min="4613" max="4613" width="19.85546875" style="104" customWidth="1"/>
    <col min="4614" max="4614" width="21.42578125" style="104" customWidth="1"/>
    <col min="4615" max="4615" width="24.28515625" style="104" customWidth="1"/>
    <col min="4616" max="4616" width="18" style="104" customWidth="1"/>
    <col min="4617" max="4617" width="13.28515625" style="104" customWidth="1"/>
    <col min="4618" max="4618" width="18.5703125" style="104" customWidth="1"/>
    <col min="4619" max="4619" width="15.85546875" style="104" customWidth="1"/>
    <col min="4620" max="4620" width="10.85546875" style="104" customWidth="1"/>
    <col min="4621" max="4621" width="16.85546875" style="104" customWidth="1"/>
    <col min="4622" max="4622" width="20.42578125" style="104" customWidth="1"/>
    <col min="4623" max="4624" width="16" style="104" customWidth="1"/>
    <col min="4625" max="4625" width="21.140625" style="104" customWidth="1"/>
    <col min="4626" max="4626" width="14.140625" style="104" customWidth="1"/>
    <col min="4627" max="4627" width="15.5703125" style="104" customWidth="1"/>
    <col min="4628" max="4628" width="13.42578125" style="104" bestFit="1" customWidth="1"/>
    <col min="4629" max="4629" width="13.42578125" style="104" customWidth="1"/>
    <col min="4630" max="4630" width="13.42578125" style="104" bestFit="1" customWidth="1"/>
    <col min="4631" max="4631" width="18.28515625" style="104" bestFit="1" customWidth="1"/>
    <col min="4632" max="4632" width="13.42578125" style="104" bestFit="1" customWidth="1"/>
    <col min="4633" max="4864" width="9.140625" style="104"/>
    <col min="4865" max="4865" width="15" style="104" bestFit="1" customWidth="1"/>
    <col min="4866" max="4866" width="15.42578125" style="104" customWidth="1"/>
    <col min="4867" max="4868" width="19.42578125" style="104" customWidth="1"/>
    <col min="4869" max="4869" width="19.85546875" style="104" customWidth="1"/>
    <col min="4870" max="4870" width="21.42578125" style="104" customWidth="1"/>
    <col min="4871" max="4871" width="24.28515625" style="104" customWidth="1"/>
    <col min="4872" max="4872" width="18" style="104" customWidth="1"/>
    <col min="4873" max="4873" width="13.28515625" style="104" customWidth="1"/>
    <col min="4874" max="4874" width="18.5703125" style="104" customWidth="1"/>
    <col min="4875" max="4875" width="15.85546875" style="104" customWidth="1"/>
    <col min="4876" max="4876" width="10.85546875" style="104" customWidth="1"/>
    <col min="4877" max="4877" width="16.85546875" style="104" customWidth="1"/>
    <col min="4878" max="4878" width="20.42578125" style="104" customWidth="1"/>
    <col min="4879" max="4880" width="16" style="104" customWidth="1"/>
    <col min="4881" max="4881" width="21.140625" style="104" customWidth="1"/>
    <col min="4882" max="4882" width="14.140625" style="104" customWidth="1"/>
    <col min="4883" max="4883" width="15.5703125" style="104" customWidth="1"/>
    <col min="4884" max="4884" width="13.42578125" style="104" bestFit="1" customWidth="1"/>
    <col min="4885" max="4885" width="13.42578125" style="104" customWidth="1"/>
    <col min="4886" max="4886" width="13.42578125" style="104" bestFit="1" customWidth="1"/>
    <col min="4887" max="4887" width="18.28515625" style="104" bestFit="1" customWidth="1"/>
    <col min="4888" max="4888" width="13.42578125" style="104" bestFit="1" customWidth="1"/>
    <col min="4889" max="5120" width="9.140625" style="104"/>
    <col min="5121" max="5121" width="15" style="104" bestFit="1" customWidth="1"/>
    <col min="5122" max="5122" width="15.42578125" style="104" customWidth="1"/>
    <col min="5123" max="5124" width="19.42578125" style="104" customWidth="1"/>
    <col min="5125" max="5125" width="19.85546875" style="104" customWidth="1"/>
    <col min="5126" max="5126" width="21.42578125" style="104" customWidth="1"/>
    <col min="5127" max="5127" width="24.28515625" style="104" customWidth="1"/>
    <col min="5128" max="5128" width="18" style="104" customWidth="1"/>
    <col min="5129" max="5129" width="13.28515625" style="104" customWidth="1"/>
    <col min="5130" max="5130" width="18.5703125" style="104" customWidth="1"/>
    <col min="5131" max="5131" width="15.85546875" style="104" customWidth="1"/>
    <col min="5132" max="5132" width="10.85546875" style="104" customWidth="1"/>
    <col min="5133" max="5133" width="16.85546875" style="104" customWidth="1"/>
    <col min="5134" max="5134" width="20.42578125" style="104" customWidth="1"/>
    <col min="5135" max="5136" width="16" style="104" customWidth="1"/>
    <col min="5137" max="5137" width="21.140625" style="104" customWidth="1"/>
    <col min="5138" max="5138" width="14.140625" style="104" customWidth="1"/>
    <col min="5139" max="5139" width="15.5703125" style="104" customWidth="1"/>
    <col min="5140" max="5140" width="13.42578125" style="104" bestFit="1" customWidth="1"/>
    <col min="5141" max="5141" width="13.42578125" style="104" customWidth="1"/>
    <col min="5142" max="5142" width="13.42578125" style="104" bestFit="1" customWidth="1"/>
    <col min="5143" max="5143" width="18.28515625" style="104" bestFit="1" customWidth="1"/>
    <col min="5144" max="5144" width="13.42578125" style="104" bestFit="1" customWidth="1"/>
    <col min="5145" max="5376" width="9.140625" style="104"/>
    <col min="5377" max="5377" width="15" style="104" bestFit="1" customWidth="1"/>
    <col min="5378" max="5378" width="15.42578125" style="104" customWidth="1"/>
    <col min="5379" max="5380" width="19.42578125" style="104" customWidth="1"/>
    <col min="5381" max="5381" width="19.85546875" style="104" customWidth="1"/>
    <col min="5382" max="5382" width="21.42578125" style="104" customWidth="1"/>
    <col min="5383" max="5383" width="24.28515625" style="104" customWidth="1"/>
    <col min="5384" max="5384" width="18" style="104" customWidth="1"/>
    <col min="5385" max="5385" width="13.28515625" style="104" customWidth="1"/>
    <col min="5386" max="5386" width="18.5703125" style="104" customWidth="1"/>
    <col min="5387" max="5387" width="15.85546875" style="104" customWidth="1"/>
    <col min="5388" max="5388" width="10.85546875" style="104" customWidth="1"/>
    <col min="5389" max="5389" width="16.85546875" style="104" customWidth="1"/>
    <col min="5390" max="5390" width="20.42578125" style="104" customWidth="1"/>
    <col min="5391" max="5392" width="16" style="104" customWidth="1"/>
    <col min="5393" max="5393" width="21.140625" style="104" customWidth="1"/>
    <col min="5394" max="5394" width="14.140625" style="104" customWidth="1"/>
    <col min="5395" max="5395" width="15.5703125" style="104" customWidth="1"/>
    <col min="5396" max="5396" width="13.42578125" style="104" bestFit="1" customWidth="1"/>
    <col min="5397" max="5397" width="13.42578125" style="104" customWidth="1"/>
    <col min="5398" max="5398" width="13.42578125" style="104" bestFit="1" customWidth="1"/>
    <col min="5399" max="5399" width="18.28515625" style="104" bestFit="1" customWidth="1"/>
    <col min="5400" max="5400" width="13.42578125" style="104" bestFit="1" customWidth="1"/>
    <col min="5401" max="5632" width="9.140625" style="104"/>
    <col min="5633" max="5633" width="15" style="104" bestFit="1" customWidth="1"/>
    <col min="5634" max="5634" width="15.42578125" style="104" customWidth="1"/>
    <col min="5635" max="5636" width="19.42578125" style="104" customWidth="1"/>
    <col min="5637" max="5637" width="19.85546875" style="104" customWidth="1"/>
    <col min="5638" max="5638" width="21.42578125" style="104" customWidth="1"/>
    <col min="5639" max="5639" width="24.28515625" style="104" customWidth="1"/>
    <col min="5640" max="5640" width="18" style="104" customWidth="1"/>
    <col min="5641" max="5641" width="13.28515625" style="104" customWidth="1"/>
    <col min="5642" max="5642" width="18.5703125" style="104" customWidth="1"/>
    <col min="5643" max="5643" width="15.85546875" style="104" customWidth="1"/>
    <col min="5644" max="5644" width="10.85546875" style="104" customWidth="1"/>
    <col min="5645" max="5645" width="16.85546875" style="104" customWidth="1"/>
    <col min="5646" max="5646" width="20.42578125" style="104" customWidth="1"/>
    <col min="5647" max="5648" width="16" style="104" customWidth="1"/>
    <col min="5649" max="5649" width="21.140625" style="104" customWidth="1"/>
    <col min="5650" max="5650" width="14.140625" style="104" customWidth="1"/>
    <col min="5651" max="5651" width="15.5703125" style="104" customWidth="1"/>
    <col min="5652" max="5652" width="13.42578125" style="104" bestFit="1" customWidth="1"/>
    <col min="5653" max="5653" width="13.42578125" style="104" customWidth="1"/>
    <col min="5654" max="5654" width="13.42578125" style="104" bestFit="1" customWidth="1"/>
    <col min="5655" max="5655" width="18.28515625" style="104" bestFit="1" customWidth="1"/>
    <col min="5656" max="5656" width="13.42578125" style="104" bestFit="1" customWidth="1"/>
    <col min="5657" max="5888" width="9.140625" style="104"/>
    <col min="5889" max="5889" width="15" style="104" bestFit="1" customWidth="1"/>
    <col min="5890" max="5890" width="15.42578125" style="104" customWidth="1"/>
    <col min="5891" max="5892" width="19.42578125" style="104" customWidth="1"/>
    <col min="5893" max="5893" width="19.85546875" style="104" customWidth="1"/>
    <col min="5894" max="5894" width="21.42578125" style="104" customWidth="1"/>
    <col min="5895" max="5895" width="24.28515625" style="104" customWidth="1"/>
    <col min="5896" max="5896" width="18" style="104" customWidth="1"/>
    <col min="5897" max="5897" width="13.28515625" style="104" customWidth="1"/>
    <col min="5898" max="5898" width="18.5703125" style="104" customWidth="1"/>
    <col min="5899" max="5899" width="15.85546875" style="104" customWidth="1"/>
    <col min="5900" max="5900" width="10.85546875" style="104" customWidth="1"/>
    <col min="5901" max="5901" width="16.85546875" style="104" customWidth="1"/>
    <col min="5902" max="5902" width="20.42578125" style="104" customWidth="1"/>
    <col min="5903" max="5904" width="16" style="104" customWidth="1"/>
    <col min="5905" max="5905" width="21.140625" style="104" customWidth="1"/>
    <col min="5906" max="5906" width="14.140625" style="104" customWidth="1"/>
    <col min="5907" max="5907" width="15.5703125" style="104" customWidth="1"/>
    <col min="5908" max="5908" width="13.42578125" style="104" bestFit="1" customWidth="1"/>
    <col min="5909" max="5909" width="13.42578125" style="104" customWidth="1"/>
    <col min="5910" max="5910" width="13.42578125" style="104" bestFit="1" customWidth="1"/>
    <col min="5911" max="5911" width="18.28515625" style="104" bestFit="1" customWidth="1"/>
    <col min="5912" max="5912" width="13.42578125" style="104" bestFit="1" customWidth="1"/>
    <col min="5913" max="6144" width="9.140625" style="104"/>
    <col min="6145" max="6145" width="15" style="104" bestFit="1" customWidth="1"/>
    <col min="6146" max="6146" width="15.42578125" style="104" customWidth="1"/>
    <col min="6147" max="6148" width="19.42578125" style="104" customWidth="1"/>
    <col min="6149" max="6149" width="19.85546875" style="104" customWidth="1"/>
    <col min="6150" max="6150" width="21.42578125" style="104" customWidth="1"/>
    <col min="6151" max="6151" width="24.28515625" style="104" customWidth="1"/>
    <col min="6152" max="6152" width="18" style="104" customWidth="1"/>
    <col min="6153" max="6153" width="13.28515625" style="104" customWidth="1"/>
    <col min="6154" max="6154" width="18.5703125" style="104" customWidth="1"/>
    <col min="6155" max="6155" width="15.85546875" style="104" customWidth="1"/>
    <col min="6156" max="6156" width="10.85546875" style="104" customWidth="1"/>
    <col min="6157" max="6157" width="16.85546875" style="104" customWidth="1"/>
    <col min="6158" max="6158" width="20.42578125" style="104" customWidth="1"/>
    <col min="6159" max="6160" width="16" style="104" customWidth="1"/>
    <col min="6161" max="6161" width="21.140625" style="104" customWidth="1"/>
    <col min="6162" max="6162" width="14.140625" style="104" customWidth="1"/>
    <col min="6163" max="6163" width="15.5703125" style="104" customWidth="1"/>
    <col min="6164" max="6164" width="13.42578125" style="104" bestFit="1" customWidth="1"/>
    <col min="6165" max="6165" width="13.42578125" style="104" customWidth="1"/>
    <col min="6166" max="6166" width="13.42578125" style="104" bestFit="1" customWidth="1"/>
    <col min="6167" max="6167" width="18.28515625" style="104" bestFit="1" customWidth="1"/>
    <col min="6168" max="6168" width="13.42578125" style="104" bestFit="1" customWidth="1"/>
    <col min="6169" max="6400" width="9.140625" style="104"/>
    <col min="6401" max="6401" width="15" style="104" bestFit="1" customWidth="1"/>
    <col min="6402" max="6402" width="15.42578125" style="104" customWidth="1"/>
    <col min="6403" max="6404" width="19.42578125" style="104" customWidth="1"/>
    <col min="6405" max="6405" width="19.85546875" style="104" customWidth="1"/>
    <col min="6406" max="6406" width="21.42578125" style="104" customWidth="1"/>
    <col min="6407" max="6407" width="24.28515625" style="104" customWidth="1"/>
    <col min="6408" max="6408" width="18" style="104" customWidth="1"/>
    <col min="6409" max="6409" width="13.28515625" style="104" customWidth="1"/>
    <col min="6410" max="6410" width="18.5703125" style="104" customWidth="1"/>
    <col min="6411" max="6411" width="15.85546875" style="104" customWidth="1"/>
    <col min="6412" max="6412" width="10.85546875" style="104" customWidth="1"/>
    <col min="6413" max="6413" width="16.85546875" style="104" customWidth="1"/>
    <col min="6414" max="6414" width="20.42578125" style="104" customWidth="1"/>
    <col min="6415" max="6416" width="16" style="104" customWidth="1"/>
    <col min="6417" max="6417" width="21.140625" style="104" customWidth="1"/>
    <col min="6418" max="6418" width="14.140625" style="104" customWidth="1"/>
    <col min="6419" max="6419" width="15.5703125" style="104" customWidth="1"/>
    <col min="6420" max="6420" width="13.42578125" style="104" bestFit="1" customWidth="1"/>
    <col min="6421" max="6421" width="13.42578125" style="104" customWidth="1"/>
    <col min="6422" max="6422" width="13.42578125" style="104" bestFit="1" customWidth="1"/>
    <col min="6423" max="6423" width="18.28515625" style="104" bestFit="1" customWidth="1"/>
    <col min="6424" max="6424" width="13.42578125" style="104" bestFit="1" customWidth="1"/>
    <col min="6425" max="6656" width="9.140625" style="104"/>
    <col min="6657" max="6657" width="15" style="104" bestFit="1" customWidth="1"/>
    <col min="6658" max="6658" width="15.42578125" style="104" customWidth="1"/>
    <col min="6659" max="6660" width="19.42578125" style="104" customWidth="1"/>
    <col min="6661" max="6661" width="19.85546875" style="104" customWidth="1"/>
    <col min="6662" max="6662" width="21.42578125" style="104" customWidth="1"/>
    <col min="6663" max="6663" width="24.28515625" style="104" customWidth="1"/>
    <col min="6664" max="6664" width="18" style="104" customWidth="1"/>
    <col min="6665" max="6665" width="13.28515625" style="104" customWidth="1"/>
    <col min="6666" max="6666" width="18.5703125" style="104" customWidth="1"/>
    <col min="6667" max="6667" width="15.85546875" style="104" customWidth="1"/>
    <col min="6668" max="6668" width="10.85546875" style="104" customWidth="1"/>
    <col min="6669" max="6669" width="16.85546875" style="104" customWidth="1"/>
    <col min="6670" max="6670" width="20.42578125" style="104" customWidth="1"/>
    <col min="6671" max="6672" width="16" style="104" customWidth="1"/>
    <col min="6673" max="6673" width="21.140625" style="104" customWidth="1"/>
    <col min="6674" max="6674" width="14.140625" style="104" customWidth="1"/>
    <col min="6675" max="6675" width="15.5703125" style="104" customWidth="1"/>
    <col min="6676" max="6676" width="13.42578125" style="104" bestFit="1" customWidth="1"/>
    <col min="6677" max="6677" width="13.42578125" style="104" customWidth="1"/>
    <col min="6678" max="6678" width="13.42578125" style="104" bestFit="1" customWidth="1"/>
    <col min="6679" max="6679" width="18.28515625" style="104" bestFit="1" customWidth="1"/>
    <col min="6680" max="6680" width="13.42578125" style="104" bestFit="1" customWidth="1"/>
    <col min="6681" max="6912" width="9.140625" style="104"/>
    <col min="6913" max="6913" width="15" style="104" bestFit="1" customWidth="1"/>
    <col min="6914" max="6914" width="15.42578125" style="104" customWidth="1"/>
    <col min="6915" max="6916" width="19.42578125" style="104" customWidth="1"/>
    <col min="6917" max="6917" width="19.85546875" style="104" customWidth="1"/>
    <col min="6918" max="6918" width="21.42578125" style="104" customWidth="1"/>
    <col min="6919" max="6919" width="24.28515625" style="104" customWidth="1"/>
    <col min="6920" max="6920" width="18" style="104" customWidth="1"/>
    <col min="6921" max="6921" width="13.28515625" style="104" customWidth="1"/>
    <col min="6922" max="6922" width="18.5703125" style="104" customWidth="1"/>
    <col min="6923" max="6923" width="15.85546875" style="104" customWidth="1"/>
    <col min="6924" max="6924" width="10.85546875" style="104" customWidth="1"/>
    <col min="6925" max="6925" width="16.85546875" style="104" customWidth="1"/>
    <col min="6926" max="6926" width="20.42578125" style="104" customWidth="1"/>
    <col min="6927" max="6928" width="16" style="104" customWidth="1"/>
    <col min="6929" max="6929" width="21.140625" style="104" customWidth="1"/>
    <col min="6930" max="6930" width="14.140625" style="104" customWidth="1"/>
    <col min="6931" max="6931" width="15.5703125" style="104" customWidth="1"/>
    <col min="6932" max="6932" width="13.42578125" style="104" bestFit="1" customWidth="1"/>
    <col min="6933" max="6933" width="13.42578125" style="104" customWidth="1"/>
    <col min="6934" max="6934" width="13.42578125" style="104" bestFit="1" customWidth="1"/>
    <col min="6935" max="6935" width="18.28515625" style="104" bestFit="1" customWidth="1"/>
    <col min="6936" max="6936" width="13.42578125" style="104" bestFit="1" customWidth="1"/>
    <col min="6937" max="7168" width="9.140625" style="104"/>
    <col min="7169" max="7169" width="15" style="104" bestFit="1" customWidth="1"/>
    <col min="7170" max="7170" width="15.42578125" style="104" customWidth="1"/>
    <col min="7171" max="7172" width="19.42578125" style="104" customWidth="1"/>
    <col min="7173" max="7173" width="19.85546875" style="104" customWidth="1"/>
    <col min="7174" max="7174" width="21.42578125" style="104" customWidth="1"/>
    <col min="7175" max="7175" width="24.28515625" style="104" customWidth="1"/>
    <col min="7176" max="7176" width="18" style="104" customWidth="1"/>
    <col min="7177" max="7177" width="13.28515625" style="104" customWidth="1"/>
    <col min="7178" max="7178" width="18.5703125" style="104" customWidth="1"/>
    <col min="7179" max="7179" width="15.85546875" style="104" customWidth="1"/>
    <col min="7180" max="7180" width="10.85546875" style="104" customWidth="1"/>
    <col min="7181" max="7181" width="16.85546875" style="104" customWidth="1"/>
    <col min="7182" max="7182" width="20.42578125" style="104" customWidth="1"/>
    <col min="7183" max="7184" width="16" style="104" customWidth="1"/>
    <col min="7185" max="7185" width="21.140625" style="104" customWidth="1"/>
    <col min="7186" max="7186" width="14.140625" style="104" customWidth="1"/>
    <col min="7187" max="7187" width="15.5703125" style="104" customWidth="1"/>
    <col min="7188" max="7188" width="13.42578125" style="104" bestFit="1" customWidth="1"/>
    <col min="7189" max="7189" width="13.42578125" style="104" customWidth="1"/>
    <col min="7190" max="7190" width="13.42578125" style="104" bestFit="1" customWidth="1"/>
    <col min="7191" max="7191" width="18.28515625" style="104" bestFit="1" customWidth="1"/>
    <col min="7192" max="7192" width="13.42578125" style="104" bestFit="1" customWidth="1"/>
    <col min="7193" max="7424" width="9.140625" style="104"/>
    <col min="7425" max="7425" width="15" style="104" bestFit="1" customWidth="1"/>
    <col min="7426" max="7426" width="15.42578125" style="104" customWidth="1"/>
    <col min="7427" max="7428" width="19.42578125" style="104" customWidth="1"/>
    <col min="7429" max="7429" width="19.85546875" style="104" customWidth="1"/>
    <col min="7430" max="7430" width="21.42578125" style="104" customWidth="1"/>
    <col min="7431" max="7431" width="24.28515625" style="104" customWidth="1"/>
    <col min="7432" max="7432" width="18" style="104" customWidth="1"/>
    <col min="7433" max="7433" width="13.28515625" style="104" customWidth="1"/>
    <col min="7434" max="7434" width="18.5703125" style="104" customWidth="1"/>
    <col min="7435" max="7435" width="15.85546875" style="104" customWidth="1"/>
    <col min="7436" max="7436" width="10.85546875" style="104" customWidth="1"/>
    <col min="7437" max="7437" width="16.85546875" style="104" customWidth="1"/>
    <col min="7438" max="7438" width="20.42578125" style="104" customWidth="1"/>
    <col min="7439" max="7440" width="16" style="104" customWidth="1"/>
    <col min="7441" max="7441" width="21.140625" style="104" customWidth="1"/>
    <col min="7442" max="7442" width="14.140625" style="104" customWidth="1"/>
    <col min="7443" max="7443" width="15.5703125" style="104" customWidth="1"/>
    <col min="7444" max="7444" width="13.42578125" style="104" bestFit="1" customWidth="1"/>
    <col min="7445" max="7445" width="13.42578125" style="104" customWidth="1"/>
    <col min="7446" max="7446" width="13.42578125" style="104" bestFit="1" customWidth="1"/>
    <col min="7447" max="7447" width="18.28515625" style="104" bestFit="1" customWidth="1"/>
    <col min="7448" max="7448" width="13.42578125" style="104" bestFit="1" customWidth="1"/>
    <col min="7449" max="7680" width="9.140625" style="104"/>
    <col min="7681" max="7681" width="15" style="104" bestFit="1" customWidth="1"/>
    <col min="7682" max="7682" width="15.42578125" style="104" customWidth="1"/>
    <col min="7683" max="7684" width="19.42578125" style="104" customWidth="1"/>
    <col min="7685" max="7685" width="19.85546875" style="104" customWidth="1"/>
    <col min="7686" max="7686" width="21.42578125" style="104" customWidth="1"/>
    <col min="7687" max="7687" width="24.28515625" style="104" customWidth="1"/>
    <col min="7688" max="7688" width="18" style="104" customWidth="1"/>
    <col min="7689" max="7689" width="13.28515625" style="104" customWidth="1"/>
    <col min="7690" max="7690" width="18.5703125" style="104" customWidth="1"/>
    <col min="7691" max="7691" width="15.85546875" style="104" customWidth="1"/>
    <col min="7692" max="7692" width="10.85546875" style="104" customWidth="1"/>
    <col min="7693" max="7693" width="16.85546875" style="104" customWidth="1"/>
    <col min="7694" max="7694" width="20.42578125" style="104" customWidth="1"/>
    <col min="7695" max="7696" width="16" style="104" customWidth="1"/>
    <col min="7697" max="7697" width="21.140625" style="104" customWidth="1"/>
    <col min="7698" max="7698" width="14.140625" style="104" customWidth="1"/>
    <col min="7699" max="7699" width="15.5703125" style="104" customWidth="1"/>
    <col min="7700" max="7700" width="13.42578125" style="104" bestFit="1" customWidth="1"/>
    <col min="7701" max="7701" width="13.42578125" style="104" customWidth="1"/>
    <col min="7702" max="7702" width="13.42578125" style="104" bestFit="1" customWidth="1"/>
    <col min="7703" max="7703" width="18.28515625" style="104" bestFit="1" customWidth="1"/>
    <col min="7704" max="7704" width="13.42578125" style="104" bestFit="1" customWidth="1"/>
    <col min="7705" max="7936" width="9.140625" style="104"/>
    <col min="7937" max="7937" width="15" style="104" bestFit="1" customWidth="1"/>
    <col min="7938" max="7938" width="15.42578125" style="104" customWidth="1"/>
    <col min="7939" max="7940" width="19.42578125" style="104" customWidth="1"/>
    <col min="7941" max="7941" width="19.85546875" style="104" customWidth="1"/>
    <col min="7942" max="7942" width="21.42578125" style="104" customWidth="1"/>
    <col min="7943" max="7943" width="24.28515625" style="104" customWidth="1"/>
    <col min="7944" max="7944" width="18" style="104" customWidth="1"/>
    <col min="7945" max="7945" width="13.28515625" style="104" customWidth="1"/>
    <col min="7946" max="7946" width="18.5703125" style="104" customWidth="1"/>
    <col min="7947" max="7947" width="15.85546875" style="104" customWidth="1"/>
    <col min="7948" max="7948" width="10.85546875" style="104" customWidth="1"/>
    <col min="7949" max="7949" width="16.85546875" style="104" customWidth="1"/>
    <col min="7950" max="7950" width="20.42578125" style="104" customWidth="1"/>
    <col min="7951" max="7952" width="16" style="104" customWidth="1"/>
    <col min="7953" max="7953" width="21.140625" style="104" customWidth="1"/>
    <col min="7954" max="7954" width="14.140625" style="104" customWidth="1"/>
    <col min="7955" max="7955" width="15.5703125" style="104" customWidth="1"/>
    <col min="7956" max="7956" width="13.42578125" style="104" bestFit="1" customWidth="1"/>
    <col min="7957" max="7957" width="13.42578125" style="104" customWidth="1"/>
    <col min="7958" max="7958" width="13.42578125" style="104" bestFit="1" customWidth="1"/>
    <col min="7959" max="7959" width="18.28515625" style="104" bestFit="1" customWidth="1"/>
    <col min="7960" max="7960" width="13.42578125" style="104" bestFit="1" customWidth="1"/>
    <col min="7961" max="8192" width="9.140625" style="104"/>
    <col min="8193" max="8193" width="15" style="104" bestFit="1" customWidth="1"/>
    <col min="8194" max="8194" width="15.42578125" style="104" customWidth="1"/>
    <col min="8195" max="8196" width="19.42578125" style="104" customWidth="1"/>
    <col min="8197" max="8197" width="19.85546875" style="104" customWidth="1"/>
    <col min="8198" max="8198" width="21.42578125" style="104" customWidth="1"/>
    <col min="8199" max="8199" width="24.28515625" style="104" customWidth="1"/>
    <col min="8200" max="8200" width="18" style="104" customWidth="1"/>
    <col min="8201" max="8201" width="13.28515625" style="104" customWidth="1"/>
    <col min="8202" max="8202" width="18.5703125" style="104" customWidth="1"/>
    <col min="8203" max="8203" width="15.85546875" style="104" customWidth="1"/>
    <col min="8204" max="8204" width="10.85546875" style="104" customWidth="1"/>
    <col min="8205" max="8205" width="16.85546875" style="104" customWidth="1"/>
    <col min="8206" max="8206" width="20.42578125" style="104" customWidth="1"/>
    <col min="8207" max="8208" width="16" style="104" customWidth="1"/>
    <col min="8209" max="8209" width="21.140625" style="104" customWidth="1"/>
    <col min="8210" max="8210" width="14.140625" style="104" customWidth="1"/>
    <col min="8211" max="8211" width="15.5703125" style="104" customWidth="1"/>
    <col min="8212" max="8212" width="13.42578125" style="104" bestFit="1" customWidth="1"/>
    <col min="8213" max="8213" width="13.42578125" style="104" customWidth="1"/>
    <col min="8214" max="8214" width="13.42578125" style="104" bestFit="1" customWidth="1"/>
    <col min="8215" max="8215" width="18.28515625" style="104" bestFit="1" customWidth="1"/>
    <col min="8216" max="8216" width="13.42578125" style="104" bestFit="1" customWidth="1"/>
    <col min="8217" max="8448" width="9.140625" style="104"/>
    <col min="8449" max="8449" width="15" style="104" bestFit="1" customWidth="1"/>
    <col min="8450" max="8450" width="15.42578125" style="104" customWidth="1"/>
    <col min="8451" max="8452" width="19.42578125" style="104" customWidth="1"/>
    <col min="8453" max="8453" width="19.85546875" style="104" customWidth="1"/>
    <col min="8454" max="8454" width="21.42578125" style="104" customWidth="1"/>
    <col min="8455" max="8455" width="24.28515625" style="104" customWidth="1"/>
    <col min="8456" max="8456" width="18" style="104" customWidth="1"/>
    <col min="8457" max="8457" width="13.28515625" style="104" customWidth="1"/>
    <col min="8458" max="8458" width="18.5703125" style="104" customWidth="1"/>
    <col min="8459" max="8459" width="15.85546875" style="104" customWidth="1"/>
    <col min="8460" max="8460" width="10.85546875" style="104" customWidth="1"/>
    <col min="8461" max="8461" width="16.85546875" style="104" customWidth="1"/>
    <col min="8462" max="8462" width="20.42578125" style="104" customWidth="1"/>
    <col min="8463" max="8464" width="16" style="104" customWidth="1"/>
    <col min="8465" max="8465" width="21.140625" style="104" customWidth="1"/>
    <col min="8466" max="8466" width="14.140625" style="104" customWidth="1"/>
    <col min="8467" max="8467" width="15.5703125" style="104" customWidth="1"/>
    <col min="8468" max="8468" width="13.42578125" style="104" bestFit="1" customWidth="1"/>
    <col min="8469" max="8469" width="13.42578125" style="104" customWidth="1"/>
    <col min="8470" max="8470" width="13.42578125" style="104" bestFit="1" customWidth="1"/>
    <col min="8471" max="8471" width="18.28515625" style="104" bestFit="1" customWidth="1"/>
    <col min="8472" max="8472" width="13.42578125" style="104" bestFit="1" customWidth="1"/>
    <col min="8473" max="8704" width="9.140625" style="104"/>
    <col min="8705" max="8705" width="15" style="104" bestFit="1" customWidth="1"/>
    <col min="8706" max="8706" width="15.42578125" style="104" customWidth="1"/>
    <col min="8707" max="8708" width="19.42578125" style="104" customWidth="1"/>
    <col min="8709" max="8709" width="19.85546875" style="104" customWidth="1"/>
    <col min="8710" max="8710" width="21.42578125" style="104" customWidth="1"/>
    <col min="8711" max="8711" width="24.28515625" style="104" customWidth="1"/>
    <col min="8712" max="8712" width="18" style="104" customWidth="1"/>
    <col min="8713" max="8713" width="13.28515625" style="104" customWidth="1"/>
    <col min="8714" max="8714" width="18.5703125" style="104" customWidth="1"/>
    <col min="8715" max="8715" width="15.85546875" style="104" customWidth="1"/>
    <col min="8716" max="8716" width="10.85546875" style="104" customWidth="1"/>
    <col min="8717" max="8717" width="16.85546875" style="104" customWidth="1"/>
    <col min="8718" max="8718" width="20.42578125" style="104" customWidth="1"/>
    <col min="8719" max="8720" width="16" style="104" customWidth="1"/>
    <col min="8721" max="8721" width="21.140625" style="104" customWidth="1"/>
    <col min="8722" max="8722" width="14.140625" style="104" customWidth="1"/>
    <col min="8723" max="8723" width="15.5703125" style="104" customWidth="1"/>
    <col min="8724" max="8724" width="13.42578125" style="104" bestFit="1" customWidth="1"/>
    <col min="8725" max="8725" width="13.42578125" style="104" customWidth="1"/>
    <col min="8726" max="8726" width="13.42578125" style="104" bestFit="1" customWidth="1"/>
    <col min="8727" max="8727" width="18.28515625" style="104" bestFit="1" customWidth="1"/>
    <col min="8728" max="8728" width="13.42578125" style="104" bestFit="1" customWidth="1"/>
    <col min="8729" max="8960" width="9.140625" style="104"/>
    <col min="8961" max="8961" width="15" style="104" bestFit="1" customWidth="1"/>
    <col min="8962" max="8962" width="15.42578125" style="104" customWidth="1"/>
    <col min="8963" max="8964" width="19.42578125" style="104" customWidth="1"/>
    <col min="8965" max="8965" width="19.85546875" style="104" customWidth="1"/>
    <col min="8966" max="8966" width="21.42578125" style="104" customWidth="1"/>
    <col min="8967" max="8967" width="24.28515625" style="104" customWidth="1"/>
    <col min="8968" max="8968" width="18" style="104" customWidth="1"/>
    <col min="8969" max="8969" width="13.28515625" style="104" customWidth="1"/>
    <col min="8970" max="8970" width="18.5703125" style="104" customWidth="1"/>
    <col min="8971" max="8971" width="15.85546875" style="104" customWidth="1"/>
    <col min="8972" max="8972" width="10.85546875" style="104" customWidth="1"/>
    <col min="8973" max="8973" width="16.85546875" style="104" customWidth="1"/>
    <col min="8974" max="8974" width="20.42578125" style="104" customWidth="1"/>
    <col min="8975" max="8976" width="16" style="104" customWidth="1"/>
    <col min="8977" max="8977" width="21.140625" style="104" customWidth="1"/>
    <col min="8978" max="8978" width="14.140625" style="104" customWidth="1"/>
    <col min="8979" max="8979" width="15.5703125" style="104" customWidth="1"/>
    <col min="8980" max="8980" width="13.42578125" style="104" bestFit="1" customWidth="1"/>
    <col min="8981" max="8981" width="13.42578125" style="104" customWidth="1"/>
    <col min="8982" max="8982" width="13.42578125" style="104" bestFit="1" customWidth="1"/>
    <col min="8983" max="8983" width="18.28515625" style="104" bestFit="1" customWidth="1"/>
    <col min="8984" max="8984" width="13.42578125" style="104" bestFit="1" customWidth="1"/>
    <col min="8985" max="9216" width="9.140625" style="104"/>
    <col min="9217" max="9217" width="15" style="104" bestFit="1" customWidth="1"/>
    <col min="9218" max="9218" width="15.42578125" style="104" customWidth="1"/>
    <col min="9219" max="9220" width="19.42578125" style="104" customWidth="1"/>
    <col min="9221" max="9221" width="19.85546875" style="104" customWidth="1"/>
    <col min="9222" max="9222" width="21.42578125" style="104" customWidth="1"/>
    <col min="9223" max="9223" width="24.28515625" style="104" customWidth="1"/>
    <col min="9224" max="9224" width="18" style="104" customWidth="1"/>
    <col min="9225" max="9225" width="13.28515625" style="104" customWidth="1"/>
    <col min="9226" max="9226" width="18.5703125" style="104" customWidth="1"/>
    <col min="9227" max="9227" width="15.85546875" style="104" customWidth="1"/>
    <col min="9228" max="9228" width="10.85546875" style="104" customWidth="1"/>
    <col min="9229" max="9229" width="16.85546875" style="104" customWidth="1"/>
    <col min="9230" max="9230" width="20.42578125" style="104" customWidth="1"/>
    <col min="9231" max="9232" width="16" style="104" customWidth="1"/>
    <col min="9233" max="9233" width="21.140625" style="104" customWidth="1"/>
    <col min="9234" max="9234" width="14.140625" style="104" customWidth="1"/>
    <col min="9235" max="9235" width="15.5703125" style="104" customWidth="1"/>
    <col min="9236" max="9236" width="13.42578125" style="104" bestFit="1" customWidth="1"/>
    <col min="9237" max="9237" width="13.42578125" style="104" customWidth="1"/>
    <col min="9238" max="9238" width="13.42578125" style="104" bestFit="1" customWidth="1"/>
    <col min="9239" max="9239" width="18.28515625" style="104" bestFit="1" customWidth="1"/>
    <col min="9240" max="9240" width="13.42578125" style="104" bestFit="1" customWidth="1"/>
    <col min="9241" max="9472" width="9.140625" style="104"/>
    <col min="9473" max="9473" width="15" style="104" bestFit="1" customWidth="1"/>
    <col min="9474" max="9474" width="15.42578125" style="104" customWidth="1"/>
    <col min="9475" max="9476" width="19.42578125" style="104" customWidth="1"/>
    <col min="9477" max="9477" width="19.85546875" style="104" customWidth="1"/>
    <col min="9478" max="9478" width="21.42578125" style="104" customWidth="1"/>
    <col min="9479" max="9479" width="24.28515625" style="104" customWidth="1"/>
    <col min="9480" max="9480" width="18" style="104" customWidth="1"/>
    <col min="9481" max="9481" width="13.28515625" style="104" customWidth="1"/>
    <col min="9482" max="9482" width="18.5703125" style="104" customWidth="1"/>
    <col min="9483" max="9483" width="15.85546875" style="104" customWidth="1"/>
    <col min="9484" max="9484" width="10.85546875" style="104" customWidth="1"/>
    <col min="9485" max="9485" width="16.85546875" style="104" customWidth="1"/>
    <col min="9486" max="9486" width="20.42578125" style="104" customWidth="1"/>
    <col min="9487" max="9488" width="16" style="104" customWidth="1"/>
    <col min="9489" max="9489" width="21.140625" style="104" customWidth="1"/>
    <col min="9490" max="9490" width="14.140625" style="104" customWidth="1"/>
    <col min="9491" max="9491" width="15.5703125" style="104" customWidth="1"/>
    <col min="9492" max="9492" width="13.42578125" style="104" bestFit="1" customWidth="1"/>
    <col min="9493" max="9493" width="13.42578125" style="104" customWidth="1"/>
    <col min="9494" max="9494" width="13.42578125" style="104" bestFit="1" customWidth="1"/>
    <col min="9495" max="9495" width="18.28515625" style="104" bestFit="1" customWidth="1"/>
    <col min="9496" max="9496" width="13.42578125" style="104" bestFit="1" customWidth="1"/>
    <col min="9497" max="9728" width="9.140625" style="104"/>
    <col min="9729" max="9729" width="15" style="104" bestFit="1" customWidth="1"/>
    <col min="9730" max="9730" width="15.42578125" style="104" customWidth="1"/>
    <col min="9731" max="9732" width="19.42578125" style="104" customWidth="1"/>
    <col min="9733" max="9733" width="19.85546875" style="104" customWidth="1"/>
    <col min="9734" max="9734" width="21.42578125" style="104" customWidth="1"/>
    <col min="9735" max="9735" width="24.28515625" style="104" customWidth="1"/>
    <col min="9736" max="9736" width="18" style="104" customWidth="1"/>
    <col min="9737" max="9737" width="13.28515625" style="104" customWidth="1"/>
    <col min="9738" max="9738" width="18.5703125" style="104" customWidth="1"/>
    <col min="9739" max="9739" width="15.85546875" style="104" customWidth="1"/>
    <col min="9740" max="9740" width="10.85546875" style="104" customWidth="1"/>
    <col min="9741" max="9741" width="16.85546875" style="104" customWidth="1"/>
    <col min="9742" max="9742" width="20.42578125" style="104" customWidth="1"/>
    <col min="9743" max="9744" width="16" style="104" customWidth="1"/>
    <col min="9745" max="9745" width="21.140625" style="104" customWidth="1"/>
    <col min="9746" max="9746" width="14.140625" style="104" customWidth="1"/>
    <col min="9747" max="9747" width="15.5703125" style="104" customWidth="1"/>
    <col min="9748" max="9748" width="13.42578125" style="104" bestFit="1" customWidth="1"/>
    <col min="9749" max="9749" width="13.42578125" style="104" customWidth="1"/>
    <col min="9750" max="9750" width="13.42578125" style="104" bestFit="1" customWidth="1"/>
    <col min="9751" max="9751" width="18.28515625" style="104" bestFit="1" customWidth="1"/>
    <col min="9752" max="9752" width="13.42578125" style="104" bestFit="1" customWidth="1"/>
    <col min="9753" max="9984" width="9.140625" style="104"/>
    <col min="9985" max="9985" width="15" style="104" bestFit="1" customWidth="1"/>
    <col min="9986" max="9986" width="15.42578125" style="104" customWidth="1"/>
    <col min="9987" max="9988" width="19.42578125" style="104" customWidth="1"/>
    <col min="9989" max="9989" width="19.85546875" style="104" customWidth="1"/>
    <col min="9990" max="9990" width="21.42578125" style="104" customWidth="1"/>
    <col min="9991" max="9991" width="24.28515625" style="104" customWidth="1"/>
    <col min="9992" max="9992" width="18" style="104" customWidth="1"/>
    <col min="9993" max="9993" width="13.28515625" style="104" customWidth="1"/>
    <col min="9994" max="9994" width="18.5703125" style="104" customWidth="1"/>
    <col min="9995" max="9995" width="15.85546875" style="104" customWidth="1"/>
    <col min="9996" max="9996" width="10.85546875" style="104" customWidth="1"/>
    <col min="9997" max="9997" width="16.85546875" style="104" customWidth="1"/>
    <col min="9998" max="9998" width="20.42578125" style="104" customWidth="1"/>
    <col min="9999" max="10000" width="16" style="104" customWidth="1"/>
    <col min="10001" max="10001" width="21.140625" style="104" customWidth="1"/>
    <col min="10002" max="10002" width="14.140625" style="104" customWidth="1"/>
    <col min="10003" max="10003" width="15.5703125" style="104" customWidth="1"/>
    <col min="10004" max="10004" width="13.42578125" style="104" bestFit="1" customWidth="1"/>
    <col min="10005" max="10005" width="13.42578125" style="104" customWidth="1"/>
    <col min="10006" max="10006" width="13.42578125" style="104" bestFit="1" customWidth="1"/>
    <col min="10007" max="10007" width="18.28515625" style="104" bestFit="1" customWidth="1"/>
    <col min="10008" max="10008" width="13.42578125" style="104" bestFit="1" customWidth="1"/>
    <col min="10009" max="10240" width="9.140625" style="104"/>
    <col min="10241" max="10241" width="15" style="104" bestFit="1" customWidth="1"/>
    <col min="10242" max="10242" width="15.42578125" style="104" customWidth="1"/>
    <col min="10243" max="10244" width="19.42578125" style="104" customWidth="1"/>
    <col min="10245" max="10245" width="19.85546875" style="104" customWidth="1"/>
    <col min="10246" max="10246" width="21.42578125" style="104" customWidth="1"/>
    <col min="10247" max="10247" width="24.28515625" style="104" customWidth="1"/>
    <col min="10248" max="10248" width="18" style="104" customWidth="1"/>
    <col min="10249" max="10249" width="13.28515625" style="104" customWidth="1"/>
    <col min="10250" max="10250" width="18.5703125" style="104" customWidth="1"/>
    <col min="10251" max="10251" width="15.85546875" style="104" customWidth="1"/>
    <col min="10252" max="10252" width="10.85546875" style="104" customWidth="1"/>
    <col min="10253" max="10253" width="16.85546875" style="104" customWidth="1"/>
    <col min="10254" max="10254" width="20.42578125" style="104" customWidth="1"/>
    <col min="10255" max="10256" width="16" style="104" customWidth="1"/>
    <col min="10257" max="10257" width="21.140625" style="104" customWidth="1"/>
    <col min="10258" max="10258" width="14.140625" style="104" customWidth="1"/>
    <col min="10259" max="10259" width="15.5703125" style="104" customWidth="1"/>
    <col min="10260" max="10260" width="13.42578125" style="104" bestFit="1" customWidth="1"/>
    <col min="10261" max="10261" width="13.42578125" style="104" customWidth="1"/>
    <col min="10262" max="10262" width="13.42578125" style="104" bestFit="1" customWidth="1"/>
    <col min="10263" max="10263" width="18.28515625" style="104" bestFit="1" customWidth="1"/>
    <col min="10264" max="10264" width="13.42578125" style="104" bestFit="1" customWidth="1"/>
    <col min="10265" max="10496" width="9.140625" style="104"/>
    <col min="10497" max="10497" width="15" style="104" bestFit="1" customWidth="1"/>
    <col min="10498" max="10498" width="15.42578125" style="104" customWidth="1"/>
    <col min="10499" max="10500" width="19.42578125" style="104" customWidth="1"/>
    <col min="10501" max="10501" width="19.85546875" style="104" customWidth="1"/>
    <col min="10502" max="10502" width="21.42578125" style="104" customWidth="1"/>
    <col min="10503" max="10503" width="24.28515625" style="104" customWidth="1"/>
    <col min="10504" max="10504" width="18" style="104" customWidth="1"/>
    <col min="10505" max="10505" width="13.28515625" style="104" customWidth="1"/>
    <col min="10506" max="10506" width="18.5703125" style="104" customWidth="1"/>
    <col min="10507" max="10507" width="15.85546875" style="104" customWidth="1"/>
    <col min="10508" max="10508" width="10.85546875" style="104" customWidth="1"/>
    <col min="10509" max="10509" width="16.85546875" style="104" customWidth="1"/>
    <col min="10510" max="10510" width="20.42578125" style="104" customWidth="1"/>
    <col min="10511" max="10512" width="16" style="104" customWidth="1"/>
    <col min="10513" max="10513" width="21.140625" style="104" customWidth="1"/>
    <col min="10514" max="10514" width="14.140625" style="104" customWidth="1"/>
    <col min="10515" max="10515" width="15.5703125" style="104" customWidth="1"/>
    <col min="10516" max="10516" width="13.42578125" style="104" bestFit="1" customWidth="1"/>
    <col min="10517" max="10517" width="13.42578125" style="104" customWidth="1"/>
    <col min="10518" max="10518" width="13.42578125" style="104" bestFit="1" customWidth="1"/>
    <col min="10519" max="10519" width="18.28515625" style="104" bestFit="1" customWidth="1"/>
    <col min="10520" max="10520" width="13.42578125" style="104" bestFit="1" customWidth="1"/>
    <col min="10521" max="10752" width="9.140625" style="104"/>
    <col min="10753" max="10753" width="15" style="104" bestFit="1" customWidth="1"/>
    <col min="10754" max="10754" width="15.42578125" style="104" customWidth="1"/>
    <col min="10755" max="10756" width="19.42578125" style="104" customWidth="1"/>
    <col min="10757" max="10757" width="19.85546875" style="104" customWidth="1"/>
    <col min="10758" max="10758" width="21.42578125" style="104" customWidth="1"/>
    <col min="10759" max="10759" width="24.28515625" style="104" customWidth="1"/>
    <col min="10760" max="10760" width="18" style="104" customWidth="1"/>
    <col min="10761" max="10761" width="13.28515625" style="104" customWidth="1"/>
    <col min="10762" max="10762" width="18.5703125" style="104" customWidth="1"/>
    <col min="10763" max="10763" width="15.85546875" style="104" customWidth="1"/>
    <col min="10764" max="10764" width="10.85546875" style="104" customWidth="1"/>
    <col min="10765" max="10765" width="16.85546875" style="104" customWidth="1"/>
    <col min="10766" max="10766" width="20.42578125" style="104" customWidth="1"/>
    <col min="10767" max="10768" width="16" style="104" customWidth="1"/>
    <col min="10769" max="10769" width="21.140625" style="104" customWidth="1"/>
    <col min="10770" max="10770" width="14.140625" style="104" customWidth="1"/>
    <col min="10771" max="10771" width="15.5703125" style="104" customWidth="1"/>
    <col min="10772" max="10772" width="13.42578125" style="104" bestFit="1" customWidth="1"/>
    <col min="10773" max="10773" width="13.42578125" style="104" customWidth="1"/>
    <col min="10774" max="10774" width="13.42578125" style="104" bestFit="1" customWidth="1"/>
    <col min="10775" max="10775" width="18.28515625" style="104" bestFit="1" customWidth="1"/>
    <col min="10776" max="10776" width="13.42578125" style="104" bestFit="1" customWidth="1"/>
    <col min="10777" max="11008" width="9.140625" style="104"/>
    <col min="11009" max="11009" width="15" style="104" bestFit="1" customWidth="1"/>
    <col min="11010" max="11010" width="15.42578125" style="104" customWidth="1"/>
    <col min="11011" max="11012" width="19.42578125" style="104" customWidth="1"/>
    <col min="11013" max="11013" width="19.85546875" style="104" customWidth="1"/>
    <col min="11014" max="11014" width="21.42578125" style="104" customWidth="1"/>
    <col min="11015" max="11015" width="24.28515625" style="104" customWidth="1"/>
    <col min="11016" max="11016" width="18" style="104" customWidth="1"/>
    <col min="11017" max="11017" width="13.28515625" style="104" customWidth="1"/>
    <col min="11018" max="11018" width="18.5703125" style="104" customWidth="1"/>
    <col min="11019" max="11019" width="15.85546875" style="104" customWidth="1"/>
    <col min="11020" max="11020" width="10.85546875" style="104" customWidth="1"/>
    <col min="11021" max="11021" width="16.85546875" style="104" customWidth="1"/>
    <col min="11022" max="11022" width="20.42578125" style="104" customWidth="1"/>
    <col min="11023" max="11024" width="16" style="104" customWidth="1"/>
    <col min="11025" max="11025" width="21.140625" style="104" customWidth="1"/>
    <col min="11026" max="11026" width="14.140625" style="104" customWidth="1"/>
    <col min="11027" max="11027" width="15.5703125" style="104" customWidth="1"/>
    <col min="11028" max="11028" width="13.42578125" style="104" bestFit="1" customWidth="1"/>
    <col min="11029" max="11029" width="13.42578125" style="104" customWidth="1"/>
    <col min="11030" max="11030" width="13.42578125" style="104" bestFit="1" customWidth="1"/>
    <col min="11031" max="11031" width="18.28515625" style="104" bestFit="1" customWidth="1"/>
    <col min="11032" max="11032" width="13.42578125" style="104" bestFit="1" customWidth="1"/>
    <col min="11033" max="11264" width="9.140625" style="104"/>
    <col min="11265" max="11265" width="15" style="104" bestFit="1" customWidth="1"/>
    <col min="11266" max="11266" width="15.42578125" style="104" customWidth="1"/>
    <col min="11267" max="11268" width="19.42578125" style="104" customWidth="1"/>
    <col min="11269" max="11269" width="19.85546875" style="104" customWidth="1"/>
    <col min="11270" max="11270" width="21.42578125" style="104" customWidth="1"/>
    <col min="11271" max="11271" width="24.28515625" style="104" customWidth="1"/>
    <col min="11272" max="11272" width="18" style="104" customWidth="1"/>
    <col min="11273" max="11273" width="13.28515625" style="104" customWidth="1"/>
    <col min="11274" max="11274" width="18.5703125" style="104" customWidth="1"/>
    <col min="11275" max="11275" width="15.85546875" style="104" customWidth="1"/>
    <col min="11276" max="11276" width="10.85546875" style="104" customWidth="1"/>
    <col min="11277" max="11277" width="16.85546875" style="104" customWidth="1"/>
    <col min="11278" max="11278" width="20.42578125" style="104" customWidth="1"/>
    <col min="11279" max="11280" width="16" style="104" customWidth="1"/>
    <col min="11281" max="11281" width="21.140625" style="104" customWidth="1"/>
    <col min="11282" max="11282" width="14.140625" style="104" customWidth="1"/>
    <col min="11283" max="11283" width="15.5703125" style="104" customWidth="1"/>
    <col min="11284" max="11284" width="13.42578125" style="104" bestFit="1" customWidth="1"/>
    <col min="11285" max="11285" width="13.42578125" style="104" customWidth="1"/>
    <col min="11286" max="11286" width="13.42578125" style="104" bestFit="1" customWidth="1"/>
    <col min="11287" max="11287" width="18.28515625" style="104" bestFit="1" customWidth="1"/>
    <col min="11288" max="11288" width="13.42578125" style="104" bestFit="1" customWidth="1"/>
    <col min="11289" max="11520" width="9.140625" style="104"/>
    <col min="11521" max="11521" width="15" style="104" bestFit="1" customWidth="1"/>
    <col min="11522" max="11522" width="15.42578125" style="104" customWidth="1"/>
    <col min="11523" max="11524" width="19.42578125" style="104" customWidth="1"/>
    <col min="11525" max="11525" width="19.85546875" style="104" customWidth="1"/>
    <col min="11526" max="11526" width="21.42578125" style="104" customWidth="1"/>
    <col min="11527" max="11527" width="24.28515625" style="104" customWidth="1"/>
    <col min="11528" max="11528" width="18" style="104" customWidth="1"/>
    <col min="11529" max="11529" width="13.28515625" style="104" customWidth="1"/>
    <col min="11530" max="11530" width="18.5703125" style="104" customWidth="1"/>
    <col min="11531" max="11531" width="15.85546875" style="104" customWidth="1"/>
    <col min="11532" max="11532" width="10.85546875" style="104" customWidth="1"/>
    <col min="11533" max="11533" width="16.85546875" style="104" customWidth="1"/>
    <col min="11534" max="11534" width="20.42578125" style="104" customWidth="1"/>
    <col min="11535" max="11536" width="16" style="104" customWidth="1"/>
    <col min="11537" max="11537" width="21.140625" style="104" customWidth="1"/>
    <col min="11538" max="11538" width="14.140625" style="104" customWidth="1"/>
    <col min="11539" max="11539" width="15.5703125" style="104" customWidth="1"/>
    <col min="11540" max="11540" width="13.42578125" style="104" bestFit="1" customWidth="1"/>
    <col min="11541" max="11541" width="13.42578125" style="104" customWidth="1"/>
    <col min="11542" max="11542" width="13.42578125" style="104" bestFit="1" customWidth="1"/>
    <col min="11543" max="11543" width="18.28515625" style="104" bestFit="1" customWidth="1"/>
    <col min="11544" max="11544" width="13.42578125" style="104" bestFit="1" customWidth="1"/>
    <col min="11545" max="11776" width="9.140625" style="104"/>
    <col min="11777" max="11777" width="15" style="104" bestFit="1" customWidth="1"/>
    <col min="11778" max="11778" width="15.42578125" style="104" customWidth="1"/>
    <col min="11779" max="11780" width="19.42578125" style="104" customWidth="1"/>
    <col min="11781" max="11781" width="19.85546875" style="104" customWidth="1"/>
    <col min="11782" max="11782" width="21.42578125" style="104" customWidth="1"/>
    <col min="11783" max="11783" width="24.28515625" style="104" customWidth="1"/>
    <col min="11784" max="11784" width="18" style="104" customWidth="1"/>
    <col min="11785" max="11785" width="13.28515625" style="104" customWidth="1"/>
    <col min="11786" max="11786" width="18.5703125" style="104" customWidth="1"/>
    <col min="11787" max="11787" width="15.85546875" style="104" customWidth="1"/>
    <col min="11788" max="11788" width="10.85546875" style="104" customWidth="1"/>
    <col min="11789" max="11789" width="16.85546875" style="104" customWidth="1"/>
    <col min="11790" max="11790" width="20.42578125" style="104" customWidth="1"/>
    <col min="11791" max="11792" width="16" style="104" customWidth="1"/>
    <col min="11793" max="11793" width="21.140625" style="104" customWidth="1"/>
    <col min="11794" max="11794" width="14.140625" style="104" customWidth="1"/>
    <col min="11795" max="11795" width="15.5703125" style="104" customWidth="1"/>
    <col min="11796" max="11796" width="13.42578125" style="104" bestFit="1" customWidth="1"/>
    <col min="11797" max="11797" width="13.42578125" style="104" customWidth="1"/>
    <col min="11798" max="11798" width="13.42578125" style="104" bestFit="1" customWidth="1"/>
    <col min="11799" max="11799" width="18.28515625" style="104" bestFit="1" customWidth="1"/>
    <col min="11800" max="11800" width="13.42578125" style="104" bestFit="1" customWidth="1"/>
    <col min="11801" max="12032" width="9.140625" style="104"/>
    <col min="12033" max="12033" width="15" style="104" bestFit="1" customWidth="1"/>
    <col min="12034" max="12034" width="15.42578125" style="104" customWidth="1"/>
    <col min="12035" max="12036" width="19.42578125" style="104" customWidth="1"/>
    <col min="12037" max="12037" width="19.85546875" style="104" customWidth="1"/>
    <col min="12038" max="12038" width="21.42578125" style="104" customWidth="1"/>
    <col min="12039" max="12039" width="24.28515625" style="104" customWidth="1"/>
    <col min="12040" max="12040" width="18" style="104" customWidth="1"/>
    <col min="12041" max="12041" width="13.28515625" style="104" customWidth="1"/>
    <col min="12042" max="12042" width="18.5703125" style="104" customWidth="1"/>
    <col min="12043" max="12043" width="15.85546875" style="104" customWidth="1"/>
    <col min="12044" max="12044" width="10.85546875" style="104" customWidth="1"/>
    <col min="12045" max="12045" width="16.85546875" style="104" customWidth="1"/>
    <col min="12046" max="12046" width="20.42578125" style="104" customWidth="1"/>
    <col min="12047" max="12048" width="16" style="104" customWidth="1"/>
    <col min="12049" max="12049" width="21.140625" style="104" customWidth="1"/>
    <col min="12050" max="12050" width="14.140625" style="104" customWidth="1"/>
    <col min="12051" max="12051" width="15.5703125" style="104" customWidth="1"/>
    <col min="12052" max="12052" width="13.42578125" style="104" bestFit="1" customWidth="1"/>
    <col min="12053" max="12053" width="13.42578125" style="104" customWidth="1"/>
    <col min="12054" max="12054" width="13.42578125" style="104" bestFit="1" customWidth="1"/>
    <col min="12055" max="12055" width="18.28515625" style="104" bestFit="1" customWidth="1"/>
    <col min="12056" max="12056" width="13.42578125" style="104" bestFit="1" customWidth="1"/>
    <col min="12057" max="12288" width="9.140625" style="104"/>
    <col min="12289" max="12289" width="15" style="104" bestFit="1" customWidth="1"/>
    <col min="12290" max="12290" width="15.42578125" style="104" customWidth="1"/>
    <col min="12291" max="12292" width="19.42578125" style="104" customWidth="1"/>
    <col min="12293" max="12293" width="19.85546875" style="104" customWidth="1"/>
    <col min="12294" max="12294" width="21.42578125" style="104" customWidth="1"/>
    <col min="12295" max="12295" width="24.28515625" style="104" customWidth="1"/>
    <col min="12296" max="12296" width="18" style="104" customWidth="1"/>
    <col min="12297" max="12297" width="13.28515625" style="104" customWidth="1"/>
    <col min="12298" max="12298" width="18.5703125" style="104" customWidth="1"/>
    <col min="12299" max="12299" width="15.85546875" style="104" customWidth="1"/>
    <col min="12300" max="12300" width="10.85546875" style="104" customWidth="1"/>
    <col min="12301" max="12301" width="16.85546875" style="104" customWidth="1"/>
    <col min="12302" max="12302" width="20.42578125" style="104" customWidth="1"/>
    <col min="12303" max="12304" width="16" style="104" customWidth="1"/>
    <col min="12305" max="12305" width="21.140625" style="104" customWidth="1"/>
    <col min="12306" max="12306" width="14.140625" style="104" customWidth="1"/>
    <col min="12307" max="12307" width="15.5703125" style="104" customWidth="1"/>
    <col min="12308" max="12308" width="13.42578125" style="104" bestFit="1" customWidth="1"/>
    <col min="12309" max="12309" width="13.42578125" style="104" customWidth="1"/>
    <col min="12310" max="12310" width="13.42578125" style="104" bestFit="1" customWidth="1"/>
    <col min="12311" max="12311" width="18.28515625" style="104" bestFit="1" customWidth="1"/>
    <col min="12312" max="12312" width="13.42578125" style="104" bestFit="1" customWidth="1"/>
    <col min="12313" max="12544" width="9.140625" style="104"/>
    <col min="12545" max="12545" width="15" style="104" bestFit="1" customWidth="1"/>
    <col min="12546" max="12546" width="15.42578125" style="104" customWidth="1"/>
    <col min="12547" max="12548" width="19.42578125" style="104" customWidth="1"/>
    <col min="12549" max="12549" width="19.85546875" style="104" customWidth="1"/>
    <col min="12550" max="12550" width="21.42578125" style="104" customWidth="1"/>
    <col min="12551" max="12551" width="24.28515625" style="104" customWidth="1"/>
    <col min="12552" max="12552" width="18" style="104" customWidth="1"/>
    <col min="12553" max="12553" width="13.28515625" style="104" customWidth="1"/>
    <col min="12554" max="12554" width="18.5703125" style="104" customWidth="1"/>
    <col min="12555" max="12555" width="15.85546875" style="104" customWidth="1"/>
    <col min="12556" max="12556" width="10.85546875" style="104" customWidth="1"/>
    <col min="12557" max="12557" width="16.85546875" style="104" customWidth="1"/>
    <col min="12558" max="12558" width="20.42578125" style="104" customWidth="1"/>
    <col min="12559" max="12560" width="16" style="104" customWidth="1"/>
    <col min="12561" max="12561" width="21.140625" style="104" customWidth="1"/>
    <col min="12562" max="12562" width="14.140625" style="104" customWidth="1"/>
    <col min="12563" max="12563" width="15.5703125" style="104" customWidth="1"/>
    <col min="12564" max="12564" width="13.42578125" style="104" bestFit="1" customWidth="1"/>
    <col min="12565" max="12565" width="13.42578125" style="104" customWidth="1"/>
    <col min="12566" max="12566" width="13.42578125" style="104" bestFit="1" customWidth="1"/>
    <col min="12567" max="12567" width="18.28515625" style="104" bestFit="1" customWidth="1"/>
    <col min="12568" max="12568" width="13.42578125" style="104" bestFit="1" customWidth="1"/>
    <col min="12569" max="12800" width="9.140625" style="104"/>
    <col min="12801" max="12801" width="15" style="104" bestFit="1" customWidth="1"/>
    <col min="12802" max="12802" width="15.42578125" style="104" customWidth="1"/>
    <col min="12803" max="12804" width="19.42578125" style="104" customWidth="1"/>
    <col min="12805" max="12805" width="19.85546875" style="104" customWidth="1"/>
    <col min="12806" max="12806" width="21.42578125" style="104" customWidth="1"/>
    <col min="12807" max="12807" width="24.28515625" style="104" customWidth="1"/>
    <col min="12808" max="12808" width="18" style="104" customWidth="1"/>
    <col min="12809" max="12809" width="13.28515625" style="104" customWidth="1"/>
    <col min="12810" max="12810" width="18.5703125" style="104" customWidth="1"/>
    <col min="12811" max="12811" width="15.85546875" style="104" customWidth="1"/>
    <col min="12812" max="12812" width="10.85546875" style="104" customWidth="1"/>
    <col min="12813" max="12813" width="16.85546875" style="104" customWidth="1"/>
    <col min="12814" max="12814" width="20.42578125" style="104" customWidth="1"/>
    <col min="12815" max="12816" width="16" style="104" customWidth="1"/>
    <col min="12817" max="12817" width="21.140625" style="104" customWidth="1"/>
    <col min="12818" max="12818" width="14.140625" style="104" customWidth="1"/>
    <col min="12819" max="12819" width="15.5703125" style="104" customWidth="1"/>
    <col min="12820" max="12820" width="13.42578125" style="104" bestFit="1" customWidth="1"/>
    <col min="12821" max="12821" width="13.42578125" style="104" customWidth="1"/>
    <col min="12822" max="12822" width="13.42578125" style="104" bestFit="1" customWidth="1"/>
    <col min="12823" max="12823" width="18.28515625" style="104" bestFit="1" customWidth="1"/>
    <col min="12824" max="12824" width="13.42578125" style="104" bestFit="1" customWidth="1"/>
    <col min="12825" max="13056" width="9.140625" style="104"/>
    <col min="13057" max="13057" width="15" style="104" bestFit="1" customWidth="1"/>
    <col min="13058" max="13058" width="15.42578125" style="104" customWidth="1"/>
    <col min="13059" max="13060" width="19.42578125" style="104" customWidth="1"/>
    <col min="13061" max="13061" width="19.85546875" style="104" customWidth="1"/>
    <col min="13062" max="13062" width="21.42578125" style="104" customWidth="1"/>
    <col min="13063" max="13063" width="24.28515625" style="104" customWidth="1"/>
    <col min="13064" max="13064" width="18" style="104" customWidth="1"/>
    <col min="13065" max="13065" width="13.28515625" style="104" customWidth="1"/>
    <col min="13066" max="13066" width="18.5703125" style="104" customWidth="1"/>
    <col min="13067" max="13067" width="15.85546875" style="104" customWidth="1"/>
    <col min="13068" max="13068" width="10.85546875" style="104" customWidth="1"/>
    <col min="13069" max="13069" width="16.85546875" style="104" customWidth="1"/>
    <col min="13070" max="13070" width="20.42578125" style="104" customWidth="1"/>
    <col min="13071" max="13072" width="16" style="104" customWidth="1"/>
    <col min="13073" max="13073" width="21.140625" style="104" customWidth="1"/>
    <col min="13074" max="13074" width="14.140625" style="104" customWidth="1"/>
    <col min="13075" max="13075" width="15.5703125" style="104" customWidth="1"/>
    <col min="13076" max="13076" width="13.42578125" style="104" bestFit="1" customWidth="1"/>
    <col min="13077" max="13077" width="13.42578125" style="104" customWidth="1"/>
    <col min="13078" max="13078" width="13.42578125" style="104" bestFit="1" customWidth="1"/>
    <col min="13079" max="13079" width="18.28515625" style="104" bestFit="1" customWidth="1"/>
    <col min="13080" max="13080" width="13.42578125" style="104" bestFit="1" customWidth="1"/>
    <col min="13081" max="13312" width="9.140625" style="104"/>
    <col min="13313" max="13313" width="15" style="104" bestFit="1" customWidth="1"/>
    <col min="13314" max="13314" width="15.42578125" style="104" customWidth="1"/>
    <col min="13315" max="13316" width="19.42578125" style="104" customWidth="1"/>
    <col min="13317" max="13317" width="19.85546875" style="104" customWidth="1"/>
    <col min="13318" max="13318" width="21.42578125" style="104" customWidth="1"/>
    <col min="13319" max="13319" width="24.28515625" style="104" customWidth="1"/>
    <col min="13320" max="13320" width="18" style="104" customWidth="1"/>
    <col min="13321" max="13321" width="13.28515625" style="104" customWidth="1"/>
    <col min="13322" max="13322" width="18.5703125" style="104" customWidth="1"/>
    <col min="13323" max="13323" width="15.85546875" style="104" customWidth="1"/>
    <col min="13324" max="13324" width="10.85546875" style="104" customWidth="1"/>
    <col min="13325" max="13325" width="16.85546875" style="104" customWidth="1"/>
    <col min="13326" max="13326" width="20.42578125" style="104" customWidth="1"/>
    <col min="13327" max="13328" width="16" style="104" customWidth="1"/>
    <col min="13329" max="13329" width="21.140625" style="104" customWidth="1"/>
    <col min="13330" max="13330" width="14.140625" style="104" customWidth="1"/>
    <col min="13331" max="13331" width="15.5703125" style="104" customWidth="1"/>
    <col min="13332" max="13332" width="13.42578125" style="104" bestFit="1" customWidth="1"/>
    <col min="13333" max="13333" width="13.42578125" style="104" customWidth="1"/>
    <col min="13334" max="13334" width="13.42578125" style="104" bestFit="1" customWidth="1"/>
    <col min="13335" max="13335" width="18.28515625" style="104" bestFit="1" customWidth="1"/>
    <col min="13336" max="13336" width="13.42578125" style="104" bestFit="1" customWidth="1"/>
    <col min="13337" max="13568" width="9.140625" style="104"/>
    <col min="13569" max="13569" width="15" style="104" bestFit="1" customWidth="1"/>
    <col min="13570" max="13570" width="15.42578125" style="104" customWidth="1"/>
    <col min="13571" max="13572" width="19.42578125" style="104" customWidth="1"/>
    <col min="13573" max="13573" width="19.85546875" style="104" customWidth="1"/>
    <col min="13574" max="13574" width="21.42578125" style="104" customWidth="1"/>
    <col min="13575" max="13575" width="24.28515625" style="104" customWidth="1"/>
    <col min="13576" max="13576" width="18" style="104" customWidth="1"/>
    <col min="13577" max="13577" width="13.28515625" style="104" customWidth="1"/>
    <col min="13578" max="13578" width="18.5703125" style="104" customWidth="1"/>
    <col min="13579" max="13579" width="15.85546875" style="104" customWidth="1"/>
    <col min="13580" max="13580" width="10.85546875" style="104" customWidth="1"/>
    <col min="13581" max="13581" width="16.85546875" style="104" customWidth="1"/>
    <col min="13582" max="13582" width="20.42578125" style="104" customWidth="1"/>
    <col min="13583" max="13584" width="16" style="104" customWidth="1"/>
    <col min="13585" max="13585" width="21.140625" style="104" customWidth="1"/>
    <col min="13586" max="13586" width="14.140625" style="104" customWidth="1"/>
    <col min="13587" max="13587" width="15.5703125" style="104" customWidth="1"/>
    <col min="13588" max="13588" width="13.42578125" style="104" bestFit="1" customWidth="1"/>
    <col min="13589" max="13589" width="13.42578125" style="104" customWidth="1"/>
    <col min="13590" max="13590" width="13.42578125" style="104" bestFit="1" customWidth="1"/>
    <col min="13591" max="13591" width="18.28515625" style="104" bestFit="1" customWidth="1"/>
    <col min="13592" max="13592" width="13.42578125" style="104" bestFit="1" customWidth="1"/>
    <col min="13593" max="13824" width="9.140625" style="104"/>
    <col min="13825" max="13825" width="15" style="104" bestFit="1" customWidth="1"/>
    <col min="13826" max="13826" width="15.42578125" style="104" customWidth="1"/>
    <col min="13827" max="13828" width="19.42578125" style="104" customWidth="1"/>
    <col min="13829" max="13829" width="19.85546875" style="104" customWidth="1"/>
    <col min="13830" max="13830" width="21.42578125" style="104" customWidth="1"/>
    <col min="13831" max="13831" width="24.28515625" style="104" customWidth="1"/>
    <col min="13832" max="13832" width="18" style="104" customWidth="1"/>
    <col min="13833" max="13833" width="13.28515625" style="104" customWidth="1"/>
    <col min="13834" max="13834" width="18.5703125" style="104" customWidth="1"/>
    <col min="13835" max="13835" width="15.85546875" style="104" customWidth="1"/>
    <col min="13836" max="13836" width="10.85546875" style="104" customWidth="1"/>
    <col min="13837" max="13837" width="16.85546875" style="104" customWidth="1"/>
    <col min="13838" max="13838" width="20.42578125" style="104" customWidth="1"/>
    <col min="13839" max="13840" width="16" style="104" customWidth="1"/>
    <col min="13841" max="13841" width="21.140625" style="104" customWidth="1"/>
    <col min="13842" max="13842" width="14.140625" style="104" customWidth="1"/>
    <col min="13843" max="13843" width="15.5703125" style="104" customWidth="1"/>
    <col min="13844" max="13844" width="13.42578125" style="104" bestFit="1" customWidth="1"/>
    <col min="13845" max="13845" width="13.42578125" style="104" customWidth="1"/>
    <col min="13846" max="13846" width="13.42578125" style="104" bestFit="1" customWidth="1"/>
    <col min="13847" max="13847" width="18.28515625" style="104" bestFit="1" customWidth="1"/>
    <col min="13848" max="13848" width="13.42578125" style="104" bestFit="1" customWidth="1"/>
    <col min="13849" max="14080" width="9.140625" style="104"/>
    <col min="14081" max="14081" width="15" style="104" bestFit="1" customWidth="1"/>
    <col min="14082" max="14082" width="15.42578125" style="104" customWidth="1"/>
    <col min="14083" max="14084" width="19.42578125" style="104" customWidth="1"/>
    <col min="14085" max="14085" width="19.85546875" style="104" customWidth="1"/>
    <col min="14086" max="14086" width="21.42578125" style="104" customWidth="1"/>
    <col min="14087" max="14087" width="24.28515625" style="104" customWidth="1"/>
    <col min="14088" max="14088" width="18" style="104" customWidth="1"/>
    <col min="14089" max="14089" width="13.28515625" style="104" customWidth="1"/>
    <col min="14090" max="14090" width="18.5703125" style="104" customWidth="1"/>
    <col min="14091" max="14091" width="15.85546875" style="104" customWidth="1"/>
    <col min="14092" max="14092" width="10.85546875" style="104" customWidth="1"/>
    <col min="14093" max="14093" width="16.85546875" style="104" customWidth="1"/>
    <col min="14094" max="14094" width="20.42578125" style="104" customWidth="1"/>
    <col min="14095" max="14096" width="16" style="104" customWidth="1"/>
    <col min="14097" max="14097" width="21.140625" style="104" customWidth="1"/>
    <col min="14098" max="14098" width="14.140625" style="104" customWidth="1"/>
    <col min="14099" max="14099" width="15.5703125" style="104" customWidth="1"/>
    <col min="14100" max="14100" width="13.42578125" style="104" bestFit="1" customWidth="1"/>
    <col min="14101" max="14101" width="13.42578125" style="104" customWidth="1"/>
    <col min="14102" max="14102" width="13.42578125" style="104" bestFit="1" customWidth="1"/>
    <col min="14103" max="14103" width="18.28515625" style="104" bestFit="1" customWidth="1"/>
    <col min="14104" max="14104" width="13.42578125" style="104" bestFit="1" customWidth="1"/>
    <col min="14105" max="14336" width="9.140625" style="104"/>
    <col min="14337" max="14337" width="15" style="104" bestFit="1" customWidth="1"/>
    <col min="14338" max="14338" width="15.42578125" style="104" customWidth="1"/>
    <col min="14339" max="14340" width="19.42578125" style="104" customWidth="1"/>
    <col min="14341" max="14341" width="19.85546875" style="104" customWidth="1"/>
    <col min="14342" max="14342" width="21.42578125" style="104" customWidth="1"/>
    <col min="14343" max="14343" width="24.28515625" style="104" customWidth="1"/>
    <col min="14344" max="14344" width="18" style="104" customWidth="1"/>
    <col min="14345" max="14345" width="13.28515625" style="104" customWidth="1"/>
    <col min="14346" max="14346" width="18.5703125" style="104" customWidth="1"/>
    <col min="14347" max="14347" width="15.85546875" style="104" customWidth="1"/>
    <col min="14348" max="14348" width="10.85546875" style="104" customWidth="1"/>
    <col min="14349" max="14349" width="16.85546875" style="104" customWidth="1"/>
    <col min="14350" max="14350" width="20.42578125" style="104" customWidth="1"/>
    <col min="14351" max="14352" width="16" style="104" customWidth="1"/>
    <col min="14353" max="14353" width="21.140625" style="104" customWidth="1"/>
    <col min="14354" max="14354" width="14.140625" style="104" customWidth="1"/>
    <col min="14355" max="14355" width="15.5703125" style="104" customWidth="1"/>
    <col min="14356" max="14356" width="13.42578125" style="104" bestFit="1" customWidth="1"/>
    <col min="14357" max="14357" width="13.42578125" style="104" customWidth="1"/>
    <col min="14358" max="14358" width="13.42578125" style="104" bestFit="1" customWidth="1"/>
    <col min="14359" max="14359" width="18.28515625" style="104" bestFit="1" customWidth="1"/>
    <col min="14360" max="14360" width="13.42578125" style="104" bestFit="1" customWidth="1"/>
    <col min="14361" max="14592" width="9.140625" style="104"/>
    <col min="14593" max="14593" width="15" style="104" bestFit="1" customWidth="1"/>
    <col min="14594" max="14594" width="15.42578125" style="104" customWidth="1"/>
    <col min="14595" max="14596" width="19.42578125" style="104" customWidth="1"/>
    <col min="14597" max="14597" width="19.85546875" style="104" customWidth="1"/>
    <col min="14598" max="14598" width="21.42578125" style="104" customWidth="1"/>
    <col min="14599" max="14599" width="24.28515625" style="104" customWidth="1"/>
    <col min="14600" max="14600" width="18" style="104" customWidth="1"/>
    <col min="14601" max="14601" width="13.28515625" style="104" customWidth="1"/>
    <col min="14602" max="14602" width="18.5703125" style="104" customWidth="1"/>
    <col min="14603" max="14603" width="15.85546875" style="104" customWidth="1"/>
    <col min="14604" max="14604" width="10.85546875" style="104" customWidth="1"/>
    <col min="14605" max="14605" width="16.85546875" style="104" customWidth="1"/>
    <col min="14606" max="14606" width="20.42578125" style="104" customWidth="1"/>
    <col min="14607" max="14608" width="16" style="104" customWidth="1"/>
    <col min="14609" max="14609" width="21.140625" style="104" customWidth="1"/>
    <col min="14610" max="14610" width="14.140625" style="104" customWidth="1"/>
    <col min="14611" max="14611" width="15.5703125" style="104" customWidth="1"/>
    <col min="14612" max="14612" width="13.42578125" style="104" bestFit="1" customWidth="1"/>
    <col min="14613" max="14613" width="13.42578125" style="104" customWidth="1"/>
    <col min="14614" max="14614" width="13.42578125" style="104" bestFit="1" customWidth="1"/>
    <col min="14615" max="14615" width="18.28515625" style="104" bestFit="1" customWidth="1"/>
    <col min="14616" max="14616" width="13.42578125" style="104" bestFit="1" customWidth="1"/>
    <col min="14617" max="14848" width="9.140625" style="104"/>
    <col min="14849" max="14849" width="15" style="104" bestFit="1" customWidth="1"/>
    <col min="14850" max="14850" width="15.42578125" style="104" customWidth="1"/>
    <col min="14851" max="14852" width="19.42578125" style="104" customWidth="1"/>
    <col min="14853" max="14853" width="19.85546875" style="104" customWidth="1"/>
    <col min="14854" max="14854" width="21.42578125" style="104" customWidth="1"/>
    <col min="14855" max="14855" width="24.28515625" style="104" customWidth="1"/>
    <col min="14856" max="14856" width="18" style="104" customWidth="1"/>
    <col min="14857" max="14857" width="13.28515625" style="104" customWidth="1"/>
    <col min="14858" max="14858" width="18.5703125" style="104" customWidth="1"/>
    <col min="14859" max="14859" width="15.85546875" style="104" customWidth="1"/>
    <col min="14860" max="14860" width="10.85546875" style="104" customWidth="1"/>
    <col min="14861" max="14861" width="16.85546875" style="104" customWidth="1"/>
    <col min="14862" max="14862" width="20.42578125" style="104" customWidth="1"/>
    <col min="14863" max="14864" width="16" style="104" customWidth="1"/>
    <col min="14865" max="14865" width="21.140625" style="104" customWidth="1"/>
    <col min="14866" max="14866" width="14.140625" style="104" customWidth="1"/>
    <col min="14867" max="14867" width="15.5703125" style="104" customWidth="1"/>
    <col min="14868" max="14868" width="13.42578125" style="104" bestFit="1" customWidth="1"/>
    <col min="14869" max="14869" width="13.42578125" style="104" customWidth="1"/>
    <col min="14870" max="14870" width="13.42578125" style="104" bestFit="1" customWidth="1"/>
    <col min="14871" max="14871" width="18.28515625" style="104" bestFit="1" customWidth="1"/>
    <col min="14872" max="14872" width="13.42578125" style="104" bestFit="1" customWidth="1"/>
    <col min="14873" max="15104" width="9.140625" style="104"/>
    <col min="15105" max="15105" width="15" style="104" bestFit="1" customWidth="1"/>
    <col min="15106" max="15106" width="15.42578125" style="104" customWidth="1"/>
    <col min="15107" max="15108" width="19.42578125" style="104" customWidth="1"/>
    <col min="15109" max="15109" width="19.85546875" style="104" customWidth="1"/>
    <col min="15110" max="15110" width="21.42578125" style="104" customWidth="1"/>
    <col min="15111" max="15111" width="24.28515625" style="104" customWidth="1"/>
    <col min="15112" max="15112" width="18" style="104" customWidth="1"/>
    <col min="15113" max="15113" width="13.28515625" style="104" customWidth="1"/>
    <col min="15114" max="15114" width="18.5703125" style="104" customWidth="1"/>
    <col min="15115" max="15115" width="15.85546875" style="104" customWidth="1"/>
    <col min="15116" max="15116" width="10.85546875" style="104" customWidth="1"/>
    <col min="15117" max="15117" width="16.85546875" style="104" customWidth="1"/>
    <col min="15118" max="15118" width="20.42578125" style="104" customWidth="1"/>
    <col min="15119" max="15120" width="16" style="104" customWidth="1"/>
    <col min="15121" max="15121" width="21.140625" style="104" customWidth="1"/>
    <col min="15122" max="15122" width="14.140625" style="104" customWidth="1"/>
    <col min="15123" max="15123" width="15.5703125" style="104" customWidth="1"/>
    <col min="15124" max="15124" width="13.42578125" style="104" bestFit="1" customWidth="1"/>
    <col min="15125" max="15125" width="13.42578125" style="104" customWidth="1"/>
    <col min="15126" max="15126" width="13.42578125" style="104" bestFit="1" customWidth="1"/>
    <col min="15127" max="15127" width="18.28515625" style="104" bestFit="1" customWidth="1"/>
    <col min="15128" max="15128" width="13.42578125" style="104" bestFit="1" customWidth="1"/>
    <col min="15129" max="15360" width="9.140625" style="104"/>
    <col min="15361" max="15361" width="15" style="104" bestFit="1" customWidth="1"/>
    <col min="15362" max="15362" width="15.42578125" style="104" customWidth="1"/>
    <col min="15363" max="15364" width="19.42578125" style="104" customWidth="1"/>
    <col min="15365" max="15365" width="19.85546875" style="104" customWidth="1"/>
    <col min="15366" max="15366" width="21.42578125" style="104" customWidth="1"/>
    <col min="15367" max="15367" width="24.28515625" style="104" customWidth="1"/>
    <col min="15368" max="15368" width="18" style="104" customWidth="1"/>
    <col min="15369" max="15369" width="13.28515625" style="104" customWidth="1"/>
    <col min="15370" max="15370" width="18.5703125" style="104" customWidth="1"/>
    <col min="15371" max="15371" width="15.85546875" style="104" customWidth="1"/>
    <col min="15372" max="15372" width="10.85546875" style="104" customWidth="1"/>
    <col min="15373" max="15373" width="16.85546875" style="104" customWidth="1"/>
    <col min="15374" max="15374" width="20.42578125" style="104" customWidth="1"/>
    <col min="15375" max="15376" width="16" style="104" customWidth="1"/>
    <col min="15377" max="15377" width="21.140625" style="104" customWidth="1"/>
    <col min="15378" max="15378" width="14.140625" style="104" customWidth="1"/>
    <col min="15379" max="15379" width="15.5703125" style="104" customWidth="1"/>
    <col min="15380" max="15380" width="13.42578125" style="104" bestFit="1" customWidth="1"/>
    <col min="15381" max="15381" width="13.42578125" style="104" customWidth="1"/>
    <col min="15382" max="15382" width="13.42578125" style="104" bestFit="1" customWidth="1"/>
    <col min="15383" max="15383" width="18.28515625" style="104" bestFit="1" customWidth="1"/>
    <col min="15384" max="15384" width="13.42578125" style="104" bestFit="1" customWidth="1"/>
    <col min="15385" max="15616" width="9.140625" style="104"/>
    <col min="15617" max="15617" width="15" style="104" bestFit="1" customWidth="1"/>
    <col min="15618" max="15618" width="15.42578125" style="104" customWidth="1"/>
    <col min="15619" max="15620" width="19.42578125" style="104" customWidth="1"/>
    <col min="15621" max="15621" width="19.85546875" style="104" customWidth="1"/>
    <col min="15622" max="15622" width="21.42578125" style="104" customWidth="1"/>
    <col min="15623" max="15623" width="24.28515625" style="104" customWidth="1"/>
    <col min="15624" max="15624" width="18" style="104" customWidth="1"/>
    <col min="15625" max="15625" width="13.28515625" style="104" customWidth="1"/>
    <col min="15626" max="15626" width="18.5703125" style="104" customWidth="1"/>
    <col min="15627" max="15627" width="15.85546875" style="104" customWidth="1"/>
    <col min="15628" max="15628" width="10.85546875" style="104" customWidth="1"/>
    <col min="15629" max="15629" width="16.85546875" style="104" customWidth="1"/>
    <col min="15630" max="15630" width="20.42578125" style="104" customWidth="1"/>
    <col min="15631" max="15632" width="16" style="104" customWidth="1"/>
    <col min="15633" max="15633" width="21.140625" style="104" customWidth="1"/>
    <col min="15634" max="15634" width="14.140625" style="104" customWidth="1"/>
    <col min="15635" max="15635" width="15.5703125" style="104" customWidth="1"/>
    <col min="15636" max="15636" width="13.42578125" style="104" bestFit="1" customWidth="1"/>
    <col min="15637" max="15637" width="13.42578125" style="104" customWidth="1"/>
    <col min="15638" max="15638" width="13.42578125" style="104" bestFit="1" customWidth="1"/>
    <col min="15639" max="15639" width="18.28515625" style="104" bestFit="1" customWidth="1"/>
    <col min="15640" max="15640" width="13.42578125" style="104" bestFit="1" customWidth="1"/>
    <col min="15641" max="15872" width="9.140625" style="104"/>
    <col min="15873" max="15873" width="15" style="104" bestFit="1" customWidth="1"/>
    <col min="15874" max="15874" width="15.42578125" style="104" customWidth="1"/>
    <col min="15875" max="15876" width="19.42578125" style="104" customWidth="1"/>
    <col min="15877" max="15877" width="19.85546875" style="104" customWidth="1"/>
    <col min="15878" max="15878" width="21.42578125" style="104" customWidth="1"/>
    <col min="15879" max="15879" width="24.28515625" style="104" customWidth="1"/>
    <col min="15880" max="15880" width="18" style="104" customWidth="1"/>
    <col min="15881" max="15881" width="13.28515625" style="104" customWidth="1"/>
    <col min="15882" max="15882" width="18.5703125" style="104" customWidth="1"/>
    <col min="15883" max="15883" width="15.85546875" style="104" customWidth="1"/>
    <col min="15884" max="15884" width="10.85546875" style="104" customWidth="1"/>
    <col min="15885" max="15885" width="16.85546875" style="104" customWidth="1"/>
    <col min="15886" max="15886" width="20.42578125" style="104" customWidth="1"/>
    <col min="15887" max="15888" width="16" style="104" customWidth="1"/>
    <col min="15889" max="15889" width="21.140625" style="104" customWidth="1"/>
    <col min="15890" max="15890" width="14.140625" style="104" customWidth="1"/>
    <col min="15891" max="15891" width="15.5703125" style="104" customWidth="1"/>
    <col min="15892" max="15892" width="13.42578125" style="104" bestFit="1" customWidth="1"/>
    <col min="15893" max="15893" width="13.42578125" style="104" customWidth="1"/>
    <col min="15894" max="15894" width="13.42578125" style="104" bestFit="1" customWidth="1"/>
    <col min="15895" max="15895" width="18.28515625" style="104" bestFit="1" customWidth="1"/>
    <col min="15896" max="15896" width="13.42578125" style="104" bestFit="1" customWidth="1"/>
    <col min="15897" max="16128" width="9.140625" style="104"/>
    <col min="16129" max="16129" width="15" style="104" bestFit="1" customWidth="1"/>
    <col min="16130" max="16130" width="15.42578125" style="104" customWidth="1"/>
    <col min="16131" max="16132" width="19.42578125" style="104" customWidth="1"/>
    <col min="16133" max="16133" width="19.85546875" style="104" customWidth="1"/>
    <col min="16134" max="16134" width="21.42578125" style="104" customWidth="1"/>
    <col min="16135" max="16135" width="24.28515625" style="104" customWidth="1"/>
    <col min="16136" max="16136" width="18" style="104" customWidth="1"/>
    <col min="16137" max="16137" width="13.28515625" style="104" customWidth="1"/>
    <col min="16138" max="16138" width="18.5703125" style="104" customWidth="1"/>
    <col min="16139" max="16139" width="15.85546875" style="104" customWidth="1"/>
    <col min="16140" max="16140" width="10.85546875" style="104" customWidth="1"/>
    <col min="16141" max="16141" width="16.85546875" style="104" customWidth="1"/>
    <col min="16142" max="16142" width="20.42578125" style="104" customWidth="1"/>
    <col min="16143" max="16144" width="16" style="104" customWidth="1"/>
    <col min="16145" max="16145" width="21.140625" style="104" customWidth="1"/>
    <col min="16146" max="16146" width="14.140625" style="104" customWidth="1"/>
    <col min="16147" max="16147" width="15.5703125" style="104" customWidth="1"/>
    <col min="16148" max="16148" width="13.42578125" style="104" bestFit="1" customWidth="1"/>
    <col min="16149" max="16149" width="13.42578125" style="104" customWidth="1"/>
    <col min="16150" max="16150" width="13.42578125" style="104" bestFit="1" customWidth="1"/>
    <col min="16151" max="16151" width="18.28515625" style="104" bestFit="1" customWidth="1"/>
    <col min="16152" max="16152" width="13.42578125" style="104" bestFit="1" customWidth="1"/>
    <col min="16153" max="16384" width="9.140625" style="104"/>
  </cols>
  <sheetData>
    <row r="1" spans="1:34" ht="28.5" customHeight="1" x14ac:dyDescent="0.25">
      <c r="A1" s="832" t="s">
        <v>190</v>
      </c>
      <c r="B1" s="832"/>
      <c r="C1" s="832"/>
      <c r="D1" s="832"/>
      <c r="E1" s="832"/>
      <c r="F1" s="832"/>
      <c r="G1" s="832"/>
      <c r="H1" s="832"/>
      <c r="I1" s="832"/>
      <c r="J1" s="832"/>
      <c r="K1" s="832"/>
      <c r="L1" s="101"/>
      <c r="M1" s="102"/>
      <c r="N1" s="102"/>
      <c r="O1" s="103"/>
      <c r="P1" s="101"/>
      <c r="Q1" s="101"/>
    </row>
    <row r="2" spans="1:34" s="109" customFormat="1" ht="20.25" customHeight="1" x14ac:dyDescent="0.25">
      <c r="A2" s="833" t="s">
        <v>121</v>
      </c>
      <c r="B2" s="261"/>
      <c r="C2" s="887" t="s">
        <v>123</v>
      </c>
      <c r="D2" s="888"/>
      <c r="E2" s="888"/>
      <c r="F2" s="888"/>
      <c r="G2" s="889"/>
      <c r="H2" s="890" t="s">
        <v>238</v>
      </c>
      <c r="I2" s="892" t="s">
        <v>126</v>
      </c>
      <c r="J2" s="893"/>
      <c r="K2" s="894"/>
      <c r="L2" s="903" t="s">
        <v>239</v>
      </c>
      <c r="M2" s="904"/>
      <c r="N2" s="904"/>
      <c r="O2" s="904"/>
      <c r="P2" s="905"/>
      <c r="Q2" s="265"/>
      <c r="R2" s="895" t="s">
        <v>240</v>
      </c>
      <c r="S2" s="896"/>
      <c r="T2" s="896"/>
      <c r="U2" s="896"/>
      <c r="V2" s="896"/>
      <c r="W2" s="105"/>
    </row>
    <row r="3" spans="1:34" s="109" customFormat="1" ht="103.5" customHeight="1" x14ac:dyDescent="0.25">
      <c r="A3" s="834"/>
      <c r="B3" s="262" t="s">
        <v>241</v>
      </c>
      <c r="C3" s="258" t="s">
        <v>242</v>
      </c>
      <c r="D3" s="258" t="s">
        <v>243</v>
      </c>
      <c r="E3" s="258" t="s">
        <v>244</v>
      </c>
      <c r="F3" s="258" t="s">
        <v>245</v>
      </c>
      <c r="G3" s="258" t="s">
        <v>246</v>
      </c>
      <c r="H3" s="891"/>
      <c r="I3" s="260" t="s">
        <v>135</v>
      </c>
      <c r="J3" s="112" t="s">
        <v>136</v>
      </c>
      <c r="K3" s="113" t="s">
        <v>137</v>
      </c>
      <c r="L3" s="260" t="s">
        <v>247</v>
      </c>
      <c r="M3" s="260" t="s">
        <v>248</v>
      </c>
      <c r="N3" s="260" t="s">
        <v>249</v>
      </c>
      <c r="O3" s="260" t="s">
        <v>250</v>
      </c>
      <c r="P3" s="260" t="s">
        <v>251</v>
      </c>
      <c r="Q3" s="260" t="s">
        <v>251</v>
      </c>
      <c r="R3" s="260" t="s">
        <v>247</v>
      </c>
      <c r="S3" s="260" t="s">
        <v>248</v>
      </c>
      <c r="T3" s="260" t="s">
        <v>249</v>
      </c>
      <c r="U3" s="260" t="s">
        <v>250</v>
      </c>
      <c r="V3" s="260" t="s">
        <v>251</v>
      </c>
      <c r="W3" s="105"/>
    </row>
    <row r="4" spans="1:34" s="109" customFormat="1" ht="31.5" customHeight="1" x14ac:dyDescent="0.25">
      <c r="A4" s="834"/>
      <c r="B4" s="262"/>
      <c r="C4" s="897" t="s">
        <v>143</v>
      </c>
      <c r="D4" s="898"/>
      <c r="E4" s="258" t="s">
        <v>143</v>
      </c>
      <c r="F4" s="258" t="s">
        <v>143</v>
      </c>
      <c r="G4" s="258" t="s">
        <v>143</v>
      </c>
      <c r="H4" s="260" t="s">
        <v>145</v>
      </c>
      <c r="I4" s="260" t="s">
        <v>0</v>
      </c>
      <c r="J4" s="260" t="s">
        <v>0</v>
      </c>
      <c r="K4" s="260" t="s">
        <v>0</v>
      </c>
      <c r="L4" s="260" t="s">
        <v>252</v>
      </c>
      <c r="M4" s="260" t="s">
        <v>252</v>
      </c>
      <c r="N4" s="260" t="s">
        <v>252</v>
      </c>
      <c r="O4" s="260" t="s">
        <v>252</v>
      </c>
      <c r="P4" s="260" t="s">
        <v>252</v>
      </c>
      <c r="Q4" s="260" t="s">
        <v>253</v>
      </c>
      <c r="R4" s="260" t="s">
        <v>0</v>
      </c>
      <c r="S4" s="260" t="s">
        <v>254</v>
      </c>
      <c r="T4" s="260" t="s">
        <v>254</v>
      </c>
      <c r="U4" s="260" t="s">
        <v>0</v>
      </c>
      <c r="V4" s="260" t="s">
        <v>0</v>
      </c>
      <c r="W4" s="105"/>
    </row>
    <row r="5" spans="1:34" s="109" customFormat="1" ht="31.5" customHeight="1" x14ac:dyDescent="0.25">
      <c r="A5" s="835"/>
      <c r="B5" s="263"/>
      <c r="C5" s="258" t="s">
        <v>150</v>
      </c>
      <c r="D5" s="258" t="s">
        <v>151</v>
      </c>
      <c r="E5" s="258" t="s">
        <v>255</v>
      </c>
      <c r="F5" s="258" t="s">
        <v>256</v>
      </c>
      <c r="G5" s="258" t="s">
        <v>153</v>
      </c>
      <c r="H5" s="260" t="s">
        <v>156</v>
      </c>
      <c r="I5" s="260" t="s">
        <v>157</v>
      </c>
      <c r="J5" s="260" t="s">
        <v>158</v>
      </c>
      <c r="K5" s="260" t="s">
        <v>159</v>
      </c>
      <c r="L5" s="260" t="s">
        <v>160</v>
      </c>
      <c r="M5" s="260" t="s">
        <v>161</v>
      </c>
      <c r="N5" s="260" t="s">
        <v>202</v>
      </c>
      <c r="O5" s="260" t="s">
        <v>203</v>
      </c>
      <c r="P5" s="260"/>
      <c r="Q5" s="260"/>
      <c r="R5" s="264"/>
      <c r="S5" s="264"/>
      <c r="T5" s="264"/>
      <c r="U5" s="264"/>
      <c r="V5" s="260"/>
      <c r="W5" s="105"/>
    </row>
    <row r="6" spans="1:34" s="124" customFormat="1" ht="57.75" customHeight="1" x14ac:dyDescent="0.25">
      <c r="A6" s="266"/>
      <c r="B6" s="266"/>
      <c r="C6" s="119"/>
      <c r="D6" s="267"/>
      <c r="E6" s="267"/>
      <c r="F6" s="267"/>
      <c r="G6" s="267"/>
      <c r="H6" s="122"/>
      <c r="I6" s="122"/>
      <c r="J6" s="122"/>
      <c r="K6" s="120" t="s">
        <v>257</v>
      </c>
      <c r="L6" s="268" t="s">
        <v>258</v>
      </c>
      <c r="M6" s="268" t="s">
        <v>259</v>
      </c>
      <c r="N6" s="268" t="s">
        <v>260</v>
      </c>
      <c r="O6" s="268" t="s">
        <v>261</v>
      </c>
      <c r="P6" s="122" t="s">
        <v>262</v>
      </c>
      <c r="Q6" s="122"/>
      <c r="R6" s="118"/>
      <c r="S6" s="118"/>
      <c r="T6" s="118"/>
      <c r="U6" s="118"/>
      <c r="V6" s="122"/>
      <c r="W6" s="115"/>
    </row>
    <row r="7" spans="1:34" s="124" customFormat="1" ht="28.5" customHeight="1" x14ac:dyDescent="0.25">
      <c r="A7" s="266">
        <v>43831</v>
      </c>
      <c r="B7" s="128">
        <v>31</v>
      </c>
      <c r="C7" s="127">
        <v>3.7808227581550105</v>
      </c>
      <c r="D7" s="127">
        <v>5.5596926229114674</v>
      </c>
      <c r="E7" s="127">
        <v>5.0555829218241328</v>
      </c>
      <c r="F7" s="127">
        <v>5.8088697356207479</v>
      </c>
      <c r="G7" s="127">
        <v>6.7591260496365058</v>
      </c>
      <c r="H7" s="139">
        <v>20</v>
      </c>
      <c r="I7" s="129">
        <f>(25-(H7+20))*0.43%</f>
        <v>-6.4500000000000002E-2</v>
      </c>
      <c r="J7" s="129">
        <v>-0.151</v>
      </c>
      <c r="K7" s="129">
        <f>SUM(I7:J7)</f>
        <v>-0.2155</v>
      </c>
      <c r="L7" s="267">
        <f t="shared" ref="L7:L18" si="0">(D7*124.4*16%)*(1+$K7)</f>
        <v>86.812865682664224</v>
      </c>
      <c r="M7" s="267">
        <f t="shared" ref="M7:N18" si="1">(E7*140/2*16%)*(1+$K7)</f>
        <v>44.420373784315558</v>
      </c>
      <c r="N7" s="267">
        <f t="shared" si="1"/>
        <v>51.039053045058139</v>
      </c>
      <c r="O7" s="267">
        <f t="shared" ref="O7:O18" si="2">(G7*124.4*16%)*(1+$K7)</f>
        <v>105.54164441774655</v>
      </c>
      <c r="P7" s="267">
        <f>+L7+M7+N7+O7</f>
        <v>287.81393692978452</v>
      </c>
      <c r="Q7" s="122">
        <f>P7*B7</f>
        <v>8922.2320448233204</v>
      </c>
      <c r="R7" s="269">
        <f>L7/(19.84*24)</f>
        <v>0.18231868632951997</v>
      </c>
      <c r="S7" s="269">
        <f>M7/(22.32/2*24)</f>
        <v>0.16584667631539557</v>
      </c>
      <c r="T7" s="269">
        <f>N7/(22.32/2*24)</f>
        <v>0.19055799374648347</v>
      </c>
      <c r="U7" s="269">
        <f>O7/(19.84*24)</f>
        <v>0.22165163898216264</v>
      </c>
      <c r="V7" s="270">
        <f>P7/(62*24)</f>
        <v>0.19342334471087669</v>
      </c>
      <c r="W7" s="283">
        <f>P7/(D7*62)</f>
        <v>0.83496707244762403</v>
      </c>
      <c r="X7" s="124">
        <v>9930.3134976000001</v>
      </c>
      <c r="Y7" s="271">
        <f t="shared" ref="Y7:Y18" si="3">X7-Q7</f>
        <v>1008.0814527766797</v>
      </c>
      <c r="AD7" s="124">
        <v>287.81393692978446</v>
      </c>
      <c r="AF7" s="298">
        <f>AD7-P7</f>
        <v>0</v>
      </c>
      <c r="AH7" s="124">
        <f>AD7/P7</f>
        <v>0.99999999999999978</v>
      </c>
    </row>
    <row r="8" spans="1:34" s="124" customFormat="1" ht="28.5" customHeight="1" x14ac:dyDescent="0.25">
      <c r="A8" s="266">
        <v>43862</v>
      </c>
      <c r="B8" s="128">
        <v>28</v>
      </c>
      <c r="C8" s="127">
        <v>4.8017690678078688</v>
      </c>
      <c r="D8" s="127">
        <v>6.3702828114004202</v>
      </c>
      <c r="E8" s="127">
        <v>6.4504726755922688</v>
      </c>
      <c r="F8" s="127">
        <v>7.0629515287914622</v>
      </c>
      <c r="G8" s="127">
        <v>7.9195509875869279</v>
      </c>
      <c r="H8" s="139">
        <v>23</v>
      </c>
      <c r="I8" s="129">
        <f t="shared" ref="I8:I18" si="4">(25-(H8+20))*0.43%</f>
        <v>-7.7399999999999997E-2</v>
      </c>
      <c r="J8" s="129">
        <v>-0.151</v>
      </c>
      <c r="K8" s="129">
        <f t="shared" ref="K8:K19" si="5">SUM(I8:J8)</f>
        <v>-0.22839999999999999</v>
      </c>
      <c r="L8" s="267">
        <f t="shared" si="0"/>
        <v>97.834334564672744</v>
      </c>
      <c r="M8" s="267">
        <f t="shared" si="1"/>
        <v>55.744468824654348</v>
      </c>
      <c r="N8" s="267">
        <f t="shared" si="1"/>
        <v>61.037462075693519</v>
      </c>
      <c r="O8" s="267">
        <f t="shared" si="2"/>
        <v>121.62788118840737</v>
      </c>
      <c r="P8" s="267">
        <f t="shared" ref="P8:P18" si="6">+L8+M8+N8+O8</f>
        <v>336.244146653428</v>
      </c>
      <c r="Q8" s="122">
        <f t="shared" ref="Q8:Q18" si="7">P8*B8</f>
        <v>9414.8361062959848</v>
      </c>
      <c r="R8" s="269">
        <f t="shared" ref="R8:R18" si="8">L8/(19.84*24)</f>
        <v>0.20546525236196395</v>
      </c>
      <c r="S8" s="269">
        <f t="shared" ref="S8:T18" si="9">M8/(22.32/2*24)</f>
        <v>0.20812600367627815</v>
      </c>
      <c r="T8" s="269">
        <f t="shared" si="9"/>
        <v>0.22788777656695605</v>
      </c>
      <c r="U8" s="269">
        <f t="shared" ref="U8:U18" si="10">O8/(19.84*24)</f>
        <v>0.25543489832914856</v>
      </c>
      <c r="V8" s="270">
        <f t="shared" ref="V8:V18" si="11">P8/(62*24)</f>
        <v>0.22597052866493816</v>
      </c>
      <c r="W8" s="283">
        <f t="shared" ref="W8:W18" si="12">P8/(D8*62)</f>
        <v>0.85134253039015062</v>
      </c>
      <c r="X8" s="124">
        <v>10482.603115200001</v>
      </c>
      <c r="Y8" s="271">
        <f t="shared" si="3"/>
        <v>1067.7670089040166</v>
      </c>
      <c r="AD8" s="124">
        <v>336.24414665342795</v>
      </c>
      <c r="AF8" s="298">
        <f t="shared" ref="AF8:AF18" si="13">AD8-P8</f>
        <v>0</v>
      </c>
      <c r="AH8" s="124">
        <f t="shared" ref="AH8:AH18" si="14">AD8/P8</f>
        <v>0.99999999999999978</v>
      </c>
    </row>
    <row r="9" spans="1:34" s="124" customFormat="1" ht="28.5" customHeight="1" x14ac:dyDescent="0.25">
      <c r="A9" s="266">
        <v>43891</v>
      </c>
      <c r="B9" s="128">
        <v>31</v>
      </c>
      <c r="C9" s="127">
        <v>5.5365151653902114</v>
      </c>
      <c r="D9" s="127">
        <v>6.3071656279719992</v>
      </c>
      <c r="E9" s="127">
        <v>7.3182822123368254</v>
      </c>
      <c r="F9" s="127">
        <v>7.6740959693319351</v>
      </c>
      <c r="G9" s="127">
        <v>8.2019227803347405</v>
      </c>
      <c r="H9" s="139">
        <v>28</v>
      </c>
      <c r="I9" s="129">
        <f t="shared" si="4"/>
        <v>-9.8900000000000002E-2</v>
      </c>
      <c r="J9" s="129">
        <v>-0.151</v>
      </c>
      <c r="K9" s="129">
        <f t="shared" si="5"/>
        <v>-0.24990000000000001</v>
      </c>
      <c r="L9" s="267">
        <f t="shared" si="0"/>
        <v>94.165922276831935</v>
      </c>
      <c r="M9" s="267">
        <f t="shared" si="1"/>
        <v>61.481767059707153</v>
      </c>
      <c r="N9" s="267">
        <f t="shared" si="1"/>
        <v>64.471001129873898</v>
      </c>
      <c r="O9" s="267">
        <f t="shared" si="2"/>
        <v>122.45462837193899</v>
      </c>
      <c r="P9" s="267">
        <f t="shared" si="6"/>
        <v>342.57331883835201</v>
      </c>
      <c r="Q9" s="122">
        <f t="shared" si="7"/>
        <v>10619.772883988911</v>
      </c>
      <c r="R9" s="269">
        <f t="shared" si="8"/>
        <v>0.19776109349133053</v>
      </c>
      <c r="S9" s="269">
        <f t="shared" si="9"/>
        <v>0.22954662134000578</v>
      </c>
      <c r="T9" s="269">
        <f t="shared" si="9"/>
        <v>0.24070714280866895</v>
      </c>
      <c r="U9" s="269">
        <f t="shared" si="10"/>
        <v>0.25717117853649824</v>
      </c>
      <c r="V9" s="270">
        <f t="shared" si="11"/>
        <v>0.23022400459566666</v>
      </c>
      <c r="W9" s="283">
        <f t="shared" si="12"/>
        <v>0.87604740959888594</v>
      </c>
      <c r="X9" s="124">
        <v>11824.269936320001</v>
      </c>
      <c r="Y9" s="271">
        <f t="shared" si="3"/>
        <v>1204.4970523310894</v>
      </c>
      <c r="AD9" s="124">
        <v>342.57331883835195</v>
      </c>
      <c r="AF9" s="298">
        <f t="shared" si="13"/>
        <v>0</v>
      </c>
      <c r="AH9" s="124">
        <f t="shared" si="14"/>
        <v>0.99999999999999989</v>
      </c>
    </row>
    <row r="10" spans="1:34" s="124" customFormat="1" ht="28.5" customHeight="1" x14ac:dyDescent="0.25">
      <c r="A10" s="266">
        <v>43922</v>
      </c>
      <c r="B10" s="400">
        <v>30</v>
      </c>
      <c r="C10" s="401">
        <v>6.1581538906582507</v>
      </c>
      <c r="D10" s="401">
        <v>6.7483228769219199</v>
      </c>
      <c r="E10" s="401">
        <v>7.9304568091170182</v>
      </c>
      <c r="F10" s="401">
        <v>8.0063936599631891</v>
      </c>
      <c r="G10" s="401">
        <v>8.2507885866087225</v>
      </c>
      <c r="H10" s="400">
        <v>32</v>
      </c>
      <c r="I10" s="402">
        <f t="shared" si="4"/>
        <v>-0.11609999999999999</v>
      </c>
      <c r="J10" s="402">
        <v>-0.151</v>
      </c>
      <c r="K10" s="402">
        <f t="shared" si="5"/>
        <v>-0.2671</v>
      </c>
      <c r="L10" s="403">
        <f t="shared" si="0"/>
        <v>98.44211552961788</v>
      </c>
      <c r="M10" s="403">
        <f t="shared" si="1"/>
        <v>65.096996108500861</v>
      </c>
      <c r="N10" s="403">
        <f t="shared" si="1"/>
        <v>65.720322229934638</v>
      </c>
      <c r="O10" s="403">
        <f t="shared" si="2"/>
        <v>120.35954681881861</v>
      </c>
      <c r="P10" s="403">
        <f t="shared" si="6"/>
        <v>349.61898068687202</v>
      </c>
      <c r="Q10" s="399">
        <f t="shared" si="7"/>
        <v>10488.56942060616</v>
      </c>
      <c r="R10" s="404">
        <f t="shared" si="8"/>
        <v>0.20674167407933863</v>
      </c>
      <c r="S10" s="404">
        <f t="shared" si="9"/>
        <v>0.24304434030951633</v>
      </c>
      <c r="T10" s="404">
        <f t="shared" si="9"/>
        <v>0.24537157343912272</v>
      </c>
      <c r="U10" s="404">
        <f t="shared" si="10"/>
        <v>0.25277122567796251</v>
      </c>
      <c r="V10" s="405">
        <f t="shared" si="11"/>
        <v>0.23495899239709142</v>
      </c>
      <c r="W10" s="283">
        <f t="shared" si="12"/>
        <v>0.83561737047506102</v>
      </c>
      <c r="X10" s="124">
        <v>11390.686846080001</v>
      </c>
      <c r="Y10" s="271">
        <f t="shared" si="3"/>
        <v>902.11742547384165</v>
      </c>
      <c r="AD10" s="124">
        <v>341.00980703182228</v>
      </c>
      <c r="AF10" s="298">
        <f t="shared" si="13"/>
        <v>-8.6091736550497444</v>
      </c>
      <c r="AH10" s="124">
        <f t="shared" si="14"/>
        <v>0.97537555415859889</v>
      </c>
    </row>
    <row r="11" spans="1:34" s="124" customFormat="1" ht="28.5" customHeight="1" x14ac:dyDescent="0.25">
      <c r="A11" s="266">
        <v>43952</v>
      </c>
      <c r="B11" s="128">
        <v>31</v>
      </c>
      <c r="C11" s="127">
        <v>6.318754356732625</v>
      </c>
      <c r="D11" s="127">
        <v>6.318754356732625</v>
      </c>
      <c r="E11" s="127">
        <v>8.0570636708268832</v>
      </c>
      <c r="F11" s="127">
        <v>7.9311330338588721</v>
      </c>
      <c r="G11" s="127">
        <v>8.4568748130685609</v>
      </c>
      <c r="H11" s="139">
        <v>35</v>
      </c>
      <c r="I11" s="129">
        <f t="shared" si="4"/>
        <v>-0.129</v>
      </c>
      <c r="J11" s="129">
        <v>-0.151</v>
      </c>
      <c r="K11" s="129">
        <f t="shared" si="5"/>
        <v>-0.28000000000000003</v>
      </c>
      <c r="L11" s="267">
        <f t="shared" si="0"/>
        <v>90.553310435812435</v>
      </c>
      <c r="M11" s="267">
        <f t="shared" si="1"/>
        <v>64.972161441547982</v>
      </c>
      <c r="N11" s="267">
        <f t="shared" si="1"/>
        <v>63.956656785037936</v>
      </c>
      <c r="O11" s="267">
        <f t="shared" si="2"/>
        <v>121.19445812110798</v>
      </c>
      <c r="P11" s="267">
        <f t="shared" si="6"/>
        <v>340.67658678350631</v>
      </c>
      <c r="Q11" s="122">
        <f t="shared" si="7"/>
        <v>10560.974190288696</v>
      </c>
      <c r="R11" s="269">
        <f t="shared" si="8"/>
        <v>0.19017412305908191</v>
      </c>
      <c r="S11" s="269">
        <f t="shared" si="9"/>
        <v>0.24257826105715344</v>
      </c>
      <c r="T11" s="269">
        <f t="shared" si="9"/>
        <v>0.23878680101940683</v>
      </c>
      <c r="U11" s="269">
        <f t="shared" si="10"/>
        <v>0.25452465163203125</v>
      </c>
      <c r="V11" s="270">
        <f t="shared" si="11"/>
        <v>0.22894931907493704</v>
      </c>
      <c r="W11" s="283">
        <f t="shared" si="12"/>
        <v>0.86959918800195224</v>
      </c>
      <c r="X11" s="124">
        <v>11758.925520000001</v>
      </c>
      <c r="Y11" s="271">
        <f t="shared" si="3"/>
        <v>1197.9513297113044</v>
      </c>
      <c r="AD11" s="124">
        <v>340.67658678350642</v>
      </c>
      <c r="AF11" s="298">
        <f t="shared" si="13"/>
        <v>0</v>
      </c>
      <c r="AH11" s="124">
        <f t="shared" si="14"/>
        <v>1.0000000000000004</v>
      </c>
    </row>
    <row r="12" spans="1:34" ht="28.5" customHeight="1" x14ac:dyDescent="0.25">
      <c r="A12" s="266">
        <v>43983</v>
      </c>
      <c r="B12" s="142">
        <v>30</v>
      </c>
      <c r="C12" s="292">
        <v>6.68</v>
      </c>
      <c r="D12" s="292">
        <v>6.68</v>
      </c>
      <c r="E12" s="292">
        <v>8.1041266490765178</v>
      </c>
      <c r="F12" s="292">
        <v>7.8989021084621189</v>
      </c>
      <c r="G12" s="292">
        <v>8.3544063324538254</v>
      </c>
      <c r="H12" s="142">
        <v>35</v>
      </c>
      <c r="I12" s="248">
        <f t="shared" si="4"/>
        <v>-0.129</v>
      </c>
      <c r="J12" s="248">
        <v>-0.151</v>
      </c>
      <c r="K12" s="248">
        <f t="shared" si="5"/>
        <v>-0.28000000000000003</v>
      </c>
      <c r="L12" s="578">
        <f t="shared" si="0"/>
        <v>95.730278400000003</v>
      </c>
      <c r="M12" s="578">
        <f t="shared" si="1"/>
        <v>65.351677298153035</v>
      </c>
      <c r="N12" s="578">
        <f t="shared" si="1"/>
        <v>63.69674660263852</v>
      </c>
      <c r="O12" s="578">
        <f t="shared" si="2"/>
        <v>119.72599462163589</v>
      </c>
      <c r="P12" s="578">
        <f t="shared" si="6"/>
        <v>344.50469692242746</v>
      </c>
      <c r="Q12" s="577">
        <f>P12*B12-1</f>
        <v>10334.140907672823</v>
      </c>
      <c r="R12" s="579">
        <f t="shared" si="8"/>
        <v>0.20104645161290324</v>
      </c>
      <c r="S12" s="579">
        <f t="shared" si="9"/>
        <v>0.24399521093993812</v>
      </c>
      <c r="T12" s="579">
        <f t="shared" si="9"/>
        <v>0.23781640756660138</v>
      </c>
      <c r="U12" s="579">
        <f t="shared" si="10"/>
        <v>0.25144068090901356</v>
      </c>
      <c r="V12" s="274">
        <f t="shared" si="11"/>
        <v>0.2315219737381905</v>
      </c>
      <c r="W12" s="283">
        <f t="shared" si="12"/>
        <v>0.83181547450846893</v>
      </c>
      <c r="X12" s="104">
        <v>9773.0420400000003</v>
      </c>
      <c r="Y12" s="271">
        <f t="shared" si="3"/>
        <v>-561.09886767282296</v>
      </c>
      <c r="AD12" s="104">
        <v>292.57966959156357</v>
      </c>
      <c r="AF12" s="298">
        <f t="shared" si="13"/>
        <v>-51.925027330863884</v>
      </c>
      <c r="AH12" s="124">
        <f t="shared" si="14"/>
        <v>0.84927628623143003</v>
      </c>
    </row>
    <row r="13" spans="1:34" ht="31.5" customHeight="1" x14ac:dyDescent="0.25">
      <c r="A13" s="266">
        <v>44013</v>
      </c>
      <c r="B13" s="128">
        <v>31</v>
      </c>
      <c r="C13" s="127">
        <v>4.8875463547950204</v>
      </c>
      <c r="D13" s="127">
        <v>4.8875463547950204</v>
      </c>
      <c r="E13" s="127">
        <v>5.7914671981240344</v>
      </c>
      <c r="F13" s="127">
        <v>5.7097978320130665</v>
      </c>
      <c r="G13" s="127">
        <v>5.9508122185826746</v>
      </c>
      <c r="H13" s="139">
        <v>29</v>
      </c>
      <c r="I13" s="129">
        <f t="shared" si="4"/>
        <v>-0.1032</v>
      </c>
      <c r="J13" s="129">
        <v>-0.151</v>
      </c>
      <c r="K13" s="129">
        <f t="shared" si="5"/>
        <v>-0.25419999999999998</v>
      </c>
      <c r="L13" s="267">
        <f t="shared" si="0"/>
        <v>72.552708749267538</v>
      </c>
      <c r="M13" s="267">
        <f t="shared" si="1"/>
        <v>48.375893847242132</v>
      </c>
      <c r="N13" s="267">
        <f t="shared" si="1"/>
        <v>47.69371289889186</v>
      </c>
      <c r="O13" s="267">
        <f t="shared" si="2"/>
        <v>88.336255940127757</v>
      </c>
      <c r="P13" s="267">
        <f t="shared" si="6"/>
        <v>256.95857143552928</v>
      </c>
      <c r="Q13" s="122">
        <f t="shared" si="7"/>
        <v>7965.715714501408</v>
      </c>
      <c r="R13" s="269">
        <f t="shared" si="8"/>
        <v>0.15237044008162706</v>
      </c>
      <c r="S13" s="269">
        <f t="shared" si="9"/>
        <v>0.18061489638307246</v>
      </c>
      <c r="T13" s="269">
        <f t="shared" si="9"/>
        <v>0.17806792450303111</v>
      </c>
      <c r="U13" s="269">
        <f t="shared" si="10"/>
        <v>0.18551801062694842</v>
      </c>
      <c r="V13" s="270">
        <f t="shared" si="11"/>
        <v>0.17268721198624279</v>
      </c>
      <c r="W13" s="283">
        <f t="shared" si="12"/>
        <v>0.84797008290341691</v>
      </c>
      <c r="X13" s="104">
        <v>8869.2793651200027</v>
      </c>
      <c r="Y13" s="271">
        <f t="shared" si="3"/>
        <v>903.56365061859469</v>
      </c>
      <c r="AD13" s="104">
        <v>256.95857143552934</v>
      </c>
      <c r="AF13" s="298">
        <f t="shared" si="13"/>
        <v>0</v>
      </c>
      <c r="AH13" s="124">
        <f t="shared" si="14"/>
        <v>1.0000000000000002</v>
      </c>
    </row>
    <row r="14" spans="1:34" ht="31.5" customHeight="1" x14ac:dyDescent="0.25">
      <c r="A14" s="266">
        <v>44044</v>
      </c>
      <c r="B14" s="128">
        <v>31</v>
      </c>
      <c r="C14" s="127">
        <v>4.5485760385466412</v>
      </c>
      <c r="D14" s="127">
        <v>4.5485760385466412</v>
      </c>
      <c r="E14" s="127">
        <v>5.4032447846429843</v>
      </c>
      <c r="F14" s="127">
        <v>5.394256505260751</v>
      </c>
      <c r="G14" s="127">
        <v>5.5191320722492687</v>
      </c>
      <c r="H14" s="139">
        <v>29</v>
      </c>
      <c r="I14" s="129">
        <f t="shared" si="4"/>
        <v>-0.1032</v>
      </c>
      <c r="J14" s="129">
        <v>-0.151</v>
      </c>
      <c r="K14" s="129">
        <f t="shared" si="5"/>
        <v>-0.25419999999999998</v>
      </c>
      <c r="L14" s="267">
        <f t="shared" si="0"/>
        <v>67.520896702045093</v>
      </c>
      <c r="M14" s="267">
        <f t="shared" si="1"/>
        <v>45.133087556331461</v>
      </c>
      <c r="N14" s="267">
        <f t="shared" si="1"/>
        <v>45.058008818182842</v>
      </c>
      <c r="O14" s="267">
        <f t="shared" si="2"/>
        <v>81.928221794519672</v>
      </c>
      <c r="P14" s="267">
        <f t="shared" si="6"/>
        <v>239.64021487107908</v>
      </c>
      <c r="Q14" s="122">
        <f t="shared" si="7"/>
        <v>7428.8466610034511</v>
      </c>
      <c r="R14" s="269">
        <f t="shared" si="8"/>
        <v>0.14180295846363639</v>
      </c>
      <c r="S14" s="269">
        <f t="shared" si="9"/>
        <v>0.16850764469956486</v>
      </c>
      <c r="T14" s="269">
        <f t="shared" si="9"/>
        <v>0.16822733280384869</v>
      </c>
      <c r="U14" s="269">
        <f t="shared" si="10"/>
        <v>0.17206027762625942</v>
      </c>
      <c r="V14" s="270">
        <f t="shared" si="11"/>
        <v>0.16104853149938111</v>
      </c>
      <c r="W14" s="283">
        <f t="shared" si="12"/>
        <v>0.84975269693856581</v>
      </c>
      <c r="X14" s="104">
        <v>8271.4950719999997</v>
      </c>
      <c r="Y14" s="271">
        <f t="shared" si="3"/>
        <v>842.64841099654859</v>
      </c>
      <c r="AD14" s="104">
        <v>239.64021487107905</v>
      </c>
      <c r="AF14" s="298">
        <f t="shared" si="13"/>
        <v>0</v>
      </c>
      <c r="AH14" s="124">
        <f t="shared" si="14"/>
        <v>0.99999999999999989</v>
      </c>
    </row>
    <row r="15" spans="1:34" ht="31.5" customHeight="1" x14ac:dyDescent="0.25">
      <c r="A15" s="266">
        <v>44075</v>
      </c>
      <c r="B15" s="128">
        <v>30</v>
      </c>
      <c r="C15" s="127">
        <v>5.0863896257794714</v>
      </c>
      <c r="D15" s="127">
        <v>5.0863896257794714</v>
      </c>
      <c r="E15" s="127">
        <v>6.5024357075885879</v>
      </c>
      <c r="F15" s="127">
        <v>6.6965166441162571</v>
      </c>
      <c r="G15" s="127">
        <v>6.9754489865015712</v>
      </c>
      <c r="H15" s="139">
        <v>31</v>
      </c>
      <c r="I15" s="129">
        <f t="shared" si="4"/>
        <v>-0.1118</v>
      </c>
      <c r="J15" s="129">
        <v>-0.151</v>
      </c>
      <c r="K15" s="129">
        <f t="shared" si="5"/>
        <v>-0.26279999999999998</v>
      </c>
      <c r="L15" s="267">
        <f t="shared" si="0"/>
        <v>74.633758745008578</v>
      </c>
      <c r="M15" s="267">
        <f t="shared" si="1"/>
        <v>53.688270760704242</v>
      </c>
      <c r="N15" s="267">
        <f t="shared" si="1"/>
        <v>55.290727184476061</v>
      </c>
      <c r="O15" s="267">
        <f t="shared" si="2"/>
        <v>102.3523589616657</v>
      </c>
      <c r="P15" s="267">
        <f t="shared" si="6"/>
        <v>285.96511565185455</v>
      </c>
      <c r="Q15" s="122">
        <f t="shared" si="7"/>
        <v>8578.9534695556358</v>
      </c>
      <c r="R15" s="269">
        <f t="shared" si="8"/>
        <v>0.15674092478370419</v>
      </c>
      <c r="S15" s="269">
        <f t="shared" si="9"/>
        <v>0.2004490395784955</v>
      </c>
      <c r="T15" s="269">
        <f t="shared" si="9"/>
        <v>0.20643192646533773</v>
      </c>
      <c r="U15" s="269">
        <f t="shared" si="10"/>
        <v>0.21495371085699283</v>
      </c>
      <c r="V15" s="270">
        <f t="shared" si="11"/>
        <v>0.19218085729291301</v>
      </c>
      <c r="W15" s="283">
        <f t="shared" si="12"/>
        <v>0.90680048411019776</v>
      </c>
      <c r="X15" s="104">
        <v>9552.0070195199914</v>
      </c>
      <c r="Y15" s="271">
        <f t="shared" si="3"/>
        <v>973.05354996435562</v>
      </c>
      <c r="AD15" s="104">
        <v>285.96511565185449</v>
      </c>
      <c r="AF15" s="298">
        <f t="shared" si="13"/>
        <v>0</v>
      </c>
      <c r="AH15" s="124">
        <f t="shared" si="14"/>
        <v>0.99999999999999978</v>
      </c>
    </row>
    <row r="16" spans="1:34" ht="31.5" customHeight="1" x14ac:dyDescent="0.25">
      <c r="A16" s="266">
        <v>44105</v>
      </c>
      <c r="B16" s="128">
        <v>31</v>
      </c>
      <c r="C16" s="127">
        <v>4.771659067188736</v>
      </c>
      <c r="D16" s="127">
        <v>5.9160460323007884</v>
      </c>
      <c r="E16" s="127">
        <v>6.2839881704507405</v>
      </c>
      <c r="F16" s="127">
        <v>6.8141804262517853</v>
      </c>
      <c r="G16" s="127">
        <v>7.4283751355627912</v>
      </c>
      <c r="H16" s="139">
        <v>29</v>
      </c>
      <c r="I16" s="129">
        <f t="shared" si="4"/>
        <v>-0.1032</v>
      </c>
      <c r="J16" s="129">
        <v>-0.151</v>
      </c>
      <c r="K16" s="129">
        <f t="shared" si="5"/>
        <v>-0.25419999999999998</v>
      </c>
      <c r="L16" s="267">
        <f t="shared" si="0"/>
        <v>87.820172653233129</v>
      </c>
      <c r="M16" s="267">
        <f t="shared" si="1"/>
        <v>52.489901828248222</v>
      </c>
      <c r="N16" s="267">
        <f t="shared" si="1"/>
        <v>56.918576533264115</v>
      </c>
      <c r="O16" s="267">
        <f t="shared" si="2"/>
        <v>110.26979563314873</v>
      </c>
      <c r="P16" s="267">
        <f t="shared" si="6"/>
        <v>307.49844664789418</v>
      </c>
      <c r="Q16" s="122">
        <f t="shared" si="7"/>
        <v>9532.4518460847194</v>
      </c>
      <c r="R16" s="269">
        <f t="shared" si="8"/>
        <v>0.18443416635843651</v>
      </c>
      <c r="S16" s="269">
        <f t="shared" si="9"/>
        <v>0.19597484254871644</v>
      </c>
      <c r="T16" s="269">
        <f t="shared" si="9"/>
        <v>0.21250961967317841</v>
      </c>
      <c r="U16" s="269">
        <f t="shared" si="10"/>
        <v>0.23158139203870282</v>
      </c>
      <c r="V16" s="270">
        <f t="shared" si="11"/>
        <v>0.20665218188702567</v>
      </c>
      <c r="W16" s="283">
        <f t="shared" si="12"/>
        <v>0.83833904236201062</v>
      </c>
      <c r="X16" s="104">
        <v>10613.570761920002</v>
      </c>
      <c r="Y16" s="271">
        <f t="shared" si="3"/>
        <v>1081.1189158352827</v>
      </c>
      <c r="AD16" s="104">
        <v>307.49844664789424</v>
      </c>
      <c r="AF16" s="298">
        <f t="shared" si="13"/>
        <v>0</v>
      </c>
      <c r="AH16" s="124">
        <f t="shared" si="14"/>
        <v>1.0000000000000002</v>
      </c>
    </row>
    <row r="17" spans="1:35" ht="31.5" customHeight="1" x14ac:dyDescent="0.25">
      <c r="A17" s="266">
        <v>44136</v>
      </c>
      <c r="B17" s="128">
        <v>30</v>
      </c>
      <c r="C17" s="127">
        <v>3.7870999862336836</v>
      </c>
      <c r="D17" s="127">
        <v>5.2869712060780119</v>
      </c>
      <c r="E17" s="127">
        <v>4.9846019581652827</v>
      </c>
      <c r="F17" s="127">
        <v>5.6926074327650715</v>
      </c>
      <c r="G17" s="127">
        <v>6.4425606089920056</v>
      </c>
      <c r="H17" s="139">
        <v>26</v>
      </c>
      <c r="I17" s="129">
        <f t="shared" si="4"/>
        <v>-9.0300000000000005E-2</v>
      </c>
      <c r="J17" s="129">
        <v>-0.151</v>
      </c>
      <c r="K17" s="129">
        <f t="shared" si="5"/>
        <v>-0.24130000000000001</v>
      </c>
      <c r="L17" s="267">
        <f t="shared" si="0"/>
        <v>79.839423475838828</v>
      </c>
      <c r="M17" s="267">
        <f t="shared" si="1"/>
        <v>42.356356063391999</v>
      </c>
      <c r="N17" s="267">
        <f t="shared" si="1"/>
        <v>48.372590103475233</v>
      </c>
      <c r="O17" s="267">
        <f t="shared" si="2"/>
        <v>97.290169490376627</v>
      </c>
      <c r="P17" s="267">
        <f t="shared" si="6"/>
        <v>267.85853913308267</v>
      </c>
      <c r="Q17" s="122">
        <f t="shared" si="7"/>
        <v>8035.7561739924804</v>
      </c>
      <c r="R17" s="269">
        <f t="shared" si="8"/>
        <v>0.16767352040456746</v>
      </c>
      <c r="S17" s="269">
        <f t="shared" si="9"/>
        <v>0.15814051696308243</v>
      </c>
      <c r="T17" s="269">
        <f t="shared" si="9"/>
        <v>0.18060256161691765</v>
      </c>
      <c r="U17" s="269">
        <f t="shared" si="10"/>
        <v>0.20432243256547511</v>
      </c>
      <c r="V17" s="270">
        <f t="shared" si="11"/>
        <v>0.18001245909481361</v>
      </c>
      <c r="W17" s="283">
        <f t="shared" si="12"/>
        <v>0.81715955125853945</v>
      </c>
      <c r="X17" s="104">
        <v>8947.0634486399995</v>
      </c>
      <c r="Y17" s="271">
        <f t="shared" si="3"/>
        <v>911.30727464751908</v>
      </c>
      <c r="AD17" s="104">
        <v>267.85853913308273</v>
      </c>
      <c r="AF17" s="298">
        <f t="shared" si="13"/>
        <v>0</v>
      </c>
      <c r="AH17" s="124">
        <f t="shared" si="14"/>
        <v>1.0000000000000002</v>
      </c>
    </row>
    <row r="18" spans="1:35" ht="31.5" customHeight="1" x14ac:dyDescent="0.25">
      <c r="A18" s="266">
        <v>44166</v>
      </c>
      <c r="B18" s="128">
        <v>31</v>
      </c>
      <c r="C18" s="127">
        <v>3.5838143692243274</v>
      </c>
      <c r="D18" s="127">
        <v>5.4785715215870674</v>
      </c>
      <c r="E18" s="127">
        <v>4.79773370690015</v>
      </c>
      <c r="F18" s="127">
        <v>5.5413842125751467</v>
      </c>
      <c r="G18" s="127">
        <v>6.6229584866991207</v>
      </c>
      <c r="H18" s="139">
        <v>24</v>
      </c>
      <c r="I18" s="129">
        <f t="shared" si="4"/>
        <v>-8.1699999999999995E-2</v>
      </c>
      <c r="J18" s="129">
        <v>-0.151</v>
      </c>
      <c r="K18" s="129">
        <f t="shared" si="5"/>
        <v>-0.23269999999999999</v>
      </c>
      <c r="L18" s="267">
        <f t="shared" si="0"/>
        <v>83.670602609137816</v>
      </c>
      <c r="M18" s="267">
        <f t="shared" si="1"/>
        <v>41.230572021010232</v>
      </c>
      <c r="N18" s="267">
        <f t="shared" si="1"/>
        <v>47.621325990659791</v>
      </c>
      <c r="O18" s="267">
        <f t="shared" si="2"/>
        <v>101.14806851638765</v>
      </c>
      <c r="P18" s="267">
        <f t="shared" si="6"/>
        <v>273.67056913719551</v>
      </c>
      <c r="Q18" s="122">
        <f t="shared" si="7"/>
        <v>8483.7876432530611</v>
      </c>
      <c r="R18" s="269">
        <f t="shared" si="8"/>
        <v>0.17571951152792722</v>
      </c>
      <c r="S18" s="269">
        <f t="shared" si="9"/>
        <v>0.15393732086697368</v>
      </c>
      <c r="T18" s="269">
        <f t="shared" si="9"/>
        <v>0.17779766274887912</v>
      </c>
      <c r="U18" s="269">
        <f t="shared" si="10"/>
        <v>0.2124245390549136</v>
      </c>
      <c r="V18" s="270">
        <f t="shared" si="11"/>
        <v>0.18391839323736259</v>
      </c>
      <c r="W18" s="283">
        <f t="shared" si="12"/>
        <v>0.80569203492263886</v>
      </c>
      <c r="X18" s="104">
        <v>9445.8970758399992</v>
      </c>
      <c r="Y18" s="271">
        <f t="shared" si="3"/>
        <v>962.10943258693806</v>
      </c>
      <c r="AD18" s="104">
        <v>273.67056913719551</v>
      </c>
      <c r="AF18" s="298">
        <f t="shared" si="13"/>
        <v>0</v>
      </c>
      <c r="AH18" s="124">
        <f t="shared" si="14"/>
        <v>1</v>
      </c>
    </row>
    <row r="19" spans="1:35" s="148" customFormat="1" ht="18.75" x14ac:dyDescent="0.3">
      <c r="A19" s="272"/>
      <c r="B19" s="272"/>
      <c r="C19" s="141">
        <f t="shared" ref="C19:I19" si="15">SUMPRODUCT(C7:C18,$B$7:$B$18)/SUM($B$7:$B$18)</f>
        <v>4.9919374531226648</v>
      </c>
      <c r="D19" s="141">
        <f t="shared" si="15"/>
        <v>5.7586996141994735</v>
      </c>
      <c r="E19" s="141">
        <f t="shared" si="15"/>
        <v>6.3840824965843401</v>
      </c>
      <c r="F19" s="141">
        <f t="shared" si="15"/>
        <v>6.6785766776099766</v>
      </c>
      <c r="G19" s="141">
        <f t="shared" si="15"/>
        <v>7.2316679762445508</v>
      </c>
      <c r="H19" s="141">
        <f t="shared" si="15"/>
        <v>28.432876712328767</v>
      </c>
      <c r="I19" s="273">
        <f t="shared" si="15"/>
        <v>-0.10076136986301371</v>
      </c>
      <c r="J19" s="273">
        <f t="shared" ref="J19" si="16">AVERAGEIF(J7:J18,"&lt;&gt;0")</f>
        <v>-0.151</v>
      </c>
      <c r="K19" s="248">
        <f t="shared" si="5"/>
        <v>-0.25176136986301367</v>
      </c>
      <c r="L19" s="141">
        <f t="shared" ref="L19:P19" si="17">SUMPRODUCT(L7:L18,$B$7:$B$18)/SUM($B$7:$B$18)</f>
        <v>85.684163026585068</v>
      </c>
      <c r="M19" s="141">
        <f t="shared" si="17"/>
        <v>53.306467445762493</v>
      </c>
      <c r="N19" s="141">
        <f t="shared" si="17"/>
        <v>55.838270994425152</v>
      </c>
      <c r="O19" s="141">
        <f t="shared" si="17"/>
        <v>107.54654253888936</v>
      </c>
      <c r="P19" s="141">
        <f t="shared" si="17"/>
        <v>302.37544400566208</v>
      </c>
      <c r="Q19" s="142">
        <f t="shared" ref="Q19" si="18">SUM(Q7:Q18)</f>
        <v>110366.03706206665</v>
      </c>
      <c r="R19" s="274">
        <f t="shared" ref="R19:V19" si="19">SUMPRODUCT(R7:R18,$B$7:$B$18)/SUM($B$7:$B$18)</f>
        <v>0.17994825904440753</v>
      </c>
      <c r="S19" s="274">
        <f t="shared" si="19"/>
        <v>0.19902354930466881</v>
      </c>
      <c r="T19" s="274">
        <f t="shared" si="19"/>
        <v>0.20847622085732204</v>
      </c>
      <c r="U19" s="274">
        <f t="shared" si="19"/>
        <v>0.22586219451211642</v>
      </c>
      <c r="V19" s="274">
        <f t="shared" si="19"/>
        <v>0.20320930376724597</v>
      </c>
      <c r="W19" s="284"/>
    </row>
    <row r="20" spans="1:35" ht="18.75" x14ac:dyDescent="0.25">
      <c r="A20" s="149"/>
      <c r="B20" s="149"/>
      <c r="C20" s="137"/>
      <c r="D20" s="275">
        <f>AVERAGE(D10:D12)</f>
        <v>6.5823590778848482</v>
      </c>
      <c r="E20" s="275"/>
      <c r="F20" s="275"/>
      <c r="G20" s="275"/>
      <c r="H20" s="275">
        <f>AVERAGE(H10:H12)</f>
        <v>34</v>
      </c>
      <c r="I20" s="276"/>
      <c r="J20" s="249"/>
      <c r="K20" s="259"/>
      <c r="Q20" s="195">
        <f>SUM(Q10:Q18)+Q7</f>
        <v>90331.42807178176</v>
      </c>
      <c r="R20" s="160"/>
    </row>
    <row r="21" spans="1:35" ht="18.75" customHeight="1" x14ac:dyDescent="0.25">
      <c r="A21" s="277"/>
      <c r="B21" s="277"/>
      <c r="C21" s="326"/>
      <c r="D21" s="326"/>
      <c r="E21" s="326"/>
      <c r="F21" s="326"/>
      <c r="G21" s="326"/>
      <c r="H21" s="326"/>
      <c r="I21" s="326"/>
      <c r="J21" s="326"/>
      <c r="K21" s="326"/>
    </row>
    <row r="22" spans="1:35" ht="21.75" thickBot="1" x14ac:dyDescent="0.3">
      <c r="C22" s="902" t="s">
        <v>263</v>
      </c>
      <c r="D22" s="902"/>
      <c r="E22" s="902"/>
      <c r="F22" s="902"/>
      <c r="G22" s="902"/>
      <c r="H22" s="902"/>
      <c r="I22" s="902"/>
      <c r="J22" s="902"/>
      <c r="K22" s="902"/>
      <c r="L22" s="257"/>
      <c r="M22" s="257"/>
      <c r="N22" s="257"/>
      <c r="O22" s="257"/>
      <c r="P22" s="257"/>
      <c r="R22" s="154"/>
      <c r="S22" s="154"/>
      <c r="T22" s="154"/>
      <c r="U22" s="154"/>
      <c r="V22" s="154"/>
      <c r="W22" s="154"/>
      <c r="X22" s="155"/>
      <c r="Y22" s="156"/>
      <c r="Z22" s="154"/>
      <c r="AA22"/>
    </row>
    <row r="23" spans="1:35" s="124" customFormat="1" ht="28.5" customHeight="1" thickBot="1" x14ac:dyDescent="0.3">
      <c r="A23" s="170" t="s">
        <v>51</v>
      </c>
      <c r="B23" s="128">
        <v>31</v>
      </c>
      <c r="C23" s="127">
        <f>C9</f>
        <v>5.5365151653902114</v>
      </c>
      <c r="D23" s="290">
        <f>D12</f>
        <v>6.68</v>
      </c>
      <c r="E23" s="290">
        <f>E11</f>
        <v>8.0570636708268832</v>
      </c>
      <c r="F23" s="290">
        <f>F11</f>
        <v>7.9311330338588721</v>
      </c>
      <c r="G23" s="290">
        <f>G11</f>
        <v>8.4568748130685609</v>
      </c>
      <c r="H23" s="290">
        <f>H12</f>
        <v>35</v>
      </c>
      <c r="I23" s="290">
        <f t="shared" ref="I23:V23" si="20">I9</f>
        <v>-9.8900000000000002E-2</v>
      </c>
      <c r="J23" s="290">
        <f>J11</f>
        <v>-0.151</v>
      </c>
      <c r="K23" s="129">
        <f>K11</f>
        <v>-0.28000000000000003</v>
      </c>
      <c r="L23" s="290">
        <f>L11</f>
        <v>90.553310435812435</v>
      </c>
      <c r="M23" s="290">
        <f>M11</f>
        <v>64.972161441547982</v>
      </c>
      <c r="N23" s="290">
        <f>N11</f>
        <v>63.956656785037936</v>
      </c>
      <c r="O23" s="290">
        <f t="shared" si="20"/>
        <v>122.45462837193899</v>
      </c>
      <c r="P23" s="290">
        <f t="shared" si="20"/>
        <v>342.57331883835201</v>
      </c>
      <c r="Q23" s="290">
        <f t="shared" si="20"/>
        <v>10619.772883988911</v>
      </c>
      <c r="R23" s="290">
        <f t="shared" si="20"/>
        <v>0.19776109349133053</v>
      </c>
      <c r="S23" s="290">
        <f t="shared" si="20"/>
        <v>0.22954662134000578</v>
      </c>
      <c r="T23" s="290">
        <f t="shared" si="20"/>
        <v>0.24070714280866895</v>
      </c>
      <c r="U23" s="290">
        <f t="shared" si="20"/>
        <v>0.25717117853649824</v>
      </c>
      <c r="V23" s="290">
        <f t="shared" si="20"/>
        <v>0.23022400459566666</v>
      </c>
      <c r="W23" s="283">
        <f t="shared" ref="W23:W24" si="21">P23/(D23*62)</f>
        <v>0.8271521123197606</v>
      </c>
      <c r="X23" s="124">
        <v>10482.603115200001</v>
      </c>
      <c r="Y23" s="271">
        <f t="shared" ref="Y23:Y24" si="22">X23-Q23</f>
        <v>-137.16976878891001</v>
      </c>
    </row>
    <row r="24" spans="1:35" s="124" customFormat="1" ht="28.5" customHeight="1" x14ac:dyDescent="0.25">
      <c r="A24" s="170" t="s">
        <v>51</v>
      </c>
      <c r="B24" s="128">
        <v>31</v>
      </c>
      <c r="C24" s="127">
        <f>C23</f>
        <v>5.5365151653902114</v>
      </c>
      <c r="D24" s="127">
        <f t="shared" ref="D24:G24" si="23">D23</f>
        <v>6.68</v>
      </c>
      <c r="E24" s="127">
        <f t="shared" si="23"/>
        <v>8.0570636708268832</v>
      </c>
      <c r="F24" s="127">
        <f t="shared" si="23"/>
        <v>7.9311330338588721</v>
      </c>
      <c r="G24" s="127">
        <f t="shared" si="23"/>
        <v>8.4568748130685609</v>
      </c>
      <c r="H24" s="292">
        <f>HLOOKUP('Exception Report F1'!AM3,'Solar Report_Base'!$D$177:$AH$196,12,FALSE)</f>
        <v>34.43</v>
      </c>
      <c r="I24" s="129">
        <f t="shared" ref="I24" si="24">(25-(H24+20))*0.43%</f>
        <v>-0.12654899999999999</v>
      </c>
      <c r="J24" s="129">
        <v>-0.151</v>
      </c>
      <c r="K24" s="129">
        <f t="shared" ref="K24" si="25">SUM(I24:J24)</f>
        <v>-0.27754899999999999</v>
      </c>
      <c r="L24" s="267">
        <f t="shared" ref="L24" si="26">(D24*124.4*16%)*(1+$K24)</f>
        <v>96.056160222719996</v>
      </c>
      <c r="M24" s="267">
        <f t="shared" ref="M24:N24" si="27">(E24*140/2*16%)*(1+$K24)</f>
        <v>65.193337507788584</v>
      </c>
      <c r="N24" s="267">
        <f t="shared" si="27"/>
        <v>64.174375904176998</v>
      </c>
      <c r="O24" s="267">
        <f t="shared" ref="O24" si="28">(G24*124.4*16%)*(1+$K24)</f>
        <v>121.60702425562859</v>
      </c>
      <c r="P24" s="267">
        <f t="shared" ref="P24" si="29">L24+M24+N24+O24</f>
        <v>347.03089789031418</v>
      </c>
      <c r="Q24" s="122">
        <f t="shared" ref="Q24" si="30">P24*B24</f>
        <v>10757.95783459974</v>
      </c>
      <c r="R24" s="269">
        <f t="shared" ref="R24" si="31">L24/(19.84*24)</f>
        <v>0.20173084724193549</v>
      </c>
      <c r="S24" s="269">
        <f t="shared" ref="S24:T24" si="32">M24/(22.32/2*24)</f>
        <v>0.24340403788750214</v>
      </c>
      <c r="T24" s="269">
        <f t="shared" si="32"/>
        <v>0.23959967108787705</v>
      </c>
      <c r="U24" s="269">
        <f t="shared" ref="U24" si="33">O24/(19.84*24)</f>
        <v>0.25539109596696191</v>
      </c>
      <c r="V24" s="270">
        <f t="shared" ref="V24" si="34">P24/(62*24)</f>
        <v>0.23321968944241545</v>
      </c>
      <c r="W24" s="283">
        <f t="shared" si="21"/>
        <v>0.83791505188891779</v>
      </c>
      <c r="X24" s="124">
        <v>10482.603115200001</v>
      </c>
      <c r="Y24" s="271">
        <f t="shared" si="22"/>
        <v>-275.35471939973831</v>
      </c>
    </row>
    <row r="25" spans="1:35" ht="18.75" x14ac:dyDescent="0.25">
      <c r="C25" s="899"/>
      <c r="D25" s="899"/>
      <c r="E25" s="899"/>
      <c r="F25" s="899"/>
      <c r="G25" s="899"/>
      <c r="H25" s="899"/>
      <c r="I25" s="899"/>
      <c r="J25" s="899"/>
      <c r="K25" s="899"/>
      <c r="L25" s="257"/>
      <c r="M25" s="171" t="s">
        <v>216</v>
      </c>
      <c r="N25" s="171" t="s">
        <v>217</v>
      </c>
      <c r="O25" s="257"/>
      <c r="P25" s="257"/>
      <c r="R25" s="154"/>
      <c r="S25" s="154"/>
      <c r="T25" s="154"/>
      <c r="U25" s="154"/>
      <c r="V25" s="154"/>
      <c r="W25" s="154"/>
      <c r="X25" s="155"/>
      <c r="Y25" s="156"/>
      <c r="Z25" s="154"/>
      <c r="AA25"/>
    </row>
    <row r="26" spans="1:35" ht="18.75" customHeight="1" x14ac:dyDescent="0.25">
      <c r="C26" s="831" t="s">
        <v>214</v>
      </c>
      <c r="D26" s="831"/>
      <c r="E26" s="831"/>
      <c r="F26" s="831"/>
      <c r="G26" s="831"/>
      <c r="H26" s="831"/>
      <c r="I26" s="831"/>
      <c r="J26" s="831"/>
      <c r="K26" s="831"/>
      <c r="L26" s="831"/>
      <c r="M26" s="174">
        <f>V23-V24</f>
        <v>-2.9956848467487807E-3</v>
      </c>
      <c r="N26" s="169">
        <f>W23-W24</f>
        <v>-1.0762939569157193E-2</v>
      </c>
      <c r="O26" s="252">
        <f>M27+[1]Panipat_248!M24</f>
        <v>7.41083246746706E-2</v>
      </c>
      <c r="P26" s="252">
        <f>+O26/2</f>
        <v>3.70541623373353E-2</v>
      </c>
      <c r="R26" s="154"/>
      <c r="S26" s="154"/>
      <c r="T26" s="154"/>
      <c r="U26" s="154"/>
      <c r="V26" s="154"/>
      <c r="W26" s="154"/>
      <c r="X26" s="155"/>
      <c r="Y26" s="156"/>
      <c r="Z26" s="154"/>
      <c r="AA26"/>
      <c r="AI26" s="178">
        <f>+M26+M27</f>
        <v>-3.9279315731396758E-2</v>
      </c>
    </row>
    <row r="27" spans="1:35" ht="18.75" customHeight="1" x14ac:dyDescent="0.25">
      <c r="C27" s="831" t="s">
        <v>215</v>
      </c>
      <c r="D27" s="831"/>
      <c r="E27" s="831"/>
      <c r="F27" s="831"/>
      <c r="G27" s="831"/>
      <c r="H27" s="831"/>
      <c r="I27" s="831"/>
      <c r="J27" s="831"/>
      <c r="K27" s="831"/>
      <c r="L27" s="831"/>
      <c r="M27" s="174">
        <f>V29-V30</f>
        <v>-3.6283630884647977E-2</v>
      </c>
      <c r="N27" s="169">
        <f>+W29-W30</f>
        <v>-6.2382440952194473E-3</v>
      </c>
      <c r="O27" s="257"/>
      <c r="P27" s="257"/>
      <c r="R27" s="154"/>
      <c r="S27" s="154"/>
      <c r="T27" s="154"/>
      <c r="U27" s="154"/>
      <c r="V27" s="154"/>
      <c r="W27" s="154"/>
      <c r="X27" s="155"/>
      <c r="Y27" s="156"/>
      <c r="Z27" s="154"/>
      <c r="AA27"/>
    </row>
    <row r="28" spans="1:35" ht="23.25" x14ac:dyDescent="0.25">
      <c r="C28" s="900" t="s">
        <v>264</v>
      </c>
      <c r="D28" s="900"/>
      <c r="E28" s="900"/>
      <c r="F28" s="900"/>
      <c r="G28" s="900"/>
      <c r="H28" s="900"/>
      <c r="I28" s="900"/>
      <c r="J28" s="900"/>
      <c r="K28" s="900"/>
      <c r="L28" s="257"/>
      <c r="M28" s="257"/>
      <c r="N28" s="257"/>
      <c r="O28" s="257"/>
      <c r="P28" s="257"/>
      <c r="R28" s="154"/>
      <c r="S28" s="154"/>
      <c r="T28" s="154"/>
      <c r="U28" s="154"/>
      <c r="V28" s="154"/>
      <c r="W28" s="154"/>
      <c r="X28" s="155"/>
      <c r="Y28" s="156"/>
      <c r="Z28" s="154"/>
      <c r="AA28"/>
    </row>
    <row r="29" spans="1:35" s="124" customFormat="1" ht="28.5" customHeight="1" x14ac:dyDescent="0.25">
      <c r="A29" s="289">
        <v>44256</v>
      </c>
      <c r="B29" s="128">
        <v>31</v>
      </c>
      <c r="C29" s="127">
        <f>C24</f>
        <v>5.5365151653902114</v>
      </c>
      <c r="D29" s="127">
        <f t="shared" ref="D29:G29" si="35">D24</f>
        <v>6.68</v>
      </c>
      <c r="E29" s="127">
        <f t="shared" si="35"/>
        <v>8.0570636708268832</v>
      </c>
      <c r="F29" s="127">
        <f t="shared" si="35"/>
        <v>7.9311330338588721</v>
      </c>
      <c r="G29" s="127">
        <f t="shared" si="35"/>
        <v>8.4568748130685609</v>
      </c>
      <c r="H29" s="127">
        <f>H8</f>
        <v>23</v>
      </c>
      <c r="I29" s="129">
        <f t="shared" ref="I29:I30" si="36">(25-(H29+20))*0.43%</f>
        <v>-7.7399999999999997E-2</v>
      </c>
      <c r="J29" s="129">
        <v>-0.151</v>
      </c>
      <c r="K29" s="129">
        <f t="shared" ref="K29:K30" si="37">SUM(I29:J29)</f>
        <v>-0.22839999999999999</v>
      </c>
      <c r="L29" s="267">
        <f t="shared" ref="L29:L30" si="38">(D29*124.4*16%)*(1+$K29)</f>
        <v>102.59094835200001</v>
      </c>
      <c r="M29" s="267">
        <f t="shared" ref="M29:N30" si="39">(E29*140/2*16%)*(1+$K29)</f>
        <v>69.62849967819227</v>
      </c>
      <c r="N29" s="267">
        <f t="shared" si="39"/>
        <v>68.540217187965666</v>
      </c>
      <c r="O29" s="267">
        <f t="shared" ref="O29:O30" si="40">(G29*124.4*16%)*(1+$K29)</f>
        <v>129.88006095312073</v>
      </c>
      <c r="P29" s="267">
        <f t="shared" ref="P29:P30" si="41">L29+M29+N29+O29</f>
        <v>370.63972617127865</v>
      </c>
      <c r="Q29" s="122">
        <f t="shared" ref="Q29:Q30" si="42">P29*B29</f>
        <v>11489.831511309638</v>
      </c>
      <c r="R29" s="269">
        <f t="shared" ref="R29:R30" si="43">L29/(19.84*24)</f>
        <v>0.21545478064516133</v>
      </c>
      <c r="S29" s="269">
        <f t="shared" ref="S29:T30" si="44">M29/(22.32/2*24)</f>
        <v>0.25996303643291613</v>
      </c>
      <c r="T29" s="269">
        <f t="shared" si="44"/>
        <v>0.25589985509246438</v>
      </c>
      <c r="U29" s="269">
        <f t="shared" ref="U29:U30" si="45">O29/(19.84*24)</f>
        <v>0.2727655849989935</v>
      </c>
      <c r="V29" s="270">
        <f t="shared" ref="V29:V30" si="46">P29/(62*24)</f>
        <v>0.24908583748069801</v>
      </c>
      <c r="W29" s="283">
        <f t="shared" ref="W29:W30" si="47">P29/(D29*62)</f>
        <v>0.8949191765773582</v>
      </c>
      <c r="X29" s="124">
        <v>10482.603115200001</v>
      </c>
      <c r="Y29" s="271">
        <f t="shared" ref="Y29:Y30" si="48">X29-Q29</f>
        <v>-1007.2283961096364</v>
      </c>
    </row>
    <row r="30" spans="1:35" s="124" customFormat="1" ht="28.5" customHeight="1" x14ac:dyDescent="0.25">
      <c r="A30" s="289">
        <v>44256</v>
      </c>
      <c r="B30" s="128">
        <v>31</v>
      </c>
      <c r="C30" s="141">
        <f>HLOOKUP('Exception Report F1'!AM3,'Solar Report_Base'!$D$177:$AH$196,6,FALSE)</f>
        <v>7.6000786140746204</v>
      </c>
      <c r="D30" s="286">
        <f>C30</f>
        <v>7.6000786140746204</v>
      </c>
      <c r="E30" s="286">
        <f>$C$30*VLOOKUP($A$30,$C$78:$G$89,3,FALSE)</f>
        <v>8.8184651259313238</v>
      </c>
      <c r="F30" s="286">
        <f>$C$30*VLOOKUP($A$30,$C$78:$G$89,4,FALSE)</f>
        <v>9.2472175457407886</v>
      </c>
      <c r="G30" s="286">
        <f>$C$30*VLOOKUP($A$30,$C$78:$G$89,5,FALSE)</f>
        <v>9.8832441692444899</v>
      </c>
      <c r="H30" s="127">
        <f>H29</f>
        <v>23</v>
      </c>
      <c r="I30" s="129">
        <f t="shared" si="36"/>
        <v>-7.7399999999999997E-2</v>
      </c>
      <c r="J30" s="129">
        <v>-0.151</v>
      </c>
      <c r="K30" s="129">
        <f t="shared" si="37"/>
        <v>-0.22839999999999999</v>
      </c>
      <c r="L30" s="267">
        <f t="shared" si="38"/>
        <v>116.72144798917205</v>
      </c>
      <c r="M30" s="267">
        <f t="shared" si="39"/>
        <v>76.208470141088441</v>
      </c>
      <c r="N30" s="267">
        <f t="shared" si="39"/>
        <v>79.913714252888255</v>
      </c>
      <c r="O30" s="267">
        <f t="shared" si="40"/>
        <v>151.78613654448603</v>
      </c>
      <c r="P30" s="267">
        <f t="shared" si="41"/>
        <v>424.62976892763481</v>
      </c>
      <c r="Q30" s="122">
        <f t="shared" si="42"/>
        <v>13163.52283675668</v>
      </c>
      <c r="R30" s="269">
        <f t="shared" si="43"/>
        <v>0.24513072914392653</v>
      </c>
      <c r="S30" s="269">
        <f t="shared" si="44"/>
        <v>0.28452983176929669</v>
      </c>
      <c r="T30" s="269">
        <f t="shared" si="44"/>
        <v>0.29836362848300568</v>
      </c>
      <c r="U30" s="269">
        <f t="shared" si="45"/>
        <v>0.31877128810585947</v>
      </c>
      <c r="V30" s="270">
        <f t="shared" si="46"/>
        <v>0.28536946836534599</v>
      </c>
      <c r="W30" s="283">
        <f t="shared" si="47"/>
        <v>0.90115742067257765</v>
      </c>
      <c r="X30" s="124">
        <v>10482.603115200001</v>
      </c>
      <c r="Y30" s="271">
        <f t="shared" si="48"/>
        <v>-2680.9197215566783</v>
      </c>
    </row>
    <row r="31" spans="1:35" ht="18.75" x14ac:dyDescent="0.25">
      <c r="C31" s="826"/>
      <c r="D31" s="826"/>
      <c r="E31" s="826"/>
      <c r="F31" s="826"/>
      <c r="G31" s="826"/>
      <c r="H31" s="826"/>
      <c r="I31" s="826"/>
      <c r="J31" s="826"/>
      <c r="K31" s="826"/>
      <c r="L31" s="257"/>
      <c r="M31" s="171" t="s">
        <v>216</v>
      </c>
      <c r="N31" s="171" t="s">
        <v>217</v>
      </c>
      <c r="O31" s="257"/>
      <c r="R31" s="154"/>
      <c r="S31" s="154"/>
      <c r="T31" s="154"/>
      <c r="U31" s="154"/>
      <c r="V31" s="270">
        <f>V29-V30</f>
        <v>-3.6283630884647977E-2</v>
      </c>
      <c r="W31" s="283"/>
      <c r="X31" s="155"/>
      <c r="Y31" s="156"/>
      <c r="Z31" s="154"/>
      <c r="AA31"/>
    </row>
    <row r="32" spans="1:35" ht="18.75" x14ac:dyDescent="0.25">
      <c r="C32" s="831" t="s">
        <v>214</v>
      </c>
      <c r="D32" s="831"/>
      <c r="E32" s="831"/>
      <c r="F32" s="831"/>
      <c r="G32" s="831"/>
      <c r="H32" s="831"/>
      <c r="I32" s="831"/>
      <c r="J32" s="831"/>
      <c r="K32" s="831"/>
      <c r="L32" s="831"/>
      <c r="M32" s="174" t="e">
        <f>+M6-M29</f>
        <v>#VALUE!</v>
      </c>
      <c r="N32" s="174" t="e">
        <f>+N6-N29</f>
        <v>#VALUE!</v>
      </c>
      <c r="O32" s="154"/>
      <c r="P32" s="195">
        <f>M27*999.4</f>
        <v>-36.26186070611719</v>
      </c>
      <c r="Q32" s="154">
        <f>[1]Panipat_248!M24*248</f>
        <v>27.377204978711006</v>
      </c>
      <c r="R32" s="154"/>
      <c r="S32" s="154"/>
      <c r="T32" s="154"/>
      <c r="U32" s="154"/>
      <c r="V32" s="154"/>
      <c r="W32" s="154"/>
      <c r="X32" s="155"/>
      <c r="Y32" s="156"/>
      <c r="Z32" s="154"/>
      <c r="AA32"/>
    </row>
    <row r="33" spans="1:27" ht="18.75" x14ac:dyDescent="0.25">
      <c r="C33" s="831" t="s">
        <v>215</v>
      </c>
      <c r="D33" s="831"/>
      <c r="E33" s="831"/>
      <c r="F33" s="831"/>
      <c r="G33" s="831"/>
      <c r="H33" s="831"/>
      <c r="I33" s="831"/>
      <c r="J33" s="831"/>
      <c r="K33" s="831"/>
      <c r="L33" s="831"/>
      <c r="M33" s="174" t="e">
        <f>+M6-M30</f>
        <v>#VALUE!</v>
      </c>
      <c r="N33" s="169" t="e">
        <f>+N6-N30</f>
        <v>#VALUE!</v>
      </c>
      <c r="O33" s="154"/>
      <c r="R33" s="154"/>
      <c r="S33" s="154"/>
      <c r="T33" s="154"/>
      <c r="U33" s="154"/>
      <c r="V33" s="154"/>
      <c r="W33" s="154"/>
      <c r="X33" s="155"/>
      <c r="Y33" s="156"/>
      <c r="Z33" s="154"/>
      <c r="AA33"/>
    </row>
    <row r="34" spans="1:27" x14ac:dyDescent="0.25">
      <c r="E34" s="154"/>
      <c r="F34" s="154"/>
      <c r="G34" s="154"/>
      <c r="H34" s="160"/>
      <c r="I34" s="161"/>
      <c r="J34" s="160"/>
      <c r="K34" s="154"/>
      <c r="M34" s="154"/>
      <c r="N34" s="154"/>
      <c r="O34" s="154"/>
      <c r="R34" s="154"/>
      <c r="S34" s="154"/>
      <c r="T34" s="154"/>
      <c r="U34" s="154"/>
      <c r="V34" s="154"/>
      <c r="W34" s="154"/>
      <c r="X34" s="155"/>
      <c r="Y34" s="156"/>
      <c r="Z34" s="154"/>
      <c r="AA34"/>
    </row>
    <row r="35" spans="1:27" x14ac:dyDescent="0.25">
      <c r="A35" s="104" t="s">
        <v>90</v>
      </c>
      <c r="C35" s="901" t="s">
        <v>263</v>
      </c>
      <c r="D35" s="901"/>
      <c r="E35" s="901"/>
      <c r="F35" s="901"/>
      <c r="G35" s="901"/>
      <c r="H35" s="901"/>
      <c r="I35" s="901"/>
      <c r="J35" s="901"/>
      <c r="K35" s="901"/>
      <c r="M35" s="154"/>
      <c r="N35" s="154"/>
      <c r="O35" s="154"/>
      <c r="R35" s="154"/>
      <c r="S35" s="154"/>
      <c r="T35" s="154"/>
      <c r="U35" s="154"/>
      <c r="V35" s="154"/>
      <c r="W35" s="154"/>
      <c r="X35" s="155"/>
      <c r="Y35" s="156"/>
      <c r="Z35" s="154"/>
      <c r="AA35"/>
    </row>
    <row r="36" spans="1:27" s="124" customFormat="1" ht="26.25" x14ac:dyDescent="0.25">
      <c r="A36" s="266">
        <v>44256</v>
      </c>
      <c r="B36" s="128">
        <v>28</v>
      </c>
      <c r="C36" s="127">
        <f>C23</f>
        <v>5.5365151653902114</v>
      </c>
      <c r="D36" s="127">
        <f t="shared" ref="D36:H36" si="49">D23</f>
        <v>6.68</v>
      </c>
      <c r="E36" s="127">
        <f t="shared" si="49"/>
        <v>8.0570636708268832</v>
      </c>
      <c r="F36" s="127">
        <f t="shared" si="49"/>
        <v>7.9311330338588721</v>
      </c>
      <c r="G36" s="127">
        <f t="shared" si="49"/>
        <v>8.4568748130685609</v>
      </c>
      <c r="H36" s="127">
        <f t="shared" si="49"/>
        <v>35</v>
      </c>
      <c r="I36" s="129">
        <f t="shared" ref="I36:I38" si="50">(25-(H36+20))*0.43%</f>
        <v>-0.129</v>
      </c>
      <c r="J36" s="129">
        <v>-0.151</v>
      </c>
      <c r="K36" s="129">
        <f t="shared" ref="K36:K38" si="51">SUM(I36:J36)</f>
        <v>-0.28000000000000003</v>
      </c>
      <c r="L36" s="267">
        <f t="shared" ref="L36:L38" si="52">(D36*124.4*16%)*(1+$K36)</f>
        <v>95.730278400000003</v>
      </c>
      <c r="M36" s="267">
        <f t="shared" ref="M36:N38" si="53">(E36*140/2*16%)*(1+$K36)</f>
        <v>64.972161441547982</v>
      </c>
      <c r="N36" s="267">
        <f t="shared" si="53"/>
        <v>63.956656785037936</v>
      </c>
      <c r="O36" s="267">
        <f t="shared" ref="O36:O38" si="54">(G36*124.4*16%)*(1+$K36)</f>
        <v>121.19445812110798</v>
      </c>
      <c r="P36" s="267">
        <f t="shared" ref="P36:P38" si="55">L36+M36+N36+O36</f>
        <v>345.85355474769386</v>
      </c>
      <c r="Q36" s="122">
        <f t="shared" ref="Q36:Q38" si="56">P36*B36</f>
        <v>9683.8995329354275</v>
      </c>
      <c r="R36" s="269">
        <f t="shared" ref="R36:R38" si="57">L36/(19.84*24)</f>
        <v>0.20104645161290324</v>
      </c>
      <c r="S36" s="269">
        <f t="shared" ref="S36:T38" si="58">M36/(22.32/2*24)</f>
        <v>0.24257826105715344</v>
      </c>
      <c r="T36" s="269">
        <f t="shared" si="58"/>
        <v>0.23878680101940683</v>
      </c>
      <c r="U36" s="269">
        <f t="shared" ref="U36:U38" si="59">O36/(19.84*24)</f>
        <v>0.25452465163203125</v>
      </c>
      <c r="V36" s="270">
        <f t="shared" ref="V36:V38" si="60">P36/(62*24)</f>
        <v>0.23242846421215985</v>
      </c>
      <c r="W36" s="283">
        <f t="shared" ref="W36:W38" si="61">P36/(D36*62)</f>
        <v>0.83507232651075403</v>
      </c>
      <c r="X36" s="124">
        <v>10482.603115200001</v>
      </c>
      <c r="Y36" s="271">
        <f>X36-Q36</f>
        <v>798.70358226457392</v>
      </c>
    </row>
    <row r="37" spans="1:27" s="124" customFormat="1" ht="28.5" customHeight="1" x14ac:dyDescent="0.25">
      <c r="A37" s="266">
        <v>44256</v>
      </c>
      <c r="B37" s="128">
        <v>28</v>
      </c>
      <c r="C37" s="127">
        <f>C36</f>
        <v>5.5365151653902114</v>
      </c>
      <c r="D37" s="127">
        <f t="shared" ref="D37:G37" si="62">D36</f>
        <v>6.68</v>
      </c>
      <c r="E37" s="127">
        <f t="shared" si="62"/>
        <v>8.0570636708268832</v>
      </c>
      <c r="F37" s="127">
        <f t="shared" si="62"/>
        <v>7.9311330338588721</v>
      </c>
      <c r="G37" s="127">
        <f t="shared" si="62"/>
        <v>8.4568748130685609</v>
      </c>
      <c r="H37" s="142">
        <f>'Solar Report_Base'!AI188</f>
        <v>33.513571428571431</v>
      </c>
      <c r="I37" s="129">
        <f t="shared" si="50"/>
        <v>-0.12260835714285716</v>
      </c>
      <c r="J37" s="129">
        <v>-0.151</v>
      </c>
      <c r="K37" s="129">
        <f t="shared" si="51"/>
        <v>-0.27360835714285714</v>
      </c>
      <c r="L37" s="267">
        <f t="shared" si="52"/>
        <v>96.580103052982864</v>
      </c>
      <c r="M37" s="267">
        <f t="shared" si="53"/>
        <v>65.548937624313268</v>
      </c>
      <c r="N37" s="267">
        <f t="shared" si="53"/>
        <v>64.524418046852972</v>
      </c>
      <c r="O37" s="267">
        <f t="shared" si="54"/>
        <v>122.27033547190672</v>
      </c>
      <c r="P37" s="267">
        <f t="shared" si="55"/>
        <v>348.92379419605584</v>
      </c>
      <c r="Q37" s="122">
        <f t="shared" si="56"/>
        <v>9769.866237489563</v>
      </c>
      <c r="R37" s="269">
        <f t="shared" si="57"/>
        <v>0.20283119760791093</v>
      </c>
      <c r="S37" s="269">
        <f t="shared" si="58"/>
        <v>0.24473169662602023</v>
      </c>
      <c r="T37" s="269">
        <f t="shared" si="58"/>
        <v>0.24090657872928975</v>
      </c>
      <c r="U37" s="269">
        <f t="shared" si="59"/>
        <v>0.2567841386758794</v>
      </c>
      <c r="V37" s="270">
        <f t="shared" si="60"/>
        <v>0.2344917971747687</v>
      </c>
      <c r="W37" s="283">
        <f t="shared" si="61"/>
        <v>0.84248549883150436</v>
      </c>
      <c r="X37" s="124">
        <v>10482.603115200001</v>
      </c>
      <c r="Y37" s="271">
        <f>X37-Q37</f>
        <v>712.73687771043842</v>
      </c>
    </row>
    <row r="38" spans="1:27" s="124" customFormat="1" ht="26.25" x14ac:dyDescent="0.25">
      <c r="A38" s="266">
        <v>44256</v>
      </c>
      <c r="B38" s="128">
        <v>28</v>
      </c>
      <c r="C38" s="278">
        <v>6.0504278168615144</v>
      </c>
      <c r="D38" s="278">
        <v>6.0504278168615144</v>
      </c>
      <c r="E38" s="278">
        <v>6.126591309017372</v>
      </c>
      <c r="F38" s="278">
        <v>6.7083173014652937</v>
      </c>
      <c r="G38" s="278">
        <v>7.5219064853127282</v>
      </c>
      <c r="H38" s="285">
        <f>H36</f>
        <v>35</v>
      </c>
      <c r="I38" s="129">
        <f t="shared" si="50"/>
        <v>-0.129</v>
      </c>
      <c r="J38" s="129">
        <v>-0.151</v>
      </c>
      <c r="K38" s="129">
        <f t="shared" si="51"/>
        <v>-0.28000000000000003</v>
      </c>
      <c r="L38" s="267">
        <f t="shared" si="52"/>
        <v>86.707954992104334</v>
      </c>
      <c r="M38" s="267">
        <f t="shared" si="53"/>
        <v>49.404832315916096</v>
      </c>
      <c r="N38" s="267">
        <f t="shared" si="53"/>
        <v>54.095870719016126</v>
      </c>
      <c r="O38" s="267">
        <f t="shared" si="54"/>
        <v>107.79553921223847</v>
      </c>
      <c r="P38" s="267">
        <f t="shared" si="55"/>
        <v>298.00419723927502</v>
      </c>
      <c r="Q38" s="122">
        <f t="shared" si="56"/>
        <v>8344.1175226997002</v>
      </c>
      <c r="R38" s="269">
        <f t="shared" si="57"/>
        <v>0.18209835977844493</v>
      </c>
      <c r="S38" s="269">
        <f t="shared" si="58"/>
        <v>0.18445651252955531</v>
      </c>
      <c r="T38" s="269">
        <f t="shared" si="58"/>
        <v>0.20197084348497654</v>
      </c>
      <c r="U38" s="269">
        <f t="shared" si="59"/>
        <v>0.22638512099344438</v>
      </c>
      <c r="V38" s="270">
        <f t="shared" si="60"/>
        <v>0.2002716379296203</v>
      </c>
      <c r="W38" s="283">
        <f t="shared" si="61"/>
        <v>0.79440982618054456</v>
      </c>
      <c r="X38" s="124">
        <v>10482.603115200001</v>
      </c>
      <c r="Y38" s="271">
        <f>X38-Q38</f>
        <v>2138.4855925003012</v>
      </c>
    </row>
    <row r="39" spans="1:27" ht="18.75" x14ac:dyDescent="0.25">
      <c r="C39" s="899"/>
      <c r="D39" s="899"/>
      <c r="E39" s="899"/>
      <c r="F39" s="899"/>
      <c r="G39" s="899"/>
      <c r="H39" s="899"/>
      <c r="I39" s="899"/>
      <c r="J39" s="899"/>
      <c r="K39" s="899"/>
      <c r="L39" s="257"/>
      <c r="M39" s="171" t="s">
        <v>216</v>
      </c>
      <c r="N39" s="171" t="s">
        <v>217</v>
      </c>
      <c r="O39" s="154"/>
      <c r="R39" s="154"/>
      <c r="S39" s="154"/>
      <c r="T39" s="154"/>
      <c r="U39" s="154"/>
      <c r="V39" s="154"/>
      <c r="W39" s="154"/>
      <c r="X39" s="155"/>
      <c r="Y39" s="156"/>
      <c r="Z39" s="154"/>
      <c r="AA39"/>
    </row>
    <row r="40" spans="1:27" ht="18.75" x14ac:dyDescent="0.25">
      <c r="C40" s="831" t="s">
        <v>214</v>
      </c>
      <c r="D40" s="831"/>
      <c r="E40" s="831"/>
      <c r="F40" s="831"/>
      <c r="G40" s="831"/>
      <c r="H40" s="831"/>
      <c r="I40" s="831"/>
      <c r="J40" s="831"/>
      <c r="K40" s="831"/>
      <c r="L40" s="831"/>
      <c r="M40" s="169">
        <f>V36-V37</f>
        <v>-2.0633329626088548E-3</v>
      </c>
      <c r="N40" s="169" t="e">
        <f>N36-#REF!</f>
        <v>#REF!</v>
      </c>
      <c r="O40" s="154"/>
      <c r="R40" s="154"/>
      <c r="S40" s="154"/>
      <c r="T40" s="154"/>
      <c r="U40" s="154"/>
      <c r="V40" s="154"/>
      <c r="W40" s="154"/>
      <c r="X40" s="155"/>
      <c r="Y40" s="156"/>
      <c r="Z40" s="154"/>
      <c r="AA40"/>
    </row>
    <row r="41" spans="1:27" ht="18.75" x14ac:dyDescent="0.25">
      <c r="C41" s="831" t="s">
        <v>215</v>
      </c>
      <c r="D41" s="831"/>
      <c r="E41" s="831"/>
      <c r="F41" s="831"/>
      <c r="G41" s="831"/>
      <c r="H41" s="831"/>
      <c r="I41" s="831"/>
      <c r="J41" s="831"/>
      <c r="K41" s="831"/>
      <c r="L41" s="831"/>
      <c r="M41" s="169">
        <f>V36-V38</f>
        <v>3.2156826282539547E-2</v>
      </c>
      <c r="N41" s="169" t="e">
        <f>N36-#REF!</f>
        <v>#REF!</v>
      </c>
      <c r="O41" s="154"/>
      <c r="R41" s="154"/>
      <c r="S41" s="154"/>
      <c r="T41" s="154"/>
      <c r="U41" s="154"/>
      <c r="V41" s="154"/>
      <c r="W41" s="154"/>
      <c r="X41" s="155"/>
      <c r="Y41" s="156"/>
      <c r="Z41" s="154"/>
      <c r="AA41"/>
    </row>
    <row r="42" spans="1:27" x14ac:dyDescent="0.25">
      <c r="E42" s="154"/>
      <c r="F42" s="154"/>
      <c r="G42" s="154"/>
      <c r="H42" s="160"/>
      <c r="I42" s="161"/>
      <c r="J42" s="160"/>
      <c r="K42" s="154"/>
      <c r="M42" s="154"/>
      <c r="N42" s="154"/>
      <c r="O42" s="154"/>
      <c r="R42" s="154"/>
      <c r="S42" s="154"/>
      <c r="T42" s="154"/>
      <c r="U42" s="154"/>
      <c r="V42" s="154"/>
      <c r="W42" s="154"/>
      <c r="X42" s="155"/>
      <c r="Y42" s="156"/>
      <c r="Z42" s="154"/>
      <c r="AA42"/>
    </row>
    <row r="43" spans="1:27" x14ac:dyDescent="0.25">
      <c r="E43" s="154"/>
      <c r="F43" s="154"/>
      <c r="G43" s="154"/>
      <c r="H43" s="160"/>
      <c r="I43" s="161"/>
      <c r="J43" s="160"/>
      <c r="K43" s="154"/>
      <c r="M43" s="154"/>
      <c r="N43" s="154"/>
      <c r="O43" s="154"/>
      <c r="R43" s="154"/>
      <c r="S43" s="154"/>
      <c r="T43" s="154"/>
      <c r="U43" s="154"/>
      <c r="V43" s="154"/>
      <c r="W43" s="154"/>
      <c r="X43" s="155"/>
      <c r="Y43" s="156"/>
      <c r="Z43" s="154"/>
      <c r="AA43"/>
    </row>
    <row r="44" spans="1:27" x14ac:dyDescent="0.25">
      <c r="E44" s="154"/>
      <c r="F44" s="154"/>
      <c r="G44" s="154"/>
      <c r="H44" s="160"/>
      <c r="I44" s="161"/>
      <c r="J44" s="160"/>
      <c r="K44" s="154"/>
      <c r="M44" s="154"/>
      <c r="N44" s="154"/>
      <c r="O44" s="154"/>
      <c r="R44" s="154"/>
      <c r="S44" s="154"/>
      <c r="T44" s="154"/>
      <c r="U44" s="154"/>
      <c r="V44" s="154"/>
      <c r="W44" s="154"/>
      <c r="X44" s="155"/>
      <c r="Y44" s="156"/>
      <c r="Z44" s="154"/>
      <c r="AA44"/>
    </row>
    <row r="45" spans="1:27" x14ac:dyDescent="0.25">
      <c r="E45" s="154"/>
      <c r="F45" s="154"/>
      <c r="G45" s="154"/>
      <c r="H45" s="160"/>
      <c r="I45" s="161"/>
      <c r="J45" s="160"/>
      <c r="K45" s="154"/>
      <c r="M45" s="154"/>
      <c r="N45" s="154"/>
      <c r="O45" s="154"/>
      <c r="R45" s="154"/>
      <c r="S45" s="154"/>
      <c r="T45" s="154"/>
      <c r="U45" s="154"/>
      <c r="V45" s="154"/>
      <c r="W45" s="154"/>
      <c r="X45" s="155"/>
      <c r="Y45" s="156"/>
      <c r="Z45" s="154"/>
      <c r="AA45"/>
    </row>
    <row r="46" spans="1:27" x14ac:dyDescent="0.25">
      <c r="E46" s="154"/>
      <c r="F46" s="154"/>
      <c r="G46" s="154"/>
      <c r="H46" s="160"/>
      <c r="I46" s="161"/>
      <c r="J46" s="160"/>
      <c r="K46" s="154"/>
      <c r="M46" s="154"/>
      <c r="N46" s="154"/>
      <c r="O46" s="154"/>
      <c r="R46" s="154"/>
      <c r="S46" s="154"/>
      <c r="T46" s="154"/>
      <c r="U46" s="154"/>
      <c r="V46" s="154"/>
      <c r="W46" s="154"/>
      <c r="X46" s="155"/>
      <c r="Y46" s="156"/>
      <c r="Z46" s="154"/>
      <c r="AA46"/>
    </row>
    <row r="47" spans="1:27" s="124" customFormat="1" ht="26.25" x14ac:dyDescent="0.25">
      <c r="A47" s="266">
        <v>43922</v>
      </c>
      <c r="B47" s="128">
        <f t="shared" ref="B47:G55" si="63">B10</f>
        <v>30</v>
      </c>
      <c r="C47" s="128">
        <f t="shared" si="63"/>
        <v>6.1581538906582507</v>
      </c>
      <c r="D47" s="128">
        <f t="shared" si="63"/>
        <v>6.7483228769219199</v>
      </c>
      <c r="E47" s="128">
        <f t="shared" si="63"/>
        <v>7.9304568091170182</v>
      </c>
      <c r="F47" s="128">
        <f t="shared" si="63"/>
        <v>8.0063936599631891</v>
      </c>
      <c r="G47" s="128">
        <f t="shared" si="63"/>
        <v>8.2507885866087225</v>
      </c>
      <c r="H47" s="142">
        <v>30.4</v>
      </c>
      <c r="I47" s="129">
        <f t="shared" ref="I47:I56" si="64">(25-(H47+20))*0.43%</f>
        <v>-0.10922</v>
      </c>
      <c r="J47" s="129">
        <v>-0.151</v>
      </c>
      <c r="K47" s="129">
        <f t="shared" ref="K47:K56" si="65">SUM(I47:J47)</f>
        <v>-0.26022000000000001</v>
      </c>
      <c r="L47" s="267">
        <f t="shared" ref="L47:L56" si="66">(D47*124.4*16%)*(1+$K47)</f>
        <v>99.366227625188586</v>
      </c>
      <c r="M47" s="267">
        <f t="shared" ref="M47:N56" si="67">(E47*140/2*16%)*(1+$K47)</f>
        <v>65.708085388384191</v>
      </c>
      <c r="N47" s="267">
        <f t="shared" si="67"/>
        <v>66.337262899796755</v>
      </c>
      <c r="O47" s="267">
        <f t="shared" ref="O47:O56" si="68">(G47*124.4*16%)*(1+$K47)</f>
        <v>121.48940584749029</v>
      </c>
      <c r="P47" s="267">
        <f t="shared" ref="P47:P56" si="69">L47+M47+N47+O47</f>
        <v>352.90098176085979</v>
      </c>
      <c r="Q47" s="122">
        <f t="shared" ref="Q47:Q56" si="70">P47*B47</f>
        <v>10587.029452825795</v>
      </c>
      <c r="R47" s="269">
        <f t="shared" ref="R47:R56" si="71">L47/(19.84*24)</f>
        <v>0.20868243368865211</v>
      </c>
      <c r="S47" s="269">
        <f t="shared" ref="S47:T56" si="72">M47/(22.32/2*24)</f>
        <v>0.24532588630669125</v>
      </c>
      <c r="T47" s="269">
        <f t="shared" si="72"/>
        <v>0.24767496602373337</v>
      </c>
      <c r="U47" s="269">
        <f t="shared" ref="U47:U56" si="73">O47/(19.84*24)</f>
        <v>0.2551440815009457</v>
      </c>
      <c r="V47" s="270">
        <f t="shared" ref="V47:V56" si="74">P47/(62*24)</f>
        <v>0.23716463828014772</v>
      </c>
      <c r="W47" s="283">
        <f t="shared" ref="W47:W67" si="75">P47/(D47*62)</f>
        <v>0.8434616159503896</v>
      </c>
      <c r="X47" s="279">
        <f t="shared" ref="X47:X55" si="76">V10-V47</f>
        <v>-2.2056458830563008E-3</v>
      </c>
      <c r="Y47" s="271">
        <f>X47-Q47</f>
        <v>-10587.031658471678</v>
      </c>
    </row>
    <row r="48" spans="1:27" ht="26.25" x14ac:dyDescent="0.25">
      <c r="A48" s="266">
        <v>43952</v>
      </c>
      <c r="B48" s="128">
        <f t="shared" si="63"/>
        <v>31</v>
      </c>
      <c r="C48" s="128">
        <f t="shared" si="63"/>
        <v>6.318754356732625</v>
      </c>
      <c r="D48" s="128">
        <f t="shared" si="63"/>
        <v>6.318754356732625</v>
      </c>
      <c r="E48" s="128">
        <f t="shared" si="63"/>
        <v>8.0570636708268832</v>
      </c>
      <c r="F48" s="128">
        <f t="shared" si="63"/>
        <v>7.9311330338588721</v>
      </c>
      <c r="G48" s="128">
        <f t="shared" si="63"/>
        <v>8.4568748130685609</v>
      </c>
      <c r="H48" s="142">
        <v>35.677419354838712</v>
      </c>
      <c r="I48" s="129">
        <f t="shared" si="64"/>
        <v>-0.13191290322580645</v>
      </c>
      <c r="J48" s="129">
        <v>-0.151</v>
      </c>
      <c r="K48" s="129">
        <f t="shared" si="65"/>
        <v>-0.28291290322580642</v>
      </c>
      <c r="L48" s="267">
        <f t="shared" si="66"/>
        <v>90.186959005151436</v>
      </c>
      <c r="M48" s="267">
        <f t="shared" si="67"/>
        <v>64.709303637866455</v>
      </c>
      <c r="N48" s="267">
        <f t="shared" si="67"/>
        <v>63.697907407453314</v>
      </c>
      <c r="O48" s="267">
        <f t="shared" si="68"/>
        <v>120.70414183220404</v>
      </c>
      <c r="P48" s="267">
        <f t="shared" si="69"/>
        <v>339.29831188267531</v>
      </c>
      <c r="Q48" s="122">
        <f t="shared" si="70"/>
        <v>10518.247668362934</v>
      </c>
      <c r="R48" s="269">
        <f t="shared" si="71"/>
        <v>0.18940473581391012</v>
      </c>
      <c r="S48" s="269">
        <f t="shared" si="72"/>
        <v>0.24159686244723136</v>
      </c>
      <c r="T48" s="269">
        <f t="shared" si="72"/>
        <v>0.23782074151528265</v>
      </c>
      <c r="U48" s="269">
        <f t="shared" si="73"/>
        <v>0.25349492152260594</v>
      </c>
      <c r="V48" s="270">
        <f t="shared" si="74"/>
        <v>0.2280230590609377</v>
      </c>
      <c r="W48" s="283">
        <f t="shared" si="75"/>
        <v>0.8660810515021059</v>
      </c>
      <c r="X48" s="279">
        <f t="shared" si="76"/>
        <v>9.2626001399934155E-4</v>
      </c>
      <c r="Y48" s="156"/>
      <c r="Z48" s="154"/>
      <c r="AA48"/>
    </row>
    <row r="49" spans="1:27" ht="26.25" x14ac:dyDescent="0.25">
      <c r="A49" s="266">
        <v>43983</v>
      </c>
      <c r="B49" s="128">
        <f t="shared" si="63"/>
        <v>30</v>
      </c>
      <c r="C49" s="128">
        <f t="shared" si="63"/>
        <v>6.68</v>
      </c>
      <c r="D49" s="128">
        <f t="shared" si="63"/>
        <v>6.68</v>
      </c>
      <c r="E49" s="128">
        <f t="shared" si="63"/>
        <v>8.1041266490765178</v>
      </c>
      <c r="F49" s="128">
        <f t="shared" si="63"/>
        <v>7.8989021084621189</v>
      </c>
      <c r="G49" s="128">
        <f t="shared" si="63"/>
        <v>8.3544063324538254</v>
      </c>
      <c r="H49" s="142">
        <v>36.018066666666662</v>
      </c>
      <c r="I49" s="129">
        <f t="shared" si="64"/>
        <v>-0.13337768666666666</v>
      </c>
      <c r="J49" s="129">
        <v>-0.151</v>
      </c>
      <c r="K49" s="129">
        <f t="shared" si="65"/>
        <v>-0.28437768666666663</v>
      </c>
      <c r="L49" s="267">
        <f t="shared" si="66"/>
        <v>95.148226784238943</v>
      </c>
      <c r="M49" s="267">
        <f t="shared" si="67"/>
        <v>64.954331233774681</v>
      </c>
      <c r="N49" s="267">
        <f t="shared" si="67"/>
        <v>63.309462716093506</v>
      </c>
      <c r="O49" s="267">
        <f t="shared" si="68"/>
        <v>118.99804616287403</v>
      </c>
      <c r="P49" s="267">
        <f t="shared" si="69"/>
        <v>342.41006689698111</v>
      </c>
      <c r="Q49" s="122">
        <f t="shared" si="70"/>
        <v>10272.302006909433</v>
      </c>
      <c r="R49" s="269">
        <f t="shared" si="71"/>
        <v>0.19982406498706096</v>
      </c>
      <c r="S49" s="269">
        <f t="shared" si="72"/>
        <v>0.24251169068762946</v>
      </c>
      <c r="T49" s="269">
        <f t="shared" si="72"/>
        <v>0.2363704551825474</v>
      </c>
      <c r="U49" s="269">
        <f t="shared" si="73"/>
        <v>0.24991189130307889</v>
      </c>
      <c r="V49" s="270">
        <f t="shared" si="74"/>
        <v>0.23011429226947655</v>
      </c>
      <c r="W49" s="283">
        <f t="shared" si="75"/>
        <v>0.82675793629752059</v>
      </c>
      <c r="X49" s="279">
        <f t="shared" si="76"/>
        <v>1.4076814687139505E-3</v>
      </c>
      <c r="Y49" s="156"/>
      <c r="Z49" s="154"/>
      <c r="AA49"/>
    </row>
    <row r="50" spans="1:27" ht="26.25" x14ac:dyDescent="0.25">
      <c r="A50" s="266">
        <v>44013</v>
      </c>
      <c r="B50" s="128">
        <f t="shared" si="63"/>
        <v>31</v>
      </c>
      <c r="C50" s="128">
        <f t="shared" si="63"/>
        <v>4.8875463547950204</v>
      </c>
      <c r="D50" s="128">
        <f t="shared" si="63"/>
        <v>4.8875463547950204</v>
      </c>
      <c r="E50" s="128">
        <f t="shared" si="63"/>
        <v>5.7914671981240344</v>
      </c>
      <c r="F50" s="128">
        <f t="shared" si="63"/>
        <v>5.7097978320130665</v>
      </c>
      <c r="G50" s="128">
        <f t="shared" si="63"/>
        <v>5.9508122185826746</v>
      </c>
      <c r="H50" s="142">
        <v>33.730709677419355</v>
      </c>
      <c r="I50" s="129">
        <f t="shared" si="64"/>
        <v>-0.12354205161290323</v>
      </c>
      <c r="J50" s="129">
        <v>-0.151</v>
      </c>
      <c r="K50" s="129">
        <f t="shared" si="65"/>
        <v>-0.27454205161290324</v>
      </c>
      <c r="L50" s="267">
        <f t="shared" si="66"/>
        <v>70.573798926213726</v>
      </c>
      <c r="M50" s="267">
        <f t="shared" si="67"/>
        <v>47.056418211064972</v>
      </c>
      <c r="N50" s="267">
        <f t="shared" si="67"/>
        <v>46.392844074273668</v>
      </c>
      <c r="O50" s="267">
        <f t="shared" si="68"/>
        <v>85.926842320357437</v>
      </c>
      <c r="P50" s="267">
        <f t="shared" si="69"/>
        <v>249.9499035319098</v>
      </c>
      <c r="Q50" s="122">
        <f t="shared" si="70"/>
        <v>7748.447009489204</v>
      </c>
      <c r="R50" s="269">
        <f t="shared" si="71"/>
        <v>0.14821446347071096</v>
      </c>
      <c r="S50" s="269">
        <f t="shared" si="72"/>
        <v>0.1756885387211207</v>
      </c>
      <c r="T50" s="269">
        <f t="shared" si="72"/>
        <v>0.17321103671697155</v>
      </c>
      <c r="U50" s="269">
        <f t="shared" si="73"/>
        <v>0.18045791817951412</v>
      </c>
      <c r="V50" s="270">
        <f t="shared" si="74"/>
        <v>0.16797708570692862</v>
      </c>
      <c r="W50" s="283">
        <f t="shared" si="75"/>
        <v>0.82484129342551515</v>
      </c>
      <c r="X50" s="279">
        <f t="shared" si="76"/>
        <v>4.7101262793141641E-3</v>
      </c>
      <c r="Y50" s="156"/>
      <c r="Z50" s="154"/>
      <c r="AA50"/>
    </row>
    <row r="51" spans="1:27" ht="26.25" x14ac:dyDescent="0.25">
      <c r="A51" s="266">
        <v>44044</v>
      </c>
      <c r="B51" s="128">
        <f t="shared" si="63"/>
        <v>31</v>
      </c>
      <c r="C51" s="128">
        <f t="shared" si="63"/>
        <v>4.5485760385466412</v>
      </c>
      <c r="D51" s="128">
        <f t="shared" si="63"/>
        <v>4.5485760385466412</v>
      </c>
      <c r="E51" s="128">
        <f t="shared" si="63"/>
        <v>5.4032447846429843</v>
      </c>
      <c r="F51" s="128">
        <f t="shared" si="63"/>
        <v>5.394256505260751</v>
      </c>
      <c r="G51" s="128">
        <f t="shared" si="63"/>
        <v>5.5191320722492687</v>
      </c>
      <c r="H51" s="142">
        <v>29.367451612903221</v>
      </c>
      <c r="I51" s="129">
        <f t="shared" si="64"/>
        <v>-0.10478004193548386</v>
      </c>
      <c r="J51" s="129">
        <v>-0.151</v>
      </c>
      <c r="K51" s="129">
        <f t="shared" si="65"/>
        <v>-0.25578004193548387</v>
      </c>
      <c r="L51" s="267">
        <f t="shared" si="66"/>
        <v>67.377847830617483</v>
      </c>
      <c r="M51" s="267">
        <f t="shared" si="67"/>
        <v>45.037469198840355</v>
      </c>
      <c r="N51" s="267">
        <f t="shared" si="67"/>
        <v>44.962549521505274</v>
      </c>
      <c r="O51" s="267">
        <f t="shared" si="68"/>
        <v>81.7546497562588</v>
      </c>
      <c r="P51" s="267">
        <f t="shared" si="69"/>
        <v>239.13251630722192</v>
      </c>
      <c r="Q51" s="122">
        <f t="shared" si="70"/>
        <v>7413.1080055238799</v>
      </c>
      <c r="R51" s="269">
        <f t="shared" si="71"/>
        <v>0.14150253660663956</v>
      </c>
      <c r="S51" s="269">
        <f t="shared" si="72"/>
        <v>0.16815064665038959</v>
      </c>
      <c r="T51" s="269">
        <f t="shared" si="72"/>
        <v>0.167870928619718</v>
      </c>
      <c r="U51" s="269">
        <f t="shared" si="73"/>
        <v>0.17169575301633655</v>
      </c>
      <c r="V51" s="270">
        <f t="shared" si="74"/>
        <v>0.16070733622797173</v>
      </c>
      <c r="W51" s="283">
        <f t="shared" si="75"/>
        <v>0.84795242220545575</v>
      </c>
      <c r="X51" s="279">
        <f t="shared" si="76"/>
        <v>3.4119527140938355E-4</v>
      </c>
      <c r="Y51" s="156"/>
      <c r="Z51" s="154"/>
      <c r="AA51"/>
    </row>
    <row r="52" spans="1:27" ht="26.25" x14ac:dyDescent="0.25">
      <c r="A52" s="266">
        <v>44075</v>
      </c>
      <c r="B52" s="128">
        <f t="shared" si="63"/>
        <v>30</v>
      </c>
      <c r="C52" s="128">
        <f t="shared" si="63"/>
        <v>5.0863896257794714</v>
      </c>
      <c r="D52" s="128">
        <f t="shared" si="63"/>
        <v>5.0863896257794714</v>
      </c>
      <c r="E52" s="128">
        <f t="shared" si="63"/>
        <v>6.5024357075885879</v>
      </c>
      <c r="F52" s="128">
        <f t="shared" si="63"/>
        <v>6.6965166441162571</v>
      </c>
      <c r="G52" s="128">
        <f t="shared" si="63"/>
        <v>6.9754489865015712</v>
      </c>
      <c r="H52" s="142">
        <v>30.017999999999994</v>
      </c>
      <c r="I52" s="129">
        <f t="shared" si="64"/>
        <v>-0.10757739999999998</v>
      </c>
      <c r="J52" s="129">
        <v>-0.151</v>
      </c>
      <c r="K52" s="129">
        <f t="shared" si="65"/>
        <v>-0.25857739999999996</v>
      </c>
      <c r="L52" s="267">
        <f t="shared" si="66"/>
        <v>75.061252653956856</v>
      </c>
      <c r="M52" s="267">
        <f t="shared" si="67"/>
        <v>53.995791232915515</v>
      </c>
      <c r="N52" s="267">
        <f t="shared" si="67"/>
        <v>55.607426349708248</v>
      </c>
      <c r="O52" s="267">
        <f t="shared" si="68"/>
        <v>102.93862194450824</v>
      </c>
      <c r="P52" s="267">
        <f t="shared" si="69"/>
        <v>287.60309218108887</v>
      </c>
      <c r="Q52" s="122">
        <f t="shared" si="70"/>
        <v>8628.0927654326661</v>
      </c>
      <c r="R52" s="269">
        <f t="shared" si="71"/>
        <v>0.1576387194513543</v>
      </c>
      <c r="S52" s="269">
        <f t="shared" si="72"/>
        <v>0.20159718948967856</v>
      </c>
      <c r="T52" s="269">
        <f t="shared" si="72"/>
        <v>0.2076143456903683</v>
      </c>
      <c r="U52" s="269">
        <f t="shared" si="73"/>
        <v>0.21618494191975018</v>
      </c>
      <c r="V52" s="270">
        <f t="shared" si="74"/>
        <v>0.19328164797116187</v>
      </c>
      <c r="W52" s="283">
        <f t="shared" si="75"/>
        <v>0.91199453691025711</v>
      </c>
      <c r="X52" s="279">
        <f t="shared" si="76"/>
        <v>-1.1007906782488641E-3</v>
      </c>
      <c r="Y52" s="156"/>
      <c r="Z52" s="154"/>
      <c r="AA52"/>
    </row>
    <row r="53" spans="1:27" ht="26.25" x14ac:dyDescent="0.25">
      <c r="A53" s="266">
        <v>44105</v>
      </c>
      <c r="B53" s="128">
        <f t="shared" si="63"/>
        <v>31</v>
      </c>
      <c r="C53" s="128">
        <f t="shared" si="63"/>
        <v>4.771659067188736</v>
      </c>
      <c r="D53" s="128">
        <f t="shared" si="63"/>
        <v>5.9160460323007884</v>
      </c>
      <c r="E53" s="128">
        <f t="shared" si="63"/>
        <v>6.2839881704507405</v>
      </c>
      <c r="F53" s="128">
        <f t="shared" si="63"/>
        <v>6.8141804262517853</v>
      </c>
      <c r="G53" s="128">
        <f t="shared" si="63"/>
        <v>7.4283751355627912</v>
      </c>
      <c r="H53" s="142">
        <v>28.87290322580645</v>
      </c>
      <c r="I53" s="129">
        <f t="shared" si="64"/>
        <v>-0.10265348387096775</v>
      </c>
      <c r="J53" s="129">
        <v>-0.151</v>
      </c>
      <c r="K53" s="129">
        <f t="shared" si="65"/>
        <v>-0.25365348387096776</v>
      </c>
      <c r="L53" s="267">
        <f t="shared" si="66"/>
        <v>87.884526556168751</v>
      </c>
      <c r="M53" s="267">
        <f t="shared" si="67"/>
        <v>52.528365998213971</v>
      </c>
      <c r="N53" s="267">
        <f t="shared" si="67"/>
        <v>56.960285999765837</v>
      </c>
      <c r="O53" s="267">
        <f t="shared" si="68"/>
        <v>110.35060043585536</v>
      </c>
      <c r="P53" s="267">
        <f t="shared" si="69"/>
        <v>307.72377899000389</v>
      </c>
      <c r="Q53" s="122">
        <f t="shared" si="70"/>
        <v>9539.43714869012</v>
      </c>
      <c r="R53" s="269">
        <f t="shared" si="71"/>
        <v>0.18456931820431946</v>
      </c>
      <c r="S53" s="269">
        <f t="shared" si="72"/>
        <v>0.19611845130754915</v>
      </c>
      <c r="T53" s="269">
        <f t="shared" si="72"/>
        <v>0.21266534498120457</v>
      </c>
      <c r="U53" s="269">
        <f t="shared" si="73"/>
        <v>0.23175109298524732</v>
      </c>
      <c r="V53" s="270">
        <f t="shared" si="74"/>
        <v>0.20680361491263702</v>
      </c>
      <c r="W53" s="283">
        <f t="shared" si="75"/>
        <v>0.83895337034303541</v>
      </c>
      <c r="X53" s="279">
        <f t="shared" si="76"/>
        <v>-1.5143302561135275E-4</v>
      </c>
      <c r="Y53" s="156"/>
      <c r="Z53" s="154"/>
      <c r="AA53"/>
    </row>
    <row r="54" spans="1:27" ht="26.25" x14ac:dyDescent="0.25">
      <c r="A54" s="266">
        <v>44136</v>
      </c>
      <c r="B54" s="128">
        <f t="shared" si="63"/>
        <v>30</v>
      </c>
      <c r="C54" s="128">
        <f t="shared" si="63"/>
        <v>3.7870999862336836</v>
      </c>
      <c r="D54" s="128">
        <f t="shared" si="63"/>
        <v>5.2869712060780119</v>
      </c>
      <c r="E54" s="128">
        <f t="shared" si="63"/>
        <v>4.9846019581652827</v>
      </c>
      <c r="F54" s="128">
        <f t="shared" si="63"/>
        <v>5.6926074327650715</v>
      </c>
      <c r="G54" s="128">
        <f t="shared" si="63"/>
        <v>6.4425606089920056</v>
      </c>
      <c r="H54" s="142">
        <v>22.577666666666666</v>
      </c>
      <c r="I54" s="129">
        <f t="shared" si="64"/>
        <v>-7.5583966666666669E-2</v>
      </c>
      <c r="J54" s="129">
        <v>-0.151</v>
      </c>
      <c r="K54" s="129">
        <f t="shared" si="65"/>
        <v>-0.22658396666666666</v>
      </c>
      <c r="L54" s="267">
        <f t="shared" si="66"/>
        <v>81.388019254387075</v>
      </c>
      <c r="M54" s="267">
        <f t="shared" si="67"/>
        <v>43.1779160313733</v>
      </c>
      <c r="N54" s="267">
        <f t="shared" si="67"/>
        <v>49.310843231697731</v>
      </c>
      <c r="O54" s="267">
        <f t="shared" si="68"/>
        <v>99.177246565934865</v>
      </c>
      <c r="P54" s="267">
        <f t="shared" si="69"/>
        <v>273.05402508339296</v>
      </c>
      <c r="Q54" s="122">
        <f t="shared" si="70"/>
        <v>8191.620752501789</v>
      </c>
      <c r="R54" s="269">
        <f t="shared" si="71"/>
        <v>0.17092577968411266</v>
      </c>
      <c r="S54" s="269">
        <f t="shared" si="72"/>
        <v>0.16120787048750485</v>
      </c>
      <c r="T54" s="269">
        <f t="shared" si="72"/>
        <v>0.18410559748991087</v>
      </c>
      <c r="U54" s="269">
        <f t="shared" si="73"/>
        <v>0.2082855480635393</v>
      </c>
      <c r="V54" s="270">
        <f t="shared" si="74"/>
        <v>0.18350404911518345</v>
      </c>
      <c r="W54" s="283">
        <f t="shared" si="75"/>
        <v>0.83300948824940857</v>
      </c>
      <c r="X54" s="279">
        <f t="shared" si="76"/>
        <v>-3.4915900203698336E-3</v>
      </c>
      <c r="Y54" s="156"/>
      <c r="Z54" s="154"/>
      <c r="AA54"/>
    </row>
    <row r="55" spans="1:27" ht="26.25" x14ac:dyDescent="0.25">
      <c r="A55" s="266">
        <v>44166</v>
      </c>
      <c r="B55" s="128">
        <f t="shared" si="63"/>
        <v>31</v>
      </c>
      <c r="C55" s="128">
        <f t="shared" si="63"/>
        <v>3.5838143692243274</v>
      </c>
      <c r="D55" s="128">
        <f t="shared" si="63"/>
        <v>5.4785715215870674</v>
      </c>
      <c r="E55" s="128">
        <f t="shared" si="63"/>
        <v>4.79773370690015</v>
      </c>
      <c r="F55" s="128">
        <f t="shared" si="63"/>
        <v>5.5413842125751467</v>
      </c>
      <c r="G55" s="128">
        <f t="shared" si="63"/>
        <v>6.6229584866991207</v>
      </c>
      <c r="H55" s="142">
        <v>19.49183870967742</v>
      </c>
      <c r="I55" s="129">
        <f t="shared" si="64"/>
        <v>-6.2314906451612924E-2</v>
      </c>
      <c r="J55" s="129">
        <v>-0.151</v>
      </c>
      <c r="K55" s="129">
        <f t="shared" si="65"/>
        <v>-0.21331490645161291</v>
      </c>
      <c r="L55" s="267">
        <f t="shared" si="66"/>
        <v>85.78445958662779</v>
      </c>
      <c r="M55" s="267">
        <f t="shared" si="67"/>
        <v>42.272222608369539</v>
      </c>
      <c r="N55" s="267">
        <f t="shared" si="67"/>
        <v>48.824432805761028</v>
      </c>
      <c r="O55" s="267">
        <f t="shared" si="68"/>
        <v>103.70347679271875</v>
      </c>
      <c r="P55" s="267">
        <f t="shared" si="69"/>
        <v>280.5845917934771</v>
      </c>
      <c r="Q55" s="122">
        <f t="shared" si="70"/>
        <v>8698.1223455977906</v>
      </c>
      <c r="R55" s="269">
        <f t="shared" si="71"/>
        <v>0.18015889530121765</v>
      </c>
      <c r="S55" s="269">
        <f t="shared" si="72"/>
        <v>0.15782639862742509</v>
      </c>
      <c r="T55" s="269">
        <f t="shared" si="72"/>
        <v>0.18228954900597752</v>
      </c>
      <c r="U55" s="269">
        <f t="shared" si="73"/>
        <v>0.21779123990406324</v>
      </c>
      <c r="V55" s="270">
        <f t="shared" si="74"/>
        <v>0.18856491383970236</v>
      </c>
      <c r="W55" s="283">
        <f t="shared" si="75"/>
        <v>0.82604706615965917</v>
      </c>
      <c r="X55" s="279">
        <f t="shared" si="76"/>
        <v>-4.6465206023397765E-3</v>
      </c>
      <c r="Y55" s="156"/>
      <c r="Z55" s="154"/>
      <c r="AA55"/>
    </row>
    <row r="56" spans="1:27" ht="26.25" x14ac:dyDescent="0.25">
      <c r="A56" s="266">
        <v>44197</v>
      </c>
      <c r="B56" s="128">
        <f t="shared" ref="B56:G56" si="77">B7</f>
        <v>31</v>
      </c>
      <c r="C56" s="128">
        <f t="shared" si="77"/>
        <v>3.7808227581550105</v>
      </c>
      <c r="D56" s="128">
        <f t="shared" si="77"/>
        <v>5.5596926229114674</v>
      </c>
      <c r="E56" s="128">
        <f t="shared" si="77"/>
        <v>5.0555829218241328</v>
      </c>
      <c r="F56" s="128">
        <f t="shared" si="77"/>
        <v>5.8088697356207479</v>
      </c>
      <c r="G56" s="128">
        <f t="shared" si="77"/>
        <v>6.7591260496365058</v>
      </c>
      <c r="H56" s="142">
        <v>17.755806451612905</v>
      </c>
      <c r="I56" s="129">
        <f t="shared" si="64"/>
        <v>-5.4849967741935492E-2</v>
      </c>
      <c r="J56" s="129">
        <v>-0.151</v>
      </c>
      <c r="K56" s="129">
        <f t="shared" si="65"/>
        <v>-0.20584996774193548</v>
      </c>
      <c r="L56" s="267">
        <f t="shared" si="66"/>
        <v>87.880739429321636</v>
      </c>
      <c r="M56" s="267">
        <f t="shared" si="67"/>
        <v>44.966783013039503</v>
      </c>
      <c r="N56" s="267">
        <f t="shared" si="67"/>
        <v>51.66687778477246</v>
      </c>
      <c r="O56" s="267">
        <f t="shared" si="68"/>
        <v>106.83989843074903</v>
      </c>
      <c r="P56" s="267">
        <f t="shared" si="69"/>
        <v>291.35429865788262</v>
      </c>
      <c r="Q56" s="122">
        <f t="shared" si="70"/>
        <v>9031.9832583943607</v>
      </c>
      <c r="R56" s="269">
        <f t="shared" si="71"/>
        <v>0.1845613647289181</v>
      </c>
      <c r="S56" s="269">
        <f t="shared" si="72"/>
        <v>0.16788673466636611</v>
      </c>
      <c r="T56" s="269">
        <f t="shared" si="72"/>
        <v>0.19290202279260923</v>
      </c>
      <c r="U56" s="269">
        <f t="shared" si="73"/>
        <v>0.22437814690597496</v>
      </c>
      <c r="V56" s="270">
        <f t="shared" si="74"/>
        <v>0.19580262006578134</v>
      </c>
      <c r="W56" s="283">
        <f t="shared" si="75"/>
        <v>0.84523789358661872</v>
      </c>
      <c r="X56" s="279">
        <f>V7-V56</f>
        <v>-2.3792753549046475E-3</v>
      </c>
      <c r="Y56" s="156"/>
      <c r="Z56" s="154"/>
      <c r="AA56"/>
    </row>
    <row r="57" spans="1:27" ht="18.75" x14ac:dyDescent="0.25">
      <c r="E57" s="154"/>
      <c r="F57" s="154"/>
      <c r="G57" s="154"/>
      <c r="H57" s="160"/>
      <c r="I57" s="161"/>
      <c r="J57" s="160"/>
      <c r="K57" s="154"/>
      <c r="M57" s="154"/>
      <c r="N57" s="154"/>
      <c r="O57" s="154"/>
      <c r="R57" s="154"/>
      <c r="S57" s="154"/>
      <c r="T57" s="154"/>
      <c r="U57" s="154"/>
      <c r="V57" s="154"/>
      <c r="W57" s="283" t="e">
        <f t="shared" si="75"/>
        <v>#DIV/0!</v>
      </c>
      <c r="X57" s="279">
        <f>AVERAGE(X46:X55)</f>
        <v>-4.6785746402103201E-4</v>
      </c>
      <c r="Y57" s="156"/>
      <c r="Z57" s="154"/>
      <c r="AA57"/>
    </row>
    <row r="58" spans="1:27" ht="26.25" x14ac:dyDescent="0.25">
      <c r="A58" s="289">
        <v>43922</v>
      </c>
      <c r="B58" s="288"/>
      <c r="C58" s="290">
        <v>6.0400448965827609</v>
      </c>
      <c r="D58" s="290">
        <v>6.0400448965827609</v>
      </c>
      <c r="E58" s="291">
        <v>7.7783563106697784</v>
      </c>
      <c r="F58" s="291">
        <v>7.8528367469433435</v>
      </c>
      <c r="G58" s="291">
        <v>8.0925443534186154</v>
      </c>
      <c r="H58" s="287">
        <f t="shared" ref="H58:H66" si="78">H10</f>
        <v>32</v>
      </c>
      <c r="I58" s="129">
        <f t="shared" ref="I58:I67" si="79">(25-(H58+20))*0.43%</f>
        <v>-0.11609999999999999</v>
      </c>
      <c r="J58" s="129">
        <v>-0.151</v>
      </c>
      <c r="K58" s="129">
        <f t="shared" ref="K58:K67" si="80">SUM(I58:J58)</f>
        <v>-0.2671</v>
      </c>
      <c r="L58" s="267">
        <f t="shared" ref="L58:L67" si="81">(D58*124.4*16%)*(1+$K58)</f>
        <v>88.110010199258397</v>
      </c>
      <c r="M58" s="267">
        <f t="shared" ref="M58:N67" si="82">(E58*140/2*16%)*(1+$K58)</f>
        <v>63.848482209006661</v>
      </c>
      <c r="N58" s="267">
        <f t="shared" si="82"/>
        <v>64.459853380549504</v>
      </c>
      <c r="O58" s="267">
        <f t="shared" ref="O58:O67" si="83">(G58*124.4*16%)*(1+$K58)</f>
        <v>118.05113665977451</v>
      </c>
      <c r="P58" s="267">
        <f t="shared" ref="P58:P67" si="84">L58+M58+N58+O58</f>
        <v>334.46948244858908</v>
      </c>
      <c r="Q58" s="122">
        <f t="shared" ref="Q58:Q67" si="85">P58*B58</f>
        <v>0</v>
      </c>
      <c r="R58" s="269">
        <f t="shared" ref="R58:R67" si="86">L58/(19.84*24)</f>
        <v>0.185042864161749</v>
      </c>
      <c r="S58" s="269">
        <f t="shared" ref="S58:T67" si="87">M58/(22.32/2*24)</f>
        <v>0.23838292342072376</v>
      </c>
      <c r="T58" s="269">
        <f t="shared" si="87"/>
        <v>0.24066552188078516</v>
      </c>
      <c r="U58" s="269">
        <f t="shared" ref="U58:U67" si="88">O58/(19.84*24)</f>
        <v>0.24792325407378721</v>
      </c>
      <c r="V58" s="270">
        <f t="shared" ref="V58:V67" si="89">P58/(62*24)</f>
        <v>0.22477787798964319</v>
      </c>
      <c r="W58" s="283">
        <f t="shared" si="75"/>
        <v>0.89315049211033937</v>
      </c>
      <c r="X58" s="279">
        <f t="shared" ref="X58:X66" si="90">V10-V58</f>
        <v>1.0181114407448233E-2</v>
      </c>
      <c r="Y58" s="156"/>
      <c r="Z58" s="154"/>
      <c r="AA58"/>
    </row>
    <row r="59" spans="1:27" ht="26.25" x14ac:dyDescent="0.25">
      <c r="A59" s="289">
        <v>43952</v>
      </c>
      <c r="B59" s="288"/>
      <c r="C59" s="290">
        <v>6.6382438492015989</v>
      </c>
      <c r="D59" s="290">
        <v>6.6382438492015989</v>
      </c>
      <c r="E59" s="291">
        <v>8.464445733438632</v>
      </c>
      <c r="F59" s="291">
        <v>8.332147778955207</v>
      </c>
      <c r="G59" s="291">
        <v>8.884472166813147</v>
      </c>
      <c r="H59" s="287">
        <f t="shared" si="78"/>
        <v>35</v>
      </c>
      <c r="I59" s="129">
        <f t="shared" si="79"/>
        <v>-0.129</v>
      </c>
      <c r="J59" s="129">
        <v>-0.151</v>
      </c>
      <c r="K59" s="129">
        <f t="shared" si="80"/>
        <v>-0.28000000000000003</v>
      </c>
      <c r="L59" s="267">
        <f t="shared" si="81"/>
        <v>95.13187601364622</v>
      </c>
      <c r="M59" s="267">
        <f t="shared" si="82"/>
        <v>68.257290394449129</v>
      </c>
      <c r="N59" s="267">
        <f t="shared" si="82"/>
        <v>67.190439689494795</v>
      </c>
      <c r="O59" s="267">
        <f t="shared" si="83"/>
        <v>127.3223044859392</v>
      </c>
      <c r="P59" s="267">
        <f t="shared" si="84"/>
        <v>357.90191058352934</v>
      </c>
      <c r="Q59" s="122">
        <f t="shared" si="85"/>
        <v>0</v>
      </c>
      <c r="R59" s="269">
        <f t="shared" si="86"/>
        <v>0.19978972617113203</v>
      </c>
      <c r="S59" s="269">
        <f t="shared" si="87"/>
        <v>0.25484352745836736</v>
      </c>
      <c r="T59" s="269">
        <f t="shared" si="87"/>
        <v>0.25086036323736105</v>
      </c>
      <c r="U59" s="269">
        <f t="shared" si="88"/>
        <v>0.2673939526334409</v>
      </c>
      <c r="V59" s="270">
        <f t="shared" si="89"/>
        <v>0.24052547754269446</v>
      </c>
      <c r="W59" s="283">
        <f t="shared" si="75"/>
        <v>0.86959918800195257</v>
      </c>
      <c r="X59" s="279">
        <f t="shared" si="90"/>
        <v>-1.1576158467757419E-2</v>
      </c>
      <c r="Y59" s="156"/>
      <c r="Z59" s="154"/>
      <c r="AA59"/>
    </row>
    <row r="60" spans="1:27" ht="26.25" x14ac:dyDescent="0.25">
      <c r="A60" s="289">
        <v>43983</v>
      </c>
      <c r="B60" s="288"/>
      <c r="C60" s="290">
        <v>6.7237956364938478</v>
      </c>
      <c r="D60" s="290">
        <v>6.7237956364938478</v>
      </c>
      <c r="E60" s="291">
        <v>8.157259191714699</v>
      </c>
      <c r="F60" s="291">
        <v>7.9506891511930613</v>
      </c>
      <c r="G60" s="291">
        <v>8.4091797670134145</v>
      </c>
      <c r="H60" s="287">
        <f t="shared" si="78"/>
        <v>35</v>
      </c>
      <c r="I60" s="129">
        <f t="shared" si="79"/>
        <v>-0.129</v>
      </c>
      <c r="J60" s="129">
        <v>-0.151</v>
      </c>
      <c r="K60" s="129">
        <f t="shared" si="80"/>
        <v>-0.28000000000000003</v>
      </c>
      <c r="L60" s="267">
        <f t="shared" si="81"/>
        <v>96.357908411116952</v>
      </c>
      <c r="M60" s="267">
        <f t="shared" si="82"/>
        <v>65.780138121987321</v>
      </c>
      <c r="N60" s="267">
        <f t="shared" si="82"/>
        <v>64.114357315220843</v>
      </c>
      <c r="O60" s="267">
        <f t="shared" si="83"/>
        <v>120.51094613949719</v>
      </c>
      <c r="P60" s="267">
        <f t="shared" si="84"/>
        <v>346.76334998782232</v>
      </c>
      <c r="Q60" s="122">
        <f t="shared" si="85"/>
        <v>0</v>
      </c>
      <c r="R60" s="269">
        <f t="shared" si="86"/>
        <v>0.20236455899512129</v>
      </c>
      <c r="S60" s="269">
        <f t="shared" si="87"/>
        <v>0.2455949003957113</v>
      </c>
      <c r="T60" s="269">
        <f t="shared" si="87"/>
        <v>0.23937558734774805</v>
      </c>
      <c r="U60" s="269">
        <f t="shared" si="88"/>
        <v>0.25308918460075858</v>
      </c>
      <c r="V60" s="270">
        <f t="shared" si="89"/>
        <v>0.23303988574450424</v>
      </c>
      <c r="W60" s="283">
        <f t="shared" si="75"/>
        <v>0.83181547450846882</v>
      </c>
      <c r="X60" s="279">
        <f t="shared" si="90"/>
        <v>-1.5179120063137375E-3</v>
      </c>
      <c r="Y60" s="156"/>
      <c r="Z60" s="154"/>
      <c r="AA60"/>
    </row>
    <row r="61" spans="1:27" ht="26.25" x14ac:dyDescent="0.25">
      <c r="A61" s="289">
        <v>44013</v>
      </c>
      <c r="B61" s="288"/>
      <c r="C61" s="290">
        <v>5.8580128318133742</v>
      </c>
      <c r="D61" s="290">
        <v>5.8580128318133742</v>
      </c>
      <c r="E61" s="291">
        <v>6.941415323529899</v>
      </c>
      <c r="F61" s="291">
        <v>6.8435297670737949</v>
      </c>
      <c r="G61" s="291">
        <v>7.1323997371337722</v>
      </c>
      <c r="H61" s="287">
        <f t="shared" si="78"/>
        <v>29</v>
      </c>
      <c r="I61" s="129">
        <f t="shared" si="79"/>
        <v>-0.1032</v>
      </c>
      <c r="J61" s="129">
        <v>-0.151</v>
      </c>
      <c r="K61" s="129">
        <f t="shared" si="80"/>
        <v>-0.25419999999999998</v>
      </c>
      <c r="L61" s="267">
        <f t="shared" si="81"/>
        <v>86.958704426211526</v>
      </c>
      <c r="M61" s="267">
        <f t="shared" si="82"/>
        <v>57.981364540832303</v>
      </c>
      <c r="N61" s="267">
        <f t="shared" si="82"/>
        <v>57.163730403176729</v>
      </c>
      <c r="O61" s="267">
        <f t="shared" si="83"/>
        <v>105.87621748158773</v>
      </c>
      <c r="P61" s="267">
        <f t="shared" si="84"/>
        <v>307.98001685180827</v>
      </c>
      <c r="Q61" s="122">
        <f t="shared" si="85"/>
        <v>0</v>
      </c>
      <c r="R61" s="269">
        <f t="shared" si="86"/>
        <v>0.18262496729295097</v>
      </c>
      <c r="S61" s="269">
        <f t="shared" si="87"/>
        <v>0.21647761551983383</v>
      </c>
      <c r="T61" s="269">
        <f t="shared" si="87"/>
        <v>0.21342491936669922</v>
      </c>
      <c r="U61" s="269">
        <f t="shared" si="88"/>
        <v>0.22235428738572693</v>
      </c>
      <c r="V61" s="270">
        <f t="shared" si="89"/>
        <v>0.20697581777675286</v>
      </c>
      <c r="W61" s="283">
        <f t="shared" si="75"/>
        <v>0.84797008290341724</v>
      </c>
      <c r="X61" s="279">
        <f t="shared" si="90"/>
        <v>-3.4288605790510074E-2</v>
      </c>
      <c r="Y61" s="156"/>
      <c r="Z61" s="154"/>
      <c r="AA61"/>
    </row>
    <row r="62" spans="1:27" ht="26.25" x14ac:dyDescent="0.25">
      <c r="A62" s="289">
        <v>44044</v>
      </c>
      <c r="B62" s="288"/>
      <c r="C62" s="290">
        <v>4.2386305057053937</v>
      </c>
      <c r="D62" s="290">
        <v>4.2386305057053937</v>
      </c>
      <c r="E62" s="291">
        <v>5.0350610784334782</v>
      </c>
      <c r="F62" s="291">
        <v>5.026685271398379</v>
      </c>
      <c r="G62" s="291">
        <v>5.143051664566098</v>
      </c>
      <c r="H62" s="287">
        <f t="shared" si="78"/>
        <v>29</v>
      </c>
      <c r="I62" s="129">
        <f t="shared" si="79"/>
        <v>-0.1032</v>
      </c>
      <c r="J62" s="129">
        <v>-0.151</v>
      </c>
      <c r="K62" s="129">
        <f t="shared" si="80"/>
        <v>-0.25419999999999998</v>
      </c>
      <c r="L62" s="267">
        <f t="shared" si="81"/>
        <v>62.919940242510769</v>
      </c>
      <c r="M62" s="267">
        <f t="shared" si="82"/>
        <v>42.057663785711711</v>
      </c>
      <c r="N62" s="267">
        <f t="shared" si="82"/>
        <v>41.987701004579804</v>
      </c>
      <c r="O62" s="267">
        <f t="shared" si="83"/>
        <v>76.345532587250318</v>
      </c>
      <c r="P62" s="267">
        <f t="shared" si="84"/>
        <v>223.31083762005261</v>
      </c>
      <c r="Q62" s="122">
        <f t="shared" si="85"/>
        <v>0</v>
      </c>
      <c r="R62" s="269">
        <f t="shared" si="86"/>
        <v>0.13214033149048801</v>
      </c>
      <c r="S62" s="269">
        <f t="shared" si="87"/>
        <v>0.15702532775429998</v>
      </c>
      <c r="T62" s="269">
        <f t="shared" si="87"/>
        <v>0.15676411665389711</v>
      </c>
      <c r="U62" s="269">
        <f t="shared" si="88"/>
        <v>0.16033587992954118</v>
      </c>
      <c r="V62" s="270">
        <f t="shared" si="89"/>
        <v>0.15007448764788481</v>
      </c>
      <c r="W62" s="283">
        <f t="shared" si="75"/>
        <v>0.84975269693856592</v>
      </c>
      <c r="X62" s="279">
        <f t="shared" si="90"/>
        <v>1.0974043851496307E-2</v>
      </c>
      <c r="Y62" s="156"/>
      <c r="Z62" s="154"/>
      <c r="AA62"/>
    </row>
    <row r="63" spans="1:27" ht="26.25" x14ac:dyDescent="0.25">
      <c r="A63" s="289">
        <v>44075</v>
      </c>
      <c r="B63" s="288"/>
      <c r="C63" s="290">
        <v>4.8864984808014293</v>
      </c>
      <c r="D63" s="290">
        <v>4.8864984808014293</v>
      </c>
      <c r="E63" s="291">
        <v>6.2468950560922316</v>
      </c>
      <c r="F63" s="291">
        <v>6.4333487631948678</v>
      </c>
      <c r="G63" s="291">
        <v>6.7013192820878906</v>
      </c>
      <c r="H63" s="287">
        <f t="shared" si="78"/>
        <v>31</v>
      </c>
      <c r="I63" s="129">
        <f t="shared" si="79"/>
        <v>-0.1118</v>
      </c>
      <c r="J63" s="129">
        <v>-0.151</v>
      </c>
      <c r="K63" s="129">
        <f t="shared" si="80"/>
        <v>-0.26279999999999998</v>
      </c>
      <c r="L63" s="267">
        <f t="shared" si="81"/>
        <v>71.700710239651784</v>
      </c>
      <c r="M63" s="267">
        <f t="shared" si="82"/>
        <v>51.578363595933368</v>
      </c>
      <c r="N63" s="267">
        <f t="shared" si="82"/>
        <v>53.117844732145272</v>
      </c>
      <c r="O63" s="267">
        <f t="shared" si="83"/>
        <v>98.329991087927382</v>
      </c>
      <c r="P63" s="267">
        <f t="shared" si="84"/>
        <v>274.72690965565783</v>
      </c>
      <c r="Q63" s="122">
        <f t="shared" si="85"/>
        <v>0</v>
      </c>
      <c r="R63" s="269">
        <f t="shared" si="86"/>
        <v>0.15058112869550527</v>
      </c>
      <c r="S63" s="269">
        <f t="shared" si="87"/>
        <v>0.19257154867059947</v>
      </c>
      <c r="T63" s="269">
        <f t="shared" si="87"/>
        <v>0.19831931276935957</v>
      </c>
      <c r="U63" s="269">
        <f t="shared" si="88"/>
        <v>0.20650619768129913</v>
      </c>
      <c r="V63" s="270">
        <f t="shared" si="89"/>
        <v>0.18462829949977005</v>
      </c>
      <c r="W63" s="283">
        <f t="shared" si="75"/>
        <v>0.90680048411019765</v>
      </c>
      <c r="X63" s="279">
        <f t="shared" si="90"/>
        <v>7.5525577931429555E-3</v>
      </c>
      <c r="Y63" s="156"/>
      <c r="Z63" s="154"/>
      <c r="AA63"/>
    </row>
    <row r="64" spans="1:27" ht="26.25" x14ac:dyDescent="0.25">
      <c r="A64" s="289">
        <v>44105</v>
      </c>
      <c r="B64" s="288"/>
      <c r="C64" s="290">
        <v>5.3551660062593118</v>
      </c>
      <c r="D64" s="290">
        <v>5.3551660062593118</v>
      </c>
      <c r="E64" s="291">
        <v>5.6882248127210833</v>
      </c>
      <c r="F64" s="291">
        <v>6.1681513598685669</v>
      </c>
      <c r="G64" s="291">
        <v>6.7241163761257976</v>
      </c>
      <c r="H64" s="287">
        <f t="shared" si="78"/>
        <v>29</v>
      </c>
      <c r="I64" s="129">
        <f t="shared" si="79"/>
        <v>-0.1032</v>
      </c>
      <c r="J64" s="129">
        <v>-0.151</v>
      </c>
      <c r="K64" s="129">
        <f t="shared" si="80"/>
        <v>-0.25419999999999998</v>
      </c>
      <c r="L64" s="267">
        <f t="shared" si="81"/>
        <v>79.494243399846951</v>
      </c>
      <c r="M64" s="267">
        <f t="shared" si="82"/>
        <v>47.513514331666698</v>
      </c>
      <c r="N64" s="267">
        <f t="shared" si="82"/>
        <v>51.522321582927745</v>
      </c>
      <c r="O64" s="267">
        <f t="shared" si="83"/>
        <v>99.815494650934198</v>
      </c>
      <c r="P64" s="267">
        <f t="shared" si="84"/>
        <v>278.34557396537559</v>
      </c>
      <c r="Q64" s="122">
        <f t="shared" si="85"/>
        <v>0</v>
      </c>
      <c r="R64" s="269">
        <f t="shared" si="86"/>
        <v>0.166948595849813</v>
      </c>
      <c r="S64" s="269">
        <f t="shared" si="87"/>
        <v>0.17739514012719046</v>
      </c>
      <c r="T64" s="269">
        <f t="shared" si="87"/>
        <v>0.19236231176421648</v>
      </c>
      <c r="U64" s="269">
        <f t="shared" si="88"/>
        <v>0.20962595482807084</v>
      </c>
      <c r="V64" s="270">
        <f t="shared" si="89"/>
        <v>0.18706019755737607</v>
      </c>
      <c r="W64" s="283">
        <f t="shared" si="75"/>
        <v>0.83833904236201084</v>
      </c>
      <c r="X64" s="279">
        <f t="shared" si="90"/>
        <v>1.9591984329649592E-2</v>
      </c>
      <c r="Y64" s="156"/>
      <c r="Z64" s="154"/>
      <c r="AA64"/>
    </row>
    <row r="65" spans="1:27" ht="26.25" x14ac:dyDescent="0.25">
      <c r="A65" s="289">
        <v>44136</v>
      </c>
      <c r="B65" s="288"/>
      <c r="C65" s="290">
        <v>4.9469274360272575</v>
      </c>
      <c r="D65" s="290">
        <v>4.9469274360272575</v>
      </c>
      <c r="E65" s="291">
        <v>4.6640057649973858</v>
      </c>
      <c r="F65" s="291">
        <v>5.3264742314661842</v>
      </c>
      <c r="G65" s="291">
        <v>6.0281924362008255</v>
      </c>
      <c r="H65" s="287">
        <f t="shared" si="78"/>
        <v>26</v>
      </c>
      <c r="I65" s="129">
        <f t="shared" si="79"/>
        <v>-9.0300000000000005E-2</v>
      </c>
      <c r="J65" s="129">
        <v>-0.151</v>
      </c>
      <c r="K65" s="129">
        <f t="shared" si="80"/>
        <v>-0.24130000000000001</v>
      </c>
      <c r="L65" s="267">
        <f t="shared" si="81"/>
        <v>74.704366465089066</v>
      </c>
      <c r="M65" s="267">
        <f t="shared" si="82"/>
        <v>39.63210914771939</v>
      </c>
      <c r="N65" s="267">
        <f t="shared" si="82"/>
        <v>45.261395193430012</v>
      </c>
      <c r="O65" s="267">
        <f t="shared" si="83"/>
        <v>91.032727425182145</v>
      </c>
      <c r="P65" s="267">
        <f t="shared" si="84"/>
        <v>250.63059823142061</v>
      </c>
      <c r="Q65" s="122">
        <f t="shared" si="85"/>
        <v>0</v>
      </c>
      <c r="R65" s="269">
        <f t="shared" si="86"/>
        <v>0.15688921048615817</v>
      </c>
      <c r="S65" s="269">
        <f t="shared" si="87"/>
        <v>0.14796934418951382</v>
      </c>
      <c r="T65" s="269">
        <f t="shared" si="87"/>
        <v>0.16898669053699972</v>
      </c>
      <c r="U65" s="269">
        <f t="shared" si="88"/>
        <v>0.19118096317452568</v>
      </c>
      <c r="V65" s="270">
        <f t="shared" si="89"/>
        <v>0.16843454182219128</v>
      </c>
      <c r="W65" s="283">
        <f t="shared" si="75"/>
        <v>0.81715955125853945</v>
      </c>
      <c r="X65" s="279">
        <f t="shared" si="90"/>
        <v>1.1577917272622334E-2</v>
      </c>
      <c r="Y65" s="156"/>
      <c r="Z65" s="154"/>
      <c r="AA65"/>
    </row>
    <row r="66" spans="1:27" ht="26.25" x14ac:dyDescent="0.25">
      <c r="A66" s="289">
        <v>44166</v>
      </c>
      <c r="B66" s="288"/>
      <c r="C66" s="290">
        <v>5.0250550216159589</v>
      </c>
      <c r="D66" s="290">
        <v>5.0250550216159589</v>
      </c>
      <c r="E66" s="291">
        <v>4.4005770046515211</v>
      </c>
      <c r="F66" s="291">
        <v>5.0826680740379571</v>
      </c>
      <c r="G66" s="291">
        <v>6.0747095607689472</v>
      </c>
      <c r="H66" s="287">
        <f t="shared" si="78"/>
        <v>24</v>
      </c>
      <c r="I66" s="129">
        <f t="shared" si="79"/>
        <v>-8.1699999999999995E-2</v>
      </c>
      <c r="J66" s="129">
        <v>-0.151</v>
      </c>
      <c r="K66" s="129">
        <f t="shared" si="80"/>
        <v>-0.23269999999999999</v>
      </c>
      <c r="L66" s="267">
        <f t="shared" si="81"/>
        <v>76.744344788782257</v>
      </c>
      <c r="M66" s="267">
        <f t="shared" si="82"/>
        <v>37.817502639494059</v>
      </c>
      <c r="N66" s="267">
        <f t="shared" si="82"/>
        <v>43.679229587944434</v>
      </c>
      <c r="O66" s="267">
        <f t="shared" si="83"/>
        <v>92.775024953546364</v>
      </c>
      <c r="P66" s="267">
        <f t="shared" si="84"/>
        <v>251.01610196976711</v>
      </c>
      <c r="Q66" s="122">
        <f t="shared" si="85"/>
        <v>0</v>
      </c>
      <c r="R66" s="269">
        <f t="shared" si="86"/>
        <v>0.16117343915654878</v>
      </c>
      <c r="S66" s="269">
        <f t="shared" si="87"/>
        <v>0.14119437962774065</v>
      </c>
      <c r="T66" s="269">
        <f t="shared" si="87"/>
        <v>0.1630795608868893</v>
      </c>
      <c r="U66" s="269">
        <f t="shared" si="88"/>
        <v>0.19484002216386587</v>
      </c>
      <c r="V66" s="270">
        <f t="shared" si="89"/>
        <v>0.16869361691516607</v>
      </c>
      <c r="W66" s="283">
        <f t="shared" si="75"/>
        <v>0.80569203492263863</v>
      </c>
      <c r="X66" s="279">
        <f t="shared" si="90"/>
        <v>1.5224776322196515E-2</v>
      </c>
      <c r="Y66" s="156"/>
      <c r="Z66" s="154"/>
      <c r="AA66"/>
    </row>
    <row r="67" spans="1:27" ht="26.25" x14ac:dyDescent="0.25">
      <c r="A67" s="289">
        <v>44197</v>
      </c>
      <c r="B67" s="288"/>
      <c r="C67" s="290">
        <v>4.5349293782047839</v>
      </c>
      <c r="D67" s="290">
        <v>4.5349293782047839</v>
      </c>
      <c r="E67" s="291">
        <v>4.1237372407333748</v>
      </c>
      <c r="F67" s="291">
        <v>4.7381781341062945</v>
      </c>
      <c r="G67" s="291">
        <v>5.5132830846022722</v>
      </c>
      <c r="H67" s="287">
        <f>H7</f>
        <v>20</v>
      </c>
      <c r="I67" s="129">
        <f t="shared" si="79"/>
        <v>-6.4500000000000002E-2</v>
      </c>
      <c r="J67" s="129">
        <v>-0.151</v>
      </c>
      <c r="K67" s="129">
        <f t="shared" si="80"/>
        <v>-0.2155</v>
      </c>
      <c r="L67" s="267">
        <f t="shared" si="81"/>
        <v>70.811507342701702</v>
      </c>
      <c r="M67" s="267">
        <f t="shared" si="82"/>
        <v>36.232804891979718</v>
      </c>
      <c r="N67" s="267">
        <f t="shared" si="82"/>
        <v>41.631528357511542</v>
      </c>
      <c r="O67" s="267">
        <f t="shared" si="83"/>
        <v>86.088195221742083</v>
      </c>
      <c r="P67" s="267">
        <f t="shared" si="84"/>
        <v>234.76403581393504</v>
      </c>
      <c r="Q67" s="122">
        <f t="shared" si="85"/>
        <v>0</v>
      </c>
      <c r="R67" s="269">
        <f t="shared" si="86"/>
        <v>0.14871368309539168</v>
      </c>
      <c r="S67" s="269">
        <f t="shared" si="87"/>
        <v>0.13527779604233764</v>
      </c>
      <c r="T67" s="269">
        <f t="shared" si="87"/>
        <v>0.15543432033121093</v>
      </c>
      <c r="U67" s="269">
        <f t="shared" si="88"/>
        <v>0.1807967809596398</v>
      </c>
      <c r="V67" s="270">
        <f t="shared" si="89"/>
        <v>0.15777152944484882</v>
      </c>
      <c r="W67" s="283">
        <f t="shared" si="75"/>
        <v>0.83496707244762391</v>
      </c>
      <c r="X67" s="279">
        <f>V7-V67</f>
        <v>3.565181526602787E-2</v>
      </c>
      <c r="Y67" s="156"/>
      <c r="Z67" s="154"/>
      <c r="AA67"/>
    </row>
    <row r="68" spans="1:27" x14ac:dyDescent="0.25">
      <c r="E68" s="154"/>
      <c r="F68" s="154"/>
      <c r="G68" s="154"/>
      <c r="H68" s="160"/>
      <c r="I68" s="161"/>
      <c r="J68" s="160"/>
      <c r="K68" s="154"/>
      <c r="M68" s="154"/>
      <c r="N68" s="154"/>
      <c r="O68" s="154"/>
      <c r="R68" s="154"/>
      <c r="S68" s="154"/>
      <c r="T68" s="154"/>
      <c r="U68" s="154"/>
      <c r="V68" s="154"/>
      <c r="W68" s="154"/>
      <c r="X68" s="155"/>
      <c r="Y68" s="156"/>
      <c r="Z68" s="154"/>
      <c r="AA68"/>
    </row>
    <row r="69" spans="1:27" x14ac:dyDescent="0.25">
      <c r="E69" s="154"/>
      <c r="F69" s="154"/>
      <c r="G69" s="154"/>
      <c r="H69" s="160"/>
      <c r="I69" s="161"/>
      <c r="J69" s="160"/>
      <c r="K69" s="154"/>
      <c r="M69" s="154"/>
      <c r="N69" s="154"/>
      <c r="O69" s="154"/>
      <c r="R69" s="154"/>
      <c r="S69" s="154"/>
      <c r="T69" s="154"/>
      <c r="U69" s="154"/>
      <c r="V69" s="154"/>
      <c r="W69" s="154"/>
      <c r="X69" s="304">
        <f>AVERAGE(X58:X67)</f>
        <v>6.3371532978002574E-3</v>
      </c>
      <c r="Y69" s="156"/>
      <c r="Z69" s="154"/>
      <c r="AA69"/>
    </row>
    <row r="70" spans="1:27" x14ac:dyDescent="0.25">
      <c r="E70" s="154"/>
      <c r="F70" s="154"/>
      <c r="G70" s="154"/>
      <c r="H70" s="160"/>
      <c r="I70" s="161"/>
      <c r="J70" s="160"/>
      <c r="K70" s="154"/>
      <c r="M70" s="154"/>
      <c r="N70" s="154"/>
      <c r="O70" s="154"/>
      <c r="R70" s="154"/>
      <c r="S70" s="154"/>
      <c r="T70" s="154"/>
      <c r="U70" s="154"/>
      <c r="V70" s="154"/>
      <c r="W70" s="154"/>
      <c r="X70" s="155"/>
      <c r="Y70" s="156"/>
      <c r="Z70" s="154"/>
      <c r="AA70"/>
    </row>
    <row r="71" spans="1:27" x14ac:dyDescent="0.25">
      <c r="E71" s="154"/>
      <c r="F71" s="154"/>
      <c r="G71" s="154"/>
      <c r="H71" s="160"/>
      <c r="I71" s="161"/>
      <c r="J71" s="160"/>
      <c r="K71" s="154"/>
      <c r="M71" s="154"/>
      <c r="N71" s="154"/>
      <c r="O71" s="154"/>
      <c r="R71" s="154"/>
      <c r="S71" s="154"/>
      <c r="T71" s="154"/>
      <c r="U71" s="154"/>
      <c r="V71" s="154"/>
      <c r="W71" s="154"/>
      <c r="X71" s="155"/>
      <c r="Y71" s="156"/>
      <c r="Z71" s="154"/>
      <c r="AA71"/>
    </row>
    <row r="72" spans="1:27" x14ac:dyDescent="0.25">
      <c r="E72" s="154"/>
      <c r="F72" s="154"/>
      <c r="G72" s="154"/>
      <c r="H72" s="160"/>
      <c r="I72" s="161"/>
      <c r="J72" s="160"/>
      <c r="K72" s="154"/>
      <c r="M72" s="154"/>
      <c r="N72" s="154"/>
      <c r="O72" s="154"/>
      <c r="R72" s="154"/>
      <c r="S72" s="154"/>
      <c r="T72" s="154"/>
      <c r="U72" s="154"/>
      <c r="V72" s="154"/>
      <c r="W72" s="154"/>
      <c r="X72" s="155"/>
      <c r="Y72" s="156"/>
      <c r="Z72" s="154"/>
      <c r="AA72"/>
    </row>
    <row r="73" spans="1:27" x14ac:dyDescent="0.25">
      <c r="E73" s="154"/>
      <c r="F73" s="154"/>
      <c r="G73" s="154"/>
      <c r="H73" s="160"/>
      <c r="I73" s="161"/>
      <c r="J73" s="160"/>
      <c r="K73" s="154"/>
      <c r="M73" s="154"/>
      <c r="N73" s="154"/>
      <c r="O73" s="154"/>
      <c r="R73" s="154"/>
      <c r="S73" s="154"/>
      <c r="T73" s="154"/>
      <c r="U73" s="154"/>
      <c r="V73" s="154"/>
      <c r="W73" s="154"/>
      <c r="X73" s="155"/>
      <c r="Y73" s="156"/>
      <c r="Z73" s="154"/>
      <c r="AA73"/>
    </row>
    <row r="74" spans="1:27" x14ac:dyDescent="0.25">
      <c r="E74" s="154"/>
      <c r="F74" s="154"/>
      <c r="G74" s="154"/>
      <c r="H74" s="160"/>
      <c r="I74" s="161"/>
      <c r="J74" s="160"/>
      <c r="K74" s="154"/>
      <c r="M74" s="154"/>
      <c r="N74" s="154"/>
      <c r="O74" s="154"/>
      <c r="R74" s="154"/>
      <c r="S74" s="154"/>
      <c r="T74" s="154"/>
      <c r="U74" s="154"/>
      <c r="V74" s="154"/>
      <c r="W74" s="154"/>
      <c r="X74" s="155"/>
      <c r="Y74" s="156"/>
      <c r="Z74" s="154"/>
      <c r="AA74"/>
    </row>
    <row r="75" spans="1:27" x14ac:dyDescent="0.25">
      <c r="E75" s="154"/>
      <c r="F75" s="154"/>
      <c r="G75" s="154"/>
      <c r="H75" s="160"/>
      <c r="I75" s="161"/>
      <c r="J75" s="160"/>
      <c r="K75" s="154"/>
      <c r="M75" s="154"/>
      <c r="N75" s="154"/>
      <c r="O75" s="154"/>
      <c r="R75" s="154"/>
      <c r="S75" s="154"/>
      <c r="T75" s="154"/>
      <c r="U75" s="154"/>
      <c r="V75" s="154"/>
      <c r="W75" s="154"/>
      <c r="X75" s="155"/>
      <c r="Y75" s="156"/>
      <c r="Z75" s="154"/>
      <c r="AA75"/>
    </row>
    <row r="76" spans="1:27" x14ac:dyDescent="0.25">
      <c r="E76" s="154"/>
      <c r="F76" s="154"/>
      <c r="G76" s="154"/>
      <c r="H76" s="160"/>
      <c r="I76" s="161"/>
      <c r="J76" s="160"/>
      <c r="K76" s="154"/>
      <c r="M76" s="154"/>
      <c r="N76" s="154"/>
      <c r="O76" s="154"/>
      <c r="R76" s="154"/>
      <c r="S76" s="154"/>
      <c r="T76" s="154"/>
      <c r="U76" s="154"/>
      <c r="V76" s="154"/>
      <c r="W76" s="154"/>
      <c r="X76" s="155"/>
      <c r="Y76" s="156"/>
      <c r="Z76" s="154"/>
      <c r="AA76"/>
    </row>
    <row r="77" spans="1:27" ht="15.75" x14ac:dyDescent="0.25">
      <c r="C77" s="293"/>
      <c r="D77" s="293" t="s">
        <v>269</v>
      </c>
      <c r="E77" s="293" t="s">
        <v>269</v>
      </c>
      <c r="F77" s="293" t="s">
        <v>269</v>
      </c>
      <c r="G77" s="293" t="s">
        <v>269</v>
      </c>
      <c r="H77" s="160"/>
      <c r="I77" s="161"/>
      <c r="J77" s="160"/>
      <c r="K77" s="154"/>
      <c r="M77" s="154"/>
      <c r="N77" s="154"/>
      <c r="O77" s="154"/>
      <c r="R77" s="154"/>
      <c r="S77" s="154"/>
      <c r="T77" s="154"/>
      <c r="U77" s="154"/>
      <c r="V77" s="154"/>
      <c r="W77" s="154"/>
      <c r="X77" s="155"/>
      <c r="Y77" s="156"/>
      <c r="Z77" s="154"/>
      <c r="AA77"/>
    </row>
    <row r="78" spans="1:27" ht="21" x14ac:dyDescent="0.25">
      <c r="C78" s="295">
        <v>44197</v>
      </c>
      <c r="D78" s="294">
        <v>1</v>
      </c>
      <c r="E78" s="294">
        <v>0.90932777488275141</v>
      </c>
      <c r="F78" s="294">
        <v>1.0448185051962087</v>
      </c>
      <c r="G78" s="294">
        <v>1.2157373632100053</v>
      </c>
      <c r="H78" s="160"/>
      <c r="I78" s="161"/>
      <c r="J78" s="160"/>
      <c r="K78" s="154"/>
      <c r="M78" s="154"/>
      <c r="N78" s="154"/>
      <c r="O78" s="154"/>
      <c r="R78" s="154"/>
      <c r="S78" s="154"/>
      <c r="T78" s="154"/>
      <c r="U78" s="154"/>
      <c r="V78" s="154"/>
      <c r="W78" s="154"/>
      <c r="X78" s="155"/>
      <c r="Y78" s="156"/>
      <c r="Z78" s="154"/>
      <c r="AA78"/>
    </row>
    <row r="79" spans="1:27" ht="21" x14ac:dyDescent="0.25">
      <c r="C79" s="295">
        <v>44228</v>
      </c>
      <c r="D79" s="294">
        <v>1</v>
      </c>
      <c r="E79" s="294">
        <v>1.012588116817724</v>
      </c>
      <c r="F79" s="294">
        <v>1.1087343745793239</v>
      </c>
      <c r="G79" s="294">
        <v>1.243202416918429</v>
      </c>
      <c r="H79" s="160"/>
      <c r="I79" s="161"/>
      <c r="J79" s="160"/>
      <c r="K79" s="154"/>
      <c r="M79" s="154"/>
      <c r="N79" s="154"/>
      <c r="O79" s="154"/>
      <c r="R79" s="154"/>
      <c r="S79" s="154"/>
      <c r="T79" s="154"/>
      <c r="U79" s="154"/>
      <c r="V79" s="154"/>
      <c r="W79" s="154"/>
      <c r="X79" s="155"/>
      <c r="Y79" s="156"/>
      <c r="Z79" s="154"/>
      <c r="AA79"/>
    </row>
    <row r="80" spans="1:27" ht="21" x14ac:dyDescent="0.25">
      <c r="C80" s="295">
        <v>44256</v>
      </c>
      <c r="D80" s="294">
        <v>1</v>
      </c>
      <c r="E80" s="294">
        <v>1.1603123564538356</v>
      </c>
      <c r="F80" s="294">
        <v>1.2167265649878705</v>
      </c>
      <c r="G80" s="294">
        <v>1.300413412953606</v>
      </c>
      <c r="H80" s="160"/>
      <c r="I80" s="161"/>
      <c r="J80" s="160"/>
      <c r="K80" s="154"/>
      <c r="M80" s="154"/>
      <c r="N80" s="154"/>
      <c r="O80" s="154"/>
      <c r="R80" s="154"/>
      <c r="S80" s="154"/>
      <c r="T80" s="154"/>
      <c r="U80" s="154"/>
      <c r="V80" s="154"/>
      <c r="W80" s="154"/>
      <c r="X80" s="155"/>
      <c r="Y80" s="156"/>
      <c r="Z80" s="154"/>
      <c r="AA80"/>
    </row>
    <row r="81" spans="3:27" ht="21" x14ac:dyDescent="0.25">
      <c r="C81" s="295">
        <v>43922</v>
      </c>
      <c r="D81" s="294">
        <v>1</v>
      </c>
      <c r="E81" s="294">
        <v>1.2877977637335927</v>
      </c>
      <c r="F81" s="294">
        <v>1.3001288701324381</v>
      </c>
      <c r="G81" s="294">
        <v>1.339815264948955</v>
      </c>
      <c r="H81" s="160"/>
      <c r="I81" s="161"/>
      <c r="J81" s="160"/>
      <c r="K81" s="154"/>
      <c r="M81" s="154"/>
      <c r="N81" s="154"/>
      <c r="O81" s="154"/>
      <c r="R81" s="154"/>
      <c r="S81" s="154"/>
      <c r="T81" s="154"/>
      <c r="U81" s="154"/>
      <c r="V81" s="154"/>
      <c r="W81" s="154"/>
      <c r="X81" s="155"/>
      <c r="Y81" s="156"/>
      <c r="Z81" s="154"/>
      <c r="AA81"/>
    </row>
    <row r="82" spans="3:27" ht="21" x14ac:dyDescent="0.25">
      <c r="C82" s="295">
        <v>43952</v>
      </c>
      <c r="D82" s="294">
        <v>1</v>
      </c>
      <c r="E82" s="294">
        <v>1.2751031636863828</v>
      </c>
      <c r="F82" s="294">
        <v>1.2551735019431891</v>
      </c>
      <c r="G82" s="294">
        <v>1.3383768913342504</v>
      </c>
      <c r="H82" s="160"/>
      <c r="I82" s="161"/>
      <c r="J82" s="160"/>
      <c r="K82" s="154"/>
      <c r="M82" s="154"/>
      <c r="N82" s="154"/>
      <c r="O82" s="154"/>
      <c r="R82" s="154"/>
      <c r="S82" s="154"/>
      <c r="T82" s="154"/>
      <c r="U82" s="154"/>
      <c r="V82" s="154"/>
      <c r="W82" s="154"/>
      <c r="X82" s="155"/>
      <c r="Y82" s="156"/>
      <c r="Z82" s="154"/>
      <c r="AA82"/>
    </row>
    <row r="83" spans="3:27" ht="21" x14ac:dyDescent="0.25">
      <c r="C83" s="295">
        <v>43983</v>
      </c>
      <c r="D83" s="294">
        <v>1</v>
      </c>
      <c r="E83" s="294">
        <v>1.2131926121372032</v>
      </c>
      <c r="F83" s="294">
        <v>1.182470375518281</v>
      </c>
      <c r="G83" s="294">
        <v>1.2506596306068603</v>
      </c>
      <c r="H83" s="160"/>
      <c r="I83" s="161"/>
      <c r="J83" s="160"/>
      <c r="K83" s="154"/>
      <c r="M83" s="154"/>
      <c r="N83" s="154"/>
      <c r="O83" s="154"/>
      <c r="R83" s="154"/>
      <c r="S83" s="154"/>
      <c r="T83" s="154"/>
      <c r="U83" s="154"/>
      <c r="V83" s="154"/>
      <c r="W83" s="154"/>
      <c r="X83" s="155"/>
      <c r="Y83" s="156"/>
      <c r="Z83" s="154"/>
      <c r="AA83"/>
    </row>
    <row r="84" spans="3:27" ht="21" x14ac:dyDescent="0.25">
      <c r="C84" s="295">
        <v>44013</v>
      </c>
      <c r="D84" s="294">
        <v>1</v>
      </c>
      <c r="E84" s="294">
        <v>1.1849436870183758</v>
      </c>
      <c r="F84" s="294">
        <v>1.1682340007704195</v>
      </c>
      <c r="G84" s="294">
        <v>1.2175459395376409</v>
      </c>
      <c r="H84" s="160"/>
      <c r="I84" s="161"/>
      <c r="J84" s="160"/>
      <c r="K84" s="154"/>
      <c r="M84" s="154"/>
      <c r="N84" s="154"/>
      <c r="O84" s="154"/>
      <c r="R84" s="154"/>
      <c r="S84" s="154"/>
      <c r="T84" s="154"/>
      <c r="U84" s="154"/>
      <c r="V84" s="154"/>
      <c r="W84" s="154"/>
      <c r="X84" s="155"/>
      <c r="Y84" s="156"/>
      <c r="Z84" s="154"/>
      <c r="AA84"/>
    </row>
    <row r="85" spans="3:27" ht="21" x14ac:dyDescent="0.25">
      <c r="C85" s="295">
        <v>44044</v>
      </c>
      <c r="D85" s="294">
        <v>1</v>
      </c>
      <c r="E85" s="294">
        <v>1.1878980891719746</v>
      </c>
      <c r="F85" s="294">
        <v>1.1859220247276161</v>
      </c>
      <c r="G85" s="294">
        <v>1.213375796178344</v>
      </c>
      <c r="H85" s="160"/>
      <c r="I85" s="161"/>
      <c r="J85" s="160"/>
      <c r="K85" s="154"/>
      <c r="M85" s="154"/>
      <c r="N85" s="154"/>
      <c r="O85" s="154"/>
      <c r="R85" s="154"/>
      <c r="S85" s="154"/>
      <c r="T85" s="154"/>
      <c r="U85" s="154"/>
      <c r="V85" s="154"/>
      <c r="W85" s="154"/>
      <c r="X85" s="155"/>
      <c r="Y85" s="156"/>
      <c r="Z85" s="154"/>
      <c r="AA85"/>
    </row>
    <row r="86" spans="3:27" ht="21" x14ac:dyDescent="0.25">
      <c r="C86" s="295">
        <v>44075</v>
      </c>
      <c r="D86" s="294">
        <v>1</v>
      </c>
      <c r="E86" s="294">
        <v>1.2783990582695703</v>
      </c>
      <c r="F86" s="294">
        <v>1.3165559732538263</v>
      </c>
      <c r="G86" s="294">
        <v>1.3713949381989405</v>
      </c>
      <c r="H86" s="160"/>
      <c r="I86" s="161"/>
      <c r="J86" s="160"/>
      <c r="K86" s="154"/>
      <c r="M86" s="154"/>
      <c r="N86" s="154"/>
      <c r="O86" s="154"/>
      <c r="R86" s="154"/>
      <c r="S86" s="154"/>
      <c r="T86" s="154"/>
      <c r="U86" s="154"/>
      <c r="V86" s="154"/>
      <c r="W86" s="154"/>
      <c r="X86" s="155"/>
      <c r="Y86" s="156"/>
      <c r="Z86" s="154"/>
      <c r="AA86"/>
    </row>
    <row r="87" spans="3:27" ht="21" x14ac:dyDescent="0.25">
      <c r="C87" s="295">
        <v>44105</v>
      </c>
      <c r="D87" s="294">
        <v>1</v>
      </c>
      <c r="E87" s="294">
        <v>1.0621939275220373</v>
      </c>
      <c r="F87" s="294">
        <v>1.1518132869567457</v>
      </c>
      <c r="G87" s="294">
        <v>1.2556317335945151</v>
      </c>
      <c r="H87" s="160"/>
      <c r="I87" s="161"/>
      <c r="J87" s="160"/>
      <c r="K87" s="154"/>
      <c r="M87" s="154"/>
      <c r="N87" s="154"/>
      <c r="O87" s="154"/>
      <c r="R87" s="154"/>
      <c r="S87" s="154"/>
      <c r="T87" s="154"/>
      <c r="U87" s="154"/>
      <c r="V87" s="154"/>
      <c r="W87" s="154"/>
      <c r="X87" s="155"/>
      <c r="Y87" s="156"/>
      <c r="Z87" s="154"/>
      <c r="AA87"/>
    </row>
    <row r="88" spans="3:27" ht="21" x14ac:dyDescent="0.25">
      <c r="C88" s="295">
        <v>44136</v>
      </c>
      <c r="D88" s="294">
        <v>1</v>
      </c>
      <c r="E88" s="294">
        <v>0.94280860702151748</v>
      </c>
      <c r="F88" s="294">
        <v>1.0767237442528024</v>
      </c>
      <c r="G88" s="294">
        <v>1.2185730464326161</v>
      </c>
      <c r="H88" s="160"/>
      <c r="I88" s="161"/>
      <c r="J88" s="160"/>
      <c r="K88" s="154"/>
      <c r="M88" s="154"/>
      <c r="N88" s="154"/>
      <c r="O88" s="154"/>
      <c r="R88" s="154"/>
      <c r="S88" s="154"/>
      <c r="T88" s="154"/>
      <c r="U88" s="154"/>
      <c r="V88" s="154"/>
      <c r="W88" s="154"/>
      <c r="X88" s="155"/>
      <c r="Y88" s="156"/>
      <c r="Z88" s="154"/>
      <c r="AA88"/>
    </row>
    <row r="89" spans="3:27" ht="21" x14ac:dyDescent="0.25">
      <c r="C89" s="295">
        <v>44166</v>
      </c>
      <c r="D89" s="294">
        <v>1</v>
      </c>
      <c r="E89" s="294">
        <v>0.87572712850343737</v>
      </c>
      <c r="F89" s="294">
        <v>1.0114651585254624</v>
      </c>
      <c r="G89" s="294">
        <v>1.2088841882601797</v>
      </c>
      <c r="H89" s="160"/>
      <c r="I89" s="161"/>
      <c r="J89" s="160"/>
      <c r="K89" s="154"/>
      <c r="M89" s="154"/>
      <c r="N89" s="154"/>
      <c r="O89" s="154"/>
      <c r="R89" s="154"/>
      <c r="S89" s="154"/>
      <c r="T89" s="154"/>
      <c r="U89" s="154"/>
      <c r="V89" s="154"/>
      <c r="W89" s="154"/>
      <c r="X89" s="155"/>
      <c r="Y89" s="156"/>
      <c r="Z89" s="154"/>
      <c r="AA89"/>
    </row>
    <row r="90" spans="3:27" x14ac:dyDescent="0.25">
      <c r="E90" s="154"/>
      <c r="F90" s="154"/>
      <c r="G90" s="154"/>
      <c r="H90" s="160"/>
      <c r="I90" s="161"/>
      <c r="J90" s="160"/>
      <c r="K90" s="154"/>
      <c r="M90" s="154"/>
      <c r="N90" s="154"/>
      <c r="O90" s="154"/>
      <c r="R90" s="154"/>
      <c r="S90" s="154"/>
      <c r="T90" s="154"/>
      <c r="U90" s="154"/>
      <c r="V90" s="154"/>
      <c r="W90" s="154"/>
      <c r="X90" s="155"/>
      <c r="Y90" s="156"/>
      <c r="Z90" s="154"/>
      <c r="AA90"/>
    </row>
    <row r="91" spans="3:27" x14ac:dyDescent="0.25">
      <c r="E91" s="154"/>
      <c r="F91" s="154"/>
      <c r="G91" s="154"/>
      <c r="H91" s="160"/>
      <c r="I91" s="161"/>
      <c r="J91" s="160"/>
      <c r="K91" s="154"/>
      <c r="M91" s="154"/>
      <c r="N91" s="154"/>
      <c r="O91" s="154"/>
      <c r="R91" s="154"/>
      <c r="S91" s="154"/>
      <c r="T91" s="154"/>
      <c r="U91" s="154"/>
      <c r="V91" s="154"/>
      <c r="W91" s="154"/>
      <c r="X91" s="155"/>
      <c r="Y91" s="156"/>
      <c r="Z91" s="154"/>
      <c r="AA91"/>
    </row>
    <row r="92" spans="3:27" x14ac:dyDescent="0.25">
      <c r="E92" s="154"/>
      <c r="F92" s="154"/>
      <c r="G92" s="154"/>
      <c r="H92" s="160"/>
      <c r="I92" s="161"/>
      <c r="J92" s="160"/>
      <c r="K92" s="154"/>
      <c r="M92" s="154"/>
      <c r="N92" s="154"/>
      <c r="O92" s="154"/>
      <c r="R92" s="154"/>
      <c r="S92" s="154"/>
      <c r="T92" s="154"/>
      <c r="U92" s="154"/>
      <c r="V92" s="154"/>
      <c r="W92" s="154"/>
      <c r="X92" s="155"/>
      <c r="Y92" s="156"/>
      <c r="Z92" s="154"/>
      <c r="AA92"/>
    </row>
    <row r="93" spans="3:27" x14ac:dyDescent="0.25">
      <c r="E93" s="154"/>
      <c r="F93" s="154"/>
      <c r="G93" s="154"/>
      <c r="H93" s="160"/>
      <c r="I93" s="161"/>
      <c r="J93" s="160"/>
      <c r="K93" s="154"/>
      <c r="M93" s="154"/>
      <c r="N93" s="154"/>
      <c r="O93" s="154"/>
      <c r="R93" s="154"/>
      <c r="S93" s="154"/>
      <c r="T93" s="154"/>
      <c r="U93" s="154"/>
      <c r="V93" s="154"/>
      <c r="W93" s="154"/>
      <c r="X93" s="155"/>
      <c r="Y93" s="156"/>
      <c r="Z93" s="154"/>
      <c r="AA93"/>
    </row>
    <row r="94" spans="3:27" x14ac:dyDescent="0.25">
      <c r="E94" s="154"/>
      <c r="F94" s="154"/>
      <c r="G94" s="154"/>
      <c r="H94" s="160"/>
      <c r="I94" s="161"/>
      <c r="J94" s="160"/>
      <c r="K94" s="154"/>
      <c r="M94" s="154"/>
      <c r="N94" s="154"/>
      <c r="O94" s="154"/>
      <c r="R94" s="154"/>
      <c r="S94" s="154"/>
      <c r="T94" s="154"/>
      <c r="U94" s="154"/>
      <c r="V94" s="154"/>
      <c r="W94" s="154"/>
      <c r="X94" s="155"/>
      <c r="Y94" s="156"/>
      <c r="Z94" s="154"/>
      <c r="AA94"/>
    </row>
    <row r="95" spans="3:27" x14ac:dyDescent="0.25">
      <c r="E95" s="154"/>
      <c r="F95" s="154"/>
      <c r="G95" s="154"/>
      <c r="H95" s="160"/>
      <c r="I95" s="161"/>
      <c r="J95" s="160"/>
      <c r="K95" s="154"/>
      <c r="M95" s="154"/>
      <c r="N95" s="154"/>
      <c r="O95" s="154"/>
      <c r="R95" s="154"/>
      <c r="S95" s="154"/>
      <c r="T95" s="154"/>
      <c r="U95" s="154"/>
      <c r="V95" s="154"/>
      <c r="W95" s="154"/>
      <c r="X95" s="155"/>
      <c r="Y95" s="156"/>
      <c r="Z95" s="154"/>
      <c r="AA95"/>
    </row>
    <row r="96" spans="3:27" x14ac:dyDescent="0.25">
      <c r="E96" s="154"/>
      <c r="F96" s="154"/>
      <c r="G96" s="154"/>
      <c r="H96" s="160"/>
      <c r="I96" s="161"/>
      <c r="J96" s="160"/>
      <c r="K96" s="154"/>
      <c r="M96" s="154"/>
      <c r="N96" s="154"/>
      <c r="O96" s="154"/>
      <c r="R96" s="154"/>
      <c r="S96" s="154"/>
      <c r="T96" s="154"/>
      <c r="U96" s="154"/>
      <c r="V96" s="154"/>
      <c r="W96" s="154"/>
      <c r="X96" s="155"/>
      <c r="Y96" s="156"/>
      <c r="Z96" s="154"/>
      <c r="AA96"/>
    </row>
    <row r="97" spans="5:27" x14ac:dyDescent="0.25">
      <c r="E97" s="154"/>
      <c r="F97" s="154"/>
      <c r="G97" s="154"/>
      <c r="H97" s="160"/>
      <c r="I97" s="161"/>
      <c r="J97" s="160"/>
      <c r="K97" s="154"/>
      <c r="M97" s="154"/>
      <c r="N97" s="154"/>
      <c r="O97" s="154"/>
      <c r="R97" s="154"/>
      <c r="S97" s="154"/>
      <c r="T97" s="154"/>
      <c r="U97" s="154"/>
      <c r="V97" s="154"/>
      <c r="W97" s="154"/>
      <c r="X97" s="155"/>
      <c r="Y97" s="156"/>
      <c r="Z97" s="154"/>
      <c r="AA97"/>
    </row>
    <row r="98" spans="5:27" x14ac:dyDescent="0.25">
      <c r="E98" s="154"/>
      <c r="F98" s="154"/>
      <c r="G98" s="154"/>
      <c r="H98" s="160"/>
      <c r="I98" s="161"/>
      <c r="J98" s="160"/>
      <c r="K98" s="154"/>
      <c r="M98" s="154"/>
      <c r="N98" s="154"/>
      <c r="O98" s="154"/>
      <c r="R98" s="154"/>
      <c r="S98" s="154"/>
      <c r="T98" s="154"/>
      <c r="U98" s="154"/>
      <c r="V98" s="154"/>
      <c r="W98" s="154"/>
      <c r="X98" s="155"/>
      <c r="Y98" s="156"/>
      <c r="Z98" s="154"/>
      <c r="AA98"/>
    </row>
    <row r="99" spans="5:27" x14ac:dyDescent="0.25">
      <c r="E99" s="154"/>
      <c r="F99" s="154"/>
      <c r="G99" s="154"/>
      <c r="H99" s="160"/>
      <c r="I99" s="161"/>
      <c r="J99" s="160"/>
      <c r="K99" s="154"/>
      <c r="M99" s="154"/>
      <c r="N99" s="154"/>
      <c r="O99" s="154"/>
      <c r="R99" s="154"/>
      <c r="S99" s="154"/>
      <c r="T99" s="154"/>
      <c r="U99" s="154"/>
      <c r="V99" s="154"/>
      <c r="W99" s="154"/>
      <c r="X99" s="155"/>
      <c r="Y99" s="156"/>
      <c r="Z99" s="154"/>
      <c r="AA99"/>
    </row>
    <row r="100" spans="5:27" x14ac:dyDescent="0.25">
      <c r="E100" s="154"/>
      <c r="F100" s="154"/>
      <c r="G100" s="154"/>
      <c r="H100" s="160"/>
      <c r="I100" s="161"/>
      <c r="J100" s="160"/>
      <c r="K100" s="154"/>
      <c r="M100" s="154"/>
      <c r="N100" s="154"/>
      <c r="O100" s="154"/>
      <c r="R100" s="154"/>
      <c r="S100" s="154"/>
      <c r="T100" s="154"/>
      <c r="U100" s="154"/>
      <c r="V100" s="154"/>
      <c r="W100" s="154"/>
      <c r="X100" s="155"/>
      <c r="Y100" s="156"/>
      <c r="Z100" s="154"/>
      <c r="AA100"/>
    </row>
    <row r="101" spans="5:27" x14ac:dyDescent="0.25">
      <c r="E101" s="154"/>
      <c r="F101" s="154"/>
      <c r="G101" s="154"/>
      <c r="H101" s="160"/>
      <c r="I101" s="161"/>
      <c r="J101" s="160"/>
      <c r="K101" s="154"/>
      <c r="M101" s="154"/>
      <c r="N101" s="154"/>
      <c r="O101" s="154"/>
      <c r="R101" s="154"/>
      <c r="S101" s="154"/>
      <c r="T101" s="154"/>
      <c r="U101" s="154"/>
      <c r="V101" s="154"/>
      <c r="W101" s="154"/>
      <c r="X101" s="155"/>
      <c r="Y101" s="156"/>
      <c r="Z101" s="154"/>
      <c r="AA101"/>
    </row>
    <row r="102" spans="5:27" x14ac:dyDescent="0.25">
      <c r="E102" s="154"/>
      <c r="F102" s="154"/>
      <c r="G102" s="154"/>
      <c r="H102" s="160"/>
      <c r="I102" s="161"/>
      <c r="J102" s="160"/>
      <c r="K102" s="154"/>
      <c r="M102" s="154"/>
      <c r="N102" s="154"/>
      <c r="O102" s="154"/>
      <c r="R102" s="154"/>
      <c r="S102" s="154"/>
      <c r="T102" s="154"/>
      <c r="U102" s="154"/>
      <c r="V102" s="154"/>
      <c r="W102" s="154"/>
      <c r="X102" s="155"/>
      <c r="Y102" s="156"/>
      <c r="Z102" s="154"/>
      <c r="AA102"/>
    </row>
    <row r="103" spans="5:27" x14ac:dyDescent="0.25">
      <c r="E103" s="154"/>
      <c r="F103" s="154"/>
      <c r="G103" s="154"/>
      <c r="H103" s="160"/>
      <c r="I103" s="161"/>
      <c r="J103" s="160"/>
      <c r="K103" s="154"/>
      <c r="M103" s="154"/>
      <c r="N103" s="154"/>
      <c r="O103" s="154"/>
      <c r="R103" s="154"/>
      <c r="S103" s="154"/>
      <c r="T103" s="154"/>
      <c r="U103" s="154"/>
      <c r="V103" s="154"/>
      <c r="W103" s="154"/>
      <c r="X103" s="155"/>
      <c r="Y103" s="156"/>
      <c r="Z103" s="154"/>
      <c r="AA103"/>
    </row>
    <row r="104" spans="5:27" x14ac:dyDescent="0.25">
      <c r="E104" s="154"/>
      <c r="F104" s="154"/>
      <c r="G104" s="154"/>
      <c r="H104" s="160"/>
      <c r="I104" s="161"/>
      <c r="J104" s="160"/>
      <c r="K104" s="154"/>
      <c r="M104" s="154"/>
      <c r="N104" s="154"/>
      <c r="O104" s="154"/>
      <c r="R104" s="154"/>
      <c r="S104" s="154"/>
      <c r="T104" s="154"/>
      <c r="U104" s="154"/>
      <c r="V104" s="154"/>
      <c r="W104" s="154"/>
      <c r="X104" s="155"/>
      <c r="Y104" s="156"/>
      <c r="Z104" s="154"/>
      <c r="AA104"/>
    </row>
    <row r="105" spans="5:27" x14ac:dyDescent="0.25">
      <c r="E105" s="154"/>
      <c r="F105" s="154"/>
      <c r="G105" s="154"/>
      <c r="H105" s="160"/>
      <c r="I105" s="161"/>
      <c r="J105" s="160"/>
      <c r="K105" s="154"/>
      <c r="M105" s="154"/>
      <c r="N105" s="154"/>
      <c r="O105" s="154"/>
      <c r="R105" s="154"/>
      <c r="S105" s="154"/>
      <c r="T105" s="154"/>
      <c r="U105" s="154"/>
      <c r="V105" s="154"/>
      <c r="W105" s="154"/>
      <c r="X105" s="155"/>
      <c r="Y105" s="156"/>
      <c r="Z105" s="154"/>
      <c r="AA105"/>
    </row>
    <row r="106" spans="5:27" x14ac:dyDescent="0.25">
      <c r="E106" s="154"/>
      <c r="F106" s="154"/>
      <c r="G106" s="154"/>
      <c r="H106" s="160"/>
      <c r="I106" s="161"/>
      <c r="J106" s="160"/>
      <c r="K106" s="154"/>
      <c r="M106" s="154"/>
      <c r="N106" s="154"/>
      <c r="O106" s="154"/>
      <c r="R106" s="154"/>
      <c r="S106" s="154"/>
      <c r="T106" s="154"/>
      <c r="U106" s="154"/>
      <c r="V106" s="154"/>
      <c r="W106" s="154"/>
      <c r="X106" s="155"/>
      <c r="Y106" s="156"/>
      <c r="Z106" s="154"/>
      <c r="AA106"/>
    </row>
    <row r="107" spans="5:27" x14ac:dyDescent="0.25">
      <c r="E107" s="154"/>
      <c r="F107" s="154"/>
      <c r="G107" s="154"/>
      <c r="H107" s="160"/>
      <c r="I107" s="161"/>
      <c r="J107" s="160"/>
      <c r="K107" s="154"/>
      <c r="M107" s="154"/>
      <c r="N107" s="154"/>
      <c r="O107" s="154"/>
      <c r="R107" s="154"/>
      <c r="S107" s="154"/>
      <c r="T107" s="154"/>
      <c r="U107" s="154"/>
      <c r="V107" s="154"/>
      <c r="W107" s="154"/>
      <c r="X107" s="155"/>
      <c r="Y107" s="156"/>
      <c r="Z107" s="154"/>
      <c r="AA107"/>
    </row>
  </sheetData>
  <mergeCells count="20">
    <mergeCell ref="R2:V2"/>
    <mergeCell ref="C4:D4"/>
    <mergeCell ref="C39:K39"/>
    <mergeCell ref="C40:L40"/>
    <mergeCell ref="C41:L41"/>
    <mergeCell ref="C27:L27"/>
    <mergeCell ref="C28:K28"/>
    <mergeCell ref="C31:K31"/>
    <mergeCell ref="C32:L32"/>
    <mergeCell ref="C33:L33"/>
    <mergeCell ref="C35:K35"/>
    <mergeCell ref="C25:K25"/>
    <mergeCell ref="C22:K22"/>
    <mergeCell ref="C26:L26"/>
    <mergeCell ref="L2:P2"/>
    <mergeCell ref="A1:K1"/>
    <mergeCell ref="A2:A5"/>
    <mergeCell ref="C2:G2"/>
    <mergeCell ref="H2:H3"/>
    <mergeCell ref="I2:K2"/>
  </mergeCells>
  <printOptions horizontalCentered="1"/>
  <pageMargins left="0.45" right="0.45" top="0.75" bottom="0.75" header="0.3" footer="0.3"/>
  <pageSetup scale="35" orientation="landscape" r:id="rId1"/>
  <colBreaks count="1" manualBreakCount="1">
    <brk id="17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2"/>
  <sheetViews>
    <sheetView topLeftCell="A5" workbookViewId="0">
      <selection activeCell="A12" sqref="A12:N12"/>
    </sheetView>
  </sheetViews>
  <sheetFormatPr defaultColWidth="9.140625" defaultRowHeight="15" x14ac:dyDescent="0.25"/>
  <cols>
    <col min="1" max="1" width="14.28515625" style="104" customWidth="1"/>
    <col min="2" max="2" width="8.7109375" style="104" customWidth="1"/>
    <col min="3" max="3" width="15.42578125" style="159" customWidth="1"/>
    <col min="4" max="4" width="14.42578125" style="159" customWidth="1"/>
    <col min="5" max="5" width="20.140625" style="154" customWidth="1"/>
    <col min="6" max="6" width="18" style="154" customWidth="1"/>
    <col min="7" max="7" width="9.140625" style="154" customWidth="1"/>
    <col min="8" max="8" width="18.5703125" style="160" customWidth="1"/>
    <col min="9" max="9" width="15.85546875" style="161" customWidth="1"/>
    <col min="10" max="10" width="10.85546875" style="160" customWidth="1"/>
    <col min="11" max="14" width="16.85546875" style="154" customWidth="1"/>
    <col min="15" max="16" width="18.7109375" style="154" hidden="1" customWidth="1"/>
    <col min="17" max="17" width="14.140625" style="154" hidden="1" customWidth="1"/>
    <col min="18" max="18" width="17" style="154" hidden="1" customWidth="1"/>
    <col min="19" max="20" width="11.5703125" style="154" hidden="1" customWidth="1"/>
    <col min="21" max="21" width="11.5703125" style="155" hidden="1" customWidth="1"/>
    <col min="22" max="22" width="11.5703125" style="156" hidden="1" customWidth="1"/>
    <col min="23" max="23" width="11.5703125" style="154" hidden="1" customWidth="1"/>
    <col min="24" max="24" width="8.85546875" hidden="1" customWidth="1"/>
    <col min="25" max="28" width="13.42578125" style="104" hidden="1" customWidth="1"/>
    <col min="29" max="33" width="0" style="104" hidden="1" customWidth="1"/>
    <col min="34" max="16384" width="9.140625" style="104"/>
  </cols>
  <sheetData>
    <row r="1" spans="1:256" ht="28.5" x14ac:dyDescent="0.25">
      <c r="A1" s="832" t="s">
        <v>204</v>
      </c>
      <c r="B1" s="832"/>
      <c r="C1" s="832"/>
      <c r="D1" s="832"/>
      <c r="E1" s="832"/>
      <c r="F1" s="832"/>
      <c r="G1" s="832"/>
      <c r="H1" s="832"/>
      <c r="I1" s="832"/>
      <c r="J1" s="832"/>
      <c r="K1" s="832"/>
      <c r="L1" s="832"/>
      <c r="M1" s="98">
        <v>43889</v>
      </c>
      <c r="N1" s="98"/>
      <c r="O1" s="99" t="s">
        <v>119</v>
      </c>
      <c r="P1" s="100">
        <f>2630*2</f>
        <v>5260</v>
      </c>
      <c r="Q1" s="100" t="s">
        <v>120</v>
      </c>
      <c r="R1" s="168"/>
      <c r="S1" s="101"/>
      <c r="T1" s="101"/>
      <c r="U1" s="102"/>
      <c r="V1" s="103"/>
      <c r="W1" s="101"/>
    </row>
    <row r="2" spans="1:256" x14ac:dyDescent="0.25">
      <c r="A2" s="833" t="s">
        <v>121</v>
      </c>
      <c r="B2" s="833" t="s">
        <v>122</v>
      </c>
      <c r="C2" s="836" t="s">
        <v>123</v>
      </c>
      <c r="D2" s="836"/>
      <c r="E2" s="836"/>
      <c r="F2" s="885" t="s">
        <v>205</v>
      </c>
      <c r="G2" s="830" t="s">
        <v>125</v>
      </c>
      <c r="H2" s="837" t="s">
        <v>126</v>
      </c>
      <c r="I2" s="837"/>
      <c r="J2" s="837"/>
      <c r="K2" s="830" t="s">
        <v>127</v>
      </c>
      <c r="L2" s="830" t="s">
        <v>127</v>
      </c>
      <c r="M2" s="830" t="s">
        <v>128</v>
      </c>
      <c r="N2" s="827" t="s">
        <v>129</v>
      </c>
      <c r="O2" s="105" t="s">
        <v>130</v>
      </c>
      <c r="P2" s="146">
        <f>1.96*0.99</f>
        <v>1.9403999999999999</v>
      </c>
      <c r="Q2" s="105" t="s">
        <v>131</v>
      </c>
      <c r="R2" s="105"/>
      <c r="S2" s="105"/>
      <c r="T2" s="105"/>
      <c r="U2" s="107"/>
      <c r="V2" s="108"/>
      <c r="W2" s="105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/>
      <c r="EL2" s="109"/>
      <c r="EM2" s="109"/>
      <c r="EN2" s="109"/>
      <c r="EO2" s="109"/>
      <c r="EP2" s="109"/>
      <c r="EQ2" s="109"/>
      <c r="ER2" s="109"/>
      <c r="ES2" s="109"/>
      <c r="ET2" s="109"/>
      <c r="EU2" s="109"/>
      <c r="EV2" s="109"/>
      <c r="EW2" s="109"/>
      <c r="EX2" s="109"/>
      <c r="EY2" s="109"/>
      <c r="EZ2" s="109"/>
      <c r="FA2" s="109"/>
      <c r="FB2" s="109"/>
      <c r="FC2" s="109"/>
      <c r="FD2" s="109"/>
      <c r="FE2" s="109"/>
      <c r="FF2" s="109"/>
      <c r="FG2" s="109"/>
      <c r="FH2" s="109"/>
      <c r="FI2" s="109"/>
      <c r="FJ2" s="109"/>
      <c r="FK2" s="109"/>
      <c r="FL2" s="109"/>
      <c r="FM2" s="109"/>
      <c r="FN2" s="109"/>
      <c r="FO2" s="109"/>
      <c r="FP2" s="109"/>
      <c r="FQ2" s="109"/>
      <c r="FR2" s="109"/>
      <c r="FS2" s="109"/>
      <c r="FT2" s="109"/>
      <c r="FU2" s="109"/>
      <c r="FV2" s="109"/>
      <c r="FW2" s="109"/>
      <c r="FX2" s="109"/>
      <c r="FY2" s="109"/>
      <c r="FZ2" s="109"/>
      <c r="GA2" s="109"/>
      <c r="GB2" s="109"/>
      <c r="GC2" s="109"/>
      <c r="GD2" s="109"/>
      <c r="GE2" s="109"/>
      <c r="GF2" s="109"/>
      <c r="GG2" s="109"/>
      <c r="GH2" s="109"/>
      <c r="GI2" s="109"/>
      <c r="GJ2" s="109"/>
      <c r="GK2" s="109"/>
      <c r="GL2" s="109"/>
      <c r="GM2" s="109"/>
      <c r="GN2" s="109"/>
      <c r="GO2" s="109"/>
      <c r="GP2" s="109"/>
      <c r="GQ2" s="109"/>
      <c r="GR2" s="109"/>
      <c r="GS2" s="109"/>
      <c r="GT2" s="109"/>
      <c r="GU2" s="109"/>
      <c r="GV2" s="109"/>
      <c r="GW2" s="109"/>
      <c r="GX2" s="109"/>
      <c r="GY2" s="109"/>
      <c r="GZ2" s="109"/>
      <c r="HA2" s="109"/>
      <c r="HB2" s="109"/>
      <c r="HC2" s="109"/>
      <c r="HD2" s="109"/>
      <c r="HE2" s="109"/>
      <c r="HF2" s="109"/>
      <c r="HG2" s="109"/>
      <c r="HH2" s="109"/>
      <c r="HI2" s="109"/>
      <c r="HJ2" s="109"/>
      <c r="HK2" s="109"/>
      <c r="HL2" s="109"/>
      <c r="HM2" s="109"/>
      <c r="HN2" s="109"/>
      <c r="HO2" s="109"/>
      <c r="HP2" s="109"/>
      <c r="HQ2" s="109"/>
      <c r="HR2" s="109"/>
      <c r="HS2" s="109"/>
      <c r="HT2" s="109"/>
      <c r="HU2" s="109"/>
      <c r="HV2" s="109"/>
      <c r="HW2" s="109"/>
      <c r="HX2" s="109"/>
      <c r="HY2" s="109"/>
      <c r="HZ2" s="109"/>
      <c r="IA2" s="109"/>
      <c r="IB2" s="109"/>
      <c r="IC2" s="109"/>
      <c r="ID2" s="109"/>
      <c r="IE2" s="109"/>
      <c r="IF2" s="109"/>
      <c r="IG2" s="109"/>
      <c r="IH2" s="109"/>
      <c r="II2" s="109"/>
      <c r="IJ2" s="109"/>
      <c r="IK2" s="109"/>
      <c r="IL2" s="109"/>
      <c r="IM2" s="109"/>
      <c r="IN2" s="109"/>
      <c r="IO2" s="109"/>
      <c r="IP2" s="109"/>
      <c r="IQ2" s="109"/>
      <c r="IR2" s="109"/>
      <c r="IS2" s="109"/>
      <c r="IT2" s="109"/>
      <c r="IU2" s="109"/>
      <c r="IV2" s="109"/>
    </row>
    <row r="3" spans="1:256" ht="75" x14ac:dyDescent="0.25">
      <c r="A3" s="834"/>
      <c r="B3" s="834"/>
      <c r="C3" s="110" t="s">
        <v>132</v>
      </c>
      <c r="D3" s="110" t="s">
        <v>206</v>
      </c>
      <c r="E3" s="111" t="s">
        <v>207</v>
      </c>
      <c r="F3" s="885"/>
      <c r="G3" s="830"/>
      <c r="H3" s="111" t="s">
        <v>135</v>
      </c>
      <c r="I3" s="112" t="s">
        <v>136</v>
      </c>
      <c r="J3" s="113" t="s">
        <v>137</v>
      </c>
      <c r="K3" s="830"/>
      <c r="L3" s="830"/>
      <c r="M3" s="830"/>
      <c r="N3" s="827"/>
      <c r="O3" s="105" t="s">
        <v>138</v>
      </c>
      <c r="P3" s="114">
        <f>P1*P2</f>
        <v>10206.503999999999</v>
      </c>
      <c r="Q3" s="105" t="s">
        <v>131</v>
      </c>
      <c r="R3" s="115" t="s">
        <v>139</v>
      </c>
      <c r="S3" s="105" t="s">
        <v>140</v>
      </c>
      <c r="T3" s="115" t="s">
        <v>141</v>
      </c>
      <c r="U3" s="107" t="s">
        <v>142</v>
      </c>
      <c r="V3" s="108"/>
      <c r="W3" s="105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09"/>
      <c r="HD3" s="109"/>
      <c r="HE3" s="109"/>
      <c r="HF3" s="109"/>
      <c r="HG3" s="109"/>
      <c r="HH3" s="109"/>
      <c r="HI3" s="109"/>
      <c r="HJ3" s="109"/>
      <c r="HK3" s="109"/>
      <c r="HL3" s="109"/>
      <c r="HM3" s="109"/>
      <c r="HN3" s="109"/>
      <c r="HO3" s="109"/>
      <c r="HP3" s="109"/>
      <c r="HQ3" s="109"/>
      <c r="HR3" s="109"/>
      <c r="HS3" s="109"/>
      <c r="HT3" s="109"/>
      <c r="HU3" s="109"/>
      <c r="HV3" s="109"/>
      <c r="HW3" s="109"/>
      <c r="HX3" s="109"/>
      <c r="HY3" s="109"/>
      <c r="HZ3" s="109"/>
      <c r="IA3" s="109"/>
      <c r="IB3" s="109"/>
      <c r="IC3" s="109"/>
      <c r="ID3" s="109"/>
      <c r="IE3" s="109"/>
      <c r="IF3" s="109"/>
      <c r="IG3" s="109"/>
      <c r="IH3" s="109"/>
      <c r="II3" s="109"/>
      <c r="IJ3" s="109"/>
      <c r="IK3" s="109"/>
      <c r="IL3" s="109"/>
      <c r="IM3" s="109"/>
      <c r="IN3" s="109"/>
      <c r="IO3" s="109"/>
      <c r="IP3" s="109"/>
      <c r="IQ3" s="109"/>
      <c r="IR3" s="109"/>
      <c r="IS3" s="109"/>
      <c r="IT3" s="109"/>
      <c r="IU3" s="109"/>
      <c r="IV3" s="109"/>
    </row>
    <row r="4" spans="1:256" x14ac:dyDescent="0.25">
      <c r="A4" s="834"/>
      <c r="B4" s="834"/>
      <c r="C4" s="828" t="s">
        <v>143</v>
      </c>
      <c r="D4" s="828"/>
      <c r="E4" s="111" t="s">
        <v>144</v>
      </c>
      <c r="F4" s="111" t="s">
        <v>144</v>
      </c>
      <c r="G4" s="111" t="s">
        <v>145</v>
      </c>
      <c r="H4" s="111" t="s">
        <v>0</v>
      </c>
      <c r="I4" s="111" t="s">
        <v>0</v>
      </c>
      <c r="J4" s="111" t="s">
        <v>0</v>
      </c>
      <c r="K4" s="111" t="s">
        <v>144</v>
      </c>
      <c r="L4" s="111" t="s">
        <v>144</v>
      </c>
      <c r="M4" s="111" t="s">
        <v>0</v>
      </c>
      <c r="N4" s="111" t="s">
        <v>0</v>
      </c>
      <c r="O4" s="109" t="s">
        <v>146</v>
      </c>
      <c r="P4" s="116">
        <f>P1*P6/1000</f>
        <v>1998.8</v>
      </c>
      <c r="Q4" s="105"/>
      <c r="R4" s="105" t="s">
        <v>147</v>
      </c>
      <c r="S4" s="105" t="s">
        <v>148</v>
      </c>
      <c r="T4" s="105" t="s">
        <v>147</v>
      </c>
      <c r="U4" s="107" t="s">
        <v>149</v>
      </c>
      <c r="V4" s="108"/>
      <c r="W4" s="105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/>
      <c r="DD4" s="109"/>
      <c r="DE4" s="109"/>
      <c r="DF4" s="109"/>
      <c r="DG4" s="109"/>
      <c r="DH4" s="109"/>
      <c r="DI4" s="109"/>
      <c r="DJ4" s="109"/>
      <c r="DK4" s="109"/>
      <c r="DL4" s="109"/>
      <c r="DM4" s="109"/>
      <c r="DN4" s="109"/>
      <c r="DO4" s="109"/>
      <c r="DP4" s="109"/>
      <c r="DQ4" s="109"/>
      <c r="DR4" s="109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109"/>
      <c r="ET4" s="109"/>
      <c r="EU4" s="109"/>
      <c r="EV4" s="109"/>
      <c r="EW4" s="109"/>
      <c r="EX4" s="109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109"/>
      <c r="FL4" s="109"/>
      <c r="FM4" s="109"/>
      <c r="FN4" s="109"/>
      <c r="FO4" s="109"/>
      <c r="FP4" s="109"/>
      <c r="FQ4" s="109"/>
      <c r="FR4" s="109"/>
      <c r="FS4" s="109"/>
      <c r="FT4" s="109"/>
      <c r="FU4" s="109"/>
      <c r="FV4" s="109"/>
      <c r="FW4" s="109"/>
      <c r="FX4" s="109"/>
      <c r="FY4" s="109"/>
      <c r="FZ4" s="109"/>
      <c r="GA4" s="109"/>
      <c r="GB4" s="109"/>
      <c r="GC4" s="109"/>
      <c r="GD4" s="109"/>
      <c r="GE4" s="109"/>
      <c r="GF4" s="109"/>
      <c r="GG4" s="109"/>
      <c r="GH4" s="109"/>
      <c r="GI4" s="109"/>
      <c r="GJ4" s="109"/>
      <c r="GK4" s="109"/>
      <c r="GL4" s="109"/>
      <c r="GM4" s="109"/>
      <c r="GN4" s="109"/>
      <c r="GO4" s="109"/>
      <c r="GP4" s="109"/>
      <c r="GQ4" s="109"/>
      <c r="GR4" s="109"/>
      <c r="GS4" s="109"/>
      <c r="GT4" s="109"/>
      <c r="GU4" s="109"/>
      <c r="GV4" s="109"/>
      <c r="GW4" s="109"/>
      <c r="GX4" s="109"/>
      <c r="GY4" s="109"/>
      <c r="GZ4" s="109"/>
      <c r="HA4" s="109"/>
      <c r="HB4" s="109"/>
      <c r="HC4" s="109"/>
      <c r="HD4" s="109"/>
      <c r="HE4" s="109"/>
      <c r="HF4" s="109"/>
      <c r="HG4" s="109"/>
      <c r="HH4" s="109"/>
      <c r="HI4" s="109"/>
      <c r="HJ4" s="109"/>
      <c r="HK4" s="109"/>
      <c r="HL4" s="109"/>
      <c r="HM4" s="109"/>
      <c r="HN4" s="109"/>
      <c r="HO4" s="109"/>
      <c r="HP4" s="109"/>
      <c r="HQ4" s="109"/>
      <c r="HR4" s="109"/>
      <c r="HS4" s="109"/>
      <c r="HT4" s="109"/>
      <c r="HU4" s="109"/>
      <c r="HV4" s="109"/>
      <c r="HW4" s="109"/>
      <c r="HX4" s="109"/>
      <c r="HY4" s="109"/>
      <c r="HZ4" s="109"/>
      <c r="IA4" s="109"/>
      <c r="IB4" s="109"/>
      <c r="IC4" s="109"/>
      <c r="ID4" s="109"/>
      <c r="IE4" s="109"/>
      <c r="IF4" s="109"/>
      <c r="IG4" s="109"/>
      <c r="IH4" s="109"/>
      <c r="II4" s="109"/>
      <c r="IJ4" s="109"/>
      <c r="IK4" s="109"/>
      <c r="IL4" s="109"/>
      <c r="IM4" s="109"/>
      <c r="IN4" s="109"/>
      <c r="IO4" s="109"/>
      <c r="IP4" s="109"/>
      <c r="IQ4" s="109"/>
      <c r="IR4" s="109"/>
      <c r="IS4" s="109"/>
      <c r="IT4" s="109"/>
      <c r="IU4" s="109"/>
      <c r="IV4" s="109"/>
    </row>
    <row r="5" spans="1:256" x14ac:dyDescent="0.25">
      <c r="A5" s="835"/>
      <c r="B5" s="835"/>
      <c r="C5" s="110" t="s">
        <v>150</v>
      </c>
      <c r="D5" s="110" t="s">
        <v>151</v>
      </c>
      <c r="E5" s="111" t="s">
        <v>152</v>
      </c>
      <c r="F5" s="111" t="s">
        <v>153</v>
      </c>
      <c r="G5" s="111" t="s">
        <v>154</v>
      </c>
      <c r="H5" s="111" t="s">
        <v>155</v>
      </c>
      <c r="I5" s="111" t="s">
        <v>156</v>
      </c>
      <c r="J5" s="111" t="s">
        <v>157</v>
      </c>
      <c r="K5" s="111" t="s">
        <v>158</v>
      </c>
      <c r="L5" s="111" t="s">
        <v>159</v>
      </c>
      <c r="M5" s="111" t="s">
        <v>160</v>
      </c>
      <c r="N5" s="111" t="s">
        <v>161</v>
      </c>
      <c r="O5" s="105" t="s">
        <v>194</v>
      </c>
      <c r="P5" s="117">
        <v>0.1958</v>
      </c>
      <c r="Q5" s="105"/>
      <c r="R5" s="105"/>
      <c r="S5" s="105"/>
      <c r="T5" s="105"/>
      <c r="U5" s="107"/>
      <c r="V5" s="108"/>
      <c r="W5" s="105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09"/>
      <c r="CC5" s="109"/>
      <c r="CD5" s="109"/>
      <c r="CE5" s="109"/>
      <c r="CF5" s="109"/>
      <c r="CG5" s="109"/>
      <c r="CH5" s="109"/>
      <c r="CI5" s="109"/>
      <c r="CJ5" s="109"/>
      <c r="CK5" s="109"/>
      <c r="CL5" s="109"/>
      <c r="CM5" s="109"/>
      <c r="CN5" s="109"/>
      <c r="CO5" s="109"/>
      <c r="CP5" s="109"/>
      <c r="CQ5" s="109"/>
      <c r="CR5" s="109"/>
      <c r="CS5" s="109"/>
      <c r="CT5" s="109"/>
      <c r="CU5" s="109"/>
      <c r="CV5" s="109"/>
      <c r="CW5" s="109"/>
      <c r="CX5" s="109"/>
      <c r="CY5" s="109"/>
      <c r="CZ5" s="109"/>
      <c r="DA5" s="109"/>
      <c r="DB5" s="109"/>
      <c r="DC5" s="109"/>
      <c r="DD5" s="109"/>
      <c r="DE5" s="109"/>
      <c r="DF5" s="109"/>
      <c r="DG5" s="109"/>
      <c r="DH5" s="109"/>
      <c r="DI5" s="109"/>
      <c r="DJ5" s="109"/>
      <c r="DK5" s="109"/>
      <c r="DL5" s="109"/>
      <c r="DM5" s="109"/>
      <c r="DN5" s="109"/>
      <c r="DO5" s="109"/>
      <c r="DP5" s="109"/>
      <c r="DQ5" s="109"/>
      <c r="DR5" s="109"/>
      <c r="DS5" s="109"/>
      <c r="DT5" s="109"/>
      <c r="DU5" s="109"/>
      <c r="DV5" s="109"/>
      <c r="DW5" s="109"/>
      <c r="DX5" s="109"/>
      <c r="DY5" s="109"/>
      <c r="DZ5" s="109"/>
      <c r="EA5" s="109"/>
      <c r="EB5" s="109"/>
      <c r="EC5" s="109"/>
      <c r="ED5" s="109"/>
      <c r="EE5" s="109"/>
      <c r="EF5" s="109"/>
      <c r="EG5" s="109"/>
      <c r="EH5" s="109"/>
      <c r="EI5" s="109"/>
      <c r="EJ5" s="109"/>
      <c r="EK5" s="109"/>
      <c r="EL5" s="109"/>
      <c r="EM5" s="109"/>
      <c r="EN5" s="109"/>
      <c r="EO5" s="109"/>
      <c r="EP5" s="109"/>
      <c r="EQ5" s="109"/>
      <c r="ER5" s="109"/>
      <c r="ES5" s="109"/>
      <c r="ET5" s="109"/>
      <c r="EU5" s="109"/>
      <c r="EV5" s="109"/>
      <c r="EW5" s="109"/>
      <c r="EX5" s="109"/>
      <c r="EY5" s="109"/>
      <c r="EZ5" s="109"/>
      <c r="FA5" s="109"/>
      <c r="FB5" s="109"/>
      <c r="FC5" s="109"/>
      <c r="FD5" s="109"/>
      <c r="FE5" s="109"/>
      <c r="FF5" s="109"/>
      <c r="FG5" s="109"/>
      <c r="FH5" s="109"/>
      <c r="FI5" s="109"/>
      <c r="FJ5" s="109"/>
      <c r="FK5" s="109"/>
      <c r="FL5" s="109"/>
      <c r="FM5" s="109"/>
      <c r="FN5" s="109"/>
      <c r="FO5" s="109"/>
      <c r="FP5" s="109"/>
      <c r="FQ5" s="109"/>
      <c r="FR5" s="109"/>
      <c r="FS5" s="109"/>
      <c r="FT5" s="109"/>
      <c r="FU5" s="109"/>
      <c r="FV5" s="109"/>
      <c r="FW5" s="109"/>
      <c r="FX5" s="109"/>
      <c r="FY5" s="109"/>
      <c r="FZ5" s="109"/>
      <c r="GA5" s="109"/>
      <c r="GB5" s="109"/>
      <c r="GC5" s="109"/>
      <c r="GD5" s="109"/>
      <c r="GE5" s="109"/>
      <c r="GF5" s="109"/>
      <c r="GG5" s="109"/>
      <c r="GH5" s="109"/>
      <c r="GI5" s="109"/>
      <c r="GJ5" s="109"/>
      <c r="GK5" s="109"/>
      <c r="GL5" s="109"/>
      <c r="GM5" s="109"/>
      <c r="GN5" s="109"/>
      <c r="GO5" s="109"/>
      <c r="GP5" s="109"/>
      <c r="GQ5" s="109"/>
      <c r="GR5" s="109"/>
      <c r="GS5" s="109"/>
      <c r="GT5" s="109"/>
      <c r="GU5" s="109"/>
      <c r="GV5" s="109"/>
      <c r="GW5" s="109"/>
      <c r="GX5" s="109"/>
      <c r="GY5" s="109"/>
      <c r="GZ5" s="109"/>
      <c r="HA5" s="109"/>
      <c r="HB5" s="109"/>
      <c r="HC5" s="109"/>
      <c r="HD5" s="109"/>
      <c r="HE5" s="109"/>
      <c r="HF5" s="109"/>
      <c r="HG5" s="109"/>
      <c r="HH5" s="109"/>
      <c r="HI5" s="109"/>
      <c r="HJ5" s="109"/>
      <c r="HK5" s="109"/>
      <c r="HL5" s="109"/>
      <c r="HM5" s="109"/>
      <c r="HN5" s="109"/>
      <c r="HO5" s="109"/>
      <c r="HP5" s="109"/>
      <c r="HQ5" s="109"/>
      <c r="HR5" s="109"/>
      <c r="HS5" s="109"/>
      <c r="HT5" s="109"/>
      <c r="HU5" s="109"/>
      <c r="HV5" s="109"/>
      <c r="HW5" s="109"/>
      <c r="HX5" s="109"/>
      <c r="HY5" s="109"/>
      <c r="HZ5" s="109"/>
      <c r="IA5" s="109"/>
      <c r="IB5" s="109"/>
      <c r="IC5" s="109"/>
      <c r="ID5" s="109"/>
      <c r="IE5" s="109"/>
      <c r="IF5" s="109"/>
      <c r="IG5" s="109"/>
      <c r="IH5" s="109"/>
      <c r="II5" s="109"/>
      <c r="IJ5" s="109"/>
      <c r="IK5" s="109"/>
      <c r="IL5" s="109"/>
      <c r="IM5" s="109"/>
      <c r="IN5" s="109"/>
      <c r="IO5" s="109"/>
      <c r="IP5" s="109"/>
      <c r="IQ5" s="109"/>
      <c r="IR5" s="109"/>
      <c r="IS5" s="109"/>
      <c r="IT5" s="109"/>
      <c r="IU5" s="109"/>
      <c r="IV5" s="109"/>
    </row>
    <row r="6" spans="1:256" x14ac:dyDescent="0.25">
      <c r="A6" s="118"/>
      <c r="B6" s="118"/>
      <c r="C6" s="119" t="s">
        <v>163</v>
      </c>
      <c r="D6" s="119" t="s">
        <v>163</v>
      </c>
      <c r="E6" s="120" t="s">
        <v>208</v>
      </c>
      <c r="F6" s="121" t="s">
        <v>209</v>
      </c>
      <c r="G6" s="122"/>
      <c r="H6" s="122" t="s">
        <v>166</v>
      </c>
      <c r="I6" s="122"/>
      <c r="J6" s="122" t="s">
        <v>167</v>
      </c>
      <c r="K6" s="122" t="s">
        <v>168</v>
      </c>
      <c r="L6" s="122" t="s">
        <v>169</v>
      </c>
      <c r="M6" s="122" t="s">
        <v>210</v>
      </c>
      <c r="N6" s="115" t="s">
        <v>211</v>
      </c>
      <c r="O6" s="115" t="s">
        <v>172</v>
      </c>
      <c r="P6" s="115">
        <v>380</v>
      </c>
      <c r="Q6" s="115"/>
      <c r="R6" s="115"/>
      <c r="S6" s="115"/>
      <c r="T6" s="115"/>
      <c r="U6" s="123"/>
      <c r="V6" s="164"/>
      <c r="W6" s="115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4"/>
      <c r="DY6" s="124"/>
      <c r="DZ6" s="124"/>
      <c r="EA6" s="124"/>
      <c r="EB6" s="124"/>
      <c r="EC6" s="124"/>
      <c r="ED6" s="124"/>
      <c r="EE6" s="124"/>
      <c r="EF6" s="124"/>
      <c r="EG6" s="124"/>
      <c r="EH6" s="124"/>
      <c r="EI6" s="124"/>
      <c r="EJ6" s="124"/>
      <c r="EK6" s="124"/>
      <c r="EL6" s="124"/>
      <c r="EM6" s="124"/>
      <c r="EN6" s="124"/>
      <c r="EO6" s="124"/>
      <c r="EP6" s="124"/>
      <c r="EQ6" s="124"/>
      <c r="ER6" s="124"/>
      <c r="ES6" s="124"/>
      <c r="ET6" s="124"/>
      <c r="EU6" s="124"/>
      <c r="EV6" s="124"/>
      <c r="EW6" s="124"/>
      <c r="EX6" s="124"/>
      <c r="EY6" s="124"/>
      <c r="EZ6" s="124"/>
      <c r="FA6" s="124"/>
      <c r="FB6" s="124"/>
      <c r="FC6" s="124"/>
      <c r="FD6" s="124"/>
      <c r="FE6" s="124"/>
      <c r="FF6" s="124"/>
      <c r="FG6" s="124"/>
      <c r="FH6" s="124"/>
      <c r="FI6" s="124"/>
      <c r="FJ6" s="124"/>
      <c r="FK6" s="124"/>
      <c r="FL6" s="124"/>
      <c r="FM6" s="124"/>
      <c r="FN6" s="124"/>
      <c r="FO6" s="124"/>
      <c r="FP6" s="124"/>
      <c r="FQ6" s="124"/>
      <c r="FR6" s="124"/>
      <c r="FS6" s="124"/>
      <c r="FT6" s="124"/>
      <c r="FU6" s="124"/>
      <c r="FV6" s="124"/>
      <c r="FW6" s="124"/>
      <c r="FX6" s="124"/>
      <c r="FY6" s="124"/>
      <c r="FZ6" s="124"/>
      <c r="GA6" s="124"/>
      <c r="GB6" s="124"/>
      <c r="GC6" s="124"/>
      <c r="GD6" s="124"/>
      <c r="GE6" s="124"/>
      <c r="GF6" s="124"/>
      <c r="GG6" s="124"/>
      <c r="GH6" s="124"/>
      <c r="GI6" s="124"/>
      <c r="GJ6" s="124"/>
      <c r="GK6" s="124"/>
      <c r="GL6" s="124"/>
      <c r="GM6" s="124"/>
      <c r="GN6" s="124"/>
      <c r="GO6" s="124"/>
      <c r="GP6" s="124"/>
      <c r="GQ6" s="124"/>
      <c r="GR6" s="124"/>
      <c r="GS6" s="124"/>
      <c r="GT6" s="124"/>
      <c r="GU6" s="124"/>
      <c r="GV6" s="124"/>
      <c r="GW6" s="124"/>
      <c r="GX6" s="124"/>
      <c r="GY6" s="124"/>
      <c r="GZ6" s="124"/>
      <c r="HA6" s="124"/>
      <c r="HB6" s="124"/>
      <c r="HC6" s="124"/>
      <c r="HD6" s="124"/>
      <c r="HE6" s="124"/>
      <c r="HF6" s="124"/>
      <c r="HG6" s="124"/>
      <c r="HH6" s="124"/>
      <c r="HI6" s="124"/>
      <c r="HJ6" s="124"/>
      <c r="HK6" s="124"/>
      <c r="HL6" s="124"/>
      <c r="HM6" s="124"/>
      <c r="HN6" s="124"/>
      <c r="HO6" s="124"/>
      <c r="HP6" s="124"/>
      <c r="HQ6" s="124"/>
      <c r="HR6" s="124"/>
      <c r="HS6" s="124"/>
      <c r="HT6" s="124"/>
      <c r="HU6" s="124"/>
      <c r="HV6" s="124"/>
      <c r="HW6" s="124"/>
      <c r="HX6" s="124"/>
      <c r="HY6" s="124"/>
      <c r="HZ6" s="124"/>
      <c r="IA6" s="124"/>
      <c r="IB6" s="124"/>
      <c r="IC6" s="124"/>
      <c r="ID6" s="124"/>
      <c r="IE6" s="124"/>
      <c r="IF6" s="124"/>
      <c r="IG6" s="124"/>
      <c r="IH6" s="124"/>
      <c r="II6" s="124"/>
      <c r="IJ6" s="124"/>
      <c r="IK6" s="124"/>
      <c r="IL6" s="124"/>
      <c r="IM6" s="124"/>
      <c r="IN6" s="124"/>
      <c r="IO6" s="124"/>
      <c r="IP6" s="124"/>
      <c r="IQ6" s="124"/>
      <c r="IR6" s="124"/>
      <c r="IS6" s="124"/>
      <c r="IT6" s="124"/>
      <c r="IU6" s="124"/>
      <c r="IV6" s="124"/>
    </row>
    <row r="7" spans="1:256" ht="18.75" x14ac:dyDescent="0.25">
      <c r="A7" s="125" t="s">
        <v>175</v>
      </c>
      <c r="B7" s="126">
        <v>31</v>
      </c>
      <c r="C7" s="127">
        <f>V7</f>
        <v>4.013456917763067</v>
      </c>
      <c r="D7" s="127">
        <f>W7</f>
        <v>5.4531661395958189</v>
      </c>
      <c r="E7" s="128">
        <f>D7*$P$3</f>
        <v>55657.762016449276</v>
      </c>
      <c r="F7" s="128">
        <f t="shared" ref="F7:F18" si="0">E7*$P$5</f>
        <v>10897.789802820769</v>
      </c>
      <c r="G7" s="128">
        <v>18.45</v>
      </c>
      <c r="H7" s="129">
        <f>(25-(G7+20))*0.3739%</f>
        <v>-5.0289550000000009E-2</v>
      </c>
      <c r="I7" s="129">
        <v>-0.154</v>
      </c>
      <c r="J7" s="129">
        <f t="shared" ref="J7:J18" si="1">SUM(H7:I7)</f>
        <v>-0.20428955000000001</v>
      </c>
      <c r="K7" s="128">
        <f>+F7*(1+J7)</f>
        <v>8671.4852280079249</v>
      </c>
      <c r="L7" s="128">
        <f>K7*B7</f>
        <v>268816.04206824565</v>
      </c>
      <c r="M7" s="130">
        <f>K7/($P$4*24)</f>
        <v>0.18076440089069953</v>
      </c>
      <c r="N7" s="130">
        <f>K7/(D7*$P$4)</f>
        <v>0.79556454183116831</v>
      </c>
      <c r="O7" s="131">
        <f>D7/C7</f>
        <v>1.3587204874333585</v>
      </c>
      <c r="P7" s="132"/>
      <c r="Q7" s="132"/>
      <c r="R7" s="133">
        <v>131.30000000000001</v>
      </c>
      <c r="S7" s="134"/>
      <c r="T7" s="133">
        <v>178.4</v>
      </c>
      <c r="U7" s="135">
        <v>115.5</v>
      </c>
      <c r="V7" s="136">
        <f>(R7/B7)*0.947579317979094</f>
        <v>4.013456917763067</v>
      </c>
      <c r="W7" s="134">
        <f>(T7/B7)*0.947579317979094</f>
        <v>5.4531661395958189</v>
      </c>
      <c r="X7" s="137"/>
      <c r="Y7" s="137"/>
      <c r="Z7" s="104">
        <v>8671.4852280079231</v>
      </c>
      <c r="AA7" s="297">
        <f>Z7-K7</f>
        <v>0</v>
      </c>
      <c r="AB7" s="104">
        <f>Z7/K7</f>
        <v>0.99999999999999978</v>
      </c>
    </row>
    <row r="8" spans="1:256" ht="18.75" x14ac:dyDescent="0.25">
      <c r="A8" s="125" t="s">
        <v>176</v>
      </c>
      <c r="B8" s="138">
        <v>28</v>
      </c>
      <c r="C8" s="127">
        <f t="shared" ref="C8:D18" si="2">V8</f>
        <v>4.8887856044895734</v>
      </c>
      <c r="D8" s="127">
        <f t="shared" si="2"/>
        <v>6.0820844550986415</v>
      </c>
      <c r="E8" s="128">
        <f t="shared" ref="E8:E18" si="3">D8*$P$3</f>
        <v>62076.8193193021</v>
      </c>
      <c r="F8" s="128">
        <f t="shared" si="0"/>
        <v>12154.64122271935</v>
      </c>
      <c r="G8" s="128">
        <v>22.28</v>
      </c>
      <c r="H8" s="129">
        <f t="shared" ref="H8:H18" si="4">(25-(G8+20))*0.3739%</f>
        <v>-6.4609920000000001E-2</v>
      </c>
      <c r="I8" s="129">
        <v>-0.154</v>
      </c>
      <c r="J8" s="129">
        <f t="shared" si="1"/>
        <v>-0.21860992000000001</v>
      </c>
      <c r="K8" s="291">
        <f t="shared" ref="K8:K18" si="5">+F8*(1+J8)</f>
        <v>9497.5160773919706</v>
      </c>
      <c r="L8" s="128">
        <f t="shared" ref="L8:L18" si="6">K8*B8</f>
        <v>265930.45016697515</v>
      </c>
      <c r="M8" s="200">
        <f t="shared" ref="M8:M17" si="7">K8/($P$4*24)</f>
        <v>0.19798370850410185</v>
      </c>
      <c r="N8" s="200">
        <f t="shared" ref="N8:N17" si="8">K8/(D8*$P$4)</f>
        <v>0.7812467977348041</v>
      </c>
      <c r="O8" s="131">
        <f>D8/C8</f>
        <v>1.2440890125173851</v>
      </c>
      <c r="P8" s="132"/>
      <c r="Q8" s="132"/>
      <c r="R8" s="133">
        <v>143.80000000000001</v>
      </c>
      <c r="S8" s="134"/>
      <c r="T8" s="133">
        <v>178.9</v>
      </c>
      <c r="U8" s="135">
        <v>126.4</v>
      </c>
      <c r="V8" s="136">
        <f>(R8/B8)*0.951919311027177</f>
        <v>4.8887856044895734</v>
      </c>
      <c r="W8" s="134">
        <f>(T8/B8)*0.951919311027177</f>
        <v>6.0820844550986415</v>
      </c>
      <c r="X8" s="137"/>
      <c r="Y8" s="137"/>
      <c r="Z8" s="104">
        <v>9497.5160773919706</v>
      </c>
      <c r="AA8" s="297">
        <f t="shared" ref="AA8:AA18" si="9">Z8-K8</f>
        <v>0</v>
      </c>
      <c r="AB8" s="104">
        <f t="shared" ref="AB8:AB18" si="10">Z8/K8</f>
        <v>1</v>
      </c>
    </row>
    <row r="9" spans="1:256" ht="18.75" x14ac:dyDescent="0.25">
      <c r="A9" s="125" t="s">
        <v>51</v>
      </c>
      <c r="B9" s="126">
        <v>31</v>
      </c>
      <c r="C9" s="127">
        <f t="shared" si="2"/>
        <v>5.5810715268271505</v>
      </c>
      <c r="D9" s="127">
        <f t="shared" si="2"/>
        <v>6.1210762484992651</v>
      </c>
      <c r="E9" s="128">
        <f t="shared" si="3"/>
        <v>62474.789214612734</v>
      </c>
      <c r="F9" s="128">
        <f t="shared" si="0"/>
        <v>12232.563728221174</v>
      </c>
      <c r="G9" s="128">
        <v>27.07</v>
      </c>
      <c r="H9" s="129">
        <f t="shared" si="4"/>
        <v>-8.2519729999999999E-2</v>
      </c>
      <c r="I9" s="129">
        <v>-0.154</v>
      </c>
      <c r="J9" s="129">
        <f t="shared" si="1"/>
        <v>-0.23651972999999998</v>
      </c>
      <c r="K9" s="291">
        <f t="shared" si="5"/>
        <v>9339.3210580145096</v>
      </c>
      <c r="L9" s="128">
        <f t="shared" si="6"/>
        <v>289518.95279844978</v>
      </c>
      <c r="M9" s="130">
        <f t="shared" si="7"/>
        <v>0.19468600030882091</v>
      </c>
      <c r="N9" s="130">
        <f t="shared" si="8"/>
        <v>0.76334027182838537</v>
      </c>
      <c r="O9" s="131">
        <f>D9/C9</f>
        <v>1.0967564595931829</v>
      </c>
      <c r="P9" s="132"/>
      <c r="Q9" s="132"/>
      <c r="R9" s="133">
        <v>181.9</v>
      </c>
      <c r="S9" s="134"/>
      <c r="T9" s="133">
        <v>199.5</v>
      </c>
      <c r="U9" s="135">
        <v>151.69999999999999</v>
      </c>
      <c r="V9" s="136">
        <f>(R9/B9)*0.951144680217931</f>
        <v>5.5810715268271505</v>
      </c>
      <c r="W9" s="134">
        <f>(T9/B9)*0.951144680217931</f>
        <v>6.1210762484992651</v>
      </c>
      <c r="X9" s="137"/>
      <c r="Y9" s="137"/>
      <c r="Z9" s="104">
        <v>9339.3210580145133</v>
      </c>
      <c r="AA9" s="297">
        <f t="shared" si="9"/>
        <v>0</v>
      </c>
      <c r="AB9" s="104">
        <f t="shared" si="10"/>
        <v>1.0000000000000004</v>
      </c>
    </row>
    <row r="10" spans="1:256" ht="18.75" x14ac:dyDescent="0.25">
      <c r="A10" s="125" t="s">
        <v>177</v>
      </c>
      <c r="B10" s="126">
        <v>30</v>
      </c>
      <c r="C10" s="127">
        <f t="shared" si="2"/>
        <v>6.1024292712841728</v>
      </c>
      <c r="D10" s="127">
        <f t="shared" si="2"/>
        <v>6.2165526238900064</v>
      </c>
      <c r="E10" s="128">
        <f t="shared" si="3"/>
        <v>63449.26922194384</v>
      </c>
      <c r="F10" s="128">
        <f t="shared" si="0"/>
        <v>12423.366913656604</v>
      </c>
      <c r="G10" s="128">
        <v>30.71</v>
      </c>
      <c r="H10" s="129">
        <f t="shared" si="4"/>
        <v>-9.6129690000000004E-2</v>
      </c>
      <c r="I10" s="129">
        <v>-0.154</v>
      </c>
      <c r="J10" s="129">
        <f t="shared" si="1"/>
        <v>-0.25012969000000002</v>
      </c>
      <c r="K10" s="291">
        <f t="shared" si="5"/>
        <v>9315.9139987874205</v>
      </c>
      <c r="L10" s="128">
        <f t="shared" si="6"/>
        <v>279477.41996362264</v>
      </c>
      <c r="M10" s="130">
        <f t="shared" si="7"/>
        <v>0.19419806047769123</v>
      </c>
      <c r="N10" s="130">
        <f t="shared" si="8"/>
        <v>0.74973280746526094</v>
      </c>
      <c r="O10" s="131">
        <f t="shared" ref="O10:O18" si="11">D10/C10</f>
        <v>1.0187012987012987</v>
      </c>
      <c r="P10" s="132"/>
      <c r="Q10" s="132"/>
      <c r="R10" s="133">
        <v>192.5</v>
      </c>
      <c r="S10" s="134"/>
      <c r="T10" s="133">
        <v>196.1</v>
      </c>
      <c r="U10" s="135">
        <v>157.1</v>
      </c>
      <c r="V10" s="136">
        <f>(R10/B10)*0.951027938381949</f>
        <v>6.1024292712841728</v>
      </c>
      <c r="W10" s="134">
        <f>(T10/B10)*0.951027938381949</f>
        <v>6.2165526238900064</v>
      </c>
      <c r="X10" s="137"/>
      <c r="Y10" s="137"/>
      <c r="Z10" s="104">
        <v>9315.9139987874169</v>
      </c>
      <c r="AA10" s="297">
        <f t="shared" si="9"/>
        <v>0</v>
      </c>
      <c r="AB10" s="104">
        <f t="shared" si="10"/>
        <v>0.99999999999999956</v>
      </c>
    </row>
    <row r="11" spans="1:256" ht="18.75" x14ac:dyDescent="0.25">
      <c r="A11" s="125" t="s">
        <v>178</v>
      </c>
      <c r="B11" s="126">
        <v>31</v>
      </c>
      <c r="C11" s="127">
        <f t="shared" si="2"/>
        <v>6.3582453033341517</v>
      </c>
      <c r="D11" s="127">
        <f>5.89235449729202+0.04</f>
        <v>5.9323544972920201</v>
      </c>
      <c r="E11" s="128">
        <f t="shared" si="3"/>
        <v>60548.599906028983</v>
      </c>
      <c r="F11" s="128">
        <f t="shared" si="0"/>
        <v>11855.415861600475</v>
      </c>
      <c r="G11" s="128">
        <v>31.451612903225808</v>
      </c>
      <c r="H11" s="129">
        <f t="shared" si="4"/>
        <v>-9.8902580645161303E-2</v>
      </c>
      <c r="I11" s="129">
        <v>-0.154</v>
      </c>
      <c r="J11" s="129">
        <f t="shared" si="1"/>
        <v>-0.2529025806451613</v>
      </c>
      <c r="K11" s="291">
        <f>+F11*(1+J11)-0.978938508267674</f>
        <v>8856.171657071869</v>
      </c>
      <c r="L11" s="128">
        <f t="shared" si="6"/>
        <v>274541.32136922795</v>
      </c>
      <c r="M11" s="130">
        <f t="shared" si="7"/>
        <v>0.1846143447958748</v>
      </c>
      <c r="N11" s="130">
        <f t="shared" si="8"/>
        <v>0.746877867316177</v>
      </c>
      <c r="O11" s="131">
        <f t="shared" si="11"/>
        <v>0.93301755661757779</v>
      </c>
      <c r="P11" s="132"/>
      <c r="Q11" s="132"/>
      <c r="R11" s="133">
        <v>207.1</v>
      </c>
      <c r="S11" s="134"/>
      <c r="T11" s="133">
        <v>206.6</v>
      </c>
      <c r="U11" s="135">
        <v>162.19999999999999</v>
      </c>
      <c r="V11" s="136">
        <f>(R11/B11)*0.951741209093958</f>
        <v>6.3582453033341517</v>
      </c>
      <c r="W11" s="134">
        <f>(T11/B11)*0.951741209093958</f>
        <v>6.3428946386713454</v>
      </c>
      <c r="X11" s="137"/>
      <c r="Y11" s="137"/>
      <c r="Z11" s="104">
        <v>9460.6945247714266</v>
      </c>
      <c r="AA11" s="297">
        <f t="shared" si="9"/>
        <v>604.52286769955754</v>
      </c>
      <c r="AB11" s="104">
        <f t="shared" si="10"/>
        <v>1.0682600666640005</v>
      </c>
      <c r="AH11" s="104">
        <v>8856.171657071869</v>
      </c>
      <c r="AI11" s="297">
        <f>K11-AH11</f>
        <v>0</v>
      </c>
      <c r="AK11" s="463">
        <v>0.97893850826767403</v>
      </c>
    </row>
    <row r="12" spans="1:256" ht="18.75" x14ac:dyDescent="0.25">
      <c r="A12" s="628" t="s">
        <v>179</v>
      </c>
      <c r="B12" s="584">
        <v>30</v>
      </c>
      <c r="C12" s="585">
        <f t="shared" si="2"/>
        <v>5.1327308805768066</v>
      </c>
      <c r="D12" s="585">
        <f>4.70571811653336+0.0205</f>
        <v>4.7262181165333601</v>
      </c>
      <c r="E12" s="586">
        <f t="shared" si="3"/>
        <v>48238.164111270198</v>
      </c>
      <c r="F12" s="586">
        <f t="shared" si="0"/>
        <v>9445.0325329867046</v>
      </c>
      <c r="G12" s="586">
        <v>29.766666666666666</v>
      </c>
      <c r="H12" s="587">
        <f t="shared" si="4"/>
        <v>-9.2602566666666664E-2</v>
      </c>
      <c r="I12" s="587">
        <v>-0.154</v>
      </c>
      <c r="J12" s="587">
        <f t="shared" si="1"/>
        <v>-0.24660256666666666</v>
      </c>
      <c r="K12" s="586">
        <f t="shared" si="5"/>
        <v>7115.8632681020154</v>
      </c>
      <c r="L12" s="586">
        <f t="shared" si="6"/>
        <v>213475.89804306047</v>
      </c>
      <c r="M12" s="588">
        <f t="shared" si="7"/>
        <v>0.1483361531106584</v>
      </c>
      <c r="N12" s="588">
        <f t="shared" si="8"/>
        <v>0.75325928403555775</v>
      </c>
      <c r="O12" s="131">
        <f t="shared" si="11"/>
        <v>0.9207999068133953</v>
      </c>
      <c r="P12" s="132"/>
      <c r="Q12" s="132"/>
      <c r="R12" s="133">
        <v>163.6</v>
      </c>
      <c r="S12" s="134"/>
      <c r="T12" s="133">
        <v>162.5</v>
      </c>
      <c r="U12" s="135">
        <v>142</v>
      </c>
      <c r="V12" s="136">
        <f>(R12/B12)*0.941209819176676</f>
        <v>5.1327308805768066</v>
      </c>
      <c r="W12" s="134">
        <f>(T12/B12)*0.941209819176676</f>
        <v>5.0982198538736618</v>
      </c>
      <c r="X12" s="137"/>
      <c r="Y12" s="137"/>
      <c r="Z12" s="104">
        <v>7680.0179630975508</v>
      </c>
      <c r="AA12" s="297">
        <f t="shared" si="9"/>
        <v>564.15469499553546</v>
      </c>
      <c r="AB12" s="104">
        <f t="shared" si="10"/>
        <v>1.0792812725231031</v>
      </c>
      <c r="AK12" s="104">
        <v>1</v>
      </c>
    </row>
    <row r="13" spans="1:256" ht="18.75" x14ac:dyDescent="0.25">
      <c r="A13" s="125" t="s">
        <v>180</v>
      </c>
      <c r="B13" s="126">
        <v>31</v>
      </c>
      <c r="C13" s="127">
        <f t="shared" si="2"/>
        <v>4.1651616284910284</v>
      </c>
      <c r="D13" s="127">
        <f t="shared" si="2"/>
        <v>4.1411894752335261</v>
      </c>
      <c r="E13" s="128">
        <f t="shared" si="3"/>
        <v>42267.066943728882</v>
      </c>
      <c r="F13" s="128">
        <f t="shared" si="0"/>
        <v>8275.8917075821155</v>
      </c>
      <c r="G13" s="128">
        <v>28.66</v>
      </c>
      <c r="H13" s="129">
        <f t="shared" si="4"/>
        <v>-8.8464739999999986E-2</v>
      </c>
      <c r="I13" s="129">
        <v>-0.154</v>
      </c>
      <c r="J13" s="129">
        <f t="shared" si="1"/>
        <v>-0.24246473999999998</v>
      </c>
      <c r="K13" s="291">
        <f t="shared" si="5"/>
        <v>6269.2797764350626</v>
      </c>
      <c r="L13" s="128">
        <f t="shared" si="6"/>
        <v>194347.67306948695</v>
      </c>
      <c r="M13" s="130">
        <f t="shared" si="7"/>
        <v>0.13068840838742959</v>
      </c>
      <c r="N13" s="130">
        <f t="shared" si="8"/>
        <v>0.75739635195548216</v>
      </c>
      <c r="O13" s="131">
        <f t="shared" si="11"/>
        <v>0.99424460431654671</v>
      </c>
      <c r="P13" s="132"/>
      <c r="Q13" s="132"/>
      <c r="R13" s="133">
        <v>139</v>
      </c>
      <c r="S13" s="134"/>
      <c r="T13" s="133">
        <v>138.19999999999999</v>
      </c>
      <c r="U13" s="135">
        <v>128.5</v>
      </c>
      <c r="V13" s="136">
        <f>(R13/B13)*0.928920938728215</f>
        <v>4.1651616284910284</v>
      </c>
      <c r="W13" s="134">
        <f>(T13/B13)*0.928920938728215</f>
        <v>4.1411894752335261</v>
      </c>
      <c r="X13" s="137"/>
      <c r="Y13" s="137"/>
      <c r="Z13" s="104">
        <v>6269.2797764350616</v>
      </c>
      <c r="AA13" s="297">
        <f t="shared" si="9"/>
        <v>0</v>
      </c>
      <c r="AB13" s="104">
        <f t="shared" si="10"/>
        <v>0.99999999999999989</v>
      </c>
    </row>
    <row r="14" spans="1:256" ht="18.75" x14ac:dyDescent="0.25">
      <c r="A14" s="125" t="s">
        <v>181</v>
      </c>
      <c r="B14" s="126">
        <v>31</v>
      </c>
      <c r="C14" s="127">
        <f t="shared" si="2"/>
        <v>4.181295903973294</v>
      </c>
      <c r="D14" s="127">
        <f t="shared" si="2"/>
        <v>4.1902943887020738</v>
      </c>
      <c r="E14" s="128">
        <f t="shared" si="3"/>
        <v>42768.256439465265</v>
      </c>
      <c r="F14" s="128">
        <f t="shared" si="0"/>
        <v>8374.0246108472984</v>
      </c>
      <c r="G14" s="128">
        <v>28.2</v>
      </c>
      <c r="H14" s="129">
        <f t="shared" si="4"/>
        <v>-8.6744800000000011E-2</v>
      </c>
      <c r="I14" s="129">
        <v>-0.154</v>
      </c>
      <c r="J14" s="129">
        <f t="shared" si="1"/>
        <v>-0.24074480000000001</v>
      </c>
      <c r="K14" s="291">
        <f t="shared" si="5"/>
        <v>6358.0217307137882</v>
      </c>
      <c r="L14" s="128">
        <f t="shared" si="6"/>
        <v>197098.67365212744</v>
      </c>
      <c r="M14" s="130">
        <f t="shared" si="7"/>
        <v>0.13253830904196243</v>
      </c>
      <c r="N14" s="130">
        <f t="shared" si="8"/>
        <v>0.75911597657279994</v>
      </c>
      <c r="O14" s="131">
        <f t="shared" si="11"/>
        <v>1.0021520803443327</v>
      </c>
      <c r="P14" s="132"/>
      <c r="Q14" s="132"/>
      <c r="R14" s="133">
        <v>139.4</v>
      </c>
      <c r="S14" s="134"/>
      <c r="T14" s="133">
        <v>139.69999999999999</v>
      </c>
      <c r="U14" s="135">
        <v>122.7</v>
      </c>
      <c r="V14" s="136">
        <f>(R14/B14)*0.929843421973975</f>
        <v>4.181295903973294</v>
      </c>
      <c r="W14" s="134">
        <f>(T14/B14)*0.929843421973975</f>
        <v>4.1902943887020738</v>
      </c>
      <c r="X14" s="137"/>
      <c r="Y14" s="137"/>
      <c r="Z14" s="104">
        <v>6358.0217307137927</v>
      </c>
      <c r="AA14" s="297">
        <f t="shared" si="9"/>
        <v>0</v>
      </c>
      <c r="AB14" s="104">
        <f t="shared" si="10"/>
        <v>1.0000000000000007</v>
      </c>
    </row>
    <row r="15" spans="1:256" ht="18.75" x14ac:dyDescent="0.25">
      <c r="A15" s="125" t="s">
        <v>182</v>
      </c>
      <c r="B15" s="126">
        <v>30</v>
      </c>
      <c r="C15" s="127">
        <f t="shared" si="2"/>
        <v>4.2652373957466096</v>
      </c>
      <c r="D15" s="127">
        <f t="shared" si="2"/>
        <v>4.4114563290800097</v>
      </c>
      <c r="E15" s="128">
        <f t="shared" si="3"/>
        <v>45025.546668580428</v>
      </c>
      <c r="F15" s="128">
        <f t="shared" si="0"/>
        <v>8816.0020377080473</v>
      </c>
      <c r="G15" s="128">
        <v>27.59</v>
      </c>
      <c r="H15" s="129">
        <f t="shared" si="4"/>
        <v>-8.446401000000002E-2</v>
      </c>
      <c r="I15" s="129">
        <v>-0.154</v>
      </c>
      <c r="J15" s="129">
        <f t="shared" si="1"/>
        <v>-0.23846401</v>
      </c>
      <c r="K15" s="291">
        <f t="shared" si="5"/>
        <v>6713.7028396280157</v>
      </c>
      <c r="L15" s="128">
        <f t="shared" si="6"/>
        <v>201411.08518884046</v>
      </c>
      <c r="M15" s="130">
        <f t="shared" si="7"/>
        <v>0.13995278082741344</v>
      </c>
      <c r="N15" s="130">
        <f t="shared" si="8"/>
        <v>0.7613963483479389</v>
      </c>
      <c r="O15" s="131">
        <f t="shared" si="11"/>
        <v>1.0342815463165573</v>
      </c>
      <c r="P15" s="132"/>
      <c r="Q15" s="132"/>
      <c r="R15" s="133">
        <v>137.1</v>
      </c>
      <c r="S15" s="134"/>
      <c r="T15" s="133">
        <v>141.80000000000001</v>
      </c>
      <c r="U15" s="135">
        <v>133.5</v>
      </c>
      <c r="V15" s="136">
        <f>(R15/B15)*0.933312340425954</f>
        <v>4.2652373957466096</v>
      </c>
      <c r="W15" s="134">
        <f>(T15/B15)*0.933312340425954</f>
        <v>4.4114563290800097</v>
      </c>
      <c r="X15" s="137"/>
      <c r="Y15" s="137"/>
      <c r="Z15" s="104">
        <v>6713.7028396280202</v>
      </c>
      <c r="AA15" s="297">
        <f t="shared" si="9"/>
        <v>0</v>
      </c>
      <c r="AB15" s="104">
        <f t="shared" si="10"/>
        <v>1.0000000000000007</v>
      </c>
    </row>
    <row r="16" spans="1:256" ht="18.75" x14ac:dyDescent="0.25">
      <c r="A16" s="125" t="s">
        <v>183</v>
      </c>
      <c r="B16" s="126">
        <v>31</v>
      </c>
      <c r="C16" s="127">
        <f t="shared" si="2"/>
        <v>4.3574778851403533</v>
      </c>
      <c r="D16" s="127">
        <f t="shared" si="2"/>
        <v>4.9674034108459315</v>
      </c>
      <c r="E16" s="128">
        <f t="shared" si="3"/>
        <v>50699.822782412637</v>
      </c>
      <c r="F16" s="128">
        <f t="shared" si="0"/>
        <v>9927.0253007963947</v>
      </c>
      <c r="G16" s="128">
        <v>26.31</v>
      </c>
      <c r="H16" s="129">
        <f t="shared" si="4"/>
        <v>-7.9678090000000007E-2</v>
      </c>
      <c r="I16" s="129">
        <v>-0.154</v>
      </c>
      <c r="J16" s="129">
        <f t="shared" si="1"/>
        <v>-0.23367809</v>
      </c>
      <c r="K16" s="291">
        <f t="shared" si="5"/>
        <v>7607.2969891246184</v>
      </c>
      <c r="L16" s="128">
        <f t="shared" si="6"/>
        <v>235826.20666286317</v>
      </c>
      <c r="M16" s="130">
        <f t="shared" si="7"/>
        <v>0.1585805022414411</v>
      </c>
      <c r="N16" s="130">
        <f t="shared" si="8"/>
        <v>0.76618139076134528</v>
      </c>
      <c r="O16" s="131">
        <f t="shared" si="11"/>
        <v>1.1399721448467965</v>
      </c>
      <c r="P16" s="132"/>
      <c r="Q16" s="132"/>
      <c r="R16" s="133">
        <v>143.6</v>
      </c>
      <c r="S16" s="134"/>
      <c r="T16" s="133">
        <v>163.69999999999999</v>
      </c>
      <c r="U16" s="135">
        <v>133.1</v>
      </c>
      <c r="V16" s="136">
        <f>(R16/B16)*0.940681159048405</f>
        <v>4.3574778851403533</v>
      </c>
      <c r="W16" s="134">
        <f>(T16/B16)*0.940681159048405</f>
        <v>4.9674034108459315</v>
      </c>
      <c r="X16" s="137"/>
      <c r="Y16" s="137"/>
      <c r="Z16" s="104">
        <v>7607.2969891246212</v>
      </c>
      <c r="AA16" s="297">
        <f t="shared" si="9"/>
        <v>0</v>
      </c>
      <c r="AB16" s="104">
        <f t="shared" si="10"/>
        <v>1.0000000000000004</v>
      </c>
    </row>
    <row r="17" spans="1:256" ht="18.75" x14ac:dyDescent="0.25">
      <c r="A17" s="125" t="s">
        <v>184</v>
      </c>
      <c r="B17" s="126">
        <v>30</v>
      </c>
      <c r="C17" s="127">
        <f t="shared" si="2"/>
        <v>4.0931670713612149</v>
      </c>
      <c r="D17" s="127">
        <f t="shared" si="2"/>
        <v>5.5365137932841133</v>
      </c>
      <c r="E17" s="128">
        <f t="shared" si="3"/>
        <v>56508.450177209474</v>
      </c>
      <c r="F17" s="128">
        <f t="shared" si="0"/>
        <v>11064.354544697615</v>
      </c>
      <c r="G17" s="128">
        <v>22.02</v>
      </c>
      <c r="H17" s="129">
        <f t="shared" si="4"/>
        <v>-6.3637779999999991E-2</v>
      </c>
      <c r="I17" s="129">
        <v>-0.154</v>
      </c>
      <c r="J17" s="129">
        <f t="shared" si="1"/>
        <v>-0.21763778</v>
      </c>
      <c r="K17" s="291">
        <f t="shared" si="5"/>
        <v>8656.3329844567161</v>
      </c>
      <c r="L17" s="128">
        <f t="shared" si="6"/>
        <v>259689.98953370148</v>
      </c>
      <c r="M17" s="199">
        <f t="shared" si="7"/>
        <v>0.18044853963329491</v>
      </c>
      <c r="N17" s="130">
        <f t="shared" si="8"/>
        <v>0.78221875947502739</v>
      </c>
      <c r="O17" s="131">
        <f t="shared" si="11"/>
        <v>1.3526234567901236</v>
      </c>
      <c r="P17" s="132"/>
      <c r="Q17" s="132"/>
      <c r="R17" s="133">
        <v>129.6</v>
      </c>
      <c r="S17" s="134"/>
      <c r="T17" s="133">
        <v>175.3</v>
      </c>
      <c r="U17" s="135">
        <v>107.6</v>
      </c>
      <c r="V17" s="136">
        <f>(R17/B17)*0.947492377629911</f>
        <v>4.0931670713612149</v>
      </c>
      <c r="W17" s="134">
        <f>(T17/B17)*0.947492377629911</f>
        <v>5.5365137932841133</v>
      </c>
      <c r="X17" s="137"/>
      <c r="Y17" s="137"/>
      <c r="Z17" s="104">
        <v>8656.3329844567124</v>
      </c>
      <c r="AA17" s="297">
        <f t="shared" si="9"/>
        <v>0</v>
      </c>
      <c r="AB17" s="104">
        <f t="shared" si="10"/>
        <v>0.99999999999999956</v>
      </c>
    </row>
    <row r="18" spans="1:256" ht="18.75" x14ac:dyDescent="0.25">
      <c r="A18" s="125" t="s">
        <v>185</v>
      </c>
      <c r="B18" s="126">
        <v>31</v>
      </c>
      <c r="C18" s="127">
        <f t="shared" si="2"/>
        <v>3.9075661286865597</v>
      </c>
      <c r="D18" s="127">
        <f t="shared" si="2"/>
        <v>5.7402912619842557</v>
      </c>
      <c r="E18" s="128">
        <f t="shared" si="3"/>
        <v>58588.305726607345</v>
      </c>
      <c r="F18" s="128">
        <f t="shared" si="0"/>
        <v>11471.590261269717</v>
      </c>
      <c r="G18" s="128">
        <v>18.43</v>
      </c>
      <c r="H18" s="129">
        <f t="shared" si="4"/>
        <v>-5.0214769999999999E-2</v>
      </c>
      <c r="I18" s="129">
        <v>-0.154</v>
      </c>
      <c r="J18" s="129">
        <f t="shared" si="1"/>
        <v>-0.20421476999999999</v>
      </c>
      <c r="K18" s="291">
        <f t="shared" si="5"/>
        <v>9128.9220945302823</v>
      </c>
      <c r="L18" s="128">
        <f t="shared" si="6"/>
        <v>282996.58493043872</v>
      </c>
      <c r="M18" s="199">
        <f>K18/($P$4*24)</f>
        <v>0.19030005700358305</v>
      </c>
      <c r="N18" s="130">
        <f>K18/(D18*$P$4)</f>
        <v>0.79563930811887784</v>
      </c>
      <c r="O18" s="131">
        <f t="shared" si="11"/>
        <v>1.4690196078431372</v>
      </c>
      <c r="P18" s="131">
        <f>82.3-79.6</f>
        <v>2.7000000000000028</v>
      </c>
      <c r="Q18" s="132"/>
      <c r="R18" s="133">
        <v>127.5</v>
      </c>
      <c r="S18" s="134"/>
      <c r="T18" s="133">
        <v>187.3</v>
      </c>
      <c r="U18" s="135">
        <v>109.7</v>
      </c>
      <c r="V18" s="136">
        <f>(R18/B18)*0.950074901876732</f>
        <v>3.9075661286865597</v>
      </c>
      <c r="W18" s="134">
        <f>(T18/B18)*0.950074901876732</f>
        <v>5.7402912619842557</v>
      </c>
      <c r="X18" s="137"/>
      <c r="Y18" s="137"/>
      <c r="Z18" s="104">
        <v>9128.9220945302841</v>
      </c>
      <c r="AA18" s="297">
        <f t="shared" si="9"/>
        <v>0</v>
      </c>
      <c r="AB18" s="104">
        <f t="shared" si="10"/>
        <v>1.0000000000000002</v>
      </c>
    </row>
    <row r="19" spans="1:256" ht="30" x14ac:dyDescent="0.25">
      <c r="A19" s="140" t="s">
        <v>186</v>
      </c>
      <c r="B19" s="140"/>
      <c r="C19" s="141">
        <f>AVERAGE(C7:C18)</f>
        <v>4.7538854598061651</v>
      </c>
      <c r="D19" s="141">
        <f>AVERAGE(D10:D18)</f>
        <v>5.0958082107605884</v>
      </c>
      <c r="E19" s="141">
        <f t="shared" ref="E19:N19" si="12">AVERAGE(E10:E18)</f>
        <v>52010.386886360786</v>
      </c>
      <c r="F19" s="141">
        <f t="shared" si="12"/>
        <v>10183.63375234944</v>
      </c>
      <c r="G19" s="141">
        <f t="shared" si="12"/>
        <v>27.015364396654721</v>
      </c>
      <c r="H19" s="141">
        <f t="shared" si="12"/>
        <v>-8.2315447479091988E-2</v>
      </c>
      <c r="I19" s="141">
        <f t="shared" si="12"/>
        <v>-0.154</v>
      </c>
      <c r="J19" s="141">
        <f t="shared" si="12"/>
        <v>-0.23631544747909197</v>
      </c>
      <c r="K19" s="141">
        <f t="shared" si="12"/>
        <v>7780.1672598721971</v>
      </c>
      <c r="L19" s="141">
        <f t="shared" si="12"/>
        <v>237651.65026815215</v>
      </c>
      <c r="M19" s="130">
        <f t="shared" si="12"/>
        <v>0.16218412839103877</v>
      </c>
      <c r="N19" s="130">
        <f t="shared" si="12"/>
        <v>0.76353534378316301</v>
      </c>
      <c r="O19" s="145"/>
      <c r="P19" s="145"/>
      <c r="Q19" s="145"/>
      <c r="R19" s="146">
        <f>SUM(R7:R18)</f>
        <v>1836.3999999999999</v>
      </c>
      <c r="S19" s="146"/>
      <c r="T19" s="147">
        <f>SUM(T7:T18)</f>
        <v>2068</v>
      </c>
      <c r="U19" s="147">
        <f>SUM(U7:U18)</f>
        <v>1590</v>
      </c>
      <c r="V19" s="146">
        <f>AVERAGE(V7:V18)</f>
        <v>4.7538854598061651</v>
      </c>
      <c r="W19" s="146">
        <f>AVERAGE(W7:W18)</f>
        <v>5.3584285515632208</v>
      </c>
      <c r="X19" s="137"/>
      <c r="Y19" s="137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  <c r="CE19" s="148"/>
      <c r="CF19" s="148"/>
      <c r="CG19" s="148"/>
      <c r="CH19" s="148"/>
      <c r="CI19" s="148"/>
      <c r="CJ19" s="148"/>
      <c r="CK19" s="148"/>
      <c r="CL19" s="148"/>
      <c r="CM19" s="148"/>
      <c r="CN19" s="148"/>
      <c r="CO19" s="148"/>
      <c r="CP19" s="148"/>
      <c r="CQ19" s="148"/>
      <c r="CR19" s="148"/>
      <c r="CS19" s="148"/>
      <c r="CT19" s="148"/>
      <c r="CU19" s="148"/>
      <c r="CV19" s="148"/>
      <c r="CW19" s="148"/>
      <c r="CX19" s="148"/>
      <c r="CY19" s="148"/>
      <c r="CZ19" s="148"/>
      <c r="DA19" s="148"/>
      <c r="DB19" s="148"/>
      <c r="DC19" s="148"/>
      <c r="DD19" s="148"/>
      <c r="DE19" s="148"/>
      <c r="DF19" s="148"/>
      <c r="DG19" s="148"/>
      <c r="DH19" s="148"/>
      <c r="DI19" s="148"/>
      <c r="DJ19" s="148"/>
      <c r="DK19" s="148"/>
      <c r="DL19" s="148"/>
      <c r="DM19" s="148"/>
      <c r="DN19" s="148"/>
      <c r="DO19" s="148"/>
      <c r="DP19" s="148"/>
      <c r="DQ19" s="148"/>
      <c r="DR19" s="148"/>
      <c r="DS19" s="148"/>
      <c r="DT19" s="148"/>
      <c r="DU19" s="148"/>
      <c r="DV19" s="148"/>
      <c r="DW19" s="148"/>
      <c r="DX19" s="148"/>
      <c r="DY19" s="148"/>
      <c r="DZ19" s="148"/>
      <c r="EA19" s="148"/>
      <c r="EB19" s="148"/>
      <c r="EC19" s="148"/>
      <c r="ED19" s="148"/>
      <c r="EE19" s="148"/>
      <c r="EF19" s="148"/>
      <c r="EG19" s="148"/>
      <c r="EH19" s="148"/>
      <c r="EI19" s="148"/>
      <c r="EJ19" s="148"/>
      <c r="EK19" s="148"/>
      <c r="EL19" s="148"/>
      <c r="EM19" s="148"/>
      <c r="EN19" s="148"/>
      <c r="EO19" s="148"/>
      <c r="EP19" s="148"/>
      <c r="EQ19" s="148"/>
      <c r="ER19" s="148"/>
      <c r="ES19" s="148"/>
      <c r="ET19" s="148"/>
      <c r="EU19" s="148"/>
      <c r="EV19" s="148"/>
      <c r="EW19" s="148"/>
      <c r="EX19" s="148"/>
      <c r="EY19" s="148"/>
      <c r="EZ19" s="148"/>
      <c r="FA19" s="148"/>
      <c r="FB19" s="148"/>
      <c r="FC19" s="148"/>
      <c r="FD19" s="148"/>
      <c r="FE19" s="148"/>
      <c r="FF19" s="148"/>
      <c r="FG19" s="148"/>
      <c r="FH19" s="148"/>
      <c r="FI19" s="148"/>
      <c r="FJ19" s="148"/>
      <c r="FK19" s="148"/>
      <c r="FL19" s="148"/>
      <c r="FM19" s="148"/>
      <c r="FN19" s="148"/>
      <c r="FO19" s="148"/>
      <c r="FP19" s="148"/>
      <c r="FQ19" s="148"/>
      <c r="FR19" s="148"/>
      <c r="FS19" s="148"/>
      <c r="FT19" s="148"/>
      <c r="FU19" s="148"/>
      <c r="FV19" s="148"/>
      <c r="FW19" s="148"/>
      <c r="FX19" s="148"/>
      <c r="FY19" s="148"/>
      <c r="FZ19" s="148"/>
      <c r="GA19" s="148"/>
      <c r="GB19" s="148"/>
      <c r="GC19" s="148"/>
      <c r="GD19" s="148"/>
      <c r="GE19" s="148"/>
      <c r="GF19" s="148"/>
      <c r="GG19" s="148"/>
      <c r="GH19" s="148"/>
      <c r="GI19" s="148"/>
      <c r="GJ19" s="148"/>
      <c r="GK19" s="148"/>
      <c r="GL19" s="148"/>
      <c r="GM19" s="148"/>
      <c r="GN19" s="148"/>
      <c r="GO19" s="148"/>
      <c r="GP19" s="148"/>
      <c r="GQ19" s="148"/>
      <c r="GR19" s="148"/>
      <c r="GS19" s="148"/>
      <c r="GT19" s="148"/>
      <c r="GU19" s="148"/>
      <c r="GV19" s="148"/>
      <c r="GW19" s="148"/>
      <c r="GX19" s="148"/>
      <c r="GY19" s="148"/>
      <c r="GZ19" s="148"/>
      <c r="HA19" s="148"/>
      <c r="HB19" s="148"/>
      <c r="HC19" s="148"/>
      <c r="HD19" s="148"/>
      <c r="HE19" s="148"/>
      <c r="HF19" s="148"/>
      <c r="HG19" s="148"/>
      <c r="HH19" s="148"/>
      <c r="HI19" s="148"/>
      <c r="HJ19" s="148"/>
      <c r="HK19" s="148"/>
      <c r="HL19" s="148"/>
      <c r="HM19" s="148"/>
      <c r="HN19" s="148"/>
      <c r="HO19" s="148"/>
      <c r="HP19" s="148"/>
      <c r="HQ19" s="148"/>
      <c r="HR19" s="148"/>
      <c r="HS19" s="148"/>
      <c r="HT19" s="148"/>
      <c r="HU19" s="148"/>
      <c r="HV19" s="148"/>
      <c r="HW19" s="148"/>
      <c r="HX19" s="148"/>
      <c r="HY19" s="148"/>
      <c r="HZ19" s="148"/>
      <c r="IA19" s="148"/>
      <c r="IB19" s="148"/>
      <c r="IC19" s="148"/>
      <c r="ID19" s="148"/>
      <c r="IE19" s="148"/>
      <c r="IF19" s="148"/>
      <c r="IG19" s="148"/>
      <c r="IH19" s="148"/>
      <c r="II19" s="148"/>
      <c r="IJ19" s="148"/>
      <c r="IK19" s="148"/>
      <c r="IL19" s="148"/>
      <c r="IM19" s="148"/>
      <c r="IN19" s="148"/>
      <c r="IO19" s="148"/>
      <c r="IP19" s="148"/>
      <c r="IQ19" s="148"/>
      <c r="IR19" s="148"/>
      <c r="IS19" s="148"/>
      <c r="IT19" s="148"/>
      <c r="IU19" s="148"/>
      <c r="IV19" s="148"/>
    </row>
    <row r="20" spans="1:256" ht="18.75" x14ac:dyDescent="0.25">
      <c r="A20" s="149" t="s">
        <v>187</v>
      </c>
      <c r="B20" s="150"/>
      <c r="C20" s="326"/>
      <c r="D20" s="327">
        <f>+AVERAGE(D10:D12)</f>
        <v>5.6250417459051292</v>
      </c>
      <c r="E20" s="326"/>
      <c r="F20" s="326"/>
      <c r="G20" s="326"/>
      <c r="H20" s="326"/>
      <c r="I20" s="132">
        <f>+AVERAGE(C10:C18)</f>
        <v>4.7292568298437994</v>
      </c>
      <c r="J20" s="829"/>
      <c r="K20" s="829"/>
      <c r="L20" s="151"/>
      <c r="M20" s="151"/>
      <c r="N20" s="151"/>
      <c r="O20" s="151"/>
      <c r="P20" s="151"/>
      <c r="Q20" s="153"/>
      <c r="X20" s="104"/>
    </row>
    <row r="21" spans="1:256" ht="18.75" x14ac:dyDescent="0.25">
      <c r="A21" s="157">
        <v>1</v>
      </c>
      <c r="B21" s="825" t="s">
        <v>188</v>
      </c>
      <c r="C21" s="825"/>
      <c r="D21" s="825"/>
      <c r="E21" s="825"/>
      <c r="F21" s="825"/>
      <c r="G21" s="825"/>
      <c r="H21" s="825"/>
      <c r="I21" s="825"/>
      <c r="J21" s="825"/>
      <c r="K21" s="825"/>
      <c r="L21" s="158"/>
      <c r="M21" s="158"/>
      <c r="N21" s="158">
        <f>86.4-79.6</f>
        <v>6.8000000000000114</v>
      </c>
      <c r="O21" s="158"/>
      <c r="P21" s="158"/>
    </row>
    <row r="22" spans="1:256" ht="18.75" x14ac:dyDescent="0.25">
      <c r="A22" s="157">
        <v>2</v>
      </c>
      <c r="B22" s="825" t="s">
        <v>212</v>
      </c>
      <c r="C22" s="825"/>
      <c r="D22" s="825"/>
      <c r="E22" s="825"/>
      <c r="F22" s="825"/>
      <c r="G22" s="825"/>
      <c r="H22" s="825"/>
      <c r="I22" s="825"/>
      <c r="J22" s="825"/>
      <c r="K22" s="825"/>
      <c r="L22" s="158"/>
      <c r="M22" s="158"/>
      <c r="N22" s="158"/>
      <c r="O22" s="158"/>
      <c r="P22" s="158"/>
    </row>
    <row r="24" spans="1:256" x14ac:dyDescent="0.25">
      <c r="C24" s="826"/>
      <c r="D24" s="826"/>
      <c r="E24" s="826"/>
      <c r="F24" s="826"/>
      <c r="G24" s="826"/>
      <c r="H24" s="826"/>
      <c r="I24" s="826"/>
      <c r="J24" s="826"/>
      <c r="K24" s="826"/>
      <c r="L24" s="162"/>
      <c r="M24" s="162"/>
      <c r="N24" s="162"/>
    </row>
    <row r="25" spans="1:256" ht="18.75" x14ac:dyDescent="0.25">
      <c r="A25" s="125" t="s">
        <v>225</v>
      </c>
      <c r="B25" s="126">
        <v>31</v>
      </c>
      <c r="C25" s="127">
        <f>C7</f>
        <v>4.013456917763067</v>
      </c>
      <c r="D25" s="127">
        <f>D12</f>
        <v>4.7262181165333601</v>
      </c>
      <c r="E25" s="128">
        <f>D25*$P$3</f>
        <v>48238.164111270198</v>
      </c>
      <c r="F25" s="128">
        <f>E25*$P$5</f>
        <v>9445.0325329867046</v>
      </c>
      <c r="G25" s="172">
        <f>HLOOKUP('Exception Report F1'!AM3,'Solar Report_Base'!B114:AI152,31,0)</f>
        <v>21</v>
      </c>
      <c r="H25" s="129">
        <f>(25-(G25+20))*0.3739%</f>
        <v>-5.9824000000000002E-2</v>
      </c>
      <c r="I25" s="129">
        <v>-0.154</v>
      </c>
      <c r="J25" s="129">
        <f>SUM(H25:I25)</f>
        <v>-0.21382400000000001</v>
      </c>
      <c r="K25" s="128">
        <f>F25*(1+J25)</f>
        <v>7425.4578966533554</v>
      </c>
      <c r="L25" s="128">
        <f>K25*B25</f>
        <v>230189.19479625401</v>
      </c>
      <c r="M25" s="130">
        <f>K25/($P$4*24)</f>
        <v>0.15478991346168861</v>
      </c>
      <c r="N25" s="130">
        <f>K25/(D25*$P$4)</f>
        <v>0.78603184014821037</v>
      </c>
      <c r="O25" s="131">
        <f>D25/C25</f>
        <v>1.1775928366430695</v>
      </c>
      <c r="P25" s="132"/>
      <c r="Q25" s="132"/>
      <c r="R25" s="133">
        <v>129.6</v>
      </c>
      <c r="S25" s="134"/>
      <c r="T25" s="133">
        <v>175.3</v>
      </c>
      <c r="U25" s="135">
        <v>107.6</v>
      </c>
      <c r="V25" s="136">
        <f>R25/B25</f>
        <v>4.1806451612903226</v>
      </c>
      <c r="W25" s="134">
        <f>T25/B25</f>
        <v>5.6548387096774198</v>
      </c>
      <c r="X25" s="137"/>
      <c r="Y25" s="137"/>
    </row>
    <row r="26" spans="1:256" ht="18.75" x14ac:dyDescent="0.25">
      <c r="A26" s="125" t="s">
        <v>225</v>
      </c>
      <c r="B26" s="126">
        <v>31</v>
      </c>
      <c r="C26" s="127">
        <f>+C25</f>
        <v>4.013456917763067</v>
      </c>
      <c r="D26" s="173">
        <f>'Exception Report F1'!AA10</f>
        <v>3</v>
      </c>
      <c r="E26" s="128">
        <f>D26*$P$3</f>
        <v>30619.511999999995</v>
      </c>
      <c r="F26" s="128">
        <f>E26*$P$5</f>
        <v>5995.3004495999994</v>
      </c>
      <c r="G26" s="128">
        <f>G12</f>
        <v>29.766666666666666</v>
      </c>
      <c r="H26" s="129">
        <f>(25-(G26+20))*0.3739%</f>
        <v>-9.2602566666666664E-2</v>
      </c>
      <c r="I26" s="129">
        <v>-0.154</v>
      </c>
      <c r="J26" s="129">
        <f>SUM(H26:I26)</f>
        <v>-0.24660256666666666</v>
      </c>
      <c r="K26" s="128">
        <f>F26*(1+J26)</f>
        <v>4516.8439707908192</v>
      </c>
      <c r="L26" s="128">
        <f>K26*B26</f>
        <v>140022.16309451539</v>
      </c>
      <c r="M26" s="130">
        <f>K26/($P$4*24)</f>
        <v>9.4157410504444733E-2</v>
      </c>
      <c r="N26" s="130">
        <f>K26/(D26*$P$4)</f>
        <v>0.75325928403555786</v>
      </c>
      <c r="O26" s="131">
        <f>D26/C26</f>
        <v>0.74748528798761205</v>
      </c>
      <c r="P26" s="132"/>
      <c r="Q26" s="132"/>
      <c r="R26" s="133">
        <v>129.6</v>
      </c>
      <c r="S26" s="134"/>
      <c r="T26" s="133">
        <v>175.3</v>
      </c>
      <c r="U26" s="135">
        <v>107.6</v>
      </c>
      <c r="V26" s="136">
        <f>R26/B26</f>
        <v>4.1806451612903226</v>
      </c>
      <c r="W26" s="134">
        <f>T26/B26</f>
        <v>5.6548387096774198</v>
      </c>
      <c r="X26" s="137"/>
      <c r="Y26" s="137"/>
    </row>
    <row r="27" spans="1:256" ht="18.75" x14ac:dyDescent="0.25">
      <c r="C27" s="826"/>
      <c r="D27" s="826"/>
      <c r="E27" s="826"/>
      <c r="F27" s="826"/>
      <c r="G27" s="826"/>
      <c r="H27" s="826"/>
      <c r="I27" s="826"/>
      <c r="J27" s="826"/>
      <c r="K27" s="826"/>
      <c r="L27" s="162"/>
      <c r="M27" s="171" t="s">
        <v>216</v>
      </c>
      <c r="N27" s="171" t="s">
        <v>217</v>
      </c>
    </row>
    <row r="28" spans="1:256" ht="18.75" x14ac:dyDescent="0.25">
      <c r="C28" s="831" t="s">
        <v>214</v>
      </c>
      <c r="D28" s="831"/>
      <c r="E28" s="831"/>
      <c r="F28" s="831"/>
      <c r="G28" s="831"/>
      <c r="H28" s="831"/>
      <c r="I28" s="831"/>
      <c r="J28" s="831"/>
      <c r="K28" s="831"/>
      <c r="L28" s="831"/>
      <c r="M28" s="174">
        <f>+M12-M25</f>
        <v>-6.4537603510302077E-3</v>
      </c>
      <c r="N28" s="174">
        <f>+N12-N25</f>
        <v>-3.2772556112652618E-2</v>
      </c>
      <c r="O28" s="174">
        <f>+M28+M29</f>
        <v>4.7724982255183457E-2</v>
      </c>
    </row>
    <row r="29" spans="1:256" ht="18.75" x14ac:dyDescent="0.25">
      <c r="C29" s="831" t="s">
        <v>215</v>
      </c>
      <c r="D29" s="831"/>
      <c r="E29" s="831"/>
      <c r="F29" s="831"/>
      <c r="G29" s="831"/>
      <c r="H29" s="831"/>
      <c r="I29" s="831"/>
      <c r="J29" s="831"/>
      <c r="K29" s="831"/>
      <c r="L29" s="831"/>
      <c r="M29" s="174">
        <f>+M12-M26</f>
        <v>5.4178742606213665E-2</v>
      </c>
      <c r="N29" s="169">
        <f>+N12-N26</f>
        <v>0</v>
      </c>
    </row>
    <row r="30" spans="1:256" x14ac:dyDescent="0.25">
      <c r="C30" s="826"/>
      <c r="D30" s="826"/>
      <c r="E30" s="826"/>
      <c r="F30" s="826"/>
      <c r="G30" s="826"/>
      <c r="H30" s="826"/>
      <c r="I30" s="826"/>
      <c r="J30" s="826"/>
      <c r="K30" s="826"/>
      <c r="L30" s="162"/>
      <c r="M30" s="162"/>
      <c r="N30" s="162"/>
    </row>
    <row r="31" spans="1:256" ht="18.75" x14ac:dyDescent="0.25">
      <c r="A31" s="125" t="s">
        <v>90</v>
      </c>
      <c r="B31" s="126">
        <v>31</v>
      </c>
      <c r="C31" s="127">
        <f>+C25</f>
        <v>4.013456917763067</v>
      </c>
      <c r="D31" s="127">
        <f>+D25</f>
        <v>4.7262181165333601</v>
      </c>
      <c r="E31" s="128">
        <f>D31*$P$3</f>
        <v>48238.164111270198</v>
      </c>
      <c r="F31" s="128">
        <f>E31*$P$5</f>
        <v>9445.0325329867046</v>
      </c>
      <c r="G31" s="172">
        <f>+'Solar Report_Base'!AI144</f>
        <v>28.857142857142858</v>
      </c>
      <c r="H31" s="129">
        <f>(25-(G31+20))*0.3739%</f>
        <v>-8.9201857142857166E-2</v>
      </c>
      <c r="I31" s="129">
        <v>-0.154</v>
      </c>
      <c r="J31" s="129">
        <f>SUM(H31:I31)</f>
        <v>-0.24320185714285716</v>
      </c>
      <c r="K31" s="128">
        <f>F31*(1+J31)</f>
        <v>7147.9830801896342</v>
      </c>
      <c r="L31" s="128">
        <f>K31*B31</f>
        <v>221587.47548587865</v>
      </c>
      <c r="M31" s="130">
        <f>K31/($P$4*24)</f>
        <v>0.14900571760117809</v>
      </c>
      <c r="N31" s="130">
        <f>K31/(D31*$P$4)</f>
        <v>0.75665936997663152</v>
      </c>
      <c r="O31" s="131">
        <f>D31/C31</f>
        <v>1.1775928366430695</v>
      </c>
      <c r="P31" s="132"/>
      <c r="Q31" s="132"/>
      <c r="R31" s="133">
        <v>129.6</v>
      </c>
      <c r="S31" s="134"/>
      <c r="T31" s="133">
        <v>175.3</v>
      </c>
      <c r="U31" s="135">
        <v>107.6</v>
      </c>
      <c r="V31" s="136">
        <f>R31/B31</f>
        <v>4.1806451612903226</v>
      </c>
      <c r="W31" s="134">
        <f>T31/B31</f>
        <v>5.6548387096774198</v>
      </c>
      <c r="X31" s="137"/>
      <c r="Y31" s="137"/>
    </row>
    <row r="32" spans="1:256" ht="18.75" x14ac:dyDescent="0.25">
      <c r="A32" s="125" t="s">
        <v>90</v>
      </c>
      <c r="B32" s="126">
        <v>31</v>
      </c>
      <c r="C32" s="127">
        <f>+C31</f>
        <v>4.013456917763067</v>
      </c>
      <c r="D32" s="173">
        <f>+'Exception Report F1'!AC10</f>
        <v>5.4402142427748883</v>
      </c>
      <c r="E32" s="128">
        <f>D32*$P$3</f>
        <v>55525.568429738865</v>
      </c>
      <c r="F32" s="128">
        <f>E32*$P$5</f>
        <v>10871.90629854287</v>
      </c>
      <c r="G32" s="128">
        <f>G26</f>
        <v>29.766666666666666</v>
      </c>
      <c r="H32" s="129">
        <f>(25-(G32+20))*0.3739%</f>
        <v>-9.2602566666666664E-2</v>
      </c>
      <c r="I32" s="129">
        <v>-0.154</v>
      </c>
      <c r="J32" s="129">
        <f>SUM(H32:I32)</f>
        <v>-0.24660256666666666</v>
      </c>
      <c r="K32" s="128">
        <f>F32*(1+J32)</f>
        <v>8190.8663007626983</v>
      </c>
      <c r="L32" s="128">
        <f>K32*B32</f>
        <v>253916.85532364366</v>
      </c>
      <c r="M32" s="130">
        <f>K32/($P$4*24)</f>
        <v>0.17074549522969404</v>
      </c>
      <c r="N32" s="130">
        <f>K32/(D32*$P$4)</f>
        <v>0.75325928403555786</v>
      </c>
      <c r="O32" s="131">
        <f>D32/C32</f>
        <v>1.3554933699916321</v>
      </c>
      <c r="P32" s="132"/>
      <c r="Q32" s="132"/>
      <c r="R32" s="133">
        <v>129.6</v>
      </c>
      <c r="S32" s="134"/>
      <c r="T32" s="133">
        <v>175.3</v>
      </c>
      <c r="U32" s="135">
        <v>107.6</v>
      </c>
      <c r="V32" s="136">
        <f>R32/B32</f>
        <v>4.1806451612903226</v>
      </c>
      <c r="W32" s="134">
        <f>T32/B32</f>
        <v>5.6548387096774198</v>
      </c>
      <c r="X32" s="137"/>
      <c r="Y32" s="137"/>
    </row>
    <row r="33" spans="1:25" ht="18.75" x14ac:dyDescent="0.25">
      <c r="C33" s="826"/>
      <c r="D33" s="826"/>
      <c r="E33" s="826"/>
      <c r="F33" s="826"/>
      <c r="G33" s="826"/>
      <c r="H33" s="826"/>
      <c r="I33" s="826"/>
      <c r="J33" s="826"/>
      <c r="K33" s="826"/>
      <c r="L33" s="162"/>
      <c r="M33" s="171" t="s">
        <v>216</v>
      </c>
      <c r="N33" s="171" t="s">
        <v>217</v>
      </c>
    </row>
    <row r="34" spans="1:25" ht="18.75" x14ac:dyDescent="0.25">
      <c r="C34" s="831" t="s">
        <v>214</v>
      </c>
      <c r="D34" s="831"/>
      <c r="E34" s="831"/>
      <c r="F34" s="831"/>
      <c r="G34" s="831"/>
      <c r="H34" s="831"/>
      <c r="I34" s="831"/>
      <c r="J34" s="831"/>
      <c r="K34" s="831"/>
      <c r="L34" s="831"/>
      <c r="M34" s="174">
        <f>+M8-M31</f>
        <v>4.8977990902923763E-2</v>
      </c>
      <c r="N34" s="174">
        <f>+N8-N31</f>
        <v>2.4587427758172575E-2</v>
      </c>
    </row>
    <row r="35" spans="1:25" ht="18.75" x14ac:dyDescent="0.25">
      <c r="C35" s="831" t="s">
        <v>215</v>
      </c>
      <c r="D35" s="831"/>
      <c r="E35" s="831"/>
      <c r="F35" s="831"/>
      <c r="G35" s="831"/>
      <c r="H35" s="831"/>
      <c r="I35" s="831"/>
      <c r="J35" s="831"/>
      <c r="K35" s="831"/>
      <c r="L35" s="831"/>
      <c r="M35" s="169">
        <f>+M8-M32</f>
        <v>2.7238213274407813E-2</v>
      </c>
      <c r="N35" s="169">
        <f>+N8-N32</f>
        <v>2.7987513699246236E-2</v>
      </c>
    </row>
    <row r="37" spans="1:25" ht="18.75" x14ac:dyDescent="0.25">
      <c r="A37" s="125" t="s">
        <v>184</v>
      </c>
      <c r="B37" s="126">
        <v>30</v>
      </c>
      <c r="C37" s="127"/>
      <c r="D37" s="127">
        <f>AVERAGE(D10:D18,D7:D8)</f>
        <v>5.2179567719581597</v>
      </c>
      <c r="E37" s="128">
        <f>D37*$P$3</f>
        <v>53257.09666481804</v>
      </c>
      <c r="F37" s="128">
        <f>E37*$P$5</f>
        <v>10427.739526971372</v>
      </c>
      <c r="G37" s="127">
        <f>AVERAGE(G10:G18,G7:G8)</f>
        <v>25.806207233626591</v>
      </c>
      <c r="H37" s="129">
        <f>(25-(G37+20))*0.3739%</f>
        <v>-7.7794408846529842E-2</v>
      </c>
      <c r="I37" s="129">
        <v>-0.154</v>
      </c>
      <c r="J37" s="129">
        <f>SUM(H37:I37)</f>
        <v>-0.23179440884652985</v>
      </c>
      <c r="K37" s="128">
        <f>F37*(1+J37)</f>
        <v>8010.6478077114507</v>
      </c>
      <c r="L37" s="128">
        <f>K37*B37</f>
        <v>240319.43423134353</v>
      </c>
      <c r="M37" s="130">
        <f>K37/($P$4*24)</f>
        <v>0.16698868920751309</v>
      </c>
      <c r="N37" s="130">
        <f>K37/(D37*$P$4)</f>
        <v>0.7680647265071765</v>
      </c>
      <c r="O37" s="131" t="e">
        <f>D37/C37</f>
        <v>#DIV/0!</v>
      </c>
      <c r="P37" s="132"/>
      <c r="Q37" s="132"/>
      <c r="R37" s="133">
        <v>129.6</v>
      </c>
      <c r="S37" s="134"/>
      <c r="T37" s="133">
        <v>175.3</v>
      </c>
      <c r="U37" s="135">
        <v>107.6</v>
      </c>
      <c r="V37" s="136">
        <f>R37/B37</f>
        <v>4.3199999999999994</v>
      </c>
      <c r="W37" s="134">
        <f>T37/B37</f>
        <v>5.8433333333333337</v>
      </c>
      <c r="X37" s="137"/>
      <c r="Y37" s="137"/>
    </row>
    <row r="38" spans="1:25" ht="18.75" x14ac:dyDescent="0.25">
      <c r="A38" s="125" t="s">
        <v>184</v>
      </c>
      <c r="B38" s="126">
        <v>30</v>
      </c>
      <c r="C38" s="127"/>
      <c r="D38" s="173">
        <f>+'Exception Report F1'!AE10</f>
        <v>5.6577811687251698</v>
      </c>
      <c r="E38" s="128">
        <f>D38*$P$3</f>
        <v>57746.166129718113</v>
      </c>
      <c r="F38" s="128">
        <f>E38*$P$5</f>
        <v>11306.699328198807</v>
      </c>
      <c r="G38" s="128">
        <f>G37</f>
        <v>25.806207233626591</v>
      </c>
      <c r="H38" s="129">
        <f>(25-(G38+20))*0.3739%</f>
        <v>-7.7794408846529842E-2</v>
      </c>
      <c r="I38" s="129">
        <v>-0.154</v>
      </c>
      <c r="J38" s="129">
        <f>SUM(H38:I38)</f>
        <v>-0.23179440884652985</v>
      </c>
      <c r="K38" s="128">
        <f>F38*(1+J38)</f>
        <v>8685.8696414135084</v>
      </c>
      <c r="L38" s="128">
        <f>K38*B38</f>
        <v>260576.08924240526</v>
      </c>
      <c r="M38" s="130">
        <f>K38/($P$4*24)</f>
        <v>0.18106425608309795</v>
      </c>
      <c r="N38" s="130">
        <f>K38/(D38*$P$4)</f>
        <v>0.7680647265071765</v>
      </c>
      <c r="O38" s="131" t="e">
        <f>D38/C38</f>
        <v>#DIV/0!</v>
      </c>
      <c r="P38" s="132"/>
      <c r="Q38" s="132"/>
      <c r="R38" s="133">
        <v>129.6</v>
      </c>
      <c r="S38" s="134"/>
      <c r="T38" s="133">
        <v>175.3</v>
      </c>
      <c r="U38" s="135">
        <v>107.6</v>
      </c>
      <c r="V38" s="136">
        <f>R38/B38</f>
        <v>4.3199999999999994</v>
      </c>
      <c r="W38" s="134">
        <f>T38/B38</f>
        <v>5.8433333333333337</v>
      </c>
      <c r="X38" s="137"/>
      <c r="Y38" s="137"/>
    </row>
    <row r="39" spans="1:25" ht="18.75" x14ac:dyDescent="0.25">
      <c r="A39" s="125" t="s">
        <v>184</v>
      </c>
      <c r="B39" s="126">
        <v>30</v>
      </c>
      <c r="C39" s="127"/>
      <c r="D39" s="127">
        <f>D37</f>
        <v>5.2179567719581597</v>
      </c>
      <c r="E39" s="128">
        <f>D39*$P$3</f>
        <v>53257.09666481804</v>
      </c>
      <c r="F39" s="128">
        <f>E39*$P$5</f>
        <v>10427.739526971372</v>
      </c>
      <c r="G39" s="173">
        <v>31.5</v>
      </c>
      <c r="H39" s="129">
        <f>(25-(G39+20))*0.3739%</f>
        <v>-9.9083500000000005E-2</v>
      </c>
      <c r="I39" s="129">
        <v>-0.154</v>
      </c>
      <c r="J39" s="129">
        <f>SUM(H39:I39)</f>
        <v>-0.25308350000000002</v>
      </c>
      <c r="K39" s="128">
        <f>F39*(1+J39)</f>
        <v>7788.6507103971126</v>
      </c>
      <c r="L39" s="128">
        <f>K39*B39</f>
        <v>233659.52131191338</v>
      </c>
      <c r="M39" s="130">
        <f>K39/($P$4*24)</f>
        <v>0.16236097305043679</v>
      </c>
      <c r="N39" s="130">
        <f>K39/(D39*$P$4)</f>
        <v>0.7467795391007368</v>
      </c>
      <c r="O39" s="131" t="e">
        <f>D39/C39</f>
        <v>#DIV/0!</v>
      </c>
      <c r="P39" s="132"/>
      <c r="Q39" s="132"/>
      <c r="R39" s="133">
        <v>129.6</v>
      </c>
      <c r="S39" s="134"/>
      <c r="T39" s="133">
        <v>175.3</v>
      </c>
      <c r="U39" s="135">
        <v>107.6</v>
      </c>
      <c r="V39" s="136">
        <f>R39/B39</f>
        <v>4.3199999999999994</v>
      </c>
      <c r="W39" s="134">
        <f>T39/B39</f>
        <v>5.8433333333333337</v>
      </c>
      <c r="X39" s="137"/>
      <c r="Y39" s="137"/>
    </row>
    <row r="40" spans="1:25" ht="18.75" x14ac:dyDescent="0.25">
      <c r="C40" s="826"/>
      <c r="D40" s="826"/>
      <c r="E40" s="826"/>
      <c r="F40" s="826"/>
      <c r="G40" s="826"/>
      <c r="H40" s="826"/>
      <c r="I40" s="826"/>
      <c r="J40" s="826"/>
      <c r="K40" s="826"/>
      <c r="L40" s="162"/>
      <c r="M40" s="171" t="s">
        <v>216</v>
      </c>
      <c r="N40" s="171" t="s">
        <v>217</v>
      </c>
    </row>
    <row r="41" spans="1:25" ht="18.75" x14ac:dyDescent="0.25">
      <c r="C41" s="831" t="s">
        <v>214</v>
      </c>
      <c r="D41" s="831"/>
      <c r="E41" s="831"/>
      <c r="F41" s="831"/>
      <c r="G41" s="831"/>
      <c r="H41" s="831"/>
      <c r="I41" s="831"/>
      <c r="J41" s="831"/>
      <c r="K41" s="831"/>
      <c r="L41" s="831"/>
      <c r="M41" s="174">
        <f>M37-M39</f>
        <v>4.6277161570763004E-3</v>
      </c>
      <c r="N41" s="174">
        <f>N37-N39</f>
        <v>2.1285187406439698E-2</v>
      </c>
    </row>
    <row r="42" spans="1:25" ht="18.75" x14ac:dyDescent="0.25">
      <c r="C42" s="831" t="s">
        <v>215</v>
      </c>
      <c r="D42" s="831"/>
      <c r="E42" s="831"/>
      <c r="F42" s="831"/>
      <c r="G42" s="831"/>
      <c r="H42" s="831"/>
      <c r="I42" s="831"/>
      <c r="J42" s="831"/>
      <c r="K42" s="831"/>
      <c r="L42" s="831"/>
      <c r="M42" s="169">
        <f>M37-M38</f>
        <v>-1.4075566875584866E-2</v>
      </c>
      <c r="N42" s="169">
        <f>N37-N38</f>
        <v>0</v>
      </c>
    </row>
  </sheetData>
  <mergeCells count="26">
    <mergeCell ref="A1:L1"/>
    <mergeCell ref="A2:A5"/>
    <mergeCell ref="B2:B5"/>
    <mergeCell ref="C2:E2"/>
    <mergeCell ref="F2:F3"/>
    <mergeCell ref="N2:N3"/>
    <mergeCell ref="C4:D4"/>
    <mergeCell ref="J20:K20"/>
    <mergeCell ref="B21:K21"/>
    <mergeCell ref="M2:M3"/>
    <mergeCell ref="G2:G3"/>
    <mergeCell ref="H2:J2"/>
    <mergeCell ref="K2:K3"/>
    <mergeCell ref="L2:L3"/>
    <mergeCell ref="C42:L42"/>
    <mergeCell ref="C30:K30"/>
    <mergeCell ref="C33:K33"/>
    <mergeCell ref="C28:L28"/>
    <mergeCell ref="C29:L29"/>
    <mergeCell ref="C40:K40"/>
    <mergeCell ref="C41:L41"/>
    <mergeCell ref="B22:K22"/>
    <mergeCell ref="C24:K24"/>
    <mergeCell ref="C27:K27"/>
    <mergeCell ref="C34:L34"/>
    <mergeCell ref="C35:L35"/>
  </mergeCells>
  <pageMargins left="0.7" right="0.7" top="0.75" bottom="0.75" header="0.3" footer="0.3"/>
  <pageSetup paperSize="9" scale="59" fitToWidth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1"/>
  <sheetViews>
    <sheetView view="pageBreakPreview" topLeftCell="A7" zoomScale="80" zoomScaleSheetLayoutView="80" workbookViewId="0">
      <selection activeCell="K12" sqref="K12"/>
    </sheetView>
  </sheetViews>
  <sheetFormatPr defaultRowHeight="15" x14ac:dyDescent="0.25"/>
  <cols>
    <col min="1" max="1" width="14.28515625" style="104" customWidth="1"/>
    <col min="2" max="2" width="9.140625" style="104" customWidth="1"/>
    <col min="3" max="3" width="15.42578125" style="159" customWidth="1"/>
    <col min="4" max="4" width="14.42578125" style="159" customWidth="1"/>
    <col min="5" max="5" width="20.140625" style="154" customWidth="1"/>
    <col min="6" max="6" width="18" style="154" customWidth="1"/>
    <col min="7" max="7" width="12.28515625" style="154" customWidth="1"/>
    <col min="8" max="8" width="18.5703125" style="160" customWidth="1"/>
    <col min="9" max="9" width="15.85546875" style="161" customWidth="1"/>
    <col min="10" max="10" width="10.85546875" style="160" customWidth="1"/>
    <col min="11" max="14" width="16.85546875" style="154" customWidth="1"/>
    <col min="15" max="16" width="18.7109375" style="154" customWidth="1"/>
    <col min="17" max="17" width="14.140625" style="154" customWidth="1"/>
    <col min="18" max="20" width="11.5703125" style="154" customWidth="1"/>
    <col min="21" max="21" width="11.5703125" style="155" customWidth="1"/>
    <col min="22" max="22" width="11.5703125" style="156" customWidth="1"/>
    <col min="23" max="23" width="11.5703125" style="154" customWidth="1"/>
    <col min="24" max="24" width="8.85546875" customWidth="1"/>
    <col min="25" max="28" width="13.42578125" style="104" bestFit="1" customWidth="1"/>
    <col min="29" max="257" width="9.140625" style="104"/>
    <col min="258" max="258" width="14.28515625" style="104" customWidth="1"/>
    <col min="259" max="259" width="0" style="104" hidden="1" customWidth="1"/>
    <col min="260" max="260" width="15.42578125" style="104" customWidth="1"/>
    <col min="261" max="261" width="14.42578125" style="104" customWidth="1"/>
    <col min="262" max="262" width="20.140625" style="104" customWidth="1"/>
    <col min="263" max="263" width="18" style="104" customWidth="1"/>
    <col min="264" max="264" width="12.28515625" style="104" customWidth="1"/>
    <col min="265" max="265" width="18.5703125" style="104" customWidth="1"/>
    <col min="266" max="266" width="15.85546875" style="104" customWidth="1"/>
    <col min="267" max="267" width="10.85546875" style="104" customWidth="1"/>
    <col min="268" max="270" width="16.85546875" style="104" customWidth="1"/>
    <col min="271" max="272" width="18.7109375" style="104" customWidth="1"/>
    <col min="273" max="273" width="14.140625" style="104" customWidth="1"/>
    <col min="274" max="279" width="11.5703125" style="104" customWidth="1"/>
    <col min="280" max="280" width="8.85546875" style="104" customWidth="1"/>
    <col min="281" max="284" width="13.42578125" style="104" bestFit="1" customWidth="1"/>
    <col min="285" max="513" width="9.140625" style="104"/>
    <col min="514" max="514" width="14.28515625" style="104" customWidth="1"/>
    <col min="515" max="515" width="0" style="104" hidden="1" customWidth="1"/>
    <col min="516" max="516" width="15.42578125" style="104" customWidth="1"/>
    <col min="517" max="517" width="14.42578125" style="104" customWidth="1"/>
    <col min="518" max="518" width="20.140625" style="104" customWidth="1"/>
    <col min="519" max="519" width="18" style="104" customWidth="1"/>
    <col min="520" max="520" width="12.28515625" style="104" customWidth="1"/>
    <col min="521" max="521" width="18.5703125" style="104" customWidth="1"/>
    <col min="522" max="522" width="15.85546875" style="104" customWidth="1"/>
    <col min="523" max="523" width="10.85546875" style="104" customWidth="1"/>
    <col min="524" max="526" width="16.85546875" style="104" customWidth="1"/>
    <col min="527" max="528" width="18.7109375" style="104" customWidth="1"/>
    <col min="529" max="529" width="14.140625" style="104" customWidth="1"/>
    <col min="530" max="535" width="11.5703125" style="104" customWidth="1"/>
    <col min="536" max="536" width="8.85546875" style="104" customWidth="1"/>
    <col min="537" max="540" width="13.42578125" style="104" bestFit="1" customWidth="1"/>
    <col min="541" max="769" width="9.140625" style="104"/>
    <col min="770" max="770" width="14.28515625" style="104" customWidth="1"/>
    <col min="771" max="771" width="0" style="104" hidden="1" customWidth="1"/>
    <col min="772" max="772" width="15.42578125" style="104" customWidth="1"/>
    <col min="773" max="773" width="14.42578125" style="104" customWidth="1"/>
    <col min="774" max="774" width="20.140625" style="104" customWidth="1"/>
    <col min="775" max="775" width="18" style="104" customWidth="1"/>
    <col min="776" max="776" width="12.28515625" style="104" customWidth="1"/>
    <col min="777" max="777" width="18.5703125" style="104" customWidth="1"/>
    <col min="778" max="778" width="15.85546875" style="104" customWidth="1"/>
    <col min="779" max="779" width="10.85546875" style="104" customWidth="1"/>
    <col min="780" max="782" width="16.85546875" style="104" customWidth="1"/>
    <col min="783" max="784" width="18.7109375" style="104" customWidth="1"/>
    <col min="785" max="785" width="14.140625" style="104" customWidth="1"/>
    <col min="786" max="791" width="11.5703125" style="104" customWidth="1"/>
    <col min="792" max="792" width="8.85546875" style="104" customWidth="1"/>
    <col min="793" max="796" width="13.42578125" style="104" bestFit="1" customWidth="1"/>
    <col min="797" max="1025" width="9.140625" style="104"/>
    <col min="1026" max="1026" width="14.28515625" style="104" customWidth="1"/>
    <col min="1027" max="1027" width="0" style="104" hidden="1" customWidth="1"/>
    <col min="1028" max="1028" width="15.42578125" style="104" customWidth="1"/>
    <col min="1029" max="1029" width="14.42578125" style="104" customWidth="1"/>
    <col min="1030" max="1030" width="20.140625" style="104" customWidth="1"/>
    <col min="1031" max="1031" width="18" style="104" customWidth="1"/>
    <col min="1032" max="1032" width="12.28515625" style="104" customWidth="1"/>
    <col min="1033" max="1033" width="18.5703125" style="104" customWidth="1"/>
    <col min="1034" max="1034" width="15.85546875" style="104" customWidth="1"/>
    <col min="1035" max="1035" width="10.85546875" style="104" customWidth="1"/>
    <col min="1036" max="1038" width="16.85546875" style="104" customWidth="1"/>
    <col min="1039" max="1040" width="18.7109375" style="104" customWidth="1"/>
    <col min="1041" max="1041" width="14.140625" style="104" customWidth="1"/>
    <col min="1042" max="1047" width="11.5703125" style="104" customWidth="1"/>
    <col min="1048" max="1048" width="8.85546875" style="104" customWidth="1"/>
    <col min="1049" max="1052" width="13.42578125" style="104" bestFit="1" customWidth="1"/>
    <col min="1053" max="1281" width="9.140625" style="104"/>
    <col min="1282" max="1282" width="14.28515625" style="104" customWidth="1"/>
    <col min="1283" max="1283" width="0" style="104" hidden="1" customWidth="1"/>
    <col min="1284" max="1284" width="15.42578125" style="104" customWidth="1"/>
    <col min="1285" max="1285" width="14.42578125" style="104" customWidth="1"/>
    <col min="1286" max="1286" width="20.140625" style="104" customWidth="1"/>
    <col min="1287" max="1287" width="18" style="104" customWidth="1"/>
    <col min="1288" max="1288" width="12.28515625" style="104" customWidth="1"/>
    <col min="1289" max="1289" width="18.5703125" style="104" customWidth="1"/>
    <col min="1290" max="1290" width="15.85546875" style="104" customWidth="1"/>
    <col min="1291" max="1291" width="10.85546875" style="104" customWidth="1"/>
    <col min="1292" max="1294" width="16.85546875" style="104" customWidth="1"/>
    <col min="1295" max="1296" width="18.7109375" style="104" customWidth="1"/>
    <col min="1297" max="1297" width="14.140625" style="104" customWidth="1"/>
    <col min="1298" max="1303" width="11.5703125" style="104" customWidth="1"/>
    <col min="1304" max="1304" width="8.85546875" style="104" customWidth="1"/>
    <col min="1305" max="1308" width="13.42578125" style="104" bestFit="1" customWidth="1"/>
    <col min="1309" max="1537" width="9.140625" style="104"/>
    <col min="1538" max="1538" width="14.28515625" style="104" customWidth="1"/>
    <col min="1539" max="1539" width="0" style="104" hidden="1" customWidth="1"/>
    <col min="1540" max="1540" width="15.42578125" style="104" customWidth="1"/>
    <col min="1541" max="1541" width="14.42578125" style="104" customWidth="1"/>
    <col min="1542" max="1542" width="20.140625" style="104" customWidth="1"/>
    <col min="1543" max="1543" width="18" style="104" customWidth="1"/>
    <col min="1544" max="1544" width="12.28515625" style="104" customWidth="1"/>
    <col min="1545" max="1545" width="18.5703125" style="104" customWidth="1"/>
    <col min="1546" max="1546" width="15.85546875" style="104" customWidth="1"/>
    <col min="1547" max="1547" width="10.85546875" style="104" customWidth="1"/>
    <col min="1548" max="1550" width="16.85546875" style="104" customWidth="1"/>
    <col min="1551" max="1552" width="18.7109375" style="104" customWidth="1"/>
    <col min="1553" max="1553" width="14.140625" style="104" customWidth="1"/>
    <col min="1554" max="1559" width="11.5703125" style="104" customWidth="1"/>
    <col min="1560" max="1560" width="8.85546875" style="104" customWidth="1"/>
    <col min="1561" max="1564" width="13.42578125" style="104" bestFit="1" customWidth="1"/>
    <col min="1565" max="1793" width="9.140625" style="104"/>
    <col min="1794" max="1794" width="14.28515625" style="104" customWidth="1"/>
    <col min="1795" max="1795" width="0" style="104" hidden="1" customWidth="1"/>
    <col min="1796" max="1796" width="15.42578125" style="104" customWidth="1"/>
    <col min="1797" max="1797" width="14.42578125" style="104" customWidth="1"/>
    <col min="1798" max="1798" width="20.140625" style="104" customWidth="1"/>
    <col min="1799" max="1799" width="18" style="104" customWidth="1"/>
    <col min="1800" max="1800" width="12.28515625" style="104" customWidth="1"/>
    <col min="1801" max="1801" width="18.5703125" style="104" customWidth="1"/>
    <col min="1802" max="1802" width="15.85546875" style="104" customWidth="1"/>
    <col min="1803" max="1803" width="10.85546875" style="104" customWidth="1"/>
    <col min="1804" max="1806" width="16.85546875" style="104" customWidth="1"/>
    <col min="1807" max="1808" width="18.7109375" style="104" customWidth="1"/>
    <col min="1809" max="1809" width="14.140625" style="104" customWidth="1"/>
    <col min="1810" max="1815" width="11.5703125" style="104" customWidth="1"/>
    <col min="1816" max="1816" width="8.85546875" style="104" customWidth="1"/>
    <col min="1817" max="1820" width="13.42578125" style="104" bestFit="1" customWidth="1"/>
    <col min="1821" max="2049" width="9.140625" style="104"/>
    <col min="2050" max="2050" width="14.28515625" style="104" customWidth="1"/>
    <col min="2051" max="2051" width="0" style="104" hidden="1" customWidth="1"/>
    <col min="2052" max="2052" width="15.42578125" style="104" customWidth="1"/>
    <col min="2053" max="2053" width="14.42578125" style="104" customWidth="1"/>
    <col min="2054" max="2054" width="20.140625" style="104" customWidth="1"/>
    <col min="2055" max="2055" width="18" style="104" customWidth="1"/>
    <col min="2056" max="2056" width="12.28515625" style="104" customWidth="1"/>
    <col min="2057" max="2057" width="18.5703125" style="104" customWidth="1"/>
    <col min="2058" max="2058" width="15.85546875" style="104" customWidth="1"/>
    <col min="2059" max="2059" width="10.85546875" style="104" customWidth="1"/>
    <col min="2060" max="2062" width="16.85546875" style="104" customWidth="1"/>
    <col min="2063" max="2064" width="18.7109375" style="104" customWidth="1"/>
    <col min="2065" max="2065" width="14.140625" style="104" customWidth="1"/>
    <col min="2066" max="2071" width="11.5703125" style="104" customWidth="1"/>
    <col min="2072" max="2072" width="8.85546875" style="104" customWidth="1"/>
    <col min="2073" max="2076" width="13.42578125" style="104" bestFit="1" customWidth="1"/>
    <col min="2077" max="2305" width="9.140625" style="104"/>
    <col min="2306" max="2306" width="14.28515625" style="104" customWidth="1"/>
    <col min="2307" max="2307" width="0" style="104" hidden="1" customWidth="1"/>
    <col min="2308" max="2308" width="15.42578125" style="104" customWidth="1"/>
    <col min="2309" max="2309" width="14.42578125" style="104" customWidth="1"/>
    <col min="2310" max="2310" width="20.140625" style="104" customWidth="1"/>
    <col min="2311" max="2311" width="18" style="104" customWidth="1"/>
    <col min="2312" max="2312" width="12.28515625" style="104" customWidth="1"/>
    <col min="2313" max="2313" width="18.5703125" style="104" customWidth="1"/>
    <col min="2314" max="2314" width="15.85546875" style="104" customWidth="1"/>
    <col min="2315" max="2315" width="10.85546875" style="104" customWidth="1"/>
    <col min="2316" max="2318" width="16.85546875" style="104" customWidth="1"/>
    <col min="2319" max="2320" width="18.7109375" style="104" customWidth="1"/>
    <col min="2321" max="2321" width="14.140625" style="104" customWidth="1"/>
    <col min="2322" max="2327" width="11.5703125" style="104" customWidth="1"/>
    <col min="2328" max="2328" width="8.85546875" style="104" customWidth="1"/>
    <col min="2329" max="2332" width="13.42578125" style="104" bestFit="1" customWidth="1"/>
    <col min="2333" max="2561" width="9.140625" style="104"/>
    <col min="2562" max="2562" width="14.28515625" style="104" customWidth="1"/>
    <col min="2563" max="2563" width="0" style="104" hidden="1" customWidth="1"/>
    <col min="2564" max="2564" width="15.42578125" style="104" customWidth="1"/>
    <col min="2565" max="2565" width="14.42578125" style="104" customWidth="1"/>
    <col min="2566" max="2566" width="20.140625" style="104" customWidth="1"/>
    <col min="2567" max="2567" width="18" style="104" customWidth="1"/>
    <col min="2568" max="2568" width="12.28515625" style="104" customWidth="1"/>
    <col min="2569" max="2569" width="18.5703125" style="104" customWidth="1"/>
    <col min="2570" max="2570" width="15.85546875" style="104" customWidth="1"/>
    <col min="2571" max="2571" width="10.85546875" style="104" customWidth="1"/>
    <col min="2572" max="2574" width="16.85546875" style="104" customWidth="1"/>
    <col min="2575" max="2576" width="18.7109375" style="104" customWidth="1"/>
    <col min="2577" max="2577" width="14.140625" style="104" customWidth="1"/>
    <col min="2578" max="2583" width="11.5703125" style="104" customWidth="1"/>
    <col min="2584" max="2584" width="8.85546875" style="104" customWidth="1"/>
    <col min="2585" max="2588" width="13.42578125" style="104" bestFit="1" customWidth="1"/>
    <col min="2589" max="2817" width="9.140625" style="104"/>
    <col min="2818" max="2818" width="14.28515625" style="104" customWidth="1"/>
    <col min="2819" max="2819" width="0" style="104" hidden="1" customWidth="1"/>
    <col min="2820" max="2820" width="15.42578125" style="104" customWidth="1"/>
    <col min="2821" max="2821" width="14.42578125" style="104" customWidth="1"/>
    <col min="2822" max="2822" width="20.140625" style="104" customWidth="1"/>
    <col min="2823" max="2823" width="18" style="104" customWidth="1"/>
    <col min="2824" max="2824" width="12.28515625" style="104" customWidth="1"/>
    <col min="2825" max="2825" width="18.5703125" style="104" customWidth="1"/>
    <col min="2826" max="2826" width="15.85546875" style="104" customWidth="1"/>
    <col min="2827" max="2827" width="10.85546875" style="104" customWidth="1"/>
    <col min="2828" max="2830" width="16.85546875" style="104" customWidth="1"/>
    <col min="2831" max="2832" width="18.7109375" style="104" customWidth="1"/>
    <col min="2833" max="2833" width="14.140625" style="104" customWidth="1"/>
    <col min="2834" max="2839" width="11.5703125" style="104" customWidth="1"/>
    <col min="2840" max="2840" width="8.85546875" style="104" customWidth="1"/>
    <col min="2841" max="2844" width="13.42578125" style="104" bestFit="1" customWidth="1"/>
    <col min="2845" max="3073" width="9.140625" style="104"/>
    <col min="3074" max="3074" width="14.28515625" style="104" customWidth="1"/>
    <col min="3075" max="3075" width="0" style="104" hidden="1" customWidth="1"/>
    <col min="3076" max="3076" width="15.42578125" style="104" customWidth="1"/>
    <col min="3077" max="3077" width="14.42578125" style="104" customWidth="1"/>
    <col min="3078" max="3078" width="20.140625" style="104" customWidth="1"/>
    <col min="3079" max="3079" width="18" style="104" customWidth="1"/>
    <col min="3080" max="3080" width="12.28515625" style="104" customWidth="1"/>
    <col min="3081" max="3081" width="18.5703125" style="104" customWidth="1"/>
    <col min="3082" max="3082" width="15.85546875" style="104" customWidth="1"/>
    <col min="3083" max="3083" width="10.85546875" style="104" customWidth="1"/>
    <col min="3084" max="3086" width="16.85546875" style="104" customWidth="1"/>
    <col min="3087" max="3088" width="18.7109375" style="104" customWidth="1"/>
    <col min="3089" max="3089" width="14.140625" style="104" customWidth="1"/>
    <col min="3090" max="3095" width="11.5703125" style="104" customWidth="1"/>
    <col min="3096" max="3096" width="8.85546875" style="104" customWidth="1"/>
    <col min="3097" max="3100" width="13.42578125" style="104" bestFit="1" customWidth="1"/>
    <col min="3101" max="3329" width="9.140625" style="104"/>
    <col min="3330" max="3330" width="14.28515625" style="104" customWidth="1"/>
    <col min="3331" max="3331" width="0" style="104" hidden="1" customWidth="1"/>
    <col min="3332" max="3332" width="15.42578125" style="104" customWidth="1"/>
    <col min="3333" max="3333" width="14.42578125" style="104" customWidth="1"/>
    <col min="3334" max="3334" width="20.140625" style="104" customWidth="1"/>
    <col min="3335" max="3335" width="18" style="104" customWidth="1"/>
    <col min="3336" max="3336" width="12.28515625" style="104" customWidth="1"/>
    <col min="3337" max="3337" width="18.5703125" style="104" customWidth="1"/>
    <col min="3338" max="3338" width="15.85546875" style="104" customWidth="1"/>
    <col min="3339" max="3339" width="10.85546875" style="104" customWidth="1"/>
    <col min="3340" max="3342" width="16.85546875" style="104" customWidth="1"/>
    <col min="3343" max="3344" width="18.7109375" style="104" customWidth="1"/>
    <col min="3345" max="3345" width="14.140625" style="104" customWidth="1"/>
    <col min="3346" max="3351" width="11.5703125" style="104" customWidth="1"/>
    <col min="3352" max="3352" width="8.85546875" style="104" customWidth="1"/>
    <col min="3353" max="3356" width="13.42578125" style="104" bestFit="1" customWidth="1"/>
    <col min="3357" max="3585" width="9.140625" style="104"/>
    <col min="3586" max="3586" width="14.28515625" style="104" customWidth="1"/>
    <col min="3587" max="3587" width="0" style="104" hidden="1" customWidth="1"/>
    <col min="3588" max="3588" width="15.42578125" style="104" customWidth="1"/>
    <col min="3589" max="3589" width="14.42578125" style="104" customWidth="1"/>
    <col min="3590" max="3590" width="20.140625" style="104" customWidth="1"/>
    <col min="3591" max="3591" width="18" style="104" customWidth="1"/>
    <col min="3592" max="3592" width="12.28515625" style="104" customWidth="1"/>
    <col min="3593" max="3593" width="18.5703125" style="104" customWidth="1"/>
    <col min="3594" max="3594" width="15.85546875" style="104" customWidth="1"/>
    <col min="3595" max="3595" width="10.85546875" style="104" customWidth="1"/>
    <col min="3596" max="3598" width="16.85546875" style="104" customWidth="1"/>
    <col min="3599" max="3600" width="18.7109375" style="104" customWidth="1"/>
    <col min="3601" max="3601" width="14.140625" style="104" customWidth="1"/>
    <col min="3602" max="3607" width="11.5703125" style="104" customWidth="1"/>
    <col min="3608" max="3608" width="8.85546875" style="104" customWidth="1"/>
    <col min="3609" max="3612" width="13.42578125" style="104" bestFit="1" customWidth="1"/>
    <col min="3613" max="3841" width="9.140625" style="104"/>
    <col min="3842" max="3842" width="14.28515625" style="104" customWidth="1"/>
    <col min="3843" max="3843" width="0" style="104" hidden="1" customWidth="1"/>
    <col min="3844" max="3844" width="15.42578125" style="104" customWidth="1"/>
    <col min="3845" max="3845" width="14.42578125" style="104" customWidth="1"/>
    <col min="3846" max="3846" width="20.140625" style="104" customWidth="1"/>
    <col min="3847" max="3847" width="18" style="104" customWidth="1"/>
    <col min="3848" max="3848" width="12.28515625" style="104" customWidth="1"/>
    <col min="3849" max="3849" width="18.5703125" style="104" customWidth="1"/>
    <col min="3850" max="3850" width="15.85546875" style="104" customWidth="1"/>
    <col min="3851" max="3851" width="10.85546875" style="104" customWidth="1"/>
    <col min="3852" max="3854" width="16.85546875" style="104" customWidth="1"/>
    <col min="3855" max="3856" width="18.7109375" style="104" customWidth="1"/>
    <col min="3857" max="3857" width="14.140625" style="104" customWidth="1"/>
    <col min="3858" max="3863" width="11.5703125" style="104" customWidth="1"/>
    <col min="3864" max="3864" width="8.85546875" style="104" customWidth="1"/>
    <col min="3865" max="3868" width="13.42578125" style="104" bestFit="1" customWidth="1"/>
    <col min="3869" max="4097" width="9.140625" style="104"/>
    <col min="4098" max="4098" width="14.28515625" style="104" customWidth="1"/>
    <col min="4099" max="4099" width="0" style="104" hidden="1" customWidth="1"/>
    <col min="4100" max="4100" width="15.42578125" style="104" customWidth="1"/>
    <col min="4101" max="4101" width="14.42578125" style="104" customWidth="1"/>
    <col min="4102" max="4102" width="20.140625" style="104" customWidth="1"/>
    <col min="4103" max="4103" width="18" style="104" customWidth="1"/>
    <col min="4104" max="4104" width="12.28515625" style="104" customWidth="1"/>
    <col min="4105" max="4105" width="18.5703125" style="104" customWidth="1"/>
    <col min="4106" max="4106" width="15.85546875" style="104" customWidth="1"/>
    <col min="4107" max="4107" width="10.85546875" style="104" customWidth="1"/>
    <col min="4108" max="4110" width="16.85546875" style="104" customWidth="1"/>
    <col min="4111" max="4112" width="18.7109375" style="104" customWidth="1"/>
    <col min="4113" max="4113" width="14.140625" style="104" customWidth="1"/>
    <col min="4114" max="4119" width="11.5703125" style="104" customWidth="1"/>
    <col min="4120" max="4120" width="8.85546875" style="104" customWidth="1"/>
    <col min="4121" max="4124" width="13.42578125" style="104" bestFit="1" customWidth="1"/>
    <col min="4125" max="4353" width="9.140625" style="104"/>
    <col min="4354" max="4354" width="14.28515625" style="104" customWidth="1"/>
    <col min="4355" max="4355" width="0" style="104" hidden="1" customWidth="1"/>
    <col min="4356" max="4356" width="15.42578125" style="104" customWidth="1"/>
    <col min="4357" max="4357" width="14.42578125" style="104" customWidth="1"/>
    <col min="4358" max="4358" width="20.140625" style="104" customWidth="1"/>
    <col min="4359" max="4359" width="18" style="104" customWidth="1"/>
    <col min="4360" max="4360" width="12.28515625" style="104" customWidth="1"/>
    <col min="4361" max="4361" width="18.5703125" style="104" customWidth="1"/>
    <col min="4362" max="4362" width="15.85546875" style="104" customWidth="1"/>
    <col min="4363" max="4363" width="10.85546875" style="104" customWidth="1"/>
    <col min="4364" max="4366" width="16.85546875" style="104" customWidth="1"/>
    <col min="4367" max="4368" width="18.7109375" style="104" customWidth="1"/>
    <col min="4369" max="4369" width="14.140625" style="104" customWidth="1"/>
    <col min="4370" max="4375" width="11.5703125" style="104" customWidth="1"/>
    <col min="4376" max="4376" width="8.85546875" style="104" customWidth="1"/>
    <col min="4377" max="4380" width="13.42578125" style="104" bestFit="1" customWidth="1"/>
    <col min="4381" max="4609" width="9.140625" style="104"/>
    <col min="4610" max="4610" width="14.28515625" style="104" customWidth="1"/>
    <col min="4611" max="4611" width="0" style="104" hidden="1" customWidth="1"/>
    <col min="4612" max="4612" width="15.42578125" style="104" customWidth="1"/>
    <col min="4613" max="4613" width="14.42578125" style="104" customWidth="1"/>
    <col min="4614" max="4614" width="20.140625" style="104" customWidth="1"/>
    <col min="4615" max="4615" width="18" style="104" customWidth="1"/>
    <col min="4616" max="4616" width="12.28515625" style="104" customWidth="1"/>
    <col min="4617" max="4617" width="18.5703125" style="104" customWidth="1"/>
    <col min="4618" max="4618" width="15.85546875" style="104" customWidth="1"/>
    <col min="4619" max="4619" width="10.85546875" style="104" customWidth="1"/>
    <col min="4620" max="4622" width="16.85546875" style="104" customWidth="1"/>
    <col min="4623" max="4624" width="18.7109375" style="104" customWidth="1"/>
    <col min="4625" max="4625" width="14.140625" style="104" customWidth="1"/>
    <col min="4626" max="4631" width="11.5703125" style="104" customWidth="1"/>
    <col min="4632" max="4632" width="8.85546875" style="104" customWidth="1"/>
    <col min="4633" max="4636" width="13.42578125" style="104" bestFit="1" customWidth="1"/>
    <col min="4637" max="4865" width="9.140625" style="104"/>
    <col min="4866" max="4866" width="14.28515625" style="104" customWidth="1"/>
    <col min="4867" max="4867" width="0" style="104" hidden="1" customWidth="1"/>
    <col min="4868" max="4868" width="15.42578125" style="104" customWidth="1"/>
    <col min="4869" max="4869" width="14.42578125" style="104" customWidth="1"/>
    <col min="4870" max="4870" width="20.140625" style="104" customWidth="1"/>
    <col min="4871" max="4871" width="18" style="104" customWidth="1"/>
    <col min="4872" max="4872" width="12.28515625" style="104" customWidth="1"/>
    <col min="4873" max="4873" width="18.5703125" style="104" customWidth="1"/>
    <col min="4874" max="4874" width="15.85546875" style="104" customWidth="1"/>
    <col min="4875" max="4875" width="10.85546875" style="104" customWidth="1"/>
    <col min="4876" max="4878" width="16.85546875" style="104" customWidth="1"/>
    <col min="4879" max="4880" width="18.7109375" style="104" customWidth="1"/>
    <col min="4881" max="4881" width="14.140625" style="104" customWidth="1"/>
    <col min="4882" max="4887" width="11.5703125" style="104" customWidth="1"/>
    <col min="4888" max="4888" width="8.85546875" style="104" customWidth="1"/>
    <col min="4889" max="4892" width="13.42578125" style="104" bestFit="1" customWidth="1"/>
    <col min="4893" max="5121" width="9.140625" style="104"/>
    <col min="5122" max="5122" width="14.28515625" style="104" customWidth="1"/>
    <col min="5123" max="5123" width="0" style="104" hidden="1" customWidth="1"/>
    <col min="5124" max="5124" width="15.42578125" style="104" customWidth="1"/>
    <col min="5125" max="5125" width="14.42578125" style="104" customWidth="1"/>
    <col min="5126" max="5126" width="20.140625" style="104" customWidth="1"/>
    <col min="5127" max="5127" width="18" style="104" customWidth="1"/>
    <col min="5128" max="5128" width="12.28515625" style="104" customWidth="1"/>
    <col min="5129" max="5129" width="18.5703125" style="104" customWidth="1"/>
    <col min="5130" max="5130" width="15.85546875" style="104" customWidth="1"/>
    <col min="5131" max="5131" width="10.85546875" style="104" customWidth="1"/>
    <col min="5132" max="5134" width="16.85546875" style="104" customWidth="1"/>
    <col min="5135" max="5136" width="18.7109375" style="104" customWidth="1"/>
    <col min="5137" max="5137" width="14.140625" style="104" customWidth="1"/>
    <col min="5138" max="5143" width="11.5703125" style="104" customWidth="1"/>
    <col min="5144" max="5144" width="8.85546875" style="104" customWidth="1"/>
    <col min="5145" max="5148" width="13.42578125" style="104" bestFit="1" customWidth="1"/>
    <col min="5149" max="5377" width="9.140625" style="104"/>
    <col min="5378" max="5378" width="14.28515625" style="104" customWidth="1"/>
    <col min="5379" max="5379" width="0" style="104" hidden="1" customWidth="1"/>
    <col min="5380" max="5380" width="15.42578125" style="104" customWidth="1"/>
    <col min="5381" max="5381" width="14.42578125" style="104" customWidth="1"/>
    <col min="5382" max="5382" width="20.140625" style="104" customWidth="1"/>
    <col min="5383" max="5383" width="18" style="104" customWidth="1"/>
    <col min="5384" max="5384" width="12.28515625" style="104" customWidth="1"/>
    <col min="5385" max="5385" width="18.5703125" style="104" customWidth="1"/>
    <col min="5386" max="5386" width="15.85546875" style="104" customWidth="1"/>
    <col min="5387" max="5387" width="10.85546875" style="104" customWidth="1"/>
    <col min="5388" max="5390" width="16.85546875" style="104" customWidth="1"/>
    <col min="5391" max="5392" width="18.7109375" style="104" customWidth="1"/>
    <col min="5393" max="5393" width="14.140625" style="104" customWidth="1"/>
    <col min="5394" max="5399" width="11.5703125" style="104" customWidth="1"/>
    <col min="5400" max="5400" width="8.85546875" style="104" customWidth="1"/>
    <col min="5401" max="5404" width="13.42578125" style="104" bestFit="1" customWidth="1"/>
    <col min="5405" max="5633" width="9.140625" style="104"/>
    <col min="5634" max="5634" width="14.28515625" style="104" customWidth="1"/>
    <col min="5635" max="5635" width="0" style="104" hidden="1" customWidth="1"/>
    <col min="5636" max="5636" width="15.42578125" style="104" customWidth="1"/>
    <col min="5637" max="5637" width="14.42578125" style="104" customWidth="1"/>
    <col min="5638" max="5638" width="20.140625" style="104" customWidth="1"/>
    <col min="5639" max="5639" width="18" style="104" customWidth="1"/>
    <col min="5640" max="5640" width="12.28515625" style="104" customWidth="1"/>
    <col min="5641" max="5641" width="18.5703125" style="104" customWidth="1"/>
    <col min="5642" max="5642" width="15.85546875" style="104" customWidth="1"/>
    <col min="5643" max="5643" width="10.85546875" style="104" customWidth="1"/>
    <col min="5644" max="5646" width="16.85546875" style="104" customWidth="1"/>
    <col min="5647" max="5648" width="18.7109375" style="104" customWidth="1"/>
    <col min="5649" max="5649" width="14.140625" style="104" customWidth="1"/>
    <col min="5650" max="5655" width="11.5703125" style="104" customWidth="1"/>
    <col min="5656" max="5656" width="8.85546875" style="104" customWidth="1"/>
    <col min="5657" max="5660" width="13.42578125" style="104" bestFit="1" customWidth="1"/>
    <col min="5661" max="5889" width="9.140625" style="104"/>
    <col min="5890" max="5890" width="14.28515625" style="104" customWidth="1"/>
    <col min="5891" max="5891" width="0" style="104" hidden="1" customWidth="1"/>
    <col min="5892" max="5892" width="15.42578125" style="104" customWidth="1"/>
    <col min="5893" max="5893" width="14.42578125" style="104" customWidth="1"/>
    <col min="5894" max="5894" width="20.140625" style="104" customWidth="1"/>
    <col min="5895" max="5895" width="18" style="104" customWidth="1"/>
    <col min="5896" max="5896" width="12.28515625" style="104" customWidth="1"/>
    <col min="5897" max="5897" width="18.5703125" style="104" customWidth="1"/>
    <col min="5898" max="5898" width="15.85546875" style="104" customWidth="1"/>
    <col min="5899" max="5899" width="10.85546875" style="104" customWidth="1"/>
    <col min="5900" max="5902" width="16.85546875" style="104" customWidth="1"/>
    <col min="5903" max="5904" width="18.7109375" style="104" customWidth="1"/>
    <col min="5905" max="5905" width="14.140625" style="104" customWidth="1"/>
    <col min="5906" max="5911" width="11.5703125" style="104" customWidth="1"/>
    <col min="5912" max="5912" width="8.85546875" style="104" customWidth="1"/>
    <col min="5913" max="5916" width="13.42578125" style="104" bestFit="1" customWidth="1"/>
    <col min="5917" max="6145" width="9.140625" style="104"/>
    <col min="6146" max="6146" width="14.28515625" style="104" customWidth="1"/>
    <col min="6147" max="6147" width="0" style="104" hidden="1" customWidth="1"/>
    <col min="6148" max="6148" width="15.42578125" style="104" customWidth="1"/>
    <col min="6149" max="6149" width="14.42578125" style="104" customWidth="1"/>
    <col min="6150" max="6150" width="20.140625" style="104" customWidth="1"/>
    <col min="6151" max="6151" width="18" style="104" customWidth="1"/>
    <col min="6152" max="6152" width="12.28515625" style="104" customWidth="1"/>
    <col min="6153" max="6153" width="18.5703125" style="104" customWidth="1"/>
    <col min="6154" max="6154" width="15.85546875" style="104" customWidth="1"/>
    <col min="6155" max="6155" width="10.85546875" style="104" customWidth="1"/>
    <col min="6156" max="6158" width="16.85546875" style="104" customWidth="1"/>
    <col min="6159" max="6160" width="18.7109375" style="104" customWidth="1"/>
    <col min="6161" max="6161" width="14.140625" style="104" customWidth="1"/>
    <col min="6162" max="6167" width="11.5703125" style="104" customWidth="1"/>
    <col min="6168" max="6168" width="8.85546875" style="104" customWidth="1"/>
    <col min="6169" max="6172" width="13.42578125" style="104" bestFit="1" customWidth="1"/>
    <col min="6173" max="6401" width="9.140625" style="104"/>
    <col min="6402" max="6402" width="14.28515625" style="104" customWidth="1"/>
    <col min="6403" max="6403" width="0" style="104" hidden="1" customWidth="1"/>
    <col min="6404" max="6404" width="15.42578125" style="104" customWidth="1"/>
    <col min="6405" max="6405" width="14.42578125" style="104" customWidth="1"/>
    <col min="6406" max="6406" width="20.140625" style="104" customWidth="1"/>
    <col min="6407" max="6407" width="18" style="104" customWidth="1"/>
    <col min="6408" max="6408" width="12.28515625" style="104" customWidth="1"/>
    <col min="6409" max="6409" width="18.5703125" style="104" customWidth="1"/>
    <col min="6410" max="6410" width="15.85546875" style="104" customWidth="1"/>
    <col min="6411" max="6411" width="10.85546875" style="104" customWidth="1"/>
    <col min="6412" max="6414" width="16.85546875" style="104" customWidth="1"/>
    <col min="6415" max="6416" width="18.7109375" style="104" customWidth="1"/>
    <col min="6417" max="6417" width="14.140625" style="104" customWidth="1"/>
    <col min="6418" max="6423" width="11.5703125" style="104" customWidth="1"/>
    <col min="6424" max="6424" width="8.85546875" style="104" customWidth="1"/>
    <col min="6425" max="6428" width="13.42578125" style="104" bestFit="1" customWidth="1"/>
    <col min="6429" max="6657" width="9.140625" style="104"/>
    <col min="6658" max="6658" width="14.28515625" style="104" customWidth="1"/>
    <col min="6659" max="6659" width="0" style="104" hidden="1" customWidth="1"/>
    <col min="6660" max="6660" width="15.42578125" style="104" customWidth="1"/>
    <col min="6661" max="6661" width="14.42578125" style="104" customWidth="1"/>
    <col min="6662" max="6662" width="20.140625" style="104" customWidth="1"/>
    <col min="6663" max="6663" width="18" style="104" customWidth="1"/>
    <col min="6664" max="6664" width="12.28515625" style="104" customWidth="1"/>
    <col min="6665" max="6665" width="18.5703125" style="104" customWidth="1"/>
    <col min="6666" max="6666" width="15.85546875" style="104" customWidth="1"/>
    <col min="6667" max="6667" width="10.85546875" style="104" customWidth="1"/>
    <col min="6668" max="6670" width="16.85546875" style="104" customWidth="1"/>
    <col min="6671" max="6672" width="18.7109375" style="104" customWidth="1"/>
    <col min="6673" max="6673" width="14.140625" style="104" customWidth="1"/>
    <col min="6674" max="6679" width="11.5703125" style="104" customWidth="1"/>
    <col min="6680" max="6680" width="8.85546875" style="104" customWidth="1"/>
    <col min="6681" max="6684" width="13.42578125" style="104" bestFit="1" customWidth="1"/>
    <col min="6685" max="6913" width="9.140625" style="104"/>
    <col min="6914" max="6914" width="14.28515625" style="104" customWidth="1"/>
    <col min="6915" max="6915" width="0" style="104" hidden="1" customWidth="1"/>
    <col min="6916" max="6916" width="15.42578125" style="104" customWidth="1"/>
    <col min="6917" max="6917" width="14.42578125" style="104" customWidth="1"/>
    <col min="6918" max="6918" width="20.140625" style="104" customWidth="1"/>
    <col min="6919" max="6919" width="18" style="104" customWidth="1"/>
    <col min="6920" max="6920" width="12.28515625" style="104" customWidth="1"/>
    <col min="6921" max="6921" width="18.5703125" style="104" customWidth="1"/>
    <col min="6922" max="6922" width="15.85546875" style="104" customWidth="1"/>
    <col min="6923" max="6923" width="10.85546875" style="104" customWidth="1"/>
    <col min="6924" max="6926" width="16.85546875" style="104" customWidth="1"/>
    <col min="6927" max="6928" width="18.7109375" style="104" customWidth="1"/>
    <col min="6929" max="6929" width="14.140625" style="104" customWidth="1"/>
    <col min="6930" max="6935" width="11.5703125" style="104" customWidth="1"/>
    <col min="6936" max="6936" width="8.85546875" style="104" customWidth="1"/>
    <col min="6937" max="6940" width="13.42578125" style="104" bestFit="1" customWidth="1"/>
    <col min="6941" max="7169" width="9.140625" style="104"/>
    <col min="7170" max="7170" width="14.28515625" style="104" customWidth="1"/>
    <col min="7171" max="7171" width="0" style="104" hidden="1" customWidth="1"/>
    <col min="7172" max="7172" width="15.42578125" style="104" customWidth="1"/>
    <col min="7173" max="7173" width="14.42578125" style="104" customWidth="1"/>
    <col min="7174" max="7174" width="20.140625" style="104" customWidth="1"/>
    <col min="7175" max="7175" width="18" style="104" customWidth="1"/>
    <col min="7176" max="7176" width="12.28515625" style="104" customWidth="1"/>
    <col min="7177" max="7177" width="18.5703125" style="104" customWidth="1"/>
    <col min="7178" max="7178" width="15.85546875" style="104" customWidth="1"/>
    <col min="7179" max="7179" width="10.85546875" style="104" customWidth="1"/>
    <col min="7180" max="7182" width="16.85546875" style="104" customWidth="1"/>
    <col min="7183" max="7184" width="18.7109375" style="104" customWidth="1"/>
    <col min="7185" max="7185" width="14.140625" style="104" customWidth="1"/>
    <col min="7186" max="7191" width="11.5703125" style="104" customWidth="1"/>
    <col min="7192" max="7192" width="8.85546875" style="104" customWidth="1"/>
    <col min="7193" max="7196" width="13.42578125" style="104" bestFit="1" customWidth="1"/>
    <col min="7197" max="7425" width="9.140625" style="104"/>
    <col min="7426" max="7426" width="14.28515625" style="104" customWidth="1"/>
    <col min="7427" max="7427" width="0" style="104" hidden="1" customWidth="1"/>
    <col min="7428" max="7428" width="15.42578125" style="104" customWidth="1"/>
    <col min="7429" max="7429" width="14.42578125" style="104" customWidth="1"/>
    <col min="7430" max="7430" width="20.140625" style="104" customWidth="1"/>
    <col min="7431" max="7431" width="18" style="104" customWidth="1"/>
    <col min="7432" max="7432" width="12.28515625" style="104" customWidth="1"/>
    <col min="7433" max="7433" width="18.5703125" style="104" customWidth="1"/>
    <col min="7434" max="7434" width="15.85546875" style="104" customWidth="1"/>
    <col min="7435" max="7435" width="10.85546875" style="104" customWidth="1"/>
    <col min="7436" max="7438" width="16.85546875" style="104" customWidth="1"/>
    <col min="7439" max="7440" width="18.7109375" style="104" customWidth="1"/>
    <col min="7441" max="7441" width="14.140625" style="104" customWidth="1"/>
    <col min="7442" max="7447" width="11.5703125" style="104" customWidth="1"/>
    <col min="7448" max="7448" width="8.85546875" style="104" customWidth="1"/>
    <col min="7449" max="7452" width="13.42578125" style="104" bestFit="1" customWidth="1"/>
    <col min="7453" max="7681" width="9.140625" style="104"/>
    <col min="7682" max="7682" width="14.28515625" style="104" customWidth="1"/>
    <col min="7683" max="7683" width="0" style="104" hidden="1" customWidth="1"/>
    <col min="7684" max="7684" width="15.42578125" style="104" customWidth="1"/>
    <col min="7685" max="7685" width="14.42578125" style="104" customWidth="1"/>
    <col min="7686" max="7686" width="20.140625" style="104" customWidth="1"/>
    <col min="7687" max="7687" width="18" style="104" customWidth="1"/>
    <col min="7688" max="7688" width="12.28515625" style="104" customWidth="1"/>
    <col min="7689" max="7689" width="18.5703125" style="104" customWidth="1"/>
    <col min="7690" max="7690" width="15.85546875" style="104" customWidth="1"/>
    <col min="7691" max="7691" width="10.85546875" style="104" customWidth="1"/>
    <col min="7692" max="7694" width="16.85546875" style="104" customWidth="1"/>
    <col min="7695" max="7696" width="18.7109375" style="104" customWidth="1"/>
    <col min="7697" max="7697" width="14.140625" style="104" customWidth="1"/>
    <col min="7698" max="7703" width="11.5703125" style="104" customWidth="1"/>
    <col min="7704" max="7704" width="8.85546875" style="104" customWidth="1"/>
    <col min="7705" max="7708" width="13.42578125" style="104" bestFit="1" customWidth="1"/>
    <col min="7709" max="7937" width="9.140625" style="104"/>
    <col min="7938" max="7938" width="14.28515625" style="104" customWidth="1"/>
    <col min="7939" max="7939" width="0" style="104" hidden="1" customWidth="1"/>
    <col min="7940" max="7940" width="15.42578125" style="104" customWidth="1"/>
    <col min="7941" max="7941" width="14.42578125" style="104" customWidth="1"/>
    <col min="7942" max="7942" width="20.140625" style="104" customWidth="1"/>
    <col min="7943" max="7943" width="18" style="104" customWidth="1"/>
    <col min="7944" max="7944" width="12.28515625" style="104" customWidth="1"/>
    <col min="7945" max="7945" width="18.5703125" style="104" customWidth="1"/>
    <col min="7946" max="7946" width="15.85546875" style="104" customWidth="1"/>
    <col min="7947" max="7947" width="10.85546875" style="104" customWidth="1"/>
    <col min="7948" max="7950" width="16.85546875" style="104" customWidth="1"/>
    <col min="7951" max="7952" width="18.7109375" style="104" customWidth="1"/>
    <col min="7953" max="7953" width="14.140625" style="104" customWidth="1"/>
    <col min="7954" max="7959" width="11.5703125" style="104" customWidth="1"/>
    <col min="7960" max="7960" width="8.85546875" style="104" customWidth="1"/>
    <col min="7961" max="7964" width="13.42578125" style="104" bestFit="1" customWidth="1"/>
    <col min="7965" max="8193" width="9.140625" style="104"/>
    <col min="8194" max="8194" width="14.28515625" style="104" customWidth="1"/>
    <col min="8195" max="8195" width="0" style="104" hidden="1" customWidth="1"/>
    <col min="8196" max="8196" width="15.42578125" style="104" customWidth="1"/>
    <col min="8197" max="8197" width="14.42578125" style="104" customWidth="1"/>
    <col min="8198" max="8198" width="20.140625" style="104" customWidth="1"/>
    <col min="8199" max="8199" width="18" style="104" customWidth="1"/>
    <col min="8200" max="8200" width="12.28515625" style="104" customWidth="1"/>
    <col min="8201" max="8201" width="18.5703125" style="104" customWidth="1"/>
    <col min="8202" max="8202" width="15.85546875" style="104" customWidth="1"/>
    <col min="8203" max="8203" width="10.85546875" style="104" customWidth="1"/>
    <col min="8204" max="8206" width="16.85546875" style="104" customWidth="1"/>
    <col min="8207" max="8208" width="18.7109375" style="104" customWidth="1"/>
    <col min="8209" max="8209" width="14.140625" style="104" customWidth="1"/>
    <col min="8210" max="8215" width="11.5703125" style="104" customWidth="1"/>
    <col min="8216" max="8216" width="8.85546875" style="104" customWidth="1"/>
    <col min="8217" max="8220" width="13.42578125" style="104" bestFit="1" customWidth="1"/>
    <col min="8221" max="8449" width="9.140625" style="104"/>
    <col min="8450" max="8450" width="14.28515625" style="104" customWidth="1"/>
    <col min="8451" max="8451" width="0" style="104" hidden="1" customWidth="1"/>
    <col min="8452" max="8452" width="15.42578125" style="104" customWidth="1"/>
    <col min="8453" max="8453" width="14.42578125" style="104" customWidth="1"/>
    <col min="8454" max="8454" width="20.140625" style="104" customWidth="1"/>
    <col min="8455" max="8455" width="18" style="104" customWidth="1"/>
    <col min="8456" max="8456" width="12.28515625" style="104" customWidth="1"/>
    <col min="8457" max="8457" width="18.5703125" style="104" customWidth="1"/>
    <col min="8458" max="8458" width="15.85546875" style="104" customWidth="1"/>
    <col min="8459" max="8459" width="10.85546875" style="104" customWidth="1"/>
    <col min="8460" max="8462" width="16.85546875" style="104" customWidth="1"/>
    <col min="8463" max="8464" width="18.7109375" style="104" customWidth="1"/>
    <col min="8465" max="8465" width="14.140625" style="104" customWidth="1"/>
    <col min="8466" max="8471" width="11.5703125" style="104" customWidth="1"/>
    <col min="8472" max="8472" width="8.85546875" style="104" customWidth="1"/>
    <col min="8473" max="8476" width="13.42578125" style="104" bestFit="1" customWidth="1"/>
    <col min="8477" max="8705" width="9.140625" style="104"/>
    <col min="8706" max="8706" width="14.28515625" style="104" customWidth="1"/>
    <col min="8707" max="8707" width="0" style="104" hidden="1" customWidth="1"/>
    <col min="8708" max="8708" width="15.42578125" style="104" customWidth="1"/>
    <col min="8709" max="8709" width="14.42578125" style="104" customWidth="1"/>
    <col min="8710" max="8710" width="20.140625" style="104" customWidth="1"/>
    <col min="8711" max="8711" width="18" style="104" customWidth="1"/>
    <col min="8712" max="8712" width="12.28515625" style="104" customWidth="1"/>
    <col min="8713" max="8713" width="18.5703125" style="104" customWidth="1"/>
    <col min="8714" max="8714" width="15.85546875" style="104" customWidth="1"/>
    <col min="8715" max="8715" width="10.85546875" style="104" customWidth="1"/>
    <col min="8716" max="8718" width="16.85546875" style="104" customWidth="1"/>
    <col min="8719" max="8720" width="18.7109375" style="104" customWidth="1"/>
    <col min="8721" max="8721" width="14.140625" style="104" customWidth="1"/>
    <col min="8722" max="8727" width="11.5703125" style="104" customWidth="1"/>
    <col min="8728" max="8728" width="8.85546875" style="104" customWidth="1"/>
    <col min="8729" max="8732" width="13.42578125" style="104" bestFit="1" customWidth="1"/>
    <col min="8733" max="8961" width="9.140625" style="104"/>
    <col min="8962" max="8962" width="14.28515625" style="104" customWidth="1"/>
    <col min="8963" max="8963" width="0" style="104" hidden="1" customWidth="1"/>
    <col min="8964" max="8964" width="15.42578125" style="104" customWidth="1"/>
    <col min="8965" max="8965" width="14.42578125" style="104" customWidth="1"/>
    <col min="8966" max="8966" width="20.140625" style="104" customWidth="1"/>
    <col min="8967" max="8967" width="18" style="104" customWidth="1"/>
    <col min="8968" max="8968" width="12.28515625" style="104" customWidth="1"/>
    <col min="8969" max="8969" width="18.5703125" style="104" customWidth="1"/>
    <col min="8970" max="8970" width="15.85546875" style="104" customWidth="1"/>
    <col min="8971" max="8971" width="10.85546875" style="104" customWidth="1"/>
    <col min="8972" max="8974" width="16.85546875" style="104" customWidth="1"/>
    <col min="8975" max="8976" width="18.7109375" style="104" customWidth="1"/>
    <col min="8977" max="8977" width="14.140625" style="104" customWidth="1"/>
    <col min="8978" max="8983" width="11.5703125" style="104" customWidth="1"/>
    <col min="8984" max="8984" width="8.85546875" style="104" customWidth="1"/>
    <col min="8985" max="8988" width="13.42578125" style="104" bestFit="1" customWidth="1"/>
    <col min="8989" max="9217" width="9.140625" style="104"/>
    <col min="9218" max="9218" width="14.28515625" style="104" customWidth="1"/>
    <col min="9219" max="9219" width="0" style="104" hidden="1" customWidth="1"/>
    <col min="9220" max="9220" width="15.42578125" style="104" customWidth="1"/>
    <col min="9221" max="9221" width="14.42578125" style="104" customWidth="1"/>
    <col min="9222" max="9222" width="20.140625" style="104" customWidth="1"/>
    <col min="9223" max="9223" width="18" style="104" customWidth="1"/>
    <col min="9224" max="9224" width="12.28515625" style="104" customWidth="1"/>
    <col min="9225" max="9225" width="18.5703125" style="104" customWidth="1"/>
    <col min="9226" max="9226" width="15.85546875" style="104" customWidth="1"/>
    <col min="9227" max="9227" width="10.85546875" style="104" customWidth="1"/>
    <col min="9228" max="9230" width="16.85546875" style="104" customWidth="1"/>
    <col min="9231" max="9232" width="18.7109375" style="104" customWidth="1"/>
    <col min="9233" max="9233" width="14.140625" style="104" customWidth="1"/>
    <col min="9234" max="9239" width="11.5703125" style="104" customWidth="1"/>
    <col min="9240" max="9240" width="8.85546875" style="104" customWidth="1"/>
    <col min="9241" max="9244" width="13.42578125" style="104" bestFit="1" customWidth="1"/>
    <col min="9245" max="9473" width="9.140625" style="104"/>
    <col min="9474" max="9474" width="14.28515625" style="104" customWidth="1"/>
    <col min="9475" max="9475" width="0" style="104" hidden="1" customWidth="1"/>
    <col min="9476" max="9476" width="15.42578125" style="104" customWidth="1"/>
    <col min="9477" max="9477" width="14.42578125" style="104" customWidth="1"/>
    <col min="9478" max="9478" width="20.140625" style="104" customWidth="1"/>
    <col min="9479" max="9479" width="18" style="104" customWidth="1"/>
    <col min="9480" max="9480" width="12.28515625" style="104" customWidth="1"/>
    <col min="9481" max="9481" width="18.5703125" style="104" customWidth="1"/>
    <col min="9482" max="9482" width="15.85546875" style="104" customWidth="1"/>
    <col min="9483" max="9483" width="10.85546875" style="104" customWidth="1"/>
    <col min="9484" max="9486" width="16.85546875" style="104" customWidth="1"/>
    <col min="9487" max="9488" width="18.7109375" style="104" customWidth="1"/>
    <col min="9489" max="9489" width="14.140625" style="104" customWidth="1"/>
    <col min="9490" max="9495" width="11.5703125" style="104" customWidth="1"/>
    <col min="9496" max="9496" width="8.85546875" style="104" customWidth="1"/>
    <col min="9497" max="9500" width="13.42578125" style="104" bestFit="1" customWidth="1"/>
    <col min="9501" max="9729" width="9.140625" style="104"/>
    <col min="9730" max="9730" width="14.28515625" style="104" customWidth="1"/>
    <col min="9731" max="9731" width="0" style="104" hidden="1" customWidth="1"/>
    <col min="9732" max="9732" width="15.42578125" style="104" customWidth="1"/>
    <col min="9733" max="9733" width="14.42578125" style="104" customWidth="1"/>
    <col min="9734" max="9734" width="20.140625" style="104" customWidth="1"/>
    <col min="9735" max="9735" width="18" style="104" customWidth="1"/>
    <col min="9736" max="9736" width="12.28515625" style="104" customWidth="1"/>
    <col min="9737" max="9737" width="18.5703125" style="104" customWidth="1"/>
    <col min="9738" max="9738" width="15.85546875" style="104" customWidth="1"/>
    <col min="9739" max="9739" width="10.85546875" style="104" customWidth="1"/>
    <col min="9740" max="9742" width="16.85546875" style="104" customWidth="1"/>
    <col min="9743" max="9744" width="18.7109375" style="104" customWidth="1"/>
    <col min="9745" max="9745" width="14.140625" style="104" customWidth="1"/>
    <col min="9746" max="9751" width="11.5703125" style="104" customWidth="1"/>
    <col min="9752" max="9752" width="8.85546875" style="104" customWidth="1"/>
    <col min="9753" max="9756" width="13.42578125" style="104" bestFit="1" customWidth="1"/>
    <col min="9757" max="9985" width="9.140625" style="104"/>
    <col min="9986" max="9986" width="14.28515625" style="104" customWidth="1"/>
    <col min="9987" max="9987" width="0" style="104" hidden="1" customWidth="1"/>
    <col min="9988" max="9988" width="15.42578125" style="104" customWidth="1"/>
    <col min="9989" max="9989" width="14.42578125" style="104" customWidth="1"/>
    <col min="9990" max="9990" width="20.140625" style="104" customWidth="1"/>
    <col min="9991" max="9991" width="18" style="104" customWidth="1"/>
    <col min="9992" max="9992" width="12.28515625" style="104" customWidth="1"/>
    <col min="9993" max="9993" width="18.5703125" style="104" customWidth="1"/>
    <col min="9994" max="9994" width="15.85546875" style="104" customWidth="1"/>
    <col min="9995" max="9995" width="10.85546875" style="104" customWidth="1"/>
    <col min="9996" max="9998" width="16.85546875" style="104" customWidth="1"/>
    <col min="9999" max="10000" width="18.7109375" style="104" customWidth="1"/>
    <col min="10001" max="10001" width="14.140625" style="104" customWidth="1"/>
    <col min="10002" max="10007" width="11.5703125" style="104" customWidth="1"/>
    <col min="10008" max="10008" width="8.85546875" style="104" customWidth="1"/>
    <col min="10009" max="10012" width="13.42578125" style="104" bestFit="1" customWidth="1"/>
    <col min="10013" max="10241" width="9.140625" style="104"/>
    <col min="10242" max="10242" width="14.28515625" style="104" customWidth="1"/>
    <col min="10243" max="10243" width="0" style="104" hidden="1" customWidth="1"/>
    <col min="10244" max="10244" width="15.42578125" style="104" customWidth="1"/>
    <col min="10245" max="10245" width="14.42578125" style="104" customWidth="1"/>
    <col min="10246" max="10246" width="20.140625" style="104" customWidth="1"/>
    <col min="10247" max="10247" width="18" style="104" customWidth="1"/>
    <col min="10248" max="10248" width="12.28515625" style="104" customWidth="1"/>
    <col min="10249" max="10249" width="18.5703125" style="104" customWidth="1"/>
    <col min="10250" max="10250" width="15.85546875" style="104" customWidth="1"/>
    <col min="10251" max="10251" width="10.85546875" style="104" customWidth="1"/>
    <col min="10252" max="10254" width="16.85546875" style="104" customWidth="1"/>
    <col min="10255" max="10256" width="18.7109375" style="104" customWidth="1"/>
    <col min="10257" max="10257" width="14.140625" style="104" customWidth="1"/>
    <col min="10258" max="10263" width="11.5703125" style="104" customWidth="1"/>
    <col min="10264" max="10264" width="8.85546875" style="104" customWidth="1"/>
    <col min="10265" max="10268" width="13.42578125" style="104" bestFit="1" customWidth="1"/>
    <col min="10269" max="10497" width="9.140625" style="104"/>
    <col min="10498" max="10498" width="14.28515625" style="104" customWidth="1"/>
    <col min="10499" max="10499" width="0" style="104" hidden="1" customWidth="1"/>
    <col min="10500" max="10500" width="15.42578125" style="104" customWidth="1"/>
    <col min="10501" max="10501" width="14.42578125" style="104" customWidth="1"/>
    <col min="10502" max="10502" width="20.140625" style="104" customWidth="1"/>
    <col min="10503" max="10503" width="18" style="104" customWidth="1"/>
    <col min="10504" max="10504" width="12.28515625" style="104" customWidth="1"/>
    <col min="10505" max="10505" width="18.5703125" style="104" customWidth="1"/>
    <col min="10506" max="10506" width="15.85546875" style="104" customWidth="1"/>
    <col min="10507" max="10507" width="10.85546875" style="104" customWidth="1"/>
    <col min="10508" max="10510" width="16.85546875" style="104" customWidth="1"/>
    <col min="10511" max="10512" width="18.7109375" style="104" customWidth="1"/>
    <col min="10513" max="10513" width="14.140625" style="104" customWidth="1"/>
    <col min="10514" max="10519" width="11.5703125" style="104" customWidth="1"/>
    <col min="10520" max="10520" width="8.85546875" style="104" customWidth="1"/>
    <col min="10521" max="10524" width="13.42578125" style="104" bestFit="1" customWidth="1"/>
    <col min="10525" max="10753" width="9.140625" style="104"/>
    <col min="10754" max="10754" width="14.28515625" style="104" customWidth="1"/>
    <col min="10755" max="10755" width="0" style="104" hidden="1" customWidth="1"/>
    <col min="10756" max="10756" width="15.42578125" style="104" customWidth="1"/>
    <col min="10757" max="10757" width="14.42578125" style="104" customWidth="1"/>
    <col min="10758" max="10758" width="20.140625" style="104" customWidth="1"/>
    <col min="10759" max="10759" width="18" style="104" customWidth="1"/>
    <col min="10760" max="10760" width="12.28515625" style="104" customWidth="1"/>
    <col min="10761" max="10761" width="18.5703125" style="104" customWidth="1"/>
    <col min="10762" max="10762" width="15.85546875" style="104" customWidth="1"/>
    <col min="10763" max="10763" width="10.85546875" style="104" customWidth="1"/>
    <col min="10764" max="10766" width="16.85546875" style="104" customWidth="1"/>
    <col min="10767" max="10768" width="18.7109375" style="104" customWidth="1"/>
    <col min="10769" max="10769" width="14.140625" style="104" customWidth="1"/>
    <col min="10770" max="10775" width="11.5703125" style="104" customWidth="1"/>
    <col min="10776" max="10776" width="8.85546875" style="104" customWidth="1"/>
    <col min="10777" max="10780" width="13.42578125" style="104" bestFit="1" customWidth="1"/>
    <col min="10781" max="11009" width="9.140625" style="104"/>
    <col min="11010" max="11010" width="14.28515625" style="104" customWidth="1"/>
    <col min="11011" max="11011" width="0" style="104" hidden="1" customWidth="1"/>
    <col min="11012" max="11012" width="15.42578125" style="104" customWidth="1"/>
    <col min="11013" max="11013" width="14.42578125" style="104" customWidth="1"/>
    <col min="11014" max="11014" width="20.140625" style="104" customWidth="1"/>
    <col min="11015" max="11015" width="18" style="104" customWidth="1"/>
    <col min="11016" max="11016" width="12.28515625" style="104" customWidth="1"/>
    <col min="11017" max="11017" width="18.5703125" style="104" customWidth="1"/>
    <col min="11018" max="11018" width="15.85546875" style="104" customWidth="1"/>
    <col min="11019" max="11019" width="10.85546875" style="104" customWidth="1"/>
    <col min="11020" max="11022" width="16.85546875" style="104" customWidth="1"/>
    <col min="11023" max="11024" width="18.7109375" style="104" customWidth="1"/>
    <col min="11025" max="11025" width="14.140625" style="104" customWidth="1"/>
    <col min="11026" max="11031" width="11.5703125" style="104" customWidth="1"/>
    <col min="11032" max="11032" width="8.85546875" style="104" customWidth="1"/>
    <col min="11033" max="11036" width="13.42578125" style="104" bestFit="1" customWidth="1"/>
    <col min="11037" max="11265" width="9.140625" style="104"/>
    <col min="11266" max="11266" width="14.28515625" style="104" customWidth="1"/>
    <col min="11267" max="11267" width="0" style="104" hidden="1" customWidth="1"/>
    <col min="11268" max="11268" width="15.42578125" style="104" customWidth="1"/>
    <col min="11269" max="11269" width="14.42578125" style="104" customWidth="1"/>
    <col min="11270" max="11270" width="20.140625" style="104" customWidth="1"/>
    <col min="11271" max="11271" width="18" style="104" customWidth="1"/>
    <col min="11272" max="11272" width="12.28515625" style="104" customWidth="1"/>
    <col min="11273" max="11273" width="18.5703125" style="104" customWidth="1"/>
    <col min="11274" max="11274" width="15.85546875" style="104" customWidth="1"/>
    <col min="11275" max="11275" width="10.85546875" style="104" customWidth="1"/>
    <col min="11276" max="11278" width="16.85546875" style="104" customWidth="1"/>
    <col min="11279" max="11280" width="18.7109375" style="104" customWidth="1"/>
    <col min="11281" max="11281" width="14.140625" style="104" customWidth="1"/>
    <col min="11282" max="11287" width="11.5703125" style="104" customWidth="1"/>
    <col min="11288" max="11288" width="8.85546875" style="104" customWidth="1"/>
    <col min="11289" max="11292" width="13.42578125" style="104" bestFit="1" customWidth="1"/>
    <col min="11293" max="11521" width="9.140625" style="104"/>
    <col min="11522" max="11522" width="14.28515625" style="104" customWidth="1"/>
    <col min="11523" max="11523" width="0" style="104" hidden="1" customWidth="1"/>
    <col min="11524" max="11524" width="15.42578125" style="104" customWidth="1"/>
    <col min="11525" max="11525" width="14.42578125" style="104" customWidth="1"/>
    <col min="11526" max="11526" width="20.140625" style="104" customWidth="1"/>
    <col min="11527" max="11527" width="18" style="104" customWidth="1"/>
    <col min="11528" max="11528" width="12.28515625" style="104" customWidth="1"/>
    <col min="11529" max="11529" width="18.5703125" style="104" customWidth="1"/>
    <col min="11530" max="11530" width="15.85546875" style="104" customWidth="1"/>
    <col min="11531" max="11531" width="10.85546875" style="104" customWidth="1"/>
    <col min="11532" max="11534" width="16.85546875" style="104" customWidth="1"/>
    <col min="11535" max="11536" width="18.7109375" style="104" customWidth="1"/>
    <col min="11537" max="11537" width="14.140625" style="104" customWidth="1"/>
    <col min="11538" max="11543" width="11.5703125" style="104" customWidth="1"/>
    <col min="11544" max="11544" width="8.85546875" style="104" customWidth="1"/>
    <col min="11545" max="11548" width="13.42578125" style="104" bestFit="1" customWidth="1"/>
    <col min="11549" max="11777" width="9.140625" style="104"/>
    <col min="11778" max="11778" width="14.28515625" style="104" customWidth="1"/>
    <col min="11779" max="11779" width="0" style="104" hidden="1" customWidth="1"/>
    <col min="11780" max="11780" width="15.42578125" style="104" customWidth="1"/>
    <col min="11781" max="11781" width="14.42578125" style="104" customWidth="1"/>
    <col min="11782" max="11782" width="20.140625" style="104" customWidth="1"/>
    <col min="11783" max="11783" width="18" style="104" customWidth="1"/>
    <col min="11784" max="11784" width="12.28515625" style="104" customWidth="1"/>
    <col min="11785" max="11785" width="18.5703125" style="104" customWidth="1"/>
    <col min="11786" max="11786" width="15.85546875" style="104" customWidth="1"/>
    <col min="11787" max="11787" width="10.85546875" style="104" customWidth="1"/>
    <col min="11788" max="11790" width="16.85546875" style="104" customWidth="1"/>
    <col min="11791" max="11792" width="18.7109375" style="104" customWidth="1"/>
    <col min="11793" max="11793" width="14.140625" style="104" customWidth="1"/>
    <col min="11794" max="11799" width="11.5703125" style="104" customWidth="1"/>
    <col min="11800" max="11800" width="8.85546875" style="104" customWidth="1"/>
    <col min="11801" max="11804" width="13.42578125" style="104" bestFit="1" customWidth="1"/>
    <col min="11805" max="12033" width="9.140625" style="104"/>
    <col min="12034" max="12034" width="14.28515625" style="104" customWidth="1"/>
    <col min="12035" max="12035" width="0" style="104" hidden="1" customWidth="1"/>
    <col min="12036" max="12036" width="15.42578125" style="104" customWidth="1"/>
    <col min="12037" max="12037" width="14.42578125" style="104" customWidth="1"/>
    <col min="12038" max="12038" width="20.140625" style="104" customWidth="1"/>
    <col min="12039" max="12039" width="18" style="104" customWidth="1"/>
    <col min="12040" max="12040" width="12.28515625" style="104" customWidth="1"/>
    <col min="12041" max="12041" width="18.5703125" style="104" customWidth="1"/>
    <col min="12042" max="12042" width="15.85546875" style="104" customWidth="1"/>
    <col min="12043" max="12043" width="10.85546875" style="104" customWidth="1"/>
    <col min="12044" max="12046" width="16.85546875" style="104" customWidth="1"/>
    <col min="12047" max="12048" width="18.7109375" style="104" customWidth="1"/>
    <col min="12049" max="12049" width="14.140625" style="104" customWidth="1"/>
    <col min="12050" max="12055" width="11.5703125" style="104" customWidth="1"/>
    <col min="12056" max="12056" width="8.85546875" style="104" customWidth="1"/>
    <col min="12057" max="12060" width="13.42578125" style="104" bestFit="1" customWidth="1"/>
    <col min="12061" max="12289" width="9.140625" style="104"/>
    <col min="12290" max="12290" width="14.28515625" style="104" customWidth="1"/>
    <col min="12291" max="12291" width="0" style="104" hidden="1" customWidth="1"/>
    <col min="12292" max="12292" width="15.42578125" style="104" customWidth="1"/>
    <col min="12293" max="12293" width="14.42578125" style="104" customWidth="1"/>
    <col min="12294" max="12294" width="20.140625" style="104" customWidth="1"/>
    <col min="12295" max="12295" width="18" style="104" customWidth="1"/>
    <col min="12296" max="12296" width="12.28515625" style="104" customWidth="1"/>
    <col min="12297" max="12297" width="18.5703125" style="104" customWidth="1"/>
    <col min="12298" max="12298" width="15.85546875" style="104" customWidth="1"/>
    <col min="12299" max="12299" width="10.85546875" style="104" customWidth="1"/>
    <col min="12300" max="12302" width="16.85546875" style="104" customWidth="1"/>
    <col min="12303" max="12304" width="18.7109375" style="104" customWidth="1"/>
    <col min="12305" max="12305" width="14.140625" style="104" customWidth="1"/>
    <col min="12306" max="12311" width="11.5703125" style="104" customWidth="1"/>
    <col min="12312" max="12312" width="8.85546875" style="104" customWidth="1"/>
    <col min="12313" max="12316" width="13.42578125" style="104" bestFit="1" customWidth="1"/>
    <col min="12317" max="12545" width="9.140625" style="104"/>
    <col min="12546" max="12546" width="14.28515625" style="104" customWidth="1"/>
    <col min="12547" max="12547" width="0" style="104" hidden="1" customWidth="1"/>
    <col min="12548" max="12548" width="15.42578125" style="104" customWidth="1"/>
    <col min="12549" max="12549" width="14.42578125" style="104" customWidth="1"/>
    <col min="12550" max="12550" width="20.140625" style="104" customWidth="1"/>
    <col min="12551" max="12551" width="18" style="104" customWidth="1"/>
    <col min="12552" max="12552" width="12.28515625" style="104" customWidth="1"/>
    <col min="12553" max="12553" width="18.5703125" style="104" customWidth="1"/>
    <col min="12554" max="12554" width="15.85546875" style="104" customWidth="1"/>
    <col min="12555" max="12555" width="10.85546875" style="104" customWidth="1"/>
    <col min="12556" max="12558" width="16.85546875" style="104" customWidth="1"/>
    <col min="12559" max="12560" width="18.7109375" style="104" customWidth="1"/>
    <col min="12561" max="12561" width="14.140625" style="104" customWidth="1"/>
    <col min="12562" max="12567" width="11.5703125" style="104" customWidth="1"/>
    <col min="12568" max="12568" width="8.85546875" style="104" customWidth="1"/>
    <col min="12569" max="12572" width="13.42578125" style="104" bestFit="1" customWidth="1"/>
    <col min="12573" max="12801" width="9.140625" style="104"/>
    <col min="12802" max="12802" width="14.28515625" style="104" customWidth="1"/>
    <col min="12803" max="12803" width="0" style="104" hidden="1" customWidth="1"/>
    <col min="12804" max="12804" width="15.42578125" style="104" customWidth="1"/>
    <col min="12805" max="12805" width="14.42578125" style="104" customWidth="1"/>
    <col min="12806" max="12806" width="20.140625" style="104" customWidth="1"/>
    <col min="12807" max="12807" width="18" style="104" customWidth="1"/>
    <col min="12808" max="12808" width="12.28515625" style="104" customWidth="1"/>
    <col min="12809" max="12809" width="18.5703125" style="104" customWidth="1"/>
    <col min="12810" max="12810" width="15.85546875" style="104" customWidth="1"/>
    <col min="12811" max="12811" width="10.85546875" style="104" customWidth="1"/>
    <col min="12812" max="12814" width="16.85546875" style="104" customWidth="1"/>
    <col min="12815" max="12816" width="18.7109375" style="104" customWidth="1"/>
    <col min="12817" max="12817" width="14.140625" style="104" customWidth="1"/>
    <col min="12818" max="12823" width="11.5703125" style="104" customWidth="1"/>
    <col min="12824" max="12824" width="8.85546875" style="104" customWidth="1"/>
    <col min="12825" max="12828" width="13.42578125" style="104" bestFit="1" customWidth="1"/>
    <col min="12829" max="13057" width="9.140625" style="104"/>
    <col min="13058" max="13058" width="14.28515625" style="104" customWidth="1"/>
    <col min="13059" max="13059" width="0" style="104" hidden="1" customWidth="1"/>
    <col min="13060" max="13060" width="15.42578125" style="104" customWidth="1"/>
    <col min="13061" max="13061" width="14.42578125" style="104" customWidth="1"/>
    <col min="13062" max="13062" width="20.140625" style="104" customWidth="1"/>
    <col min="13063" max="13063" width="18" style="104" customWidth="1"/>
    <col min="13064" max="13064" width="12.28515625" style="104" customWidth="1"/>
    <col min="13065" max="13065" width="18.5703125" style="104" customWidth="1"/>
    <col min="13066" max="13066" width="15.85546875" style="104" customWidth="1"/>
    <col min="13067" max="13067" width="10.85546875" style="104" customWidth="1"/>
    <col min="13068" max="13070" width="16.85546875" style="104" customWidth="1"/>
    <col min="13071" max="13072" width="18.7109375" style="104" customWidth="1"/>
    <col min="13073" max="13073" width="14.140625" style="104" customWidth="1"/>
    <col min="13074" max="13079" width="11.5703125" style="104" customWidth="1"/>
    <col min="13080" max="13080" width="8.85546875" style="104" customWidth="1"/>
    <col min="13081" max="13084" width="13.42578125" style="104" bestFit="1" customWidth="1"/>
    <col min="13085" max="13313" width="9.140625" style="104"/>
    <col min="13314" max="13314" width="14.28515625" style="104" customWidth="1"/>
    <col min="13315" max="13315" width="0" style="104" hidden="1" customWidth="1"/>
    <col min="13316" max="13316" width="15.42578125" style="104" customWidth="1"/>
    <col min="13317" max="13317" width="14.42578125" style="104" customWidth="1"/>
    <col min="13318" max="13318" width="20.140625" style="104" customWidth="1"/>
    <col min="13319" max="13319" width="18" style="104" customWidth="1"/>
    <col min="13320" max="13320" width="12.28515625" style="104" customWidth="1"/>
    <col min="13321" max="13321" width="18.5703125" style="104" customWidth="1"/>
    <col min="13322" max="13322" width="15.85546875" style="104" customWidth="1"/>
    <col min="13323" max="13323" width="10.85546875" style="104" customWidth="1"/>
    <col min="13324" max="13326" width="16.85546875" style="104" customWidth="1"/>
    <col min="13327" max="13328" width="18.7109375" style="104" customWidth="1"/>
    <col min="13329" max="13329" width="14.140625" style="104" customWidth="1"/>
    <col min="13330" max="13335" width="11.5703125" style="104" customWidth="1"/>
    <col min="13336" max="13336" width="8.85546875" style="104" customWidth="1"/>
    <col min="13337" max="13340" width="13.42578125" style="104" bestFit="1" customWidth="1"/>
    <col min="13341" max="13569" width="9.140625" style="104"/>
    <col min="13570" max="13570" width="14.28515625" style="104" customWidth="1"/>
    <col min="13571" max="13571" width="0" style="104" hidden="1" customWidth="1"/>
    <col min="13572" max="13572" width="15.42578125" style="104" customWidth="1"/>
    <col min="13573" max="13573" width="14.42578125" style="104" customWidth="1"/>
    <col min="13574" max="13574" width="20.140625" style="104" customWidth="1"/>
    <col min="13575" max="13575" width="18" style="104" customWidth="1"/>
    <col min="13576" max="13576" width="12.28515625" style="104" customWidth="1"/>
    <col min="13577" max="13577" width="18.5703125" style="104" customWidth="1"/>
    <col min="13578" max="13578" width="15.85546875" style="104" customWidth="1"/>
    <col min="13579" max="13579" width="10.85546875" style="104" customWidth="1"/>
    <col min="13580" max="13582" width="16.85546875" style="104" customWidth="1"/>
    <col min="13583" max="13584" width="18.7109375" style="104" customWidth="1"/>
    <col min="13585" max="13585" width="14.140625" style="104" customWidth="1"/>
    <col min="13586" max="13591" width="11.5703125" style="104" customWidth="1"/>
    <col min="13592" max="13592" width="8.85546875" style="104" customWidth="1"/>
    <col min="13593" max="13596" width="13.42578125" style="104" bestFit="1" customWidth="1"/>
    <col min="13597" max="13825" width="9.140625" style="104"/>
    <col min="13826" max="13826" width="14.28515625" style="104" customWidth="1"/>
    <col min="13827" max="13827" width="0" style="104" hidden="1" customWidth="1"/>
    <col min="13828" max="13828" width="15.42578125" style="104" customWidth="1"/>
    <col min="13829" max="13829" width="14.42578125" style="104" customWidth="1"/>
    <col min="13830" max="13830" width="20.140625" style="104" customWidth="1"/>
    <col min="13831" max="13831" width="18" style="104" customWidth="1"/>
    <col min="13832" max="13832" width="12.28515625" style="104" customWidth="1"/>
    <col min="13833" max="13833" width="18.5703125" style="104" customWidth="1"/>
    <col min="13834" max="13834" width="15.85546875" style="104" customWidth="1"/>
    <col min="13835" max="13835" width="10.85546875" style="104" customWidth="1"/>
    <col min="13836" max="13838" width="16.85546875" style="104" customWidth="1"/>
    <col min="13839" max="13840" width="18.7109375" style="104" customWidth="1"/>
    <col min="13841" max="13841" width="14.140625" style="104" customWidth="1"/>
    <col min="13842" max="13847" width="11.5703125" style="104" customWidth="1"/>
    <col min="13848" max="13848" width="8.85546875" style="104" customWidth="1"/>
    <col min="13849" max="13852" width="13.42578125" style="104" bestFit="1" customWidth="1"/>
    <col min="13853" max="14081" width="9.140625" style="104"/>
    <col min="14082" max="14082" width="14.28515625" style="104" customWidth="1"/>
    <col min="14083" max="14083" width="0" style="104" hidden="1" customWidth="1"/>
    <col min="14084" max="14084" width="15.42578125" style="104" customWidth="1"/>
    <col min="14085" max="14085" width="14.42578125" style="104" customWidth="1"/>
    <col min="14086" max="14086" width="20.140625" style="104" customWidth="1"/>
    <col min="14087" max="14087" width="18" style="104" customWidth="1"/>
    <col min="14088" max="14088" width="12.28515625" style="104" customWidth="1"/>
    <col min="14089" max="14089" width="18.5703125" style="104" customWidth="1"/>
    <col min="14090" max="14090" width="15.85546875" style="104" customWidth="1"/>
    <col min="14091" max="14091" width="10.85546875" style="104" customWidth="1"/>
    <col min="14092" max="14094" width="16.85546875" style="104" customWidth="1"/>
    <col min="14095" max="14096" width="18.7109375" style="104" customWidth="1"/>
    <col min="14097" max="14097" width="14.140625" style="104" customWidth="1"/>
    <col min="14098" max="14103" width="11.5703125" style="104" customWidth="1"/>
    <col min="14104" max="14104" width="8.85546875" style="104" customWidth="1"/>
    <col min="14105" max="14108" width="13.42578125" style="104" bestFit="1" customWidth="1"/>
    <col min="14109" max="14337" width="9.140625" style="104"/>
    <col min="14338" max="14338" width="14.28515625" style="104" customWidth="1"/>
    <col min="14339" max="14339" width="0" style="104" hidden="1" customWidth="1"/>
    <col min="14340" max="14340" width="15.42578125" style="104" customWidth="1"/>
    <col min="14341" max="14341" width="14.42578125" style="104" customWidth="1"/>
    <col min="14342" max="14342" width="20.140625" style="104" customWidth="1"/>
    <col min="14343" max="14343" width="18" style="104" customWidth="1"/>
    <col min="14344" max="14344" width="12.28515625" style="104" customWidth="1"/>
    <col min="14345" max="14345" width="18.5703125" style="104" customWidth="1"/>
    <col min="14346" max="14346" width="15.85546875" style="104" customWidth="1"/>
    <col min="14347" max="14347" width="10.85546875" style="104" customWidth="1"/>
    <col min="14348" max="14350" width="16.85546875" style="104" customWidth="1"/>
    <col min="14351" max="14352" width="18.7109375" style="104" customWidth="1"/>
    <col min="14353" max="14353" width="14.140625" style="104" customWidth="1"/>
    <col min="14354" max="14359" width="11.5703125" style="104" customWidth="1"/>
    <col min="14360" max="14360" width="8.85546875" style="104" customWidth="1"/>
    <col min="14361" max="14364" width="13.42578125" style="104" bestFit="1" customWidth="1"/>
    <col min="14365" max="14593" width="9.140625" style="104"/>
    <col min="14594" max="14594" width="14.28515625" style="104" customWidth="1"/>
    <col min="14595" max="14595" width="0" style="104" hidden="1" customWidth="1"/>
    <col min="14596" max="14596" width="15.42578125" style="104" customWidth="1"/>
    <col min="14597" max="14597" width="14.42578125" style="104" customWidth="1"/>
    <col min="14598" max="14598" width="20.140625" style="104" customWidth="1"/>
    <col min="14599" max="14599" width="18" style="104" customWidth="1"/>
    <col min="14600" max="14600" width="12.28515625" style="104" customWidth="1"/>
    <col min="14601" max="14601" width="18.5703125" style="104" customWidth="1"/>
    <col min="14602" max="14602" width="15.85546875" style="104" customWidth="1"/>
    <col min="14603" max="14603" width="10.85546875" style="104" customWidth="1"/>
    <col min="14604" max="14606" width="16.85546875" style="104" customWidth="1"/>
    <col min="14607" max="14608" width="18.7109375" style="104" customWidth="1"/>
    <col min="14609" max="14609" width="14.140625" style="104" customWidth="1"/>
    <col min="14610" max="14615" width="11.5703125" style="104" customWidth="1"/>
    <col min="14616" max="14616" width="8.85546875" style="104" customWidth="1"/>
    <col min="14617" max="14620" width="13.42578125" style="104" bestFit="1" customWidth="1"/>
    <col min="14621" max="14849" width="9.140625" style="104"/>
    <col min="14850" max="14850" width="14.28515625" style="104" customWidth="1"/>
    <col min="14851" max="14851" width="0" style="104" hidden="1" customWidth="1"/>
    <col min="14852" max="14852" width="15.42578125" style="104" customWidth="1"/>
    <col min="14853" max="14853" width="14.42578125" style="104" customWidth="1"/>
    <col min="14854" max="14854" width="20.140625" style="104" customWidth="1"/>
    <col min="14855" max="14855" width="18" style="104" customWidth="1"/>
    <col min="14856" max="14856" width="12.28515625" style="104" customWidth="1"/>
    <col min="14857" max="14857" width="18.5703125" style="104" customWidth="1"/>
    <col min="14858" max="14858" width="15.85546875" style="104" customWidth="1"/>
    <col min="14859" max="14859" width="10.85546875" style="104" customWidth="1"/>
    <col min="14860" max="14862" width="16.85546875" style="104" customWidth="1"/>
    <col min="14863" max="14864" width="18.7109375" style="104" customWidth="1"/>
    <col min="14865" max="14865" width="14.140625" style="104" customWidth="1"/>
    <col min="14866" max="14871" width="11.5703125" style="104" customWidth="1"/>
    <col min="14872" max="14872" width="8.85546875" style="104" customWidth="1"/>
    <col min="14873" max="14876" width="13.42578125" style="104" bestFit="1" customWidth="1"/>
    <col min="14877" max="15105" width="9.140625" style="104"/>
    <col min="15106" max="15106" width="14.28515625" style="104" customWidth="1"/>
    <col min="15107" max="15107" width="0" style="104" hidden="1" customWidth="1"/>
    <col min="15108" max="15108" width="15.42578125" style="104" customWidth="1"/>
    <col min="15109" max="15109" width="14.42578125" style="104" customWidth="1"/>
    <col min="15110" max="15110" width="20.140625" style="104" customWidth="1"/>
    <col min="15111" max="15111" width="18" style="104" customWidth="1"/>
    <col min="15112" max="15112" width="12.28515625" style="104" customWidth="1"/>
    <col min="15113" max="15113" width="18.5703125" style="104" customWidth="1"/>
    <col min="15114" max="15114" width="15.85546875" style="104" customWidth="1"/>
    <col min="15115" max="15115" width="10.85546875" style="104" customWidth="1"/>
    <col min="15116" max="15118" width="16.85546875" style="104" customWidth="1"/>
    <col min="15119" max="15120" width="18.7109375" style="104" customWidth="1"/>
    <col min="15121" max="15121" width="14.140625" style="104" customWidth="1"/>
    <col min="15122" max="15127" width="11.5703125" style="104" customWidth="1"/>
    <col min="15128" max="15128" width="8.85546875" style="104" customWidth="1"/>
    <col min="15129" max="15132" width="13.42578125" style="104" bestFit="1" customWidth="1"/>
    <col min="15133" max="15361" width="9.140625" style="104"/>
    <col min="15362" max="15362" width="14.28515625" style="104" customWidth="1"/>
    <col min="15363" max="15363" width="0" style="104" hidden="1" customWidth="1"/>
    <col min="15364" max="15364" width="15.42578125" style="104" customWidth="1"/>
    <col min="15365" max="15365" width="14.42578125" style="104" customWidth="1"/>
    <col min="15366" max="15366" width="20.140625" style="104" customWidth="1"/>
    <col min="15367" max="15367" width="18" style="104" customWidth="1"/>
    <col min="15368" max="15368" width="12.28515625" style="104" customWidth="1"/>
    <col min="15369" max="15369" width="18.5703125" style="104" customWidth="1"/>
    <col min="15370" max="15370" width="15.85546875" style="104" customWidth="1"/>
    <col min="15371" max="15371" width="10.85546875" style="104" customWidth="1"/>
    <col min="15372" max="15374" width="16.85546875" style="104" customWidth="1"/>
    <col min="15375" max="15376" width="18.7109375" style="104" customWidth="1"/>
    <col min="15377" max="15377" width="14.140625" style="104" customWidth="1"/>
    <col min="15378" max="15383" width="11.5703125" style="104" customWidth="1"/>
    <col min="15384" max="15384" width="8.85546875" style="104" customWidth="1"/>
    <col min="15385" max="15388" width="13.42578125" style="104" bestFit="1" customWidth="1"/>
    <col min="15389" max="15617" width="9.140625" style="104"/>
    <col min="15618" max="15618" width="14.28515625" style="104" customWidth="1"/>
    <col min="15619" max="15619" width="0" style="104" hidden="1" customWidth="1"/>
    <col min="15620" max="15620" width="15.42578125" style="104" customWidth="1"/>
    <col min="15621" max="15621" width="14.42578125" style="104" customWidth="1"/>
    <col min="15622" max="15622" width="20.140625" style="104" customWidth="1"/>
    <col min="15623" max="15623" width="18" style="104" customWidth="1"/>
    <col min="15624" max="15624" width="12.28515625" style="104" customWidth="1"/>
    <col min="15625" max="15625" width="18.5703125" style="104" customWidth="1"/>
    <col min="15626" max="15626" width="15.85546875" style="104" customWidth="1"/>
    <col min="15627" max="15627" width="10.85546875" style="104" customWidth="1"/>
    <col min="15628" max="15630" width="16.85546875" style="104" customWidth="1"/>
    <col min="15631" max="15632" width="18.7109375" style="104" customWidth="1"/>
    <col min="15633" max="15633" width="14.140625" style="104" customWidth="1"/>
    <col min="15634" max="15639" width="11.5703125" style="104" customWidth="1"/>
    <col min="15640" max="15640" width="8.85546875" style="104" customWidth="1"/>
    <col min="15641" max="15644" width="13.42578125" style="104" bestFit="1" customWidth="1"/>
    <col min="15645" max="15873" width="9.140625" style="104"/>
    <col min="15874" max="15874" width="14.28515625" style="104" customWidth="1"/>
    <col min="15875" max="15875" width="0" style="104" hidden="1" customWidth="1"/>
    <col min="15876" max="15876" width="15.42578125" style="104" customWidth="1"/>
    <col min="15877" max="15877" width="14.42578125" style="104" customWidth="1"/>
    <col min="15878" max="15878" width="20.140625" style="104" customWidth="1"/>
    <col min="15879" max="15879" width="18" style="104" customWidth="1"/>
    <col min="15880" max="15880" width="12.28515625" style="104" customWidth="1"/>
    <col min="15881" max="15881" width="18.5703125" style="104" customWidth="1"/>
    <col min="15882" max="15882" width="15.85546875" style="104" customWidth="1"/>
    <col min="15883" max="15883" width="10.85546875" style="104" customWidth="1"/>
    <col min="15884" max="15886" width="16.85546875" style="104" customWidth="1"/>
    <col min="15887" max="15888" width="18.7109375" style="104" customWidth="1"/>
    <col min="15889" max="15889" width="14.140625" style="104" customWidth="1"/>
    <col min="15890" max="15895" width="11.5703125" style="104" customWidth="1"/>
    <col min="15896" max="15896" width="8.85546875" style="104" customWidth="1"/>
    <col min="15897" max="15900" width="13.42578125" style="104" bestFit="1" customWidth="1"/>
    <col min="15901" max="16129" width="9.140625" style="104"/>
    <col min="16130" max="16130" width="14.28515625" style="104" customWidth="1"/>
    <col min="16131" max="16131" width="0" style="104" hidden="1" customWidth="1"/>
    <col min="16132" max="16132" width="15.42578125" style="104" customWidth="1"/>
    <col min="16133" max="16133" width="14.42578125" style="104" customWidth="1"/>
    <col min="16134" max="16134" width="20.140625" style="104" customWidth="1"/>
    <col min="16135" max="16135" width="18" style="104" customWidth="1"/>
    <col min="16136" max="16136" width="12.28515625" style="104" customWidth="1"/>
    <col min="16137" max="16137" width="18.5703125" style="104" customWidth="1"/>
    <col min="16138" max="16138" width="15.85546875" style="104" customWidth="1"/>
    <col min="16139" max="16139" width="10.85546875" style="104" customWidth="1"/>
    <col min="16140" max="16142" width="16.85546875" style="104" customWidth="1"/>
    <col min="16143" max="16144" width="18.7109375" style="104" customWidth="1"/>
    <col min="16145" max="16145" width="14.140625" style="104" customWidth="1"/>
    <col min="16146" max="16151" width="11.5703125" style="104" customWidth="1"/>
    <col min="16152" max="16152" width="8.85546875" style="104" customWidth="1"/>
    <col min="16153" max="16156" width="13.42578125" style="104" bestFit="1" customWidth="1"/>
    <col min="16157" max="16384" width="9.140625" style="104"/>
  </cols>
  <sheetData>
    <row r="1" spans="1:27" ht="28.5" customHeight="1" x14ac:dyDescent="0.25">
      <c r="A1" s="832" t="s">
        <v>190</v>
      </c>
      <c r="B1" s="832"/>
      <c r="C1" s="832"/>
      <c r="D1" s="832"/>
      <c r="E1" s="832"/>
      <c r="F1" s="832"/>
      <c r="G1" s="832"/>
      <c r="H1" s="832"/>
      <c r="I1" s="832"/>
      <c r="J1" s="832"/>
      <c r="K1" s="832"/>
      <c r="L1" s="832"/>
      <c r="M1" s="98">
        <v>43525</v>
      </c>
      <c r="N1" s="98"/>
      <c r="O1" s="99" t="s">
        <v>119</v>
      </c>
      <c r="P1" s="100">
        <v>2738</v>
      </c>
      <c r="Q1" s="100" t="s">
        <v>120</v>
      </c>
      <c r="R1" s="101"/>
      <c r="S1" s="101"/>
      <c r="T1" s="101"/>
      <c r="U1" s="102"/>
      <c r="V1" s="103"/>
      <c r="W1" s="101"/>
    </row>
    <row r="2" spans="1:27" s="109" customFormat="1" ht="20.25" customHeight="1" x14ac:dyDescent="0.25">
      <c r="A2" s="833" t="s">
        <v>121</v>
      </c>
      <c r="B2" s="833" t="s">
        <v>122</v>
      </c>
      <c r="C2" s="836" t="s">
        <v>123</v>
      </c>
      <c r="D2" s="836"/>
      <c r="E2" s="836"/>
      <c r="F2" s="830" t="s">
        <v>232</v>
      </c>
      <c r="G2" s="830" t="s">
        <v>125</v>
      </c>
      <c r="H2" s="837" t="s">
        <v>126</v>
      </c>
      <c r="I2" s="837"/>
      <c r="J2" s="837"/>
      <c r="K2" s="830" t="s">
        <v>127</v>
      </c>
      <c r="L2" s="830" t="s">
        <v>127</v>
      </c>
      <c r="M2" s="830" t="s">
        <v>128</v>
      </c>
      <c r="N2" s="105"/>
      <c r="O2" s="105" t="s">
        <v>130</v>
      </c>
      <c r="P2" s="114">
        <f>1.956*0.992</f>
        <v>1.9403519999999999</v>
      </c>
      <c r="Q2" s="105" t="s">
        <v>131</v>
      </c>
      <c r="R2" s="105"/>
      <c r="S2" s="105"/>
      <c r="T2" s="105"/>
      <c r="U2" s="107"/>
      <c r="V2" s="108"/>
      <c r="W2" s="105"/>
    </row>
    <row r="3" spans="1:27" s="109" customFormat="1" ht="103.5" customHeight="1" x14ac:dyDescent="0.25">
      <c r="A3" s="834"/>
      <c r="B3" s="834"/>
      <c r="C3" s="245" t="s">
        <v>132</v>
      </c>
      <c r="D3" s="245" t="s">
        <v>233</v>
      </c>
      <c r="E3" s="247" t="s">
        <v>234</v>
      </c>
      <c r="F3" s="830"/>
      <c r="G3" s="830"/>
      <c r="H3" s="247" t="s">
        <v>135</v>
      </c>
      <c r="I3" s="112" t="s">
        <v>136</v>
      </c>
      <c r="J3" s="113" t="s">
        <v>137</v>
      </c>
      <c r="K3" s="830"/>
      <c r="L3" s="830"/>
      <c r="M3" s="830"/>
      <c r="N3" s="105"/>
      <c r="O3" s="105" t="s">
        <v>138</v>
      </c>
      <c r="P3" s="114">
        <f>P1*P2</f>
        <v>5312.6837759999999</v>
      </c>
      <c r="Q3" s="105" t="s">
        <v>131</v>
      </c>
      <c r="R3" s="115" t="s">
        <v>139</v>
      </c>
      <c r="S3" s="105" t="s">
        <v>140</v>
      </c>
      <c r="T3" s="115" t="s">
        <v>141</v>
      </c>
      <c r="U3" s="107" t="s">
        <v>142</v>
      </c>
      <c r="V3" s="108"/>
      <c r="W3" s="105"/>
    </row>
    <row r="4" spans="1:27" s="109" customFormat="1" ht="31.5" customHeight="1" x14ac:dyDescent="0.25">
      <c r="A4" s="834"/>
      <c r="B4" s="834"/>
      <c r="C4" s="828" t="s">
        <v>143</v>
      </c>
      <c r="D4" s="828"/>
      <c r="E4" s="247" t="s">
        <v>144</v>
      </c>
      <c r="F4" s="247" t="s">
        <v>144</v>
      </c>
      <c r="G4" s="247" t="s">
        <v>145</v>
      </c>
      <c r="H4" s="247" t="s">
        <v>0</v>
      </c>
      <c r="I4" s="247" t="s">
        <v>0</v>
      </c>
      <c r="J4" s="247" t="s">
        <v>0</v>
      </c>
      <c r="K4" s="247" t="s">
        <v>144</v>
      </c>
      <c r="L4" s="247" t="s">
        <v>144</v>
      </c>
      <c r="M4" s="247" t="s">
        <v>0</v>
      </c>
      <c r="N4" s="105"/>
      <c r="O4" s="105"/>
      <c r="P4" s="105"/>
      <c r="Q4" s="105"/>
      <c r="R4" s="105" t="s">
        <v>147</v>
      </c>
      <c r="S4" s="105" t="s">
        <v>148</v>
      </c>
      <c r="T4" s="105" t="s">
        <v>147</v>
      </c>
      <c r="U4" s="107" t="s">
        <v>149</v>
      </c>
      <c r="V4" s="108"/>
      <c r="W4" s="105"/>
    </row>
    <row r="5" spans="1:27" s="109" customFormat="1" ht="31.5" customHeight="1" x14ac:dyDescent="0.25">
      <c r="A5" s="835"/>
      <c r="B5" s="835"/>
      <c r="C5" s="245" t="s">
        <v>150</v>
      </c>
      <c r="D5" s="245" t="s">
        <v>151</v>
      </c>
      <c r="E5" s="247" t="s">
        <v>152</v>
      </c>
      <c r="F5" s="247" t="s">
        <v>153</v>
      </c>
      <c r="G5" s="247" t="s">
        <v>154</v>
      </c>
      <c r="H5" s="247" t="s">
        <v>155</v>
      </c>
      <c r="I5" s="247" t="s">
        <v>156</v>
      </c>
      <c r="J5" s="247" t="s">
        <v>157</v>
      </c>
      <c r="K5" s="247" t="s">
        <v>158</v>
      </c>
      <c r="L5" s="247" t="s">
        <v>159</v>
      </c>
      <c r="M5" s="247" t="s">
        <v>160</v>
      </c>
      <c r="N5" s="105"/>
      <c r="O5" s="105"/>
      <c r="P5" s="105"/>
      <c r="Q5" s="105"/>
      <c r="R5" s="105"/>
      <c r="S5" s="105"/>
      <c r="T5" s="105"/>
      <c r="U5" s="107"/>
      <c r="V5" s="108"/>
      <c r="W5" s="105"/>
    </row>
    <row r="6" spans="1:27" s="124" customFormat="1" ht="57.75" customHeight="1" x14ac:dyDescent="0.25">
      <c r="A6" s="118"/>
      <c r="B6" s="118"/>
      <c r="C6" s="119" t="s">
        <v>163</v>
      </c>
      <c r="D6" s="119" t="s">
        <v>163</v>
      </c>
      <c r="E6" s="120" t="s">
        <v>235</v>
      </c>
      <c r="F6" s="121" t="s">
        <v>236</v>
      </c>
      <c r="G6" s="122"/>
      <c r="H6" s="122" t="s">
        <v>166</v>
      </c>
      <c r="I6" s="122"/>
      <c r="J6" s="122" t="s">
        <v>167</v>
      </c>
      <c r="K6" s="122" t="s">
        <v>168</v>
      </c>
      <c r="L6" s="122" t="s">
        <v>169</v>
      </c>
      <c r="M6" s="122" t="s">
        <v>237</v>
      </c>
      <c r="N6" s="115"/>
      <c r="O6" s="115"/>
      <c r="P6" s="115"/>
      <c r="Q6" s="115"/>
      <c r="R6" s="115"/>
      <c r="S6" s="115"/>
      <c r="T6" s="115"/>
      <c r="U6" s="123"/>
      <c r="V6" s="164"/>
      <c r="W6" s="115"/>
    </row>
    <row r="7" spans="1:27" ht="31.5" customHeight="1" x14ac:dyDescent="0.25">
      <c r="A7" s="125" t="s">
        <v>175</v>
      </c>
      <c r="B7" s="126">
        <v>31</v>
      </c>
      <c r="C7" s="127">
        <f>V7</f>
        <v>3.211275278873865</v>
      </c>
      <c r="D7" s="290">
        <f>W7</f>
        <v>3.5056421794373023</v>
      </c>
      <c r="E7" s="128">
        <f>D7*1231</f>
        <v>4315.4455228873194</v>
      </c>
      <c r="F7" s="128">
        <f>E7*19.92%</f>
        <v>859.63674815915408</v>
      </c>
      <c r="G7" s="128">
        <f>S7</f>
        <v>13.55</v>
      </c>
      <c r="H7" s="129">
        <f>(25-(G7+20))*0.39%</f>
        <v>-3.3344999999999993E-2</v>
      </c>
      <c r="I7" s="129">
        <f>-'[2]Annex-1 Losses'!$D$17/100</f>
        <v>-0.151</v>
      </c>
      <c r="J7" s="129">
        <f t="shared" ref="J7:J19" si="0">SUM(H7:I7)</f>
        <v>-0.18434499999999998</v>
      </c>
      <c r="K7" s="128">
        <f>+F7*(1+J7)</f>
        <v>701.16701181975486</v>
      </c>
      <c r="L7" s="128">
        <f>K7*B7</f>
        <v>21736.177366412401</v>
      </c>
      <c r="M7" s="130">
        <f>K7/(248*24)</f>
        <v>0.11780359741595343</v>
      </c>
      <c r="N7" s="165"/>
      <c r="O7" s="131">
        <f>D7/C7</f>
        <v>1.0916666666666666</v>
      </c>
      <c r="P7" s="131">
        <f>141.6/134</f>
        <v>1.0567164179104478</v>
      </c>
      <c r="Q7" s="131">
        <f>141.6*24/1000</f>
        <v>3.3983999999999996</v>
      </c>
      <c r="R7" s="133">
        <v>108</v>
      </c>
      <c r="S7" s="134">
        <v>13.55</v>
      </c>
      <c r="T7" s="133">
        <v>117.9</v>
      </c>
      <c r="U7" s="135">
        <v>111.3</v>
      </c>
      <c r="V7" s="136">
        <f>(R7/B7)*0.921754941158239</f>
        <v>3.211275278873865</v>
      </c>
      <c r="W7" s="134">
        <f>(T7/B7)*0.921754941158239</f>
        <v>3.5056421794373023</v>
      </c>
      <c r="X7" s="137"/>
      <c r="Y7" s="137">
        <v>701.16701181975486</v>
      </c>
      <c r="Z7" s="137">
        <f>Y7-K7</f>
        <v>0</v>
      </c>
      <c r="AA7" s="104">
        <f>Y7/K7</f>
        <v>1</v>
      </c>
    </row>
    <row r="8" spans="1:27" ht="31.5" customHeight="1" x14ac:dyDescent="0.25">
      <c r="A8" s="125" t="s">
        <v>176</v>
      </c>
      <c r="B8" s="126">
        <v>28</v>
      </c>
      <c r="C8" s="290">
        <f t="shared" ref="C8:C18" si="1">V8</f>
        <v>4.3748493453284141</v>
      </c>
      <c r="D8" s="290">
        <f t="shared" ref="D8:D18" si="2">W8</f>
        <v>4.6969241437575002</v>
      </c>
      <c r="E8" s="128">
        <f t="shared" ref="E8:E18" si="3">D8*1231</f>
        <v>5781.9136209654826</v>
      </c>
      <c r="F8" s="128">
        <f t="shared" ref="F8:F18" si="4">E8*19.92%</f>
        <v>1151.7571932963242</v>
      </c>
      <c r="G8" s="128">
        <f t="shared" ref="G8:G18" si="5">S8</f>
        <v>17.34</v>
      </c>
      <c r="H8" s="129">
        <f t="shared" ref="H8:H18" si="6">(25-(G8+20))*0.39%</f>
        <v>-4.8126000000000016E-2</v>
      </c>
      <c r="I8" s="129">
        <f>-'[2]Annex-1 Losses'!$D$17/100</f>
        <v>-0.151</v>
      </c>
      <c r="J8" s="129">
        <f t="shared" si="0"/>
        <v>-0.19912600000000003</v>
      </c>
      <c r="K8" s="291">
        <f t="shared" ref="K8:K18" si="7">+F8*(1+J8)</f>
        <v>922.41239042400036</v>
      </c>
      <c r="L8" s="128">
        <f t="shared" ref="L8:L18" si="8">K8*B8</f>
        <v>25827.54693187201</v>
      </c>
      <c r="M8" s="130">
        <f t="shared" ref="M8:M18" si="9">K8/(248*24)</f>
        <v>0.15497520000403231</v>
      </c>
      <c r="N8" s="165">
        <f>K8/(D8*248)</f>
        <v>0.79188096001935493</v>
      </c>
      <c r="O8" s="131">
        <f>D8/C8</f>
        <v>1.0736196319018405</v>
      </c>
      <c r="P8" s="132"/>
      <c r="Q8" s="132"/>
      <c r="R8" s="133">
        <v>130.4</v>
      </c>
      <c r="S8" s="134">
        <v>17.34</v>
      </c>
      <c r="T8" s="133">
        <v>140</v>
      </c>
      <c r="U8" s="135">
        <v>133</v>
      </c>
      <c r="V8" s="136">
        <f>(R8/B8)*0.9393848287515</f>
        <v>4.3748493453284141</v>
      </c>
      <c r="W8" s="134">
        <f>(T8/B8)*0.9393848287515</f>
        <v>4.6969241437575002</v>
      </c>
      <c r="X8" s="137"/>
      <c r="Y8" s="137">
        <v>922.41239042400002</v>
      </c>
      <c r="Z8" s="137">
        <f t="shared" ref="Z8:Z18" si="10">Y8-K8</f>
        <v>0</v>
      </c>
      <c r="AA8" s="104">
        <f t="shared" ref="AA8:AA18" si="11">Y8/K8</f>
        <v>0.99999999999999967</v>
      </c>
    </row>
    <row r="9" spans="1:27" ht="31.5" customHeight="1" x14ac:dyDescent="0.25">
      <c r="A9" s="125" t="s">
        <v>51</v>
      </c>
      <c r="B9" s="126">
        <v>31</v>
      </c>
      <c r="C9" s="290">
        <f t="shared" si="1"/>
        <v>5.4563799496495511</v>
      </c>
      <c r="D9" s="290">
        <f t="shared" si="2"/>
        <v>5.7041191738208594</v>
      </c>
      <c r="E9" s="128">
        <f t="shared" si="3"/>
        <v>7021.7707029734784</v>
      </c>
      <c r="F9" s="128">
        <f t="shared" si="4"/>
        <v>1398.7367240323169</v>
      </c>
      <c r="G9" s="128">
        <f t="shared" si="5"/>
        <v>23.22</v>
      </c>
      <c r="H9" s="129">
        <f t="shared" si="6"/>
        <v>-7.1057999999999996E-2</v>
      </c>
      <c r="I9" s="129">
        <f>-'[2]Annex-1 Losses'!$D$17/100</f>
        <v>-0.151</v>
      </c>
      <c r="J9" s="129">
        <f t="shared" si="0"/>
        <v>-0.22205799999999998</v>
      </c>
      <c r="K9" s="291">
        <f t="shared" si="7"/>
        <v>1088.1360445671487</v>
      </c>
      <c r="L9" s="128">
        <f t="shared" si="8"/>
        <v>33732.217381581613</v>
      </c>
      <c r="M9" s="130">
        <f t="shared" si="9"/>
        <v>0.18281855587485699</v>
      </c>
      <c r="N9" s="165"/>
      <c r="O9" s="131">
        <f>D9/C9</f>
        <v>1.0454035874439462</v>
      </c>
      <c r="P9" s="132"/>
      <c r="Q9" s="132"/>
      <c r="R9" s="133">
        <v>178.4</v>
      </c>
      <c r="S9" s="134">
        <v>23.22</v>
      </c>
      <c r="T9" s="133">
        <v>186.5</v>
      </c>
      <c r="U9" s="135">
        <v>177.4</v>
      </c>
      <c r="V9" s="136">
        <f>(R9/B9)*0.948137771519821</f>
        <v>5.4563799496495511</v>
      </c>
      <c r="W9" s="134">
        <f>(T9/B9)*0.948137771519821</f>
        <v>5.7041191738208594</v>
      </c>
      <c r="X9" s="137"/>
      <c r="Y9" s="137">
        <v>1088.1360445671487</v>
      </c>
      <c r="Z9" s="137">
        <f t="shared" si="10"/>
        <v>0</v>
      </c>
      <c r="AA9" s="104">
        <f t="shared" si="11"/>
        <v>1</v>
      </c>
    </row>
    <row r="10" spans="1:27" ht="31.5" customHeight="1" x14ac:dyDescent="0.25">
      <c r="A10" s="125" t="s">
        <v>177</v>
      </c>
      <c r="B10" s="126">
        <v>30</v>
      </c>
      <c r="C10" s="290">
        <f t="shared" si="1"/>
        <v>6.3082985715989803</v>
      </c>
      <c r="D10" s="290">
        <f t="shared" si="2"/>
        <v>6.4448143434050982</v>
      </c>
      <c r="E10" s="128">
        <f t="shared" si="3"/>
        <v>7933.5664567316762</v>
      </c>
      <c r="F10" s="128">
        <f t="shared" si="4"/>
        <v>1580.3664381809501</v>
      </c>
      <c r="G10" s="128">
        <f t="shared" si="5"/>
        <v>29.32</v>
      </c>
      <c r="H10" s="129">
        <f t="shared" si="6"/>
        <v>-9.4848000000000002E-2</v>
      </c>
      <c r="I10" s="129">
        <f>-'[2]Annex-1 Losses'!$D$17/100</f>
        <v>-0.151</v>
      </c>
      <c r="J10" s="129">
        <f t="shared" si="0"/>
        <v>-0.24584800000000001</v>
      </c>
      <c r="K10" s="291">
        <f t="shared" si="7"/>
        <v>1191.8365100870399</v>
      </c>
      <c r="L10" s="128">
        <f t="shared" si="8"/>
        <v>35755.095302611197</v>
      </c>
      <c r="M10" s="130">
        <f t="shared" si="9"/>
        <v>0.20024134914096772</v>
      </c>
      <c r="N10" s="165"/>
      <c r="O10" s="131">
        <f t="shared" ref="O10:O18" si="12">D10/C10</f>
        <v>1.0216406643180675</v>
      </c>
      <c r="P10" s="132"/>
      <c r="Q10" s="132"/>
      <c r="R10" s="133">
        <v>198.7</v>
      </c>
      <c r="S10" s="134">
        <v>29.32</v>
      </c>
      <c r="T10" s="133">
        <v>203</v>
      </c>
      <c r="U10" s="135">
        <v>193.3</v>
      </c>
      <c r="V10" s="136">
        <f>(R10/B10)*0.952435617251985</f>
        <v>6.3082985715989803</v>
      </c>
      <c r="W10" s="134">
        <f>(T10/B10)*0.952435617251985</f>
        <v>6.4448143434050982</v>
      </c>
      <c r="X10" s="137"/>
      <c r="Y10" s="137">
        <v>1191.8365100870396</v>
      </c>
      <c r="Z10" s="137">
        <f t="shared" si="10"/>
        <v>0</v>
      </c>
      <c r="AA10" s="104">
        <f t="shared" si="11"/>
        <v>0.99999999999999978</v>
      </c>
    </row>
    <row r="11" spans="1:27" ht="31.5" customHeight="1" x14ac:dyDescent="0.25">
      <c r="A11" s="125" t="s">
        <v>178</v>
      </c>
      <c r="B11" s="126">
        <v>31</v>
      </c>
      <c r="C11" s="290">
        <f t="shared" si="1"/>
        <v>6.5210912476240974</v>
      </c>
      <c r="D11" s="290">
        <f t="shared" si="2"/>
        <v>6.5456643658440656</v>
      </c>
      <c r="E11" s="128">
        <f t="shared" si="3"/>
        <v>8057.7128343540444</v>
      </c>
      <c r="F11" s="128">
        <f t="shared" si="4"/>
        <v>1605.0963966033257</v>
      </c>
      <c r="G11" s="128">
        <f t="shared" si="5"/>
        <v>33.25</v>
      </c>
      <c r="H11" s="129">
        <f t="shared" si="6"/>
        <v>-0.11017500000000001</v>
      </c>
      <c r="I11" s="129">
        <f>-'[2]Annex-1 Losses'!$D$17/100</f>
        <v>-0.151</v>
      </c>
      <c r="J11" s="129">
        <f t="shared" si="0"/>
        <v>-0.26117499999999999</v>
      </c>
      <c r="K11" s="291">
        <f t="shared" si="7"/>
        <v>1185.8853452204523</v>
      </c>
      <c r="L11" s="128">
        <f t="shared" si="8"/>
        <v>36762.445701834025</v>
      </c>
      <c r="M11" s="130">
        <f t="shared" si="9"/>
        <v>0.19924148945236095</v>
      </c>
      <c r="N11" s="165"/>
      <c r="O11" s="131">
        <f t="shared" si="12"/>
        <v>1.0037682524729157</v>
      </c>
      <c r="P11" s="132"/>
      <c r="Q11" s="132"/>
      <c r="R11" s="133">
        <v>212.3</v>
      </c>
      <c r="S11" s="134">
        <v>33.25</v>
      </c>
      <c r="T11" s="133">
        <v>213.1</v>
      </c>
      <c r="U11" s="135">
        <v>202.4</v>
      </c>
      <c r="V11" s="136">
        <f>(R11/B11)*0.952208331023773</f>
        <v>6.5210912476240974</v>
      </c>
      <c r="W11" s="134">
        <f>(T11/B11)*0.952208331023773</f>
        <v>6.5456643658440656</v>
      </c>
      <c r="X11" s="137"/>
      <c r="Y11" s="137">
        <v>1185.8853452204519</v>
      </c>
      <c r="Z11" s="137">
        <f t="shared" si="10"/>
        <v>0</v>
      </c>
      <c r="AA11" s="104">
        <f t="shared" si="11"/>
        <v>0.99999999999999967</v>
      </c>
    </row>
    <row r="12" spans="1:27" ht="31.5" customHeight="1" x14ac:dyDescent="0.25">
      <c r="A12" s="125" t="s">
        <v>179</v>
      </c>
      <c r="B12" s="126">
        <v>30</v>
      </c>
      <c r="C12" s="290">
        <f t="shared" si="1"/>
        <v>5.9017504886402516</v>
      </c>
      <c r="D12" s="290">
        <f t="shared" si="2"/>
        <v>5.8859619640585494</v>
      </c>
      <c r="E12" s="128">
        <f t="shared" si="3"/>
        <v>7245.6191777560744</v>
      </c>
      <c r="F12" s="128">
        <f t="shared" si="4"/>
        <v>1443.3273402090101</v>
      </c>
      <c r="G12" s="128">
        <f t="shared" si="5"/>
        <v>32.58</v>
      </c>
      <c r="H12" s="129">
        <f t="shared" si="6"/>
        <v>-0.107562</v>
      </c>
      <c r="I12" s="129">
        <f>-'[2]Annex-1 Losses'!$D$17/100</f>
        <v>-0.151</v>
      </c>
      <c r="J12" s="129">
        <f t="shared" si="0"/>
        <v>-0.25856200000000001</v>
      </c>
      <c r="K12" s="291">
        <f t="shared" si="7"/>
        <v>1070.1377364698881</v>
      </c>
      <c r="L12" s="128">
        <f t="shared" si="8"/>
        <v>32104.132094096643</v>
      </c>
      <c r="M12" s="130">
        <f t="shared" si="9"/>
        <v>0.17979464658432259</v>
      </c>
      <c r="N12" s="165"/>
      <c r="O12" s="131">
        <f t="shared" si="12"/>
        <v>0.99732477260567143</v>
      </c>
      <c r="P12" s="132"/>
      <c r="Q12" s="132"/>
      <c r="R12" s="133">
        <v>186.9</v>
      </c>
      <c r="S12" s="134">
        <v>32.58</v>
      </c>
      <c r="T12" s="133">
        <v>186.4</v>
      </c>
      <c r="U12" s="135">
        <v>176.6</v>
      </c>
      <c r="V12" s="136">
        <f>(R12/B12)*0.947311474902127</f>
        <v>5.9017504886402516</v>
      </c>
      <c r="W12" s="134">
        <f>(T12/B12)*0.947311474902127</f>
        <v>5.8859619640585494</v>
      </c>
      <c r="X12" s="137"/>
      <c r="Y12" s="137">
        <v>1070.1377364698883</v>
      </c>
      <c r="Z12" s="137">
        <f t="shared" si="10"/>
        <v>0</v>
      </c>
      <c r="AA12" s="104">
        <f t="shared" si="11"/>
        <v>1.0000000000000002</v>
      </c>
    </row>
    <row r="13" spans="1:27" ht="31.5" customHeight="1" x14ac:dyDescent="0.25">
      <c r="A13" s="125" t="s">
        <v>180</v>
      </c>
      <c r="B13" s="126">
        <v>31</v>
      </c>
      <c r="C13" s="290">
        <f t="shared" si="1"/>
        <v>5.0222932903838426</v>
      </c>
      <c r="D13" s="290">
        <f t="shared" si="2"/>
        <v>5.0192641629469401</v>
      </c>
      <c r="E13" s="128">
        <f t="shared" si="3"/>
        <v>6178.7141845876831</v>
      </c>
      <c r="F13" s="128">
        <f t="shared" si="4"/>
        <v>1230.7998655698666</v>
      </c>
      <c r="G13" s="128">
        <f t="shared" si="5"/>
        <v>31.72</v>
      </c>
      <c r="H13" s="129">
        <f t="shared" si="6"/>
        <v>-0.10420800000000001</v>
      </c>
      <c r="I13" s="129">
        <f>-'[2]Annex-1 Losses'!$D$17/100</f>
        <v>-0.151</v>
      </c>
      <c r="J13" s="129">
        <f t="shared" si="0"/>
        <v>-0.25520799999999999</v>
      </c>
      <c r="K13" s="291">
        <f t="shared" si="7"/>
        <v>916.6898934775121</v>
      </c>
      <c r="L13" s="128">
        <f t="shared" si="8"/>
        <v>28417.386697802875</v>
      </c>
      <c r="M13" s="130">
        <f t="shared" si="9"/>
        <v>0.15401375898479705</v>
      </c>
      <c r="N13" s="165"/>
      <c r="O13" s="131">
        <f t="shared" si="12"/>
        <v>0.99939686369119418</v>
      </c>
      <c r="P13" s="132"/>
      <c r="Q13" s="132"/>
      <c r="R13" s="133">
        <v>165.8</v>
      </c>
      <c r="S13" s="134">
        <v>31.72</v>
      </c>
      <c r="T13" s="133">
        <v>165.7</v>
      </c>
      <c r="U13" s="135">
        <v>156.5</v>
      </c>
      <c r="V13" s="136">
        <f>(R13/B13)*0.939029505439681</f>
        <v>5.0222932903838426</v>
      </c>
      <c r="W13" s="134">
        <f>(T13/B13)*0.939029505439681</f>
        <v>5.0192641629469401</v>
      </c>
      <c r="X13" s="137"/>
      <c r="Y13" s="137">
        <v>916.6898934775121</v>
      </c>
      <c r="Z13" s="137">
        <f t="shared" si="10"/>
        <v>0</v>
      </c>
      <c r="AA13" s="104">
        <f t="shared" si="11"/>
        <v>1</v>
      </c>
    </row>
    <row r="14" spans="1:27" ht="31.5" customHeight="1" x14ac:dyDescent="0.25">
      <c r="A14" s="125" t="s">
        <v>181</v>
      </c>
      <c r="B14" s="126">
        <v>31</v>
      </c>
      <c r="C14" s="290">
        <f t="shared" si="1"/>
        <v>4.8431772419788439</v>
      </c>
      <c r="D14" s="290">
        <f t="shared" si="2"/>
        <v>4.8855285732641063</v>
      </c>
      <c r="E14" s="128">
        <f t="shared" si="3"/>
        <v>6014.0856736881151</v>
      </c>
      <c r="F14" s="128">
        <f t="shared" si="4"/>
        <v>1198.0058661986727</v>
      </c>
      <c r="G14" s="128">
        <f t="shared" si="5"/>
        <v>30.69</v>
      </c>
      <c r="H14" s="129">
        <f t="shared" si="6"/>
        <v>-0.100191</v>
      </c>
      <c r="I14" s="129">
        <f>-'[2]Annex-1 Losses'!$D$17/100</f>
        <v>-0.151</v>
      </c>
      <c r="J14" s="129">
        <f t="shared" si="0"/>
        <v>-0.251191</v>
      </c>
      <c r="K14" s="291">
        <f t="shared" si="7"/>
        <v>897.07757466236194</v>
      </c>
      <c r="L14" s="128">
        <f t="shared" si="8"/>
        <v>27809.40481453322</v>
      </c>
      <c r="M14" s="130">
        <f t="shared" si="9"/>
        <v>0.15071867853870327</v>
      </c>
      <c r="N14" s="165"/>
      <c r="O14" s="131">
        <f t="shared" si="12"/>
        <v>1.0087445346658339</v>
      </c>
      <c r="P14" s="132"/>
      <c r="Q14" s="132"/>
      <c r="R14" s="133">
        <v>160.1</v>
      </c>
      <c r="S14" s="134">
        <v>30.69</v>
      </c>
      <c r="T14" s="133">
        <v>161.5</v>
      </c>
      <c r="U14" s="135">
        <v>152.80000000000001</v>
      </c>
      <c r="V14" s="136">
        <f>(R14/B14)*0.937779478459364</f>
        <v>4.8431772419788439</v>
      </c>
      <c r="W14" s="134">
        <f>(T14/B14)*0.937779478459364</f>
        <v>4.8855285732641063</v>
      </c>
      <c r="X14" s="137"/>
      <c r="Y14" s="137">
        <v>897.0775746623616</v>
      </c>
      <c r="Z14" s="137">
        <f t="shared" si="10"/>
        <v>0</v>
      </c>
      <c r="AA14" s="104">
        <f t="shared" si="11"/>
        <v>0.99999999999999967</v>
      </c>
    </row>
    <row r="15" spans="1:27" ht="31.5" customHeight="1" x14ac:dyDescent="0.25">
      <c r="A15" s="125" t="s">
        <v>182</v>
      </c>
      <c r="B15" s="126">
        <v>30</v>
      </c>
      <c r="C15" s="290">
        <f t="shared" si="1"/>
        <v>5.0249044207439439</v>
      </c>
      <c r="D15" s="290">
        <f t="shared" si="2"/>
        <v>5.1786959988928842</v>
      </c>
      <c r="E15" s="128">
        <f t="shared" si="3"/>
        <v>6374.9747746371404</v>
      </c>
      <c r="F15" s="128">
        <f t="shared" si="4"/>
        <v>1269.8949751077184</v>
      </c>
      <c r="G15" s="128">
        <f t="shared" si="5"/>
        <v>28.99</v>
      </c>
      <c r="H15" s="129">
        <f t="shared" si="6"/>
        <v>-9.3560999999999991E-2</v>
      </c>
      <c r="I15" s="129">
        <f>-'[2]Annex-1 Losses'!$D$17/100</f>
        <v>-0.151</v>
      </c>
      <c r="J15" s="129">
        <f t="shared" si="0"/>
        <v>-0.24456099999999997</v>
      </c>
      <c r="K15" s="291">
        <f t="shared" si="7"/>
        <v>959.32819010039964</v>
      </c>
      <c r="L15" s="128">
        <f t="shared" si="8"/>
        <v>28779.84570301199</v>
      </c>
      <c r="M15" s="130">
        <f t="shared" si="9"/>
        <v>0.16117745129374994</v>
      </c>
      <c r="N15" s="165"/>
      <c r="O15" s="131">
        <f t="shared" si="12"/>
        <v>1.0306058713304185</v>
      </c>
      <c r="P15" s="132"/>
      <c r="Q15" s="132"/>
      <c r="R15" s="133">
        <v>160.1</v>
      </c>
      <c r="S15" s="134">
        <v>28.99</v>
      </c>
      <c r="T15" s="133">
        <v>165</v>
      </c>
      <c r="U15" s="135">
        <v>156.69999999999999</v>
      </c>
      <c r="V15" s="136">
        <f>(R15/B15)*0.941581090707797</f>
        <v>5.0249044207439439</v>
      </c>
      <c r="W15" s="134">
        <f>(T15/B15)*0.941581090707797</f>
        <v>5.1786959988928842</v>
      </c>
      <c r="X15" s="137"/>
      <c r="Y15" s="137">
        <v>959.32819010039975</v>
      </c>
      <c r="Z15" s="137">
        <f t="shared" si="10"/>
        <v>0</v>
      </c>
      <c r="AA15" s="104">
        <f t="shared" si="11"/>
        <v>1.0000000000000002</v>
      </c>
    </row>
    <row r="16" spans="1:27" ht="31.5" customHeight="1" x14ac:dyDescent="0.25">
      <c r="A16" s="125" t="s">
        <v>183</v>
      </c>
      <c r="B16" s="126">
        <v>31</v>
      </c>
      <c r="C16" s="290">
        <f t="shared" si="1"/>
        <v>4.6331695678009428</v>
      </c>
      <c r="D16" s="290">
        <f t="shared" si="2"/>
        <v>4.9058872009612333</v>
      </c>
      <c r="E16" s="128">
        <f t="shared" si="3"/>
        <v>6039.1471443832779</v>
      </c>
      <c r="F16" s="128">
        <f t="shared" si="4"/>
        <v>1202.9981111611492</v>
      </c>
      <c r="G16" s="128">
        <f t="shared" si="5"/>
        <v>26.17</v>
      </c>
      <c r="H16" s="129">
        <f t="shared" si="6"/>
        <v>-8.2563000000000011E-2</v>
      </c>
      <c r="I16" s="129">
        <f>-'[2]Annex-1 Losses'!$D$17/100</f>
        <v>-0.151</v>
      </c>
      <c r="J16" s="129">
        <f t="shared" si="0"/>
        <v>-0.23356300000000002</v>
      </c>
      <c r="K16" s="291">
        <f t="shared" si="7"/>
        <v>922.02226332401767</v>
      </c>
      <c r="L16" s="128">
        <f t="shared" si="8"/>
        <v>28582.690163044546</v>
      </c>
      <c r="M16" s="130">
        <f t="shared" si="9"/>
        <v>0.15490965445632018</v>
      </c>
      <c r="N16" s="165"/>
      <c r="O16" s="131">
        <f t="shared" si="12"/>
        <v>1.0588620013080443</v>
      </c>
      <c r="P16" s="132"/>
      <c r="Q16" s="132"/>
      <c r="R16" s="133">
        <v>152.9</v>
      </c>
      <c r="S16" s="134">
        <v>26.17</v>
      </c>
      <c r="T16" s="133">
        <v>161.9</v>
      </c>
      <c r="U16" s="135">
        <v>153.9</v>
      </c>
      <c r="V16" s="136">
        <f>(R16/B16)*0.939360736441002</f>
        <v>4.6331695678009428</v>
      </c>
      <c r="W16" s="134">
        <f>(T16/B16)*0.939360736441002</f>
        <v>4.9058872009612333</v>
      </c>
      <c r="X16" s="137"/>
      <c r="Y16" s="137">
        <v>922.02226332401801</v>
      </c>
      <c r="Z16" s="137">
        <f t="shared" si="10"/>
        <v>0</v>
      </c>
      <c r="AA16" s="104">
        <f t="shared" si="11"/>
        <v>1.0000000000000004</v>
      </c>
    </row>
    <row r="17" spans="1:27" ht="31.5" customHeight="1" x14ac:dyDescent="0.25">
      <c r="A17" s="125" t="s">
        <v>184</v>
      </c>
      <c r="B17" s="126">
        <v>30</v>
      </c>
      <c r="C17" s="290">
        <f t="shared" si="1"/>
        <v>3.7491510590115027</v>
      </c>
      <c r="D17" s="290">
        <f t="shared" si="2"/>
        <v>4.0995679900853643</v>
      </c>
      <c r="E17" s="128">
        <f t="shared" si="3"/>
        <v>5046.5681957950837</v>
      </c>
      <c r="F17" s="128">
        <f t="shared" si="4"/>
        <v>1005.2763846023807</v>
      </c>
      <c r="G17" s="128">
        <f t="shared" si="5"/>
        <v>20.03</v>
      </c>
      <c r="H17" s="129">
        <f t="shared" si="6"/>
        <v>-5.8617000000000009E-2</v>
      </c>
      <c r="I17" s="129">
        <f>-'[2]Annex-1 Losses'!$D$17/100</f>
        <v>-0.151</v>
      </c>
      <c r="J17" s="129">
        <f t="shared" si="0"/>
        <v>-0.209617</v>
      </c>
      <c r="K17" s="291">
        <f t="shared" si="7"/>
        <v>794.55336469118356</v>
      </c>
      <c r="L17" s="128">
        <f t="shared" si="8"/>
        <v>23836.600940735509</v>
      </c>
      <c r="M17" s="130">
        <f t="shared" si="9"/>
        <v>0.13349350885268541</v>
      </c>
      <c r="N17" s="165"/>
      <c r="O17" s="131">
        <f t="shared" si="12"/>
        <v>1.0934656741108351</v>
      </c>
      <c r="P17" s="132"/>
      <c r="Q17" s="132"/>
      <c r="R17" s="133">
        <v>120.9</v>
      </c>
      <c r="S17" s="134">
        <v>20.03</v>
      </c>
      <c r="T17" s="133">
        <v>132.19999999999999</v>
      </c>
      <c r="U17" s="135">
        <v>124.9</v>
      </c>
      <c r="V17" s="136">
        <f>(R17/B17)*0.930310436479281</f>
        <v>3.7491510590115027</v>
      </c>
      <c r="W17" s="134">
        <f>(T17/B17)*0.930310436479281</f>
        <v>4.0995679900853643</v>
      </c>
      <c r="X17" s="137"/>
      <c r="Y17" s="137">
        <v>794.55336469118402</v>
      </c>
      <c r="Z17" s="137">
        <f t="shared" si="10"/>
        <v>0</v>
      </c>
      <c r="AA17" s="104">
        <f t="shared" si="11"/>
        <v>1.0000000000000007</v>
      </c>
    </row>
    <row r="18" spans="1:27" ht="31.5" customHeight="1" x14ac:dyDescent="0.25">
      <c r="A18" s="125" t="s">
        <v>185</v>
      </c>
      <c r="B18" s="126">
        <v>31</v>
      </c>
      <c r="C18" s="290">
        <f t="shared" si="1"/>
        <v>3.1481303093591095</v>
      </c>
      <c r="D18" s="290">
        <f t="shared" si="2"/>
        <v>3.483732880073807</v>
      </c>
      <c r="E18" s="128">
        <f t="shared" si="3"/>
        <v>4288.475175370856</v>
      </c>
      <c r="F18" s="128">
        <f t="shared" si="4"/>
        <v>854.26425493387455</v>
      </c>
      <c r="G18" s="128">
        <f t="shared" si="5"/>
        <v>15.33</v>
      </c>
      <c r="H18" s="129">
        <f t="shared" si="6"/>
        <v>-4.0286999999999996E-2</v>
      </c>
      <c r="I18" s="129">
        <f>-'[2]Annex-1 Losses'!$D$17/100</f>
        <v>-0.151</v>
      </c>
      <c r="J18" s="129">
        <f t="shared" si="0"/>
        <v>-0.19128699999999998</v>
      </c>
      <c r="K18" s="291">
        <f t="shared" si="7"/>
        <v>690.85460840033852</v>
      </c>
      <c r="L18" s="128">
        <f t="shared" si="8"/>
        <v>21416.492860410493</v>
      </c>
      <c r="M18" s="130">
        <f t="shared" si="9"/>
        <v>0.11607100275543322</v>
      </c>
      <c r="N18" s="165"/>
      <c r="O18" s="131">
        <f t="shared" si="12"/>
        <v>1.1066037735849057</v>
      </c>
      <c r="P18" s="132"/>
      <c r="Q18" s="132"/>
      <c r="R18" s="133">
        <v>106</v>
      </c>
      <c r="S18" s="134">
        <v>15.33</v>
      </c>
      <c r="T18" s="133">
        <v>117.3</v>
      </c>
      <c r="U18" s="135">
        <v>110.5</v>
      </c>
      <c r="V18" s="136">
        <f>(R18/B18)*0.920679618774834</f>
        <v>3.1481303093591095</v>
      </c>
      <c r="W18" s="134">
        <f>(T18/B18)*0.920679618774834</f>
        <v>3.483732880073807</v>
      </c>
      <c r="X18" s="137"/>
      <c r="Y18" s="137">
        <v>690.85460840033818</v>
      </c>
      <c r="Z18" s="137">
        <f t="shared" si="10"/>
        <v>0</v>
      </c>
      <c r="AA18" s="104">
        <f t="shared" si="11"/>
        <v>0.99999999999999956</v>
      </c>
    </row>
    <row r="19" spans="1:27" s="148" customFormat="1" ht="30" x14ac:dyDescent="0.25">
      <c r="A19" s="140" t="s">
        <v>186</v>
      </c>
      <c r="B19" s="140"/>
      <c r="C19" s="141">
        <f t="shared" ref="C19:I19" si="13">SUMPRODUCT(C7:C18,$B$7:$B$18)/SUM($B$7:$B$18)</f>
        <v>4.8490957296570238</v>
      </c>
      <c r="D19" s="141">
        <f>SUMPRODUCT(D7:D18,$B$7:$B$18)/SUM($B$7:$B$18)</f>
        <v>5.0283015877952453</v>
      </c>
      <c r="E19" s="141">
        <f t="shared" si="13"/>
        <v>6189.8392545759471</v>
      </c>
      <c r="F19" s="141">
        <f t="shared" si="13"/>
        <v>1233.0159795115289</v>
      </c>
      <c r="G19" s="141">
        <f t="shared" si="13"/>
        <v>25.219041095890407</v>
      </c>
      <c r="H19" s="143">
        <f t="shared" si="13"/>
        <v>-7.8854260273972604E-2</v>
      </c>
      <c r="I19" s="143">
        <f t="shared" si="13"/>
        <v>-0.151</v>
      </c>
      <c r="J19" s="248">
        <f t="shared" si="0"/>
        <v>-0.2298542602739726</v>
      </c>
      <c r="K19" s="142">
        <f>SUMPRODUCT(K7:K18,$B$7:$B$18)/SUM($B$7:$B$18)</f>
        <v>944.54804372040132</v>
      </c>
      <c r="L19" s="142">
        <f>SUM(L7:L18)</f>
        <v>344760.0359579465</v>
      </c>
      <c r="M19" s="143">
        <f>SUMPRODUCT(M7:M18,$B$7:$B$18)/SUM($B$7:$B$18)</f>
        <v>0.15869422777560507</v>
      </c>
      <c r="N19" s="167"/>
      <c r="O19" s="145"/>
      <c r="P19" s="145"/>
      <c r="Q19" s="145"/>
      <c r="R19" s="147">
        <f>SUM(R7:R18)</f>
        <v>1880.5</v>
      </c>
      <c r="S19" s="146">
        <f>AVERAGE(S7:S18)</f>
        <v>25.182500000000001</v>
      </c>
      <c r="T19" s="147">
        <f>SUM(T7:T18)</f>
        <v>1950.5000000000002</v>
      </c>
      <c r="U19" s="147">
        <f>SUM(U7:U18)</f>
        <v>1849.3000000000002</v>
      </c>
      <c r="V19" s="146">
        <f>AVERAGE(V7:V18)</f>
        <v>4.8495392309161121</v>
      </c>
      <c r="W19" s="146">
        <f>AVERAGE(W7:W18)</f>
        <v>5.029650248045642</v>
      </c>
      <c r="X19" s="137"/>
      <c r="Y19" s="137"/>
    </row>
    <row r="20" spans="1:27" ht="18.75" x14ac:dyDescent="0.25">
      <c r="A20" s="149" t="s">
        <v>187</v>
      </c>
      <c r="B20" s="150"/>
      <c r="C20" s="276"/>
      <c r="D20" s="275">
        <f>+AVERAGE(D10:D12)</f>
        <v>6.2921468911025711</v>
      </c>
      <c r="E20" s="276"/>
      <c r="F20" s="276"/>
      <c r="G20" s="276"/>
      <c r="H20" s="276"/>
      <c r="I20" s="249"/>
      <c r="J20" s="829"/>
      <c r="K20" s="829"/>
      <c r="L20" s="132">
        <f>+SUM(L10:L18,L7)</f>
        <v>285200.27164449292</v>
      </c>
      <c r="M20" s="132">
        <f>+L20+Panipat!L20+'Exception Report F1'!N6</f>
        <v>361711.76399975456</v>
      </c>
      <c r="N20" s="246"/>
      <c r="O20" s="246"/>
      <c r="P20" s="166">
        <f>406*1000/(248*24*365)</f>
        <v>0.18688319340109</v>
      </c>
      <c r="Q20" s="153"/>
      <c r="X20" s="104"/>
    </row>
    <row r="21" spans="1:27" ht="18.75" customHeight="1" x14ac:dyDescent="0.25">
      <c r="A21" s="157">
        <v>1</v>
      </c>
      <c r="B21" s="825" t="s">
        <v>199</v>
      </c>
      <c r="C21" s="825"/>
      <c r="D21" s="825"/>
      <c r="E21" s="825"/>
      <c r="F21" s="825"/>
      <c r="G21" s="825"/>
      <c r="H21" s="825"/>
      <c r="I21" s="825"/>
      <c r="J21" s="825"/>
      <c r="K21" s="825"/>
      <c r="L21" s="243">
        <f>SUM(K7:K18)</f>
        <v>11340.100933244099</v>
      </c>
      <c r="M21" s="243">
        <f>+L21+Panipat!L19</f>
        <v>142557.44229683233</v>
      </c>
      <c r="N21" s="243"/>
      <c r="O21" s="243"/>
      <c r="P21" s="243"/>
    </row>
    <row r="22" spans="1:27" ht="34.5" customHeight="1" x14ac:dyDescent="0.25">
      <c r="A22" s="157">
        <v>2</v>
      </c>
      <c r="B22" s="825" t="s">
        <v>200</v>
      </c>
      <c r="C22" s="825"/>
      <c r="D22" s="825"/>
      <c r="E22" s="825"/>
      <c r="F22" s="825"/>
      <c r="G22" s="825"/>
      <c r="H22" s="825"/>
      <c r="I22" s="825"/>
      <c r="J22" s="825"/>
      <c r="K22" s="825"/>
      <c r="L22" s="243"/>
      <c r="M22" s="243"/>
      <c r="N22" s="243"/>
      <c r="O22" s="243"/>
      <c r="P22" s="243"/>
    </row>
    <row r="23" spans="1:27" ht="18.75" x14ac:dyDescent="0.25">
      <c r="A23" s="125" t="s">
        <v>176</v>
      </c>
      <c r="B23" s="126">
        <v>28</v>
      </c>
      <c r="C23" s="127">
        <f>C8</f>
        <v>4.3748493453284141</v>
      </c>
      <c r="D23" s="127">
        <f>D11</f>
        <v>6.5456643658440656</v>
      </c>
      <c r="E23" s="128">
        <f>D23*1231</f>
        <v>8057.7128343540444</v>
      </c>
      <c r="F23" s="128">
        <f t="shared" ref="F23" si="14">E23*19.92%</f>
        <v>1605.0963966033257</v>
      </c>
      <c r="G23" s="139">
        <f>'Solar Report_Base'!V167</f>
        <v>0</v>
      </c>
      <c r="H23" s="129">
        <f t="shared" ref="H23" si="15">(25-(G23+20))*0.39%</f>
        <v>1.95E-2</v>
      </c>
      <c r="I23" s="129">
        <f>-'[2]Annex-1 Losses'!$D$17/100</f>
        <v>-0.151</v>
      </c>
      <c r="J23" s="129">
        <f>SUM(H23:I23)</f>
        <v>-0.13150000000000001</v>
      </c>
      <c r="K23" s="128">
        <f>F23*(1+J23)</f>
        <v>1394.0262204499884</v>
      </c>
      <c r="L23" s="128">
        <f t="shared" ref="L23" si="16">K23*B23</f>
        <v>39032.734172599674</v>
      </c>
      <c r="M23" s="130">
        <f>K23/(248*24)</f>
        <v>0.23421139456485021</v>
      </c>
      <c r="N23" s="165">
        <f>K23/(D23*248)</f>
        <v>0.85874758548387098</v>
      </c>
      <c r="O23" s="250">
        <f>K23/(D23*248)</f>
        <v>0.85874758548387098</v>
      </c>
    </row>
    <row r="24" spans="1:27" ht="18.75" x14ac:dyDescent="0.25">
      <c r="A24" s="125" t="s">
        <v>176</v>
      </c>
      <c r="B24" s="126">
        <v>28</v>
      </c>
      <c r="C24" s="127">
        <f>+C23</f>
        <v>4.3748493453284141</v>
      </c>
      <c r="D24" s="251">
        <f>'Solar Report_Base'!V160</f>
        <v>0</v>
      </c>
      <c r="E24" s="128">
        <f t="shared" ref="E24" si="17">D24*1231</f>
        <v>0</v>
      </c>
      <c r="F24" s="128">
        <f t="shared" ref="F24" si="18">E24*19.92%</f>
        <v>0</v>
      </c>
      <c r="G24" s="128">
        <v>17</v>
      </c>
      <c r="H24" s="129">
        <f t="shared" ref="H24" si="19">(25-(G24+20))*0.39%</f>
        <v>-4.6800000000000001E-2</v>
      </c>
      <c r="I24" s="129">
        <f>-'[2]Annex-1 Losses'!$D$17/100</f>
        <v>-0.151</v>
      </c>
      <c r="J24" s="129">
        <f t="shared" ref="J24" si="20">SUM(H24:I24)</f>
        <v>-0.1978</v>
      </c>
      <c r="K24" s="128">
        <f t="shared" ref="K24" si="21">F24*(1+J24)</f>
        <v>0</v>
      </c>
      <c r="L24" s="128">
        <f t="shared" ref="L24" si="22">K24*B24</f>
        <v>0</v>
      </c>
      <c r="M24" s="130">
        <f>K24/(248*24)</f>
        <v>0</v>
      </c>
      <c r="N24" s="165" t="e">
        <f>K24/(D24*248)</f>
        <v>#DIV/0!</v>
      </c>
      <c r="O24" s="250" t="e">
        <f>K24/(D24*248)</f>
        <v>#DIV/0!</v>
      </c>
    </row>
    <row r="25" spans="1:27" x14ac:dyDescent="0.25">
      <c r="C25" s="899"/>
      <c r="D25" s="899"/>
      <c r="E25" s="899"/>
      <c r="F25" s="899"/>
      <c r="G25" s="899"/>
      <c r="H25" s="899"/>
      <c r="I25" s="899"/>
      <c r="J25" s="899"/>
      <c r="K25" s="899"/>
      <c r="L25" s="244"/>
      <c r="M25" s="252">
        <f>M8-M23</f>
        <v>-7.9236194560817902E-2</v>
      </c>
      <c r="N25" s="252">
        <f>N8-N23</f>
        <v>-6.686662546451605E-2</v>
      </c>
    </row>
    <row r="26" spans="1:27" ht="18.75" customHeight="1" x14ac:dyDescent="0.25">
      <c r="C26" s="826"/>
      <c r="D26" s="826"/>
      <c r="E26" s="826"/>
      <c r="F26" s="826"/>
      <c r="G26" s="826"/>
      <c r="H26" s="826"/>
      <c r="I26" s="826"/>
      <c r="J26" s="826"/>
      <c r="K26" s="826"/>
      <c r="L26" s="244"/>
      <c r="M26" s="252">
        <f>M8-M24</f>
        <v>0.15497520000403231</v>
      </c>
      <c r="N26" s="244" t="e">
        <f>N8-N24</f>
        <v>#DIV/0!</v>
      </c>
    </row>
    <row r="27" spans="1:27" ht="18.75" customHeight="1" x14ac:dyDescent="0.25">
      <c r="C27" s="826"/>
      <c r="D27" s="826"/>
      <c r="E27" s="826"/>
      <c r="F27" s="826"/>
      <c r="G27" s="826"/>
      <c r="H27" s="826"/>
      <c r="I27" s="826"/>
      <c r="J27" s="826"/>
      <c r="K27" s="826"/>
      <c r="L27" s="254"/>
      <c r="M27" s="254"/>
      <c r="N27" s="254"/>
    </row>
    <row r="28" spans="1:27" ht="18.75" customHeight="1" x14ac:dyDescent="0.25">
      <c r="C28" s="826"/>
      <c r="D28" s="826"/>
      <c r="E28" s="826"/>
      <c r="F28" s="826"/>
      <c r="G28" s="826"/>
      <c r="H28" s="826"/>
      <c r="I28" s="826"/>
      <c r="J28" s="826"/>
      <c r="K28" s="826"/>
      <c r="L28" s="254"/>
      <c r="M28" s="254"/>
      <c r="N28" s="254"/>
    </row>
    <row r="29" spans="1:27" ht="18.75" x14ac:dyDescent="0.25">
      <c r="A29" s="125" t="s">
        <v>90</v>
      </c>
      <c r="B29" s="126">
        <v>28</v>
      </c>
      <c r="C29" s="127">
        <f>C8</f>
        <v>4.3748493453284141</v>
      </c>
      <c r="D29" s="127">
        <f>D23</f>
        <v>6.5456643658440656</v>
      </c>
      <c r="E29" s="128">
        <f>D29*1231</f>
        <v>8057.7128343540444</v>
      </c>
      <c r="F29" s="128">
        <f t="shared" ref="F29:F30" si="23">E29*19.92%</f>
        <v>1605.0963966033257</v>
      </c>
      <c r="G29" s="172">
        <f>+'Solar Report_Base'!AI167</f>
        <v>34.312973852040827</v>
      </c>
      <c r="H29" s="129">
        <f>(25-(G29+20))*0.37%</f>
        <v>-0.10845800325255106</v>
      </c>
      <c r="I29" s="129">
        <v>-0.151</v>
      </c>
      <c r="J29" s="129">
        <f>SUM(H29:I29)</f>
        <v>-0.25945800325255108</v>
      </c>
      <c r="K29" s="128">
        <f>F29*(1+J29)</f>
        <v>1188.641290512762</v>
      </c>
      <c r="L29" s="128">
        <f>K29*B29</f>
        <v>33281.956134357337</v>
      </c>
      <c r="M29" s="130">
        <f>K29/(248*24)</f>
        <v>0.19970451789528931</v>
      </c>
      <c r="N29" s="130" t="e">
        <f>K29/(D29*$R$4)</f>
        <v>#VALUE!</v>
      </c>
      <c r="O29" s="165">
        <f>+L29/(999.4*24*B29)</f>
        <v>4.9556454310618128E-2</v>
      </c>
      <c r="P29" s="165">
        <f>+L29/(D29*999.4*B29)</f>
        <v>0.18170117454555237</v>
      </c>
      <c r="Q29" s="131">
        <f>D29/C29</f>
        <v>1.4962033773422869</v>
      </c>
    </row>
    <row r="30" spans="1:27" ht="18.75" customHeight="1" x14ac:dyDescent="0.25">
      <c r="A30" s="125" t="s">
        <v>90</v>
      </c>
      <c r="B30" s="126">
        <v>28</v>
      </c>
      <c r="C30" s="127">
        <f>+C29</f>
        <v>4.3748493453284141</v>
      </c>
      <c r="D30" s="173">
        <f>+'Solar Report_Base'!AI160</f>
        <v>5.7104990773002191</v>
      </c>
      <c r="E30" s="128">
        <f t="shared" ref="E30" si="24">D30*1231</f>
        <v>7029.6243641565698</v>
      </c>
      <c r="F30" s="128">
        <f t="shared" si="23"/>
        <v>1400.3011733399887</v>
      </c>
      <c r="G30" s="128">
        <f>+G8</f>
        <v>17.34</v>
      </c>
      <c r="H30" s="129">
        <f>(25-(G30+20))*0.37%</f>
        <v>-4.5658000000000018E-2</v>
      </c>
      <c r="I30" s="129">
        <v>-0.151</v>
      </c>
      <c r="J30" s="129">
        <f>SUM(H30:I30)</f>
        <v>-0.196658</v>
      </c>
      <c r="K30" s="128">
        <f>F30*(1+J30)</f>
        <v>1124.9207451932932</v>
      </c>
      <c r="L30" s="128">
        <f>K30*B30</f>
        <v>31497.780865412209</v>
      </c>
      <c r="M30" s="130">
        <f t="shared" ref="M30" si="25">K30/(248*24)</f>
        <v>0.18899878111446458</v>
      </c>
      <c r="N30" s="130" t="e">
        <f>K30/(D30*$R$4)</f>
        <v>#VALUE!</v>
      </c>
      <c r="O30" s="165">
        <f>+L30/(999.4*24*B30)</f>
        <v>4.6899837618958592E-2</v>
      </c>
      <c r="P30" s="165">
        <f>+L30/(D30*999.4*B30)</f>
        <v>0.19710993515949574</v>
      </c>
      <c r="Q30" s="131">
        <f>D30/C30</f>
        <v>1.3053018804860215</v>
      </c>
    </row>
    <row r="31" spans="1:27" ht="18.75" customHeight="1" x14ac:dyDescent="0.25">
      <c r="C31" s="826"/>
      <c r="D31" s="826"/>
      <c r="E31" s="826"/>
      <c r="F31" s="826"/>
      <c r="G31" s="826"/>
      <c r="H31" s="826"/>
      <c r="I31" s="826"/>
      <c r="J31" s="826"/>
      <c r="K31" s="826"/>
      <c r="L31" s="254"/>
      <c r="M31" s="171" t="s">
        <v>216</v>
      </c>
      <c r="N31" s="171" t="s">
        <v>217</v>
      </c>
      <c r="O31" s="254"/>
      <c r="P31" s="254"/>
    </row>
    <row r="32" spans="1:27" ht="18.75" x14ac:dyDescent="0.25">
      <c r="C32" s="831" t="s">
        <v>214</v>
      </c>
      <c r="D32" s="831"/>
      <c r="E32" s="831"/>
      <c r="F32" s="831"/>
      <c r="G32" s="831"/>
      <c r="H32" s="831"/>
      <c r="I32" s="831"/>
      <c r="J32" s="831"/>
      <c r="K32" s="831"/>
      <c r="L32" s="831"/>
      <c r="M32" s="252">
        <f>M29-M8</f>
        <v>4.4729317891257003E-2</v>
      </c>
      <c r="N32" s="174" t="e">
        <f>+N6-N29</f>
        <v>#VALUE!</v>
      </c>
      <c r="P32" s="195">
        <f>M27*999.4</f>
        <v>0</v>
      </c>
      <c r="Q32" s="154">
        <f>Panipat_248!M24*248</f>
        <v>0</v>
      </c>
    </row>
    <row r="33" spans="3:14" ht="18.75" x14ac:dyDescent="0.25">
      <c r="C33" s="831" t="s">
        <v>215</v>
      </c>
      <c r="D33" s="831"/>
      <c r="E33" s="831"/>
      <c r="F33" s="831"/>
      <c r="G33" s="831"/>
      <c r="H33" s="831"/>
      <c r="I33" s="831"/>
      <c r="J33" s="831"/>
      <c r="K33" s="831"/>
      <c r="L33" s="831"/>
      <c r="M33" s="252">
        <f>M30-M8</f>
        <v>3.4023581110432272E-2</v>
      </c>
      <c r="N33" s="169" t="e">
        <f>+N6-N30</f>
        <v>#VALUE!</v>
      </c>
    </row>
    <row r="41" spans="3:14" x14ac:dyDescent="0.25">
      <c r="D41" s="159">
        <f>AVERAGE(D10:D11)</f>
        <v>6.4952393546245819</v>
      </c>
    </row>
  </sheetData>
  <mergeCells count="21">
    <mergeCell ref="A1:L1"/>
    <mergeCell ref="A2:A5"/>
    <mergeCell ref="B2:B5"/>
    <mergeCell ref="C2:E2"/>
    <mergeCell ref="F2:F3"/>
    <mergeCell ref="G2:G3"/>
    <mergeCell ref="H2:J2"/>
    <mergeCell ref="K2:K3"/>
    <mergeCell ref="L2:L3"/>
    <mergeCell ref="M2:M3"/>
    <mergeCell ref="C4:D4"/>
    <mergeCell ref="J20:K20"/>
    <mergeCell ref="B21:K21"/>
    <mergeCell ref="C32:L32"/>
    <mergeCell ref="B22:K22"/>
    <mergeCell ref="C33:L33"/>
    <mergeCell ref="C31:K31"/>
    <mergeCell ref="C25:K25"/>
    <mergeCell ref="C26:K26"/>
    <mergeCell ref="C27:K27"/>
    <mergeCell ref="C28:K28"/>
  </mergeCells>
  <printOptions horizontalCentered="1"/>
  <pageMargins left="0.45" right="0.45" top="0.75" bottom="0.75" header="0.3" footer="0.3"/>
  <pageSetup scale="53" orientation="landscape" r:id="rId1"/>
  <colBreaks count="1" manualBreakCount="1">
    <brk id="23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I11"/>
  <sheetViews>
    <sheetView view="pageBreakPreview" zoomScale="85" zoomScaleSheetLayoutView="85" workbookViewId="0">
      <pane xSplit="3" ySplit="1" topLeftCell="O2" activePane="bottomRight" state="frozen"/>
      <selection pane="topRight" activeCell="D1" sqref="D1"/>
      <selection pane="bottomLeft" activeCell="A4" sqref="A4"/>
      <selection pane="bottomRight" activeCell="W37" sqref="W37"/>
    </sheetView>
  </sheetViews>
  <sheetFormatPr defaultRowHeight="15" x14ac:dyDescent="0.25"/>
  <cols>
    <col min="1" max="1" width="9.140625" style="310"/>
    <col min="2" max="2" width="30.5703125" style="305" bestFit="1" customWidth="1"/>
    <col min="3" max="3" width="12.5703125" style="305" bestFit="1" customWidth="1"/>
    <col min="4" max="4" width="9.5703125" style="310" bestFit="1" customWidth="1"/>
    <col min="5" max="5" width="8.140625" style="310" bestFit="1" customWidth="1"/>
    <col min="6" max="6" width="6.5703125" style="310" bestFit="1" customWidth="1"/>
    <col min="7" max="20" width="8.140625" style="310" bestFit="1" customWidth="1"/>
    <col min="21" max="21" width="7.85546875" style="310" bestFit="1" customWidth="1"/>
    <col min="22" max="22" width="8.42578125" style="310" customWidth="1"/>
    <col min="23" max="23" width="7.85546875" style="310" bestFit="1" customWidth="1"/>
    <col min="24" max="34" width="6.5703125" style="310" bestFit="1" customWidth="1"/>
    <col min="35" max="35" width="9.140625" style="310" customWidth="1"/>
    <col min="36" max="257" width="9.140625" style="305"/>
    <col min="258" max="258" width="30.5703125" style="305" bestFit="1" customWidth="1"/>
    <col min="259" max="259" width="12.5703125" style="305" bestFit="1" customWidth="1"/>
    <col min="260" max="261" width="7.5703125" style="305" bestFit="1" customWidth="1"/>
    <col min="262" max="262" width="6.5703125" style="305" bestFit="1" customWidth="1"/>
    <col min="263" max="271" width="7.5703125" style="305" bestFit="1" customWidth="1"/>
    <col min="272" max="272" width="7.85546875" style="305" customWidth="1"/>
    <col min="273" max="276" width="7.5703125" style="305" bestFit="1" customWidth="1"/>
    <col min="277" max="290" width="4.85546875" style="305" customWidth="1"/>
    <col min="291" max="291" width="9.140625" style="305" customWidth="1"/>
    <col min="292" max="513" width="9.140625" style="305"/>
    <col min="514" max="514" width="30.5703125" style="305" bestFit="1" customWidth="1"/>
    <col min="515" max="515" width="12.5703125" style="305" bestFit="1" customWidth="1"/>
    <col min="516" max="517" width="7.5703125" style="305" bestFit="1" customWidth="1"/>
    <col min="518" max="518" width="6.5703125" style="305" bestFit="1" customWidth="1"/>
    <col min="519" max="527" width="7.5703125" style="305" bestFit="1" customWidth="1"/>
    <col min="528" max="528" width="7.85546875" style="305" customWidth="1"/>
    <col min="529" max="532" width="7.5703125" style="305" bestFit="1" customWidth="1"/>
    <col min="533" max="546" width="4.85546875" style="305" customWidth="1"/>
    <col min="547" max="547" width="9.140625" style="305" customWidth="1"/>
    <col min="548" max="769" width="9.140625" style="305"/>
    <col min="770" max="770" width="30.5703125" style="305" bestFit="1" customWidth="1"/>
    <col min="771" max="771" width="12.5703125" style="305" bestFit="1" customWidth="1"/>
    <col min="772" max="773" width="7.5703125" style="305" bestFit="1" customWidth="1"/>
    <col min="774" max="774" width="6.5703125" style="305" bestFit="1" customWidth="1"/>
    <col min="775" max="783" width="7.5703125" style="305" bestFit="1" customWidth="1"/>
    <col min="784" max="784" width="7.85546875" style="305" customWidth="1"/>
    <col min="785" max="788" width="7.5703125" style="305" bestFit="1" customWidth="1"/>
    <col min="789" max="802" width="4.85546875" style="305" customWidth="1"/>
    <col min="803" max="803" width="9.140625" style="305" customWidth="1"/>
    <col min="804" max="1025" width="9.140625" style="305"/>
    <col min="1026" max="1026" width="30.5703125" style="305" bestFit="1" customWidth="1"/>
    <col min="1027" max="1027" width="12.5703125" style="305" bestFit="1" customWidth="1"/>
    <col min="1028" max="1029" width="7.5703125" style="305" bestFit="1" customWidth="1"/>
    <col min="1030" max="1030" width="6.5703125" style="305" bestFit="1" customWidth="1"/>
    <col min="1031" max="1039" width="7.5703125" style="305" bestFit="1" customWidth="1"/>
    <col min="1040" max="1040" width="7.85546875" style="305" customWidth="1"/>
    <col min="1041" max="1044" width="7.5703125" style="305" bestFit="1" customWidth="1"/>
    <col min="1045" max="1058" width="4.85546875" style="305" customWidth="1"/>
    <col min="1059" max="1059" width="9.140625" style="305" customWidth="1"/>
    <col min="1060" max="1281" width="9.140625" style="305"/>
    <col min="1282" max="1282" width="30.5703125" style="305" bestFit="1" customWidth="1"/>
    <col min="1283" max="1283" width="12.5703125" style="305" bestFit="1" customWidth="1"/>
    <col min="1284" max="1285" width="7.5703125" style="305" bestFit="1" customWidth="1"/>
    <col min="1286" max="1286" width="6.5703125" style="305" bestFit="1" customWidth="1"/>
    <col min="1287" max="1295" width="7.5703125" style="305" bestFit="1" customWidth="1"/>
    <col min="1296" max="1296" width="7.85546875" style="305" customWidth="1"/>
    <col min="1297" max="1300" width="7.5703125" style="305" bestFit="1" customWidth="1"/>
    <col min="1301" max="1314" width="4.85546875" style="305" customWidth="1"/>
    <col min="1315" max="1315" width="9.140625" style="305" customWidth="1"/>
    <col min="1316" max="1537" width="9.140625" style="305"/>
    <col min="1538" max="1538" width="30.5703125" style="305" bestFit="1" customWidth="1"/>
    <col min="1539" max="1539" width="12.5703125" style="305" bestFit="1" customWidth="1"/>
    <col min="1540" max="1541" width="7.5703125" style="305" bestFit="1" customWidth="1"/>
    <col min="1542" max="1542" width="6.5703125" style="305" bestFit="1" customWidth="1"/>
    <col min="1543" max="1551" width="7.5703125" style="305" bestFit="1" customWidth="1"/>
    <col min="1552" max="1552" width="7.85546875" style="305" customWidth="1"/>
    <col min="1553" max="1556" width="7.5703125" style="305" bestFit="1" customWidth="1"/>
    <col min="1557" max="1570" width="4.85546875" style="305" customWidth="1"/>
    <col min="1571" max="1571" width="9.140625" style="305" customWidth="1"/>
    <col min="1572" max="1793" width="9.140625" style="305"/>
    <col min="1794" max="1794" width="30.5703125" style="305" bestFit="1" customWidth="1"/>
    <col min="1795" max="1795" width="12.5703125" style="305" bestFit="1" customWidth="1"/>
    <col min="1796" max="1797" width="7.5703125" style="305" bestFit="1" customWidth="1"/>
    <col min="1798" max="1798" width="6.5703125" style="305" bestFit="1" customWidth="1"/>
    <col min="1799" max="1807" width="7.5703125" style="305" bestFit="1" customWidth="1"/>
    <col min="1808" max="1808" width="7.85546875" style="305" customWidth="1"/>
    <col min="1809" max="1812" width="7.5703125" style="305" bestFit="1" customWidth="1"/>
    <col min="1813" max="1826" width="4.85546875" style="305" customWidth="1"/>
    <col min="1827" max="1827" width="9.140625" style="305" customWidth="1"/>
    <col min="1828" max="2049" width="9.140625" style="305"/>
    <col min="2050" max="2050" width="30.5703125" style="305" bestFit="1" customWidth="1"/>
    <col min="2051" max="2051" width="12.5703125" style="305" bestFit="1" customWidth="1"/>
    <col min="2052" max="2053" width="7.5703125" style="305" bestFit="1" customWidth="1"/>
    <col min="2054" max="2054" width="6.5703125" style="305" bestFit="1" customWidth="1"/>
    <col min="2055" max="2063" width="7.5703125" style="305" bestFit="1" customWidth="1"/>
    <col min="2064" max="2064" width="7.85546875" style="305" customWidth="1"/>
    <col min="2065" max="2068" width="7.5703125" style="305" bestFit="1" customWidth="1"/>
    <col min="2069" max="2082" width="4.85546875" style="305" customWidth="1"/>
    <col min="2083" max="2083" width="9.140625" style="305" customWidth="1"/>
    <col min="2084" max="2305" width="9.140625" style="305"/>
    <col min="2306" max="2306" width="30.5703125" style="305" bestFit="1" customWidth="1"/>
    <col min="2307" max="2307" width="12.5703125" style="305" bestFit="1" customWidth="1"/>
    <col min="2308" max="2309" width="7.5703125" style="305" bestFit="1" customWidth="1"/>
    <col min="2310" max="2310" width="6.5703125" style="305" bestFit="1" customWidth="1"/>
    <col min="2311" max="2319" width="7.5703125" style="305" bestFit="1" customWidth="1"/>
    <col min="2320" max="2320" width="7.85546875" style="305" customWidth="1"/>
    <col min="2321" max="2324" width="7.5703125" style="305" bestFit="1" customWidth="1"/>
    <col min="2325" max="2338" width="4.85546875" style="305" customWidth="1"/>
    <col min="2339" max="2339" width="9.140625" style="305" customWidth="1"/>
    <col min="2340" max="2561" width="9.140625" style="305"/>
    <col min="2562" max="2562" width="30.5703125" style="305" bestFit="1" customWidth="1"/>
    <col min="2563" max="2563" width="12.5703125" style="305" bestFit="1" customWidth="1"/>
    <col min="2564" max="2565" width="7.5703125" style="305" bestFit="1" customWidth="1"/>
    <col min="2566" max="2566" width="6.5703125" style="305" bestFit="1" customWidth="1"/>
    <col min="2567" max="2575" width="7.5703125" style="305" bestFit="1" customWidth="1"/>
    <col min="2576" max="2576" width="7.85546875" style="305" customWidth="1"/>
    <col min="2577" max="2580" width="7.5703125" style="305" bestFit="1" customWidth="1"/>
    <col min="2581" max="2594" width="4.85546875" style="305" customWidth="1"/>
    <col min="2595" max="2595" width="9.140625" style="305" customWidth="1"/>
    <col min="2596" max="2817" width="9.140625" style="305"/>
    <col min="2818" max="2818" width="30.5703125" style="305" bestFit="1" customWidth="1"/>
    <col min="2819" max="2819" width="12.5703125" style="305" bestFit="1" customWidth="1"/>
    <col min="2820" max="2821" width="7.5703125" style="305" bestFit="1" customWidth="1"/>
    <col min="2822" max="2822" width="6.5703125" style="305" bestFit="1" customWidth="1"/>
    <col min="2823" max="2831" width="7.5703125" style="305" bestFit="1" customWidth="1"/>
    <col min="2832" max="2832" width="7.85546875" style="305" customWidth="1"/>
    <col min="2833" max="2836" width="7.5703125" style="305" bestFit="1" customWidth="1"/>
    <col min="2837" max="2850" width="4.85546875" style="305" customWidth="1"/>
    <col min="2851" max="2851" width="9.140625" style="305" customWidth="1"/>
    <col min="2852" max="3073" width="9.140625" style="305"/>
    <col min="3074" max="3074" width="30.5703125" style="305" bestFit="1" customWidth="1"/>
    <col min="3075" max="3075" width="12.5703125" style="305" bestFit="1" customWidth="1"/>
    <col min="3076" max="3077" width="7.5703125" style="305" bestFit="1" customWidth="1"/>
    <col min="3078" max="3078" width="6.5703125" style="305" bestFit="1" customWidth="1"/>
    <col min="3079" max="3087" width="7.5703125" style="305" bestFit="1" customWidth="1"/>
    <col min="3088" max="3088" width="7.85546875" style="305" customWidth="1"/>
    <col min="3089" max="3092" width="7.5703125" style="305" bestFit="1" customWidth="1"/>
    <col min="3093" max="3106" width="4.85546875" style="305" customWidth="1"/>
    <col min="3107" max="3107" width="9.140625" style="305" customWidth="1"/>
    <col min="3108" max="3329" width="9.140625" style="305"/>
    <col min="3330" max="3330" width="30.5703125" style="305" bestFit="1" customWidth="1"/>
    <col min="3331" max="3331" width="12.5703125" style="305" bestFit="1" customWidth="1"/>
    <col min="3332" max="3333" width="7.5703125" style="305" bestFit="1" customWidth="1"/>
    <col min="3334" max="3334" width="6.5703125" style="305" bestFit="1" customWidth="1"/>
    <col min="3335" max="3343" width="7.5703125" style="305" bestFit="1" customWidth="1"/>
    <col min="3344" max="3344" width="7.85546875" style="305" customWidth="1"/>
    <col min="3345" max="3348" width="7.5703125" style="305" bestFit="1" customWidth="1"/>
    <col min="3349" max="3362" width="4.85546875" style="305" customWidth="1"/>
    <col min="3363" max="3363" width="9.140625" style="305" customWidth="1"/>
    <col min="3364" max="3585" width="9.140625" style="305"/>
    <col min="3586" max="3586" width="30.5703125" style="305" bestFit="1" customWidth="1"/>
    <col min="3587" max="3587" width="12.5703125" style="305" bestFit="1" customWidth="1"/>
    <col min="3588" max="3589" width="7.5703125" style="305" bestFit="1" customWidth="1"/>
    <col min="3590" max="3590" width="6.5703125" style="305" bestFit="1" customWidth="1"/>
    <col min="3591" max="3599" width="7.5703125" style="305" bestFit="1" customWidth="1"/>
    <col min="3600" max="3600" width="7.85546875" style="305" customWidth="1"/>
    <col min="3601" max="3604" width="7.5703125" style="305" bestFit="1" customWidth="1"/>
    <col min="3605" max="3618" width="4.85546875" style="305" customWidth="1"/>
    <col min="3619" max="3619" width="9.140625" style="305" customWidth="1"/>
    <col min="3620" max="3841" width="9.140625" style="305"/>
    <col min="3842" max="3842" width="30.5703125" style="305" bestFit="1" customWidth="1"/>
    <col min="3843" max="3843" width="12.5703125" style="305" bestFit="1" customWidth="1"/>
    <col min="3844" max="3845" width="7.5703125" style="305" bestFit="1" customWidth="1"/>
    <col min="3846" max="3846" width="6.5703125" style="305" bestFit="1" customWidth="1"/>
    <col min="3847" max="3855" width="7.5703125" style="305" bestFit="1" customWidth="1"/>
    <col min="3856" max="3856" width="7.85546875" style="305" customWidth="1"/>
    <col min="3857" max="3860" width="7.5703125" style="305" bestFit="1" customWidth="1"/>
    <col min="3861" max="3874" width="4.85546875" style="305" customWidth="1"/>
    <col min="3875" max="3875" width="9.140625" style="305" customWidth="1"/>
    <col min="3876" max="4097" width="9.140625" style="305"/>
    <col min="4098" max="4098" width="30.5703125" style="305" bestFit="1" customWidth="1"/>
    <col min="4099" max="4099" width="12.5703125" style="305" bestFit="1" customWidth="1"/>
    <col min="4100" max="4101" width="7.5703125" style="305" bestFit="1" customWidth="1"/>
    <col min="4102" max="4102" width="6.5703125" style="305" bestFit="1" customWidth="1"/>
    <col min="4103" max="4111" width="7.5703125" style="305" bestFit="1" customWidth="1"/>
    <col min="4112" max="4112" width="7.85546875" style="305" customWidth="1"/>
    <col min="4113" max="4116" width="7.5703125" style="305" bestFit="1" customWidth="1"/>
    <col min="4117" max="4130" width="4.85546875" style="305" customWidth="1"/>
    <col min="4131" max="4131" width="9.140625" style="305" customWidth="1"/>
    <col min="4132" max="4353" width="9.140625" style="305"/>
    <col min="4354" max="4354" width="30.5703125" style="305" bestFit="1" customWidth="1"/>
    <col min="4355" max="4355" width="12.5703125" style="305" bestFit="1" customWidth="1"/>
    <col min="4356" max="4357" width="7.5703125" style="305" bestFit="1" customWidth="1"/>
    <col min="4358" max="4358" width="6.5703125" style="305" bestFit="1" customWidth="1"/>
    <col min="4359" max="4367" width="7.5703125" style="305" bestFit="1" customWidth="1"/>
    <col min="4368" max="4368" width="7.85546875" style="305" customWidth="1"/>
    <col min="4369" max="4372" width="7.5703125" style="305" bestFit="1" customWidth="1"/>
    <col min="4373" max="4386" width="4.85546875" style="305" customWidth="1"/>
    <col min="4387" max="4387" width="9.140625" style="305" customWidth="1"/>
    <col min="4388" max="4609" width="9.140625" style="305"/>
    <col min="4610" max="4610" width="30.5703125" style="305" bestFit="1" customWidth="1"/>
    <col min="4611" max="4611" width="12.5703125" style="305" bestFit="1" customWidth="1"/>
    <col min="4612" max="4613" width="7.5703125" style="305" bestFit="1" customWidth="1"/>
    <col min="4614" max="4614" width="6.5703125" style="305" bestFit="1" customWidth="1"/>
    <col min="4615" max="4623" width="7.5703125" style="305" bestFit="1" customWidth="1"/>
    <col min="4624" max="4624" width="7.85546875" style="305" customWidth="1"/>
    <col min="4625" max="4628" width="7.5703125" style="305" bestFit="1" customWidth="1"/>
    <col min="4629" max="4642" width="4.85546875" style="305" customWidth="1"/>
    <col min="4643" max="4643" width="9.140625" style="305" customWidth="1"/>
    <col min="4644" max="4865" width="9.140625" style="305"/>
    <col min="4866" max="4866" width="30.5703125" style="305" bestFit="1" customWidth="1"/>
    <col min="4867" max="4867" width="12.5703125" style="305" bestFit="1" customWidth="1"/>
    <col min="4868" max="4869" width="7.5703125" style="305" bestFit="1" customWidth="1"/>
    <col min="4870" max="4870" width="6.5703125" style="305" bestFit="1" customWidth="1"/>
    <col min="4871" max="4879" width="7.5703125" style="305" bestFit="1" customWidth="1"/>
    <col min="4880" max="4880" width="7.85546875" style="305" customWidth="1"/>
    <col min="4881" max="4884" width="7.5703125" style="305" bestFit="1" customWidth="1"/>
    <col min="4885" max="4898" width="4.85546875" style="305" customWidth="1"/>
    <col min="4899" max="4899" width="9.140625" style="305" customWidth="1"/>
    <col min="4900" max="5121" width="9.140625" style="305"/>
    <col min="5122" max="5122" width="30.5703125" style="305" bestFit="1" customWidth="1"/>
    <col min="5123" max="5123" width="12.5703125" style="305" bestFit="1" customWidth="1"/>
    <col min="5124" max="5125" width="7.5703125" style="305" bestFit="1" customWidth="1"/>
    <col min="5126" max="5126" width="6.5703125" style="305" bestFit="1" customWidth="1"/>
    <col min="5127" max="5135" width="7.5703125" style="305" bestFit="1" customWidth="1"/>
    <col min="5136" max="5136" width="7.85546875" style="305" customWidth="1"/>
    <col min="5137" max="5140" width="7.5703125" style="305" bestFit="1" customWidth="1"/>
    <col min="5141" max="5154" width="4.85546875" style="305" customWidth="1"/>
    <col min="5155" max="5155" width="9.140625" style="305" customWidth="1"/>
    <col min="5156" max="5377" width="9.140625" style="305"/>
    <col min="5378" max="5378" width="30.5703125" style="305" bestFit="1" customWidth="1"/>
    <col min="5379" max="5379" width="12.5703125" style="305" bestFit="1" customWidth="1"/>
    <col min="5380" max="5381" width="7.5703125" style="305" bestFit="1" customWidth="1"/>
    <col min="5382" max="5382" width="6.5703125" style="305" bestFit="1" customWidth="1"/>
    <col min="5383" max="5391" width="7.5703125" style="305" bestFit="1" customWidth="1"/>
    <col min="5392" max="5392" width="7.85546875" style="305" customWidth="1"/>
    <col min="5393" max="5396" width="7.5703125" style="305" bestFit="1" customWidth="1"/>
    <col min="5397" max="5410" width="4.85546875" style="305" customWidth="1"/>
    <col min="5411" max="5411" width="9.140625" style="305" customWidth="1"/>
    <col min="5412" max="5633" width="9.140625" style="305"/>
    <col min="5634" max="5634" width="30.5703125" style="305" bestFit="1" customWidth="1"/>
    <col min="5635" max="5635" width="12.5703125" style="305" bestFit="1" customWidth="1"/>
    <col min="5636" max="5637" width="7.5703125" style="305" bestFit="1" customWidth="1"/>
    <col min="5638" max="5638" width="6.5703125" style="305" bestFit="1" customWidth="1"/>
    <col min="5639" max="5647" width="7.5703125" style="305" bestFit="1" customWidth="1"/>
    <col min="5648" max="5648" width="7.85546875" style="305" customWidth="1"/>
    <col min="5649" max="5652" width="7.5703125" style="305" bestFit="1" customWidth="1"/>
    <col min="5653" max="5666" width="4.85546875" style="305" customWidth="1"/>
    <col min="5667" max="5667" width="9.140625" style="305" customWidth="1"/>
    <col min="5668" max="5889" width="9.140625" style="305"/>
    <col min="5890" max="5890" width="30.5703125" style="305" bestFit="1" customWidth="1"/>
    <col min="5891" max="5891" width="12.5703125" style="305" bestFit="1" customWidth="1"/>
    <col min="5892" max="5893" width="7.5703125" style="305" bestFit="1" customWidth="1"/>
    <col min="5894" max="5894" width="6.5703125" style="305" bestFit="1" customWidth="1"/>
    <col min="5895" max="5903" width="7.5703125" style="305" bestFit="1" customWidth="1"/>
    <col min="5904" max="5904" width="7.85546875" style="305" customWidth="1"/>
    <col min="5905" max="5908" width="7.5703125" style="305" bestFit="1" customWidth="1"/>
    <col min="5909" max="5922" width="4.85546875" style="305" customWidth="1"/>
    <col min="5923" max="5923" width="9.140625" style="305" customWidth="1"/>
    <col min="5924" max="6145" width="9.140625" style="305"/>
    <col min="6146" max="6146" width="30.5703125" style="305" bestFit="1" customWidth="1"/>
    <col min="6147" max="6147" width="12.5703125" style="305" bestFit="1" customWidth="1"/>
    <col min="6148" max="6149" width="7.5703125" style="305" bestFit="1" customWidth="1"/>
    <col min="6150" max="6150" width="6.5703125" style="305" bestFit="1" customWidth="1"/>
    <col min="6151" max="6159" width="7.5703125" style="305" bestFit="1" customWidth="1"/>
    <col min="6160" max="6160" width="7.85546875" style="305" customWidth="1"/>
    <col min="6161" max="6164" width="7.5703125" style="305" bestFit="1" customWidth="1"/>
    <col min="6165" max="6178" width="4.85546875" style="305" customWidth="1"/>
    <col min="6179" max="6179" width="9.140625" style="305" customWidth="1"/>
    <col min="6180" max="6401" width="9.140625" style="305"/>
    <col min="6402" max="6402" width="30.5703125" style="305" bestFit="1" customWidth="1"/>
    <col min="6403" max="6403" width="12.5703125" style="305" bestFit="1" customWidth="1"/>
    <col min="6404" max="6405" width="7.5703125" style="305" bestFit="1" customWidth="1"/>
    <col min="6406" max="6406" width="6.5703125" style="305" bestFit="1" customWidth="1"/>
    <col min="6407" max="6415" width="7.5703125" style="305" bestFit="1" customWidth="1"/>
    <col min="6416" max="6416" width="7.85546875" style="305" customWidth="1"/>
    <col min="6417" max="6420" width="7.5703125" style="305" bestFit="1" customWidth="1"/>
    <col min="6421" max="6434" width="4.85546875" style="305" customWidth="1"/>
    <col min="6435" max="6435" width="9.140625" style="305" customWidth="1"/>
    <col min="6436" max="6657" width="9.140625" style="305"/>
    <col min="6658" max="6658" width="30.5703125" style="305" bestFit="1" customWidth="1"/>
    <col min="6659" max="6659" width="12.5703125" style="305" bestFit="1" customWidth="1"/>
    <col min="6660" max="6661" width="7.5703125" style="305" bestFit="1" customWidth="1"/>
    <col min="6662" max="6662" width="6.5703125" style="305" bestFit="1" customWidth="1"/>
    <col min="6663" max="6671" width="7.5703125" style="305" bestFit="1" customWidth="1"/>
    <col min="6672" max="6672" width="7.85546875" style="305" customWidth="1"/>
    <col min="6673" max="6676" width="7.5703125" style="305" bestFit="1" customWidth="1"/>
    <col min="6677" max="6690" width="4.85546875" style="305" customWidth="1"/>
    <col min="6691" max="6691" width="9.140625" style="305" customWidth="1"/>
    <col min="6692" max="6913" width="9.140625" style="305"/>
    <col min="6914" max="6914" width="30.5703125" style="305" bestFit="1" customWidth="1"/>
    <col min="6915" max="6915" width="12.5703125" style="305" bestFit="1" customWidth="1"/>
    <col min="6916" max="6917" width="7.5703125" style="305" bestFit="1" customWidth="1"/>
    <col min="6918" max="6918" width="6.5703125" style="305" bestFit="1" customWidth="1"/>
    <col min="6919" max="6927" width="7.5703125" style="305" bestFit="1" customWidth="1"/>
    <col min="6928" max="6928" width="7.85546875" style="305" customWidth="1"/>
    <col min="6929" max="6932" width="7.5703125" style="305" bestFit="1" customWidth="1"/>
    <col min="6933" max="6946" width="4.85546875" style="305" customWidth="1"/>
    <col min="6947" max="6947" width="9.140625" style="305" customWidth="1"/>
    <col min="6948" max="7169" width="9.140625" style="305"/>
    <col min="7170" max="7170" width="30.5703125" style="305" bestFit="1" customWidth="1"/>
    <col min="7171" max="7171" width="12.5703125" style="305" bestFit="1" customWidth="1"/>
    <col min="7172" max="7173" width="7.5703125" style="305" bestFit="1" customWidth="1"/>
    <col min="7174" max="7174" width="6.5703125" style="305" bestFit="1" customWidth="1"/>
    <col min="7175" max="7183" width="7.5703125" style="305" bestFit="1" customWidth="1"/>
    <col min="7184" max="7184" width="7.85546875" style="305" customWidth="1"/>
    <col min="7185" max="7188" width="7.5703125" style="305" bestFit="1" customWidth="1"/>
    <col min="7189" max="7202" width="4.85546875" style="305" customWidth="1"/>
    <col min="7203" max="7203" width="9.140625" style="305" customWidth="1"/>
    <col min="7204" max="7425" width="9.140625" style="305"/>
    <col min="7426" max="7426" width="30.5703125" style="305" bestFit="1" customWidth="1"/>
    <col min="7427" max="7427" width="12.5703125" style="305" bestFit="1" customWidth="1"/>
    <col min="7428" max="7429" width="7.5703125" style="305" bestFit="1" customWidth="1"/>
    <col min="7430" max="7430" width="6.5703125" style="305" bestFit="1" customWidth="1"/>
    <col min="7431" max="7439" width="7.5703125" style="305" bestFit="1" customWidth="1"/>
    <col min="7440" max="7440" width="7.85546875" style="305" customWidth="1"/>
    <col min="7441" max="7444" width="7.5703125" style="305" bestFit="1" customWidth="1"/>
    <col min="7445" max="7458" width="4.85546875" style="305" customWidth="1"/>
    <col min="7459" max="7459" width="9.140625" style="305" customWidth="1"/>
    <col min="7460" max="7681" width="9.140625" style="305"/>
    <col min="7682" max="7682" width="30.5703125" style="305" bestFit="1" customWidth="1"/>
    <col min="7683" max="7683" width="12.5703125" style="305" bestFit="1" customWidth="1"/>
    <col min="7684" max="7685" width="7.5703125" style="305" bestFit="1" customWidth="1"/>
    <col min="7686" max="7686" width="6.5703125" style="305" bestFit="1" customWidth="1"/>
    <col min="7687" max="7695" width="7.5703125" style="305" bestFit="1" customWidth="1"/>
    <col min="7696" max="7696" width="7.85546875" style="305" customWidth="1"/>
    <col min="7697" max="7700" width="7.5703125" style="305" bestFit="1" customWidth="1"/>
    <col min="7701" max="7714" width="4.85546875" style="305" customWidth="1"/>
    <col min="7715" max="7715" width="9.140625" style="305" customWidth="1"/>
    <col min="7716" max="7937" width="9.140625" style="305"/>
    <col min="7938" max="7938" width="30.5703125" style="305" bestFit="1" customWidth="1"/>
    <col min="7939" max="7939" width="12.5703125" style="305" bestFit="1" customWidth="1"/>
    <col min="7940" max="7941" width="7.5703125" style="305" bestFit="1" customWidth="1"/>
    <col min="7942" max="7942" width="6.5703125" style="305" bestFit="1" customWidth="1"/>
    <col min="7943" max="7951" width="7.5703125" style="305" bestFit="1" customWidth="1"/>
    <col min="7952" max="7952" width="7.85546875" style="305" customWidth="1"/>
    <col min="7953" max="7956" width="7.5703125" style="305" bestFit="1" customWidth="1"/>
    <col min="7957" max="7970" width="4.85546875" style="305" customWidth="1"/>
    <col min="7971" max="7971" width="9.140625" style="305" customWidth="1"/>
    <col min="7972" max="8193" width="9.140625" style="305"/>
    <col min="8194" max="8194" width="30.5703125" style="305" bestFit="1" customWidth="1"/>
    <col min="8195" max="8195" width="12.5703125" style="305" bestFit="1" customWidth="1"/>
    <col min="8196" max="8197" width="7.5703125" style="305" bestFit="1" customWidth="1"/>
    <col min="8198" max="8198" width="6.5703125" style="305" bestFit="1" customWidth="1"/>
    <col min="8199" max="8207" width="7.5703125" style="305" bestFit="1" customWidth="1"/>
    <col min="8208" max="8208" width="7.85546875" style="305" customWidth="1"/>
    <col min="8209" max="8212" width="7.5703125" style="305" bestFit="1" customWidth="1"/>
    <col min="8213" max="8226" width="4.85546875" style="305" customWidth="1"/>
    <col min="8227" max="8227" width="9.140625" style="305" customWidth="1"/>
    <col min="8228" max="8449" width="9.140625" style="305"/>
    <col min="8450" max="8450" width="30.5703125" style="305" bestFit="1" customWidth="1"/>
    <col min="8451" max="8451" width="12.5703125" style="305" bestFit="1" customWidth="1"/>
    <col min="8452" max="8453" width="7.5703125" style="305" bestFit="1" customWidth="1"/>
    <col min="8454" max="8454" width="6.5703125" style="305" bestFit="1" customWidth="1"/>
    <col min="8455" max="8463" width="7.5703125" style="305" bestFit="1" customWidth="1"/>
    <col min="8464" max="8464" width="7.85546875" style="305" customWidth="1"/>
    <col min="8465" max="8468" width="7.5703125" style="305" bestFit="1" customWidth="1"/>
    <col min="8469" max="8482" width="4.85546875" style="305" customWidth="1"/>
    <col min="8483" max="8483" width="9.140625" style="305" customWidth="1"/>
    <col min="8484" max="8705" width="9.140625" style="305"/>
    <col min="8706" max="8706" width="30.5703125" style="305" bestFit="1" customWidth="1"/>
    <col min="8707" max="8707" width="12.5703125" style="305" bestFit="1" customWidth="1"/>
    <col min="8708" max="8709" width="7.5703125" style="305" bestFit="1" customWidth="1"/>
    <col min="8710" max="8710" width="6.5703125" style="305" bestFit="1" customWidth="1"/>
    <col min="8711" max="8719" width="7.5703125" style="305" bestFit="1" customWidth="1"/>
    <col min="8720" max="8720" width="7.85546875" style="305" customWidth="1"/>
    <col min="8721" max="8724" width="7.5703125" style="305" bestFit="1" customWidth="1"/>
    <col min="8725" max="8738" width="4.85546875" style="305" customWidth="1"/>
    <col min="8739" max="8739" width="9.140625" style="305" customWidth="1"/>
    <col min="8740" max="8961" width="9.140625" style="305"/>
    <col min="8962" max="8962" width="30.5703125" style="305" bestFit="1" customWidth="1"/>
    <col min="8963" max="8963" width="12.5703125" style="305" bestFit="1" customWidth="1"/>
    <col min="8964" max="8965" width="7.5703125" style="305" bestFit="1" customWidth="1"/>
    <col min="8966" max="8966" width="6.5703125" style="305" bestFit="1" customWidth="1"/>
    <col min="8967" max="8975" width="7.5703125" style="305" bestFit="1" customWidth="1"/>
    <col min="8976" max="8976" width="7.85546875" style="305" customWidth="1"/>
    <col min="8977" max="8980" width="7.5703125" style="305" bestFit="1" customWidth="1"/>
    <col min="8981" max="8994" width="4.85546875" style="305" customWidth="1"/>
    <col min="8995" max="8995" width="9.140625" style="305" customWidth="1"/>
    <col min="8996" max="9217" width="9.140625" style="305"/>
    <col min="9218" max="9218" width="30.5703125" style="305" bestFit="1" customWidth="1"/>
    <col min="9219" max="9219" width="12.5703125" style="305" bestFit="1" customWidth="1"/>
    <col min="9220" max="9221" width="7.5703125" style="305" bestFit="1" customWidth="1"/>
    <col min="9222" max="9222" width="6.5703125" style="305" bestFit="1" customWidth="1"/>
    <col min="9223" max="9231" width="7.5703125" style="305" bestFit="1" customWidth="1"/>
    <col min="9232" max="9232" width="7.85546875" style="305" customWidth="1"/>
    <col min="9233" max="9236" width="7.5703125" style="305" bestFit="1" customWidth="1"/>
    <col min="9237" max="9250" width="4.85546875" style="305" customWidth="1"/>
    <col min="9251" max="9251" width="9.140625" style="305" customWidth="1"/>
    <col min="9252" max="9473" width="9.140625" style="305"/>
    <col min="9474" max="9474" width="30.5703125" style="305" bestFit="1" customWidth="1"/>
    <col min="9475" max="9475" width="12.5703125" style="305" bestFit="1" customWidth="1"/>
    <col min="9476" max="9477" width="7.5703125" style="305" bestFit="1" customWidth="1"/>
    <col min="9478" max="9478" width="6.5703125" style="305" bestFit="1" customWidth="1"/>
    <col min="9479" max="9487" width="7.5703125" style="305" bestFit="1" customWidth="1"/>
    <col min="9488" max="9488" width="7.85546875" style="305" customWidth="1"/>
    <col min="9489" max="9492" width="7.5703125" style="305" bestFit="1" customWidth="1"/>
    <col min="9493" max="9506" width="4.85546875" style="305" customWidth="1"/>
    <col min="9507" max="9507" width="9.140625" style="305" customWidth="1"/>
    <col min="9508" max="9729" width="9.140625" style="305"/>
    <col min="9730" max="9730" width="30.5703125" style="305" bestFit="1" customWidth="1"/>
    <col min="9731" max="9731" width="12.5703125" style="305" bestFit="1" customWidth="1"/>
    <col min="9732" max="9733" width="7.5703125" style="305" bestFit="1" customWidth="1"/>
    <col min="9734" max="9734" width="6.5703125" style="305" bestFit="1" customWidth="1"/>
    <col min="9735" max="9743" width="7.5703125" style="305" bestFit="1" customWidth="1"/>
    <col min="9744" max="9744" width="7.85546875" style="305" customWidth="1"/>
    <col min="9745" max="9748" width="7.5703125" style="305" bestFit="1" customWidth="1"/>
    <col min="9749" max="9762" width="4.85546875" style="305" customWidth="1"/>
    <col min="9763" max="9763" width="9.140625" style="305" customWidth="1"/>
    <col min="9764" max="9985" width="9.140625" style="305"/>
    <col min="9986" max="9986" width="30.5703125" style="305" bestFit="1" customWidth="1"/>
    <col min="9987" max="9987" width="12.5703125" style="305" bestFit="1" customWidth="1"/>
    <col min="9988" max="9989" width="7.5703125" style="305" bestFit="1" customWidth="1"/>
    <col min="9990" max="9990" width="6.5703125" style="305" bestFit="1" customWidth="1"/>
    <col min="9991" max="9999" width="7.5703125" style="305" bestFit="1" customWidth="1"/>
    <col min="10000" max="10000" width="7.85546875" style="305" customWidth="1"/>
    <col min="10001" max="10004" width="7.5703125" style="305" bestFit="1" customWidth="1"/>
    <col min="10005" max="10018" width="4.85546875" style="305" customWidth="1"/>
    <col min="10019" max="10019" width="9.140625" style="305" customWidth="1"/>
    <col min="10020" max="10241" width="9.140625" style="305"/>
    <col min="10242" max="10242" width="30.5703125" style="305" bestFit="1" customWidth="1"/>
    <col min="10243" max="10243" width="12.5703125" style="305" bestFit="1" customWidth="1"/>
    <col min="10244" max="10245" width="7.5703125" style="305" bestFit="1" customWidth="1"/>
    <col min="10246" max="10246" width="6.5703125" style="305" bestFit="1" customWidth="1"/>
    <col min="10247" max="10255" width="7.5703125" style="305" bestFit="1" customWidth="1"/>
    <col min="10256" max="10256" width="7.85546875" style="305" customWidth="1"/>
    <col min="10257" max="10260" width="7.5703125" style="305" bestFit="1" customWidth="1"/>
    <col min="10261" max="10274" width="4.85546875" style="305" customWidth="1"/>
    <col min="10275" max="10275" width="9.140625" style="305" customWidth="1"/>
    <col min="10276" max="10497" width="9.140625" style="305"/>
    <col min="10498" max="10498" width="30.5703125" style="305" bestFit="1" customWidth="1"/>
    <col min="10499" max="10499" width="12.5703125" style="305" bestFit="1" customWidth="1"/>
    <col min="10500" max="10501" width="7.5703125" style="305" bestFit="1" customWidth="1"/>
    <col min="10502" max="10502" width="6.5703125" style="305" bestFit="1" customWidth="1"/>
    <col min="10503" max="10511" width="7.5703125" style="305" bestFit="1" customWidth="1"/>
    <col min="10512" max="10512" width="7.85546875" style="305" customWidth="1"/>
    <col min="10513" max="10516" width="7.5703125" style="305" bestFit="1" customWidth="1"/>
    <col min="10517" max="10530" width="4.85546875" style="305" customWidth="1"/>
    <col min="10531" max="10531" width="9.140625" style="305" customWidth="1"/>
    <col min="10532" max="10753" width="9.140625" style="305"/>
    <col min="10754" max="10754" width="30.5703125" style="305" bestFit="1" customWidth="1"/>
    <col min="10755" max="10755" width="12.5703125" style="305" bestFit="1" customWidth="1"/>
    <col min="10756" max="10757" width="7.5703125" style="305" bestFit="1" customWidth="1"/>
    <col min="10758" max="10758" width="6.5703125" style="305" bestFit="1" customWidth="1"/>
    <col min="10759" max="10767" width="7.5703125" style="305" bestFit="1" customWidth="1"/>
    <col min="10768" max="10768" width="7.85546875" style="305" customWidth="1"/>
    <col min="10769" max="10772" width="7.5703125" style="305" bestFit="1" customWidth="1"/>
    <col min="10773" max="10786" width="4.85546875" style="305" customWidth="1"/>
    <col min="10787" max="10787" width="9.140625" style="305" customWidth="1"/>
    <col min="10788" max="11009" width="9.140625" style="305"/>
    <col min="11010" max="11010" width="30.5703125" style="305" bestFit="1" customWidth="1"/>
    <col min="11011" max="11011" width="12.5703125" style="305" bestFit="1" customWidth="1"/>
    <col min="11012" max="11013" width="7.5703125" style="305" bestFit="1" customWidth="1"/>
    <col min="11014" max="11014" width="6.5703125" style="305" bestFit="1" customWidth="1"/>
    <col min="11015" max="11023" width="7.5703125" style="305" bestFit="1" customWidth="1"/>
    <col min="11024" max="11024" width="7.85546875" style="305" customWidth="1"/>
    <col min="11025" max="11028" width="7.5703125" style="305" bestFit="1" customWidth="1"/>
    <col min="11029" max="11042" width="4.85546875" style="305" customWidth="1"/>
    <col min="11043" max="11043" width="9.140625" style="305" customWidth="1"/>
    <col min="11044" max="11265" width="9.140625" style="305"/>
    <col min="11266" max="11266" width="30.5703125" style="305" bestFit="1" customWidth="1"/>
    <col min="11267" max="11267" width="12.5703125" style="305" bestFit="1" customWidth="1"/>
    <col min="11268" max="11269" width="7.5703125" style="305" bestFit="1" customWidth="1"/>
    <col min="11270" max="11270" width="6.5703125" style="305" bestFit="1" customWidth="1"/>
    <col min="11271" max="11279" width="7.5703125" style="305" bestFit="1" customWidth="1"/>
    <col min="11280" max="11280" width="7.85546875" style="305" customWidth="1"/>
    <col min="11281" max="11284" width="7.5703125" style="305" bestFit="1" customWidth="1"/>
    <col min="11285" max="11298" width="4.85546875" style="305" customWidth="1"/>
    <col min="11299" max="11299" width="9.140625" style="305" customWidth="1"/>
    <col min="11300" max="11521" width="9.140625" style="305"/>
    <col min="11522" max="11522" width="30.5703125" style="305" bestFit="1" customWidth="1"/>
    <col min="11523" max="11523" width="12.5703125" style="305" bestFit="1" customWidth="1"/>
    <col min="11524" max="11525" width="7.5703125" style="305" bestFit="1" customWidth="1"/>
    <col min="11526" max="11526" width="6.5703125" style="305" bestFit="1" customWidth="1"/>
    <col min="11527" max="11535" width="7.5703125" style="305" bestFit="1" customWidth="1"/>
    <col min="11536" max="11536" width="7.85546875" style="305" customWidth="1"/>
    <col min="11537" max="11540" width="7.5703125" style="305" bestFit="1" customWidth="1"/>
    <col min="11541" max="11554" width="4.85546875" style="305" customWidth="1"/>
    <col min="11555" max="11555" width="9.140625" style="305" customWidth="1"/>
    <col min="11556" max="11777" width="9.140625" style="305"/>
    <col min="11778" max="11778" width="30.5703125" style="305" bestFit="1" customWidth="1"/>
    <col min="11779" max="11779" width="12.5703125" style="305" bestFit="1" customWidth="1"/>
    <col min="11780" max="11781" width="7.5703125" style="305" bestFit="1" customWidth="1"/>
    <col min="11782" max="11782" width="6.5703125" style="305" bestFit="1" customWidth="1"/>
    <col min="11783" max="11791" width="7.5703125" style="305" bestFit="1" customWidth="1"/>
    <col min="11792" max="11792" width="7.85546875" style="305" customWidth="1"/>
    <col min="11793" max="11796" width="7.5703125" style="305" bestFit="1" customWidth="1"/>
    <col min="11797" max="11810" width="4.85546875" style="305" customWidth="1"/>
    <col min="11811" max="11811" width="9.140625" style="305" customWidth="1"/>
    <col min="11812" max="12033" width="9.140625" style="305"/>
    <col min="12034" max="12034" width="30.5703125" style="305" bestFit="1" customWidth="1"/>
    <col min="12035" max="12035" width="12.5703125" style="305" bestFit="1" customWidth="1"/>
    <col min="12036" max="12037" width="7.5703125" style="305" bestFit="1" customWidth="1"/>
    <col min="12038" max="12038" width="6.5703125" style="305" bestFit="1" customWidth="1"/>
    <col min="12039" max="12047" width="7.5703125" style="305" bestFit="1" customWidth="1"/>
    <col min="12048" max="12048" width="7.85546875" style="305" customWidth="1"/>
    <col min="12049" max="12052" width="7.5703125" style="305" bestFit="1" customWidth="1"/>
    <col min="12053" max="12066" width="4.85546875" style="305" customWidth="1"/>
    <col min="12067" max="12067" width="9.140625" style="305" customWidth="1"/>
    <col min="12068" max="12289" width="9.140625" style="305"/>
    <col min="12290" max="12290" width="30.5703125" style="305" bestFit="1" customWidth="1"/>
    <col min="12291" max="12291" width="12.5703125" style="305" bestFit="1" customWidth="1"/>
    <col min="12292" max="12293" width="7.5703125" style="305" bestFit="1" customWidth="1"/>
    <col min="12294" max="12294" width="6.5703125" style="305" bestFit="1" customWidth="1"/>
    <col min="12295" max="12303" width="7.5703125" style="305" bestFit="1" customWidth="1"/>
    <col min="12304" max="12304" width="7.85546875" style="305" customWidth="1"/>
    <col min="12305" max="12308" width="7.5703125" style="305" bestFit="1" customWidth="1"/>
    <col min="12309" max="12322" width="4.85546875" style="305" customWidth="1"/>
    <col min="12323" max="12323" width="9.140625" style="305" customWidth="1"/>
    <col min="12324" max="12545" width="9.140625" style="305"/>
    <col min="12546" max="12546" width="30.5703125" style="305" bestFit="1" customWidth="1"/>
    <col min="12547" max="12547" width="12.5703125" style="305" bestFit="1" customWidth="1"/>
    <col min="12548" max="12549" width="7.5703125" style="305" bestFit="1" customWidth="1"/>
    <col min="12550" max="12550" width="6.5703125" style="305" bestFit="1" customWidth="1"/>
    <col min="12551" max="12559" width="7.5703125" style="305" bestFit="1" customWidth="1"/>
    <col min="12560" max="12560" width="7.85546875" style="305" customWidth="1"/>
    <col min="12561" max="12564" width="7.5703125" style="305" bestFit="1" customWidth="1"/>
    <col min="12565" max="12578" width="4.85546875" style="305" customWidth="1"/>
    <col min="12579" max="12579" width="9.140625" style="305" customWidth="1"/>
    <col min="12580" max="12801" width="9.140625" style="305"/>
    <col min="12802" max="12802" width="30.5703125" style="305" bestFit="1" customWidth="1"/>
    <col min="12803" max="12803" width="12.5703125" style="305" bestFit="1" customWidth="1"/>
    <col min="12804" max="12805" width="7.5703125" style="305" bestFit="1" customWidth="1"/>
    <col min="12806" max="12806" width="6.5703125" style="305" bestFit="1" customWidth="1"/>
    <col min="12807" max="12815" width="7.5703125" style="305" bestFit="1" customWidth="1"/>
    <col min="12816" max="12816" width="7.85546875" style="305" customWidth="1"/>
    <col min="12817" max="12820" width="7.5703125" style="305" bestFit="1" customWidth="1"/>
    <col min="12821" max="12834" width="4.85546875" style="305" customWidth="1"/>
    <col min="12835" max="12835" width="9.140625" style="305" customWidth="1"/>
    <col min="12836" max="13057" width="9.140625" style="305"/>
    <col min="13058" max="13058" width="30.5703125" style="305" bestFit="1" customWidth="1"/>
    <col min="13059" max="13059" width="12.5703125" style="305" bestFit="1" customWidth="1"/>
    <col min="13060" max="13061" width="7.5703125" style="305" bestFit="1" customWidth="1"/>
    <col min="13062" max="13062" width="6.5703125" style="305" bestFit="1" customWidth="1"/>
    <col min="13063" max="13071" width="7.5703125" style="305" bestFit="1" customWidth="1"/>
    <col min="13072" max="13072" width="7.85546875" style="305" customWidth="1"/>
    <col min="13073" max="13076" width="7.5703125" style="305" bestFit="1" customWidth="1"/>
    <col min="13077" max="13090" width="4.85546875" style="305" customWidth="1"/>
    <col min="13091" max="13091" width="9.140625" style="305" customWidth="1"/>
    <col min="13092" max="13313" width="9.140625" style="305"/>
    <col min="13314" max="13314" width="30.5703125" style="305" bestFit="1" customWidth="1"/>
    <col min="13315" max="13315" width="12.5703125" style="305" bestFit="1" customWidth="1"/>
    <col min="13316" max="13317" width="7.5703125" style="305" bestFit="1" customWidth="1"/>
    <col min="13318" max="13318" width="6.5703125" style="305" bestFit="1" customWidth="1"/>
    <col min="13319" max="13327" width="7.5703125" style="305" bestFit="1" customWidth="1"/>
    <col min="13328" max="13328" width="7.85546875" style="305" customWidth="1"/>
    <col min="13329" max="13332" width="7.5703125" style="305" bestFit="1" customWidth="1"/>
    <col min="13333" max="13346" width="4.85546875" style="305" customWidth="1"/>
    <col min="13347" max="13347" width="9.140625" style="305" customWidth="1"/>
    <col min="13348" max="13569" width="9.140625" style="305"/>
    <col min="13570" max="13570" width="30.5703125" style="305" bestFit="1" customWidth="1"/>
    <col min="13571" max="13571" width="12.5703125" style="305" bestFit="1" customWidth="1"/>
    <col min="13572" max="13573" width="7.5703125" style="305" bestFit="1" customWidth="1"/>
    <col min="13574" max="13574" width="6.5703125" style="305" bestFit="1" customWidth="1"/>
    <col min="13575" max="13583" width="7.5703125" style="305" bestFit="1" customWidth="1"/>
    <col min="13584" max="13584" width="7.85546875" style="305" customWidth="1"/>
    <col min="13585" max="13588" width="7.5703125" style="305" bestFit="1" customWidth="1"/>
    <col min="13589" max="13602" width="4.85546875" style="305" customWidth="1"/>
    <col min="13603" max="13603" width="9.140625" style="305" customWidth="1"/>
    <col min="13604" max="13825" width="9.140625" style="305"/>
    <col min="13826" max="13826" width="30.5703125" style="305" bestFit="1" customWidth="1"/>
    <col min="13827" max="13827" width="12.5703125" style="305" bestFit="1" customWidth="1"/>
    <col min="13828" max="13829" width="7.5703125" style="305" bestFit="1" customWidth="1"/>
    <col min="13830" max="13830" width="6.5703125" style="305" bestFit="1" customWidth="1"/>
    <col min="13831" max="13839" width="7.5703125" style="305" bestFit="1" customWidth="1"/>
    <col min="13840" max="13840" width="7.85546875" style="305" customWidth="1"/>
    <col min="13841" max="13844" width="7.5703125" style="305" bestFit="1" customWidth="1"/>
    <col min="13845" max="13858" width="4.85546875" style="305" customWidth="1"/>
    <col min="13859" max="13859" width="9.140625" style="305" customWidth="1"/>
    <col min="13860" max="14081" width="9.140625" style="305"/>
    <col min="14082" max="14082" width="30.5703125" style="305" bestFit="1" customWidth="1"/>
    <col min="14083" max="14083" width="12.5703125" style="305" bestFit="1" customWidth="1"/>
    <col min="14084" max="14085" width="7.5703125" style="305" bestFit="1" customWidth="1"/>
    <col min="14086" max="14086" width="6.5703125" style="305" bestFit="1" customWidth="1"/>
    <col min="14087" max="14095" width="7.5703125" style="305" bestFit="1" customWidth="1"/>
    <col min="14096" max="14096" width="7.85546875" style="305" customWidth="1"/>
    <col min="14097" max="14100" width="7.5703125" style="305" bestFit="1" customWidth="1"/>
    <col min="14101" max="14114" width="4.85546875" style="305" customWidth="1"/>
    <col min="14115" max="14115" width="9.140625" style="305" customWidth="1"/>
    <col min="14116" max="14337" width="9.140625" style="305"/>
    <col min="14338" max="14338" width="30.5703125" style="305" bestFit="1" customWidth="1"/>
    <col min="14339" max="14339" width="12.5703125" style="305" bestFit="1" customWidth="1"/>
    <col min="14340" max="14341" width="7.5703125" style="305" bestFit="1" customWidth="1"/>
    <col min="14342" max="14342" width="6.5703125" style="305" bestFit="1" customWidth="1"/>
    <col min="14343" max="14351" width="7.5703125" style="305" bestFit="1" customWidth="1"/>
    <col min="14352" max="14352" width="7.85546875" style="305" customWidth="1"/>
    <col min="14353" max="14356" width="7.5703125" style="305" bestFit="1" customWidth="1"/>
    <col min="14357" max="14370" width="4.85546875" style="305" customWidth="1"/>
    <col min="14371" max="14371" width="9.140625" style="305" customWidth="1"/>
    <col min="14372" max="14593" width="9.140625" style="305"/>
    <col min="14594" max="14594" width="30.5703125" style="305" bestFit="1" customWidth="1"/>
    <col min="14595" max="14595" width="12.5703125" style="305" bestFit="1" customWidth="1"/>
    <col min="14596" max="14597" width="7.5703125" style="305" bestFit="1" customWidth="1"/>
    <col min="14598" max="14598" width="6.5703125" style="305" bestFit="1" customWidth="1"/>
    <col min="14599" max="14607" width="7.5703125" style="305" bestFit="1" customWidth="1"/>
    <col min="14608" max="14608" width="7.85546875" style="305" customWidth="1"/>
    <col min="14609" max="14612" width="7.5703125" style="305" bestFit="1" customWidth="1"/>
    <col min="14613" max="14626" width="4.85546875" style="305" customWidth="1"/>
    <col min="14627" max="14627" width="9.140625" style="305" customWidth="1"/>
    <col min="14628" max="14849" width="9.140625" style="305"/>
    <col min="14850" max="14850" width="30.5703125" style="305" bestFit="1" customWidth="1"/>
    <col min="14851" max="14851" width="12.5703125" style="305" bestFit="1" customWidth="1"/>
    <col min="14852" max="14853" width="7.5703125" style="305" bestFit="1" customWidth="1"/>
    <col min="14854" max="14854" width="6.5703125" style="305" bestFit="1" customWidth="1"/>
    <col min="14855" max="14863" width="7.5703125" style="305" bestFit="1" customWidth="1"/>
    <col min="14864" max="14864" width="7.85546875" style="305" customWidth="1"/>
    <col min="14865" max="14868" width="7.5703125" style="305" bestFit="1" customWidth="1"/>
    <col min="14869" max="14882" width="4.85546875" style="305" customWidth="1"/>
    <col min="14883" max="14883" width="9.140625" style="305" customWidth="1"/>
    <col min="14884" max="15105" width="9.140625" style="305"/>
    <col min="15106" max="15106" width="30.5703125" style="305" bestFit="1" customWidth="1"/>
    <col min="15107" max="15107" width="12.5703125" style="305" bestFit="1" customWidth="1"/>
    <col min="15108" max="15109" width="7.5703125" style="305" bestFit="1" customWidth="1"/>
    <col min="15110" max="15110" width="6.5703125" style="305" bestFit="1" customWidth="1"/>
    <col min="15111" max="15119" width="7.5703125" style="305" bestFit="1" customWidth="1"/>
    <col min="15120" max="15120" width="7.85546875" style="305" customWidth="1"/>
    <col min="15121" max="15124" width="7.5703125" style="305" bestFit="1" customWidth="1"/>
    <col min="15125" max="15138" width="4.85546875" style="305" customWidth="1"/>
    <col min="15139" max="15139" width="9.140625" style="305" customWidth="1"/>
    <col min="15140" max="15361" width="9.140625" style="305"/>
    <col min="15362" max="15362" width="30.5703125" style="305" bestFit="1" customWidth="1"/>
    <col min="15363" max="15363" width="12.5703125" style="305" bestFit="1" customWidth="1"/>
    <col min="15364" max="15365" width="7.5703125" style="305" bestFit="1" customWidth="1"/>
    <col min="15366" max="15366" width="6.5703125" style="305" bestFit="1" customWidth="1"/>
    <col min="15367" max="15375" width="7.5703125" style="305" bestFit="1" customWidth="1"/>
    <col min="15376" max="15376" width="7.85546875" style="305" customWidth="1"/>
    <col min="15377" max="15380" width="7.5703125" style="305" bestFit="1" customWidth="1"/>
    <col min="15381" max="15394" width="4.85546875" style="305" customWidth="1"/>
    <col min="15395" max="15395" width="9.140625" style="305" customWidth="1"/>
    <col min="15396" max="15617" width="9.140625" style="305"/>
    <col min="15618" max="15618" width="30.5703125" style="305" bestFit="1" customWidth="1"/>
    <col min="15619" max="15619" width="12.5703125" style="305" bestFit="1" customWidth="1"/>
    <col min="15620" max="15621" width="7.5703125" style="305" bestFit="1" customWidth="1"/>
    <col min="15622" max="15622" width="6.5703125" style="305" bestFit="1" customWidth="1"/>
    <col min="15623" max="15631" width="7.5703125" style="305" bestFit="1" customWidth="1"/>
    <col min="15632" max="15632" width="7.85546875" style="305" customWidth="1"/>
    <col min="15633" max="15636" width="7.5703125" style="305" bestFit="1" customWidth="1"/>
    <col min="15637" max="15650" width="4.85546875" style="305" customWidth="1"/>
    <col min="15651" max="15651" width="9.140625" style="305" customWidth="1"/>
    <col min="15652" max="15873" width="9.140625" style="305"/>
    <col min="15874" max="15874" width="30.5703125" style="305" bestFit="1" customWidth="1"/>
    <col min="15875" max="15875" width="12.5703125" style="305" bestFit="1" customWidth="1"/>
    <col min="15876" max="15877" width="7.5703125" style="305" bestFit="1" customWidth="1"/>
    <col min="15878" max="15878" width="6.5703125" style="305" bestFit="1" customWidth="1"/>
    <col min="15879" max="15887" width="7.5703125" style="305" bestFit="1" customWidth="1"/>
    <col min="15888" max="15888" width="7.85546875" style="305" customWidth="1"/>
    <col min="15889" max="15892" width="7.5703125" style="305" bestFit="1" customWidth="1"/>
    <col min="15893" max="15906" width="4.85546875" style="305" customWidth="1"/>
    <col min="15907" max="15907" width="9.140625" style="305" customWidth="1"/>
    <col min="15908" max="16129" width="9.140625" style="305"/>
    <col min="16130" max="16130" width="30.5703125" style="305" bestFit="1" customWidth="1"/>
    <col min="16131" max="16131" width="12.5703125" style="305" bestFit="1" customWidth="1"/>
    <col min="16132" max="16133" width="7.5703125" style="305" bestFit="1" customWidth="1"/>
    <col min="16134" max="16134" width="6.5703125" style="305" bestFit="1" customWidth="1"/>
    <col min="16135" max="16143" width="7.5703125" style="305" bestFit="1" customWidth="1"/>
    <col min="16144" max="16144" width="7.85546875" style="305" customWidth="1"/>
    <col min="16145" max="16148" width="7.5703125" style="305" bestFit="1" customWidth="1"/>
    <col min="16149" max="16162" width="4.85546875" style="305" customWidth="1"/>
    <col min="16163" max="16163" width="9.140625" style="305" customWidth="1"/>
    <col min="16164" max="16384" width="9.140625" style="305"/>
  </cols>
  <sheetData>
    <row r="2" spans="1:35" x14ac:dyDescent="0.25">
      <c r="B2" s="126"/>
      <c r="C2" s="306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</row>
    <row r="3" spans="1:35" s="317" customFormat="1" ht="15.75" x14ac:dyDescent="0.25">
      <c r="A3" s="310"/>
      <c r="B3" s="311" t="s">
        <v>284</v>
      </c>
      <c r="C3" s="312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</row>
    <row r="4" spans="1:35" x14ac:dyDescent="0.25">
      <c r="B4" s="126" t="s">
        <v>285</v>
      </c>
      <c r="C4" s="306" t="s">
        <v>6</v>
      </c>
      <c r="D4" s="309">
        <f>+'Solar Report RKT'!D114</f>
        <v>558.50000999999997</v>
      </c>
      <c r="E4" s="309">
        <f>+'Solar Report RKT'!E114</f>
        <v>1045.0999899999999</v>
      </c>
      <c r="F4" s="309">
        <f>+'Solar Report RKT'!F114</f>
        <v>926.60002999999995</v>
      </c>
      <c r="G4" s="309">
        <f>+'Solar Report RKT'!G114</f>
        <v>839.90001000000007</v>
      </c>
      <c r="H4" s="309">
        <f>+'Solar Report RKT'!H114</f>
        <v>942.90000999999995</v>
      </c>
      <c r="I4" s="309">
        <f>+'Solar Report RKT'!I114</f>
        <v>1100.6000000000001</v>
      </c>
      <c r="J4" s="309">
        <f>+'Solar Report RKT'!J114</f>
        <v>957.50003000000004</v>
      </c>
      <c r="K4" s="309">
        <f>+'Solar Report RKT'!K114</f>
        <v>1010.1999900000001</v>
      </c>
      <c r="L4" s="309">
        <f>+'Solar Report RKT'!L114</f>
        <v>1001.79998</v>
      </c>
      <c r="M4" s="309">
        <f>+'Solar Report RKT'!M114</f>
        <v>844.50000999999997</v>
      </c>
      <c r="N4" s="309">
        <f>+'Solar Report RKT'!N114</f>
        <v>1032.6000200000001</v>
      </c>
      <c r="O4" s="309">
        <f>+'Solar Report RKT'!O114</f>
        <v>937.89999</v>
      </c>
      <c r="P4" s="309">
        <f>+'Solar Report RKT'!P114</f>
        <v>597.6</v>
      </c>
      <c r="Q4" s="309">
        <f>+'Solar Report RKT'!Q114</f>
        <v>1053.8000099999999</v>
      </c>
      <c r="R4" s="309">
        <f>+'Solar Report RKT'!R114</f>
        <v>0</v>
      </c>
      <c r="S4" s="309">
        <f>+'Solar Report RKT'!S114</f>
        <v>0</v>
      </c>
      <c r="T4" s="309">
        <f>+'Solar Report RKT'!T114</f>
        <v>0</v>
      </c>
      <c r="U4" s="309">
        <f>+'Solar Report RKT'!U114</f>
        <v>0</v>
      </c>
      <c r="V4" s="309">
        <f>+'Solar Report RKT'!V114</f>
        <v>0</v>
      </c>
      <c r="W4" s="309">
        <f>+'Solar Report RKT'!W114</f>
        <v>0</v>
      </c>
      <c r="X4" s="309">
        <f>+'Solar Report RKT'!X114</f>
        <v>0</v>
      </c>
      <c r="Y4" s="309">
        <f>+'Solar Report RKT'!Y114</f>
        <v>0</v>
      </c>
      <c r="Z4" s="309">
        <f>+'Solar Report RKT'!Z114</f>
        <v>0</v>
      </c>
      <c r="AA4" s="309">
        <f>+'Solar Report RKT'!AA114</f>
        <v>0</v>
      </c>
      <c r="AB4" s="309">
        <f>+'Solar Report RKT'!AB114</f>
        <v>0</v>
      </c>
      <c r="AC4" s="309">
        <f>+'Solar Report RKT'!AC114</f>
        <v>0</v>
      </c>
      <c r="AD4" s="309">
        <f>+'Solar Report RKT'!AD114</f>
        <v>0</v>
      </c>
      <c r="AE4" s="309">
        <f>+'Solar Report RKT'!AE114</f>
        <v>0</v>
      </c>
      <c r="AF4" s="309">
        <f>+'Solar Report RKT'!AF114</f>
        <v>0</v>
      </c>
      <c r="AG4" s="309">
        <f>+'Solar Report RKT'!AG114</f>
        <v>0</v>
      </c>
      <c r="AH4" s="309">
        <f>+'Solar Report RKT'!AH114</f>
        <v>0</v>
      </c>
      <c r="AI4" s="314">
        <f t="shared" ref="AI4" si="0">SUM(D4:AH4)</f>
        <v>12849.500080000002</v>
      </c>
    </row>
    <row r="5" spans="1:35" ht="30" x14ac:dyDescent="0.25">
      <c r="B5" s="126" t="s">
        <v>286</v>
      </c>
      <c r="C5" s="306" t="s">
        <v>0</v>
      </c>
      <c r="D5" s="315">
        <f>+'Solar Report RKT'!D117</f>
        <v>0.11805420005798625</v>
      </c>
      <c r="E5" s="315">
        <f>+'Solar Report RKT'!E117</f>
        <v>0.1858431618864109</v>
      </c>
      <c r="F5" s="315">
        <f>+'Solar Report RKT'!F117</f>
        <v>0.16666055871596444</v>
      </c>
      <c r="G5" s="315">
        <f>+'Solar Report RKT'!G117</f>
        <v>0.1522814473517099</v>
      </c>
      <c r="H5" s="315">
        <f>+'Solar Report RKT'!H117</f>
        <v>0.19482416713890438</v>
      </c>
      <c r="I5" s="315">
        <f>+'Solar Report RKT'!I117</f>
        <v>0.19610665623485329</v>
      </c>
      <c r="J5" s="315">
        <f>+'Solar Report RKT'!J117</f>
        <v>0.17617400313322309</v>
      </c>
      <c r="K5" s="315">
        <f>+'Solar Report RKT'!K117</f>
        <v>0.18775720093336667</v>
      </c>
      <c r="L5" s="315">
        <f>+'Solar Report RKT'!L117</f>
        <v>0.18849160519214692</v>
      </c>
      <c r="M5" s="315">
        <f>+'Solar Report RKT'!M117</f>
        <v>0.18013673589403514</v>
      </c>
      <c r="N5" s="315">
        <f>+'Solar Report RKT'!N117</f>
        <v>0.18948200014074298</v>
      </c>
      <c r="O5" s="315">
        <f>+'Solar Report RKT'!O117</f>
        <v>0.16713200904391609</v>
      </c>
      <c r="P5" s="315">
        <f>+'Solar Report RKT'!P117</f>
        <v>0.1252956485744543</v>
      </c>
      <c r="Q5" s="315">
        <f>+'Solar Report RKT'!Q117</f>
        <v>0.20362414593350392</v>
      </c>
      <c r="R5" s="315">
        <f>+'Solar Report RKT'!R117</f>
        <v>0</v>
      </c>
      <c r="S5" s="315">
        <f>+'Solar Report RKT'!S117</f>
        <v>0</v>
      </c>
      <c r="T5" s="315">
        <f>+'Solar Report RKT'!T117</f>
        <v>0</v>
      </c>
      <c r="U5" s="315">
        <f>+'Solar Report RKT'!U117</f>
        <v>0</v>
      </c>
      <c r="V5" s="315">
        <f>+'Solar Report RKT'!V117</f>
        <v>0</v>
      </c>
      <c r="W5" s="315">
        <f>+'Solar Report RKT'!W117</f>
        <v>0</v>
      </c>
      <c r="X5" s="315">
        <f>+'Solar Report RKT'!X117</f>
        <v>0</v>
      </c>
      <c r="Y5" s="315">
        <f>+'Solar Report RKT'!Y117</f>
        <v>0</v>
      </c>
      <c r="Z5" s="315">
        <f>+'Solar Report RKT'!Z117</f>
        <v>0</v>
      </c>
      <c r="AA5" s="315">
        <f>+'Solar Report RKT'!AA117</f>
        <v>0</v>
      </c>
      <c r="AB5" s="315">
        <f>+'Solar Report RKT'!AB117</f>
        <v>0</v>
      </c>
      <c r="AC5" s="315">
        <f>+'Solar Report RKT'!AC117</f>
        <v>0</v>
      </c>
      <c r="AD5" s="315">
        <f>+'Solar Report RKT'!AD117</f>
        <v>0</v>
      </c>
      <c r="AE5" s="315">
        <f>+'Solar Report RKT'!AE117</f>
        <v>0</v>
      </c>
      <c r="AF5" s="315">
        <f>+'Solar Report RKT'!AF117</f>
        <v>0</v>
      </c>
      <c r="AG5" s="315">
        <f>+'Solar Report RKT'!AG117</f>
        <v>0</v>
      </c>
      <c r="AH5" s="315">
        <f>+'Solar Report RKT'!AH117</f>
        <v>0</v>
      </c>
      <c r="AI5" s="14">
        <f t="array" ref="AI5">AVERAGE(IF(D5:AH5&gt;0,D5:AH5))</f>
        <v>0.17370453858794413</v>
      </c>
    </row>
    <row r="6" spans="1:35" x14ac:dyDescent="0.25">
      <c r="B6" s="126" t="s">
        <v>287</v>
      </c>
      <c r="C6" s="306" t="s">
        <v>6</v>
      </c>
      <c r="D6" s="309">
        <f>+'Solar Report RKT'!D74+'Solar Report RKT'!D114</f>
        <v>3304.0000000000873</v>
      </c>
      <c r="E6" s="309">
        <f>E4+'Solar Report RKT'!E114</f>
        <v>2090.1999799999999</v>
      </c>
      <c r="F6" s="309">
        <f>F4+'Solar Report RKT'!F114</f>
        <v>1853.2000599999999</v>
      </c>
      <c r="G6" s="309">
        <f>G4+'Solar Report RKT'!G114</f>
        <v>1679.8000200000001</v>
      </c>
      <c r="H6" s="309">
        <f>H4+'Solar Report RKT'!H114</f>
        <v>1885.8000199999999</v>
      </c>
      <c r="I6" s="309">
        <f>I4+'Solar Report RKT'!I114</f>
        <v>2201.2000000000003</v>
      </c>
      <c r="J6" s="309">
        <f>J4+'Solar Report RKT'!J114</f>
        <v>1915.0000600000001</v>
      </c>
      <c r="K6" s="309">
        <f>K4+'Solar Report RKT'!K114</f>
        <v>2020.3999800000001</v>
      </c>
      <c r="L6" s="309">
        <f>L4+'Solar Report RKT'!L114</f>
        <v>2003.59996</v>
      </c>
      <c r="M6" s="309">
        <f>M4+'Solar Report RKT'!M114</f>
        <v>1689.0000199999999</v>
      </c>
      <c r="N6" s="309">
        <f>N4+'Solar Report RKT'!N114</f>
        <v>2065.2000400000002</v>
      </c>
      <c r="O6" s="309">
        <f>O4+'Solar Report RKT'!O114</f>
        <v>1875.79998</v>
      </c>
      <c r="P6" s="309">
        <f>P4+'Solar Report RKT'!P114</f>
        <v>1195.2</v>
      </c>
      <c r="Q6" s="309">
        <f>Q4+'Solar Report RKT'!Q114</f>
        <v>2107.6000199999999</v>
      </c>
      <c r="R6" s="309">
        <f>R4+'Solar Report RKT'!R114</f>
        <v>0</v>
      </c>
      <c r="S6" s="309">
        <f>S4+'Solar Report RKT'!S114</f>
        <v>0</v>
      </c>
      <c r="T6" s="309">
        <f>T4+'Solar Report RKT'!T114</f>
        <v>0</v>
      </c>
      <c r="U6" s="309">
        <f>U4+'Solar Report RKT'!U114</f>
        <v>0</v>
      </c>
      <c r="V6" s="309">
        <f>V4+'Solar Report RKT'!V114</f>
        <v>0</v>
      </c>
      <c r="W6" s="309">
        <f>W4+'Solar Report RKT'!W114</f>
        <v>0</v>
      </c>
      <c r="X6" s="309">
        <f>X4+'Solar Report RKT'!X114</f>
        <v>0</v>
      </c>
      <c r="Y6" s="309">
        <f>Y4+'Solar Report RKT'!Y114</f>
        <v>0</v>
      </c>
      <c r="Z6" s="309">
        <f>Z4+'Solar Report RKT'!Z114</f>
        <v>0</v>
      </c>
      <c r="AA6" s="309">
        <f>AA4+'Solar Report RKT'!AA114</f>
        <v>0</v>
      </c>
      <c r="AB6" s="309">
        <f>AB4+'Solar Report RKT'!AB114</f>
        <v>0</v>
      </c>
      <c r="AC6" s="309">
        <f>AC4+'Solar Report RKT'!AC114</f>
        <v>0</v>
      </c>
      <c r="AD6" s="309">
        <f>AD4+'Solar Report RKT'!AD114</f>
        <v>0</v>
      </c>
      <c r="AE6" s="309">
        <f>AE4+'Solar Report RKT'!AE114</f>
        <v>0</v>
      </c>
      <c r="AF6" s="309">
        <f>AF4+'Solar Report RKT'!AF114</f>
        <v>0</v>
      </c>
      <c r="AG6" s="309">
        <f>AG4+'Solar Report RKT'!AG114</f>
        <v>0</v>
      </c>
      <c r="AH6" s="309">
        <f>AH4+'Solar Report RKT'!AH114</f>
        <v>0</v>
      </c>
      <c r="AI6" s="314">
        <f t="shared" ref="AI6:AI10" si="1">SUM(D6:AH6)</f>
        <v>27886.000140000091</v>
      </c>
    </row>
    <row r="7" spans="1:35" x14ac:dyDescent="0.25">
      <c r="B7" s="126" t="s">
        <v>291</v>
      </c>
      <c r="C7" s="306" t="s">
        <v>0</v>
      </c>
      <c r="D7" s="315">
        <f>IF(D10&gt;1,D10/D8,0)</f>
        <v>0.12060468442868819</v>
      </c>
      <c r="E7" s="315">
        <f t="shared" ref="E7:AH7" si="2">IF(E10&gt;1,E10/E8,0)</f>
        <v>0.19022600056888825</v>
      </c>
      <c r="F7" s="315">
        <f t="shared" si="2"/>
        <v>0.17210120321247935</v>
      </c>
      <c r="G7" s="315">
        <f t="shared" si="2"/>
        <v>0.15626300374526336</v>
      </c>
      <c r="H7" s="315">
        <f t="shared" si="2"/>
        <v>0.20285035201544652</v>
      </c>
      <c r="I7" s="315">
        <f t="shared" si="2"/>
        <v>0.20309099931391272</v>
      </c>
      <c r="J7" s="315">
        <f t="shared" si="2"/>
        <v>0.18870852659761692</v>
      </c>
      <c r="K7" s="315">
        <f t="shared" si="2"/>
        <v>0.19532624173180907</v>
      </c>
      <c r="L7" s="315">
        <f t="shared" si="2"/>
        <v>0.1880169235070886</v>
      </c>
      <c r="M7" s="315">
        <f t="shared" si="2"/>
        <v>0.17808045319851912</v>
      </c>
      <c r="N7" s="315">
        <f t="shared" si="2"/>
        <v>0.18857517977177207</v>
      </c>
      <c r="O7" s="315">
        <f t="shared" si="2"/>
        <v>0.16594552553291891</v>
      </c>
      <c r="P7" s="315">
        <f t="shared" si="2"/>
        <v>0.12907330084467047</v>
      </c>
      <c r="Q7" s="315">
        <f t="shared" si="2"/>
        <v>0.20778150272654647</v>
      </c>
      <c r="R7" s="315">
        <f t="shared" si="2"/>
        <v>0</v>
      </c>
      <c r="S7" s="315">
        <f t="shared" si="2"/>
        <v>0</v>
      </c>
      <c r="T7" s="315">
        <f t="shared" si="2"/>
        <v>0</v>
      </c>
      <c r="U7" s="315">
        <f t="shared" si="2"/>
        <v>0</v>
      </c>
      <c r="V7" s="315">
        <f t="shared" si="2"/>
        <v>0</v>
      </c>
      <c r="W7" s="315">
        <f t="shared" si="2"/>
        <v>0</v>
      </c>
      <c r="X7" s="315">
        <f t="shared" si="2"/>
        <v>0</v>
      </c>
      <c r="Y7" s="315">
        <f t="shared" si="2"/>
        <v>0</v>
      </c>
      <c r="Z7" s="315">
        <f t="shared" si="2"/>
        <v>0</v>
      </c>
      <c r="AA7" s="315">
        <f t="shared" si="2"/>
        <v>0</v>
      </c>
      <c r="AB7" s="315">
        <f t="shared" si="2"/>
        <v>0</v>
      </c>
      <c r="AC7" s="315">
        <f t="shared" si="2"/>
        <v>0</v>
      </c>
      <c r="AD7" s="315">
        <f t="shared" si="2"/>
        <v>0</v>
      </c>
      <c r="AE7" s="315">
        <f t="shared" si="2"/>
        <v>0</v>
      </c>
      <c r="AF7" s="315">
        <f t="shared" si="2"/>
        <v>0</v>
      </c>
      <c r="AG7" s="315">
        <f t="shared" si="2"/>
        <v>0</v>
      </c>
      <c r="AH7" s="315">
        <f t="shared" si="2"/>
        <v>0</v>
      </c>
      <c r="AI7" s="316">
        <f>IF(AI10&gt;1,AI10/AI8,0)</f>
        <v>8.0214319264374889E-2</v>
      </c>
    </row>
    <row r="8" spans="1:35" x14ac:dyDescent="0.25">
      <c r="B8" s="126" t="s">
        <v>288</v>
      </c>
      <c r="C8" s="306" t="s">
        <v>6</v>
      </c>
      <c r="D8" s="309">
        <f>(999.4+248)*24</f>
        <v>29937.600000000002</v>
      </c>
      <c r="E8" s="309">
        <f t="shared" ref="E8:AH8" si="3">(999.4+248)*24</f>
        <v>29937.600000000002</v>
      </c>
      <c r="F8" s="309">
        <f t="shared" si="3"/>
        <v>29937.600000000002</v>
      </c>
      <c r="G8" s="309">
        <f t="shared" si="3"/>
        <v>29937.600000000002</v>
      </c>
      <c r="H8" s="309">
        <f t="shared" si="3"/>
        <v>29937.600000000002</v>
      </c>
      <c r="I8" s="309">
        <f t="shared" si="3"/>
        <v>29937.600000000002</v>
      </c>
      <c r="J8" s="309">
        <f t="shared" si="3"/>
        <v>29937.600000000002</v>
      </c>
      <c r="K8" s="309">
        <f t="shared" si="3"/>
        <v>29937.600000000002</v>
      </c>
      <c r="L8" s="309">
        <f t="shared" si="3"/>
        <v>29937.600000000002</v>
      </c>
      <c r="M8" s="309">
        <f t="shared" si="3"/>
        <v>29937.600000000002</v>
      </c>
      <c r="N8" s="309">
        <f t="shared" si="3"/>
        <v>29937.600000000002</v>
      </c>
      <c r="O8" s="309">
        <f t="shared" si="3"/>
        <v>29937.600000000002</v>
      </c>
      <c r="P8" s="309">
        <f t="shared" si="3"/>
        <v>29937.600000000002</v>
      </c>
      <c r="Q8" s="309">
        <f t="shared" si="3"/>
        <v>29937.600000000002</v>
      </c>
      <c r="R8" s="309">
        <f t="shared" si="3"/>
        <v>29937.600000000002</v>
      </c>
      <c r="S8" s="309">
        <f t="shared" si="3"/>
        <v>29937.600000000002</v>
      </c>
      <c r="T8" s="309">
        <f t="shared" si="3"/>
        <v>29937.600000000002</v>
      </c>
      <c r="U8" s="309">
        <f t="shared" si="3"/>
        <v>29937.600000000002</v>
      </c>
      <c r="V8" s="309">
        <f t="shared" si="3"/>
        <v>29937.600000000002</v>
      </c>
      <c r="W8" s="309">
        <f t="shared" si="3"/>
        <v>29937.600000000002</v>
      </c>
      <c r="X8" s="309">
        <f t="shared" si="3"/>
        <v>29937.600000000002</v>
      </c>
      <c r="Y8" s="309">
        <f t="shared" si="3"/>
        <v>29937.600000000002</v>
      </c>
      <c r="Z8" s="309">
        <f t="shared" si="3"/>
        <v>29937.600000000002</v>
      </c>
      <c r="AA8" s="309">
        <f t="shared" si="3"/>
        <v>29937.600000000002</v>
      </c>
      <c r="AB8" s="309">
        <f t="shared" si="3"/>
        <v>29937.600000000002</v>
      </c>
      <c r="AC8" s="309">
        <f t="shared" si="3"/>
        <v>29937.600000000002</v>
      </c>
      <c r="AD8" s="309">
        <f t="shared" si="3"/>
        <v>29937.600000000002</v>
      </c>
      <c r="AE8" s="309">
        <f t="shared" si="3"/>
        <v>29937.600000000002</v>
      </c>
      <c r="AF8" s="309">
        <f t="shared" si="3"/>
        <v>29937.600000000002</v>
      </c>
      <c r="AG8" s="309">
        <f t="shared" si="3"/>
        <v>29937.600000000002</v>
      </c>
      <c r="AH8" s="309">
        <f t="shared" si="3"/>
        <v>29937.600000000002</v>
      </c>
      <c r="AI8" s="314">
        <f t="shared" si="1"/>
        <v>928065.59999999951</v>
      </c>
    </row>
    <row r="9" spans="1:35" x14ac:dyDescent="0.25">
      <c r="B9" s="126" t="s">
        <v>290</v>
      </c>
      <c r="C9" s="306" t="s">
        <v>0</v>
      </c>
      <c r="D9" s="315">
        <f>+'Solar Report RKT'!D77</f>
        <v>0.1212375842925406</v>
      </c>
      <c r="E9" s="315">
        <f>+'Solar Report RKT'!E77</f>
        <v>0.19131359712007337</v>
      </c>
      <c r="F9" s="315">
        <f>+'Solar Report RKT'!F77</f>
        <v>0.17345129310154853</v>
      </c>
      <c r="G9" s="315">
        <f>+'Solar Report RKT'!G77</f>
        <v>0.15725102254214274</v>
      </c>
      <c r="H9" s="315">
        <f>+'Solar Report RKT'!H77</f>
        <v>0.20484204087814661</v>
      </c>
      <c r="I9" s="315">
        <f>+'Solar Report RKT'!I77</f>
        <v>0.20482415629170619</v>
      </c>
      <c r="J9" s="315">
        <f>+'Solar Report RKT'!J77</f>
        <v>0.19181895467363222</v>
      </c>
      <c r="K9" s="315">
        <f>+'Solar Report RKT'!K77</f>
        <v>0.1972044907992633</v>
      </c>
      <c r="L9" s="315">
        <f>+'Solar Report RKT'!L77</f>
        <v>0.1878991317741544</v>
      </c>
      <c r="M9" s="315">
        <f>+'Solar Report RKT'!M77</f>
        <v>0.17757018893147095</v>
      </c>
      <c r="N9" s="315">
        <f>+'Solar Report RKT'!N77</f>
        <v>0.18835015330438684</v>
      </c>
      <c r="O9" s="315">
        <f>+'Solar Report RKT'!O77</f>
        <v>0.16565110096745234</v>
      </c>
      <c r="P9" s="315">
        <f>+'Solar Report RKT'!P77</f>
        <v>0.13001072105981318</v>
      </c>
      <c r="Q9" s="315">
        <f>+'Solar Report RKT'!Q77</f>
        <v>0.20881314619730351</v>
      </c>
      <c r="R9" s="315">
        <f>+'Solar Report RKT'!R77</f>
        <v>0</v>
      </c>
      <c r="S9" s="315">
        <f>+'Solar Report RKT'!S77</f>
        <v>0</v>
      </c>
      <c r="T9" s="315">
        <f>+'Solar Report RKT'!T77</f>
        <v>0</v>
      </c>
      <c r="U9" s="315">
        <f>+'Solar Report RKT'!U77</f>
        <v>0</v>
      </c>
      <c r="V9" s="315">
        <f>+'Solar Report RKT'!V77</f>
        <v>0</v>
      </c>
      <c r="W9" s="315">
        <f>+'Solar Report RKT'!W77</f>
        <v>0</v>
      </c>
      <c r="X9" s="315">
        <f>+'Solar Report RKT'!X77</f>
        <v>0</v>
      </c>
      <c r="Y9" s="315">
        <f>+'Solar Report RKT'!Y77</f>
        <v>0</v>
      </c>
      <c r="Z9" s="315">
        <f>+'Solar Report RKT'!Z77</f>
        <v>0</v>
      </c>
      <c r="AA9" s="315">
        <f>+'Solar Report RKT'!AA77</f>
        <v>0</v>
      </c>
      <c r="AB9" s="315">
        <f>+'Solar Report RKT'!AB77</f>
        <v>0</v>
      </c>
      <c r="AC9" s="315">
        <f>+'Solar Report RKT'!AC77</f>
        <v>0</v>
      </c>
      <c r="AD9" s="315">
        <f>+'Solar Report RKT'!AD77</f>
        <v>0</v>
      </c>
      <c r="AE9" s="315">
        <f>+'Solar Report RKT'!AE77</f>
        <v>0</v>
      </c>
      <c r="AF9" s="315">
        <f>+'Solar Report RKT'!AF77</f>
        <v>0</v>
      </c>
      <c r="AG9" s="315">
        <f>+'Solar Report RKT'!AG77</f>
        <v>0</v>
      </c>
      <c r="AH9" s="315">
        <f>+'Solar Report RKT'!AH77</f>
        <v>0</v>
      </c>
      <c r="AI9" s="316">
        <f>IF(AI12&gt;1,AI12/AI10,0)</f>
        <v>0</v>
      </c>
    </row>
    <row r="10" spans="1:35" x14ac:dyDescent="0.25">
      <c r="B10" s="126" t="s">
        <v>289</v>
      </c>
      <c r="C10" s="306" t="s">
        <v>6</v>
      </c>
      <c r="D10" s="309">
        <f>((999.4*24*D9)+(248*24*D5))</f>
        <v>3610.6148005522955</v>
      </c>
      <c r="E10" s="309">
        <f>((999.4*24*E9)+(248*24*E5))</f>
        <v>5694.9099146311491</v>
      </c>
      <c r="F10" s="309">
        <f t="shared" ref="F10:AH10" si="4">((999.4*24*F9)+(248*24*F5))</f>
        <v>5152.2969812939218</v>
      </c>
      <c r="G10" s="309">
        <f t="shared" si="4"/>
        <v>4678.1393009241965</v>
      </c>
      <c r="H10" s="309">
        <f t="shared" si="4"/>
        <v>6072.8526984976324</v>
      </c>
      <c r="I10" s="309">
        <f t="shared" si="4"/>
        <v>6080.0571010601943</v>
      </c>
      <c r="J10" s="309">
        <f t="shared" si="4"/>
        <v>5649.4803858688165</v>
      </c>
      <c r="K10" s="309">
        <f t="shared" si="4"/>
        <v>5847.5988944702076</v>
      </c>
      <c r="L10" s="309">
        <f t="shared" si="4"/>
        <v>5628.7754491858159</v>
      </c>
      <c r="M10" s="309">
        <f t="shared" si="4"/>
        <v>5331.3013756759865</v>
      </c>
      <c r="N10" s="309">
        <f t="shared" si="4"/>
        <v>5645.4883019354038</v>
      </c>
      <c r="O10" s="309">
        <f t="shared" si="4"/>
        <v>4968.0107651943135</v>
      </c>
      <c r="P10" s="309">
        <f t="shared" si="4"/>
        <v>3864.1448513674068</v>
      </c>
      <c r="Q10" s="309">
        <f t="shared" si="4"/>
        <v>6220.4795160262584</v>
      </c>
      <c r="R10" s="309">
        <f t="shared" si="4"/>
        <v>0</v>
      </c>
      <c r="S10" s="309">
        <f t="shared" si="4"/>
        <v>0</v>
      </c>
      <c r="T10" s="309">
        <f t="shared" si="4"/>
        <v>0</v>
      </c>
      <c r="U10" s="309">
        <f t="shared" si="4"/>
        <v>0</v>
      </c>
      <c r="V10" s="309">
        <f t="shared" si="4"/>
        <v>0</v>
      </c>
      <c r="W10" s="309">
        <f t="shared" si="4"/>
        <v>0</v>
      </c>
      <c r="X10" s="309">
        <f t="shared" si="4"/>
        <v>0</v>
      </c>
      <c r="Y10" s="309">
        <f t="shared" si="4"/>
        <v>0</v>
      </c>
      <c r="Z10" s="309">
        <f t="shared" si="4"/>
        <v>0</v>
      </c>
      <c r="AA10" s="309">
        <f t="shared" si="4"/>
        <v>0</v>
      </c>
      <c r="AB10" s="309">
        <f t="shared" si="4"/>
        <v>0</v>
      </c>
      <c r="AC10" s="309">
        <f t="shared" si="4"/>
        <v>0</v>
      </c>
      <c r="AD10" s="309">
        <f t="shared" si="4"/>
        <v>0</v>
      </c>
      <c r="AE10" s="309">
        <f t="shared" si="4"/>
        <v>0</v>
      </c>
      <c r="AF10" s="309">
        <f t="shared" si="4"/>
        <v>0</v>
      </c>
      <c r="AG10" s="309">
        <f t="shared" si="4"/>
        <v>0</v>
      </c>
      <c r="AH10" s="309">
        <f t="shared" si="4"/>
        <v>0</v>
      </c>
      <c r="AI10" s="314">
        <f t="shared" si="1"/>
        <v>74444.150336683597</v>
      </c>
    </row>
    <row r="11" spans="1:35" x14ac:dyDescent="0.25">
      <c r="B11" s="126"/>
      <c r="C11" s="306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  <c r="AA11" s="309"/>
      <c r="AB11" s="309"/>
      <c r="AC11" s="309"/>
      <c r="AD11" s="309"/>
      <c r="AE11" s="309"/>
      <c r="AF11" s="309"/>
      <c r="AG11" s="309"/>
      <c r="AH11" s="309"/>
    </row>
  </sheetData>
  <pageMargins left="0.2" right="0.2" top="0.25" bottom="0.25" header="0.3" footer="0.3"/>
  <pageSetup scale="34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27"/>
  <sheetViews>
    <sheetView view="pageBreakPreview" topLeftCell="I1" zoomScale="85" zoomScaleNormal="70" zoomScaleSheetLayoutView="85" workbookViewId="0">
      <selection activeCell="L21" sqref="L21"/>
    </sheetView>
  </sheetViews>
  <sheetFormatPr defaultRowHeight="15" x14ac:dyDescent="0.25"/>
  <cols>
    <col min="1" max="1" width="1.5703125" style="104" customWidth="1"/>
    <col min="2" max="2" width="9.28515625" style="104" bestFit="1" customWidth="1"/>
    <col min="3" max="3" width="9.28515625" style="104" customWidth="1"/>
    <col min="4" max="4" width="13" style="104" customWidth="1"/>
    <col min="5" max="5" width="11.5703125" style="104" customWidth="1"/>
    <col min="6" max="6" width="9.85546875" style="104" customWidth="1"/>
    <col min="7" max="7" width="11" style="104" customWidth="1"/>
    <col min="8" max="9" width="10.5703125" style="104" customWidth="1"/>
    <col min="10" max="12" width="10.5703125" style="160" customWidth="1"/>
    <col min="13" max="13" width="10.5703125" style="104" customWidth="1"/>
    <col min="14" max="14" width="4.28515625" style="104" customWidth="1"/>
    <col min="15" max="15" width="9.28515625" style="104" customWidth="1"/>
    <col min="16" max="16" width="13.42578125" style="104" bestFit="1" customWidth="1"/>
    <col min="17" max="18" width="9.28515625" style="160" bestFit="1" customWidth="1"/>
    <col min="19" max="19" width="10.5703125" style="160" bestFit="1" customWidth="1"/>
    <col min="20" max="23" width="9.28515625" style="160" customWidth="1"/>
    <col min="24" max="24" width="9.140625" style="160" customWidth="1"/>
    <col min="25" max="25" width="11.140625" style="160" customWidth="1"/>
    <col min="26" max="26" width="11.7109375" style="104" customWidth="1"/>
    <col min="27" max="16384" width="9.140625" style="104"/>
  </cols>
  <sheetData>
    <row r="1" spans="2:27" ht="4.5" customHeight="1" x14ac:dyDescent="0.25"/>
    <row r="2" spans="2:27" ht="18.75" customHeight="1" x14ac:dyDescent="0.25">
      <c r="B2" s="906" t="s">
        <v>306</v>
      </c>
      <c r="C2" s="906"/>
      <c r="D2" s="906"/>
      <c r="E2" s="906"/>
      <c r="F2" s="906"/>
      <c r="G2" s="906"/>
      <c r="H2" s="906"/>
      <c r="I2" s="906"/>
      <c r="J2" s="906"/>
      <c r="K2" s="906"/>
      <c r="L2" s="906"/>
      <c r="M2" s="906"/>
      <c r="N2" s="906"/>
      <c r="O2" s="906"/>
      <c r="P2" s="906"/>
      <c r="Q2" s="906"/>
      <c r="R2" s="906"/>
      <c r="S2" s="906"/>
      <c r="T2" s="906"/>
      <c r="U2" s="906"/>
      <c r="V2" s="906"/>
      <c r="W2" s="906"/>
      <c r="X2" s="906"/>
      <c r="Y2" s="906"/>
      <c r="Z2" s="906"/>
      <c r="AA2" s="906"/>
    </row>
    <row r="3" spans="2:27" s="364" customFormat="1" ht="32.25" customHeight="1" x14ac:dyDescent="0.25">
      <c r="B3" s="363" t="s">
        <v>121</v>
      </c>
      <c r="C3" s="363" t="s">
        <v>122</v>
      </c>
      <c r="D3" s="363" t="s">
        <v>307</v>
      </c>
      <c r="E3" s="307" t="s">
        <v>271</v>
      </c>
      <c r="F3" s="307" t="s">
        <v>272</v>
      </c>
      <c r="G3" s="307" t="s">
        <v>273</v>
      </c>
      <c r="H3" s="307" t="s">
        <v>274</v>
      </c>
      <c r="I3" s="307" t="s">
        <v>275</v>
      </c>
      <c r="J3" s="307" t="s">
        <v>276</v>
      </c>
      <c r="K3" s="307" t="s">
        <v>277</v>
      </c>
      <c r="L3" s="307" t="s">
        <v>278</v>
      </c>
      <c r="M3" s="307"/>
      <c r="O3" s="363" t="s">
        <v>279</v>
      </c>
      <c r="P3" s="363" t="s">
        <v>279</v>
      </c>
      <c r="Q3" s="307" t="s">
        <v>276</v>
      </c>
      <c r="R3" s="307" t="s">
        <v>277</v>
      </c>
      <c r="S3" s="363" t="s">
        <v>307</v>
      </c>
      <c r="T3" s="307" t="s">
        <v>271</v>
      </c>
      <c r="U3" s="307" t="s">
        <v>272</v>
      </c>
      <c r="V3" s="307" t="s">
        <v>273</v>
      </c>
      <c r="W3" s="307" t="s">
        <v>274</v>
      </c>
      <c r="X3" s="307" t="s">
        <v>275</v>
      </c>
      <c r="Y3" s="307" t="s">
        <v>280</v>
      </c>
      <c r="Z3" s="307" t="s">
        <v>308</v>
      </c>
      <c r="AA3" s="307" t="s">
        <v>294</v>
      </c>
    </row>
    <row r="4" spans="2:27" s="364" customFormat="1" ht="18" customHeight="1" x14ac:dyDescent="0.25">
      <c r="B4" s="363"/>
      <c r="C4" s="363"/>
      <c r="D4" s="363" t="s">
        <v>6</v>
      </c>
      <c r="E4" s="363" t="s">
        <v>6</v>
      </c>
      <c r="F4" s="363" t="s">
        <v>6</v>
      </c>
      <c r="G4" s="363" t="s">
        <v>6</v>
      </c>
      <c r="H4" s="363" t="s">
        <v>6</v>
      </c>
      <c r="I4" s="363" t="s">
        <v>6</v>
      </c>
      <c r="J4" s="307" t="s">
        <v>6</v>
      </c>
      <c r="K4" s="307" t="s">
        <v>6</v>
      </c>
      <c r="L4" s="307" t="s">
        <v>281</v>
      </c>
      <c r="M4" s="363"/>
      <c r="O4" s="363" t="s">
        <v>282</v>
      </c>
      <c r="P4" s="363" t="s">
        <v>6</v>
      </c>
      <c r="Q4" s="307" t="s">
        <v>216</v>
      </c>
      <c r="R4" s="307" t="s">
        <v>216</v>
      </c>
      <c r="S4" s="307" t="s">
        <v>216</v>
      </c>
      <c r="T4" s="307" t="s">
        <v>216</v>
      </c>
      <c r="U4" s="307" t="s">
        <v>216</v>
      </c>
      <c r="V4" s="307" t="s">
        <v>216</v>
      </c>
      <c r="W4" s="307" t="s">
        <v>216</v>
      </c>
      <c r="X4" s="307" t="s">
        <v>216</v>
      </c>
      <c r="Y4" s="307" t="s">
        <v>216</v>
      </c>
      <c r="Z4" s="307" t="s">
        <v>216</v>
      </c>
      <c r="AA4" s="307" t="s">
        <v>216</v>
      </c>
    </row>
    <row r="5" spans="2:27" ht="18" customHeight="1" x14ac:dyDescent="0.25">
      <c r="B5" s="365">
        <v>43922</v>
      </c>
      <c r="C5" s="366">
        <v>30</v>
      </c>
      <c r="D5" s="367">
        <v>117520</v>
      </c>
      <c r="E5" s="367">
        <v>4149</v>
      </c>
      <c r="F5" s="367">
        <v>38</v>
      </c>
      <c r="G5" s="367">
        <v>6947</v>
      </c>
      <c r="H5" s="367">
        <v>8078</v>
      </c>
      <c r="I5" s="367"/>
      <c r="J5" s="368">
        <v>140295.97692054603</v>
      </c>
      <c r="K5" s="368">
        <f>L5*C5</f>
        <v>150259.08376714107</v>
      </c>
      <c r="L5" s="368">
        <v>5008.6361255713691</v>
      </c>
      <c r="M5" s="367"/>
      <c r="N5" s="369"/>
      <c r="O5" s="370">
        <v>999.4</v>
      </c>
      <c r="P5" s="371">
        <f>(O5*24*C5)</f>
        <v>719568</v>
      </c>
      <c r="Q5" s="372">
        <f t="shared" ref="Q5:Q16" si="0">J5/P5</f>
        <v>0.19497250700496135</v>
      </c>
      <c r="R5" s="372">
        <f t="shared" ref="R5:R16" si="1">K5/P5</f>
        <v>0.20881846297659301</v>
      </c>
      <c r="S5" s="372">
        <f t="shared" ref="S5:S16" si="2">D5/P5</f>
        <v>0.16332021435083272</v>
      </c>
      <c r="T5" s="372">
        <f t="shared" ref="T5:T16" si="3">E5/P5</f>
        <v>5.7659595757454472E-3</v>
      </c>
      <c r="U5" s="372">
        <f t="shared" ref="U5:U16" si="4">F5/P5</f>
        <v>5.2809463455851288E-5</v>
      </c>
      <c r="V5" s="372">
        <f t="shared" ref="V5:V16" si="5">G5/P5</f>
        <v>9.6544037533631295E-3</v>
      </c>
      <c r="W5" s="372">
        <f t="shared" ref="W5:W16" si="6">H5/P5</f>
        <v>1.1226180152535965E-2</v>
      </c>
      <c r="X5" s="372">
        <f t="shared" ref="X5:X16" si="7">I5/P5</f>
        <v>0</v>
      </c>
      <c r="Y5" s="372">
        <f>V5+X5</f>
        <v>9.6544037533631295E-3</v>
      </c>
      <c r="Z5" s="372">
        <f>R5-Q5</f>
        <v>1.3845955971631657E-2</v>
      </c>
      <c r="AA5" s="372">
        <f t="shared" ref="AA5:AA16" si="8">(R5-S5)-(T5+U5+W5+Y5+Z5)</f>
        <v>4.9529397090282493E-3</v>
      </c>
    </row>
    <row r="6" spans="2:27" ht="18" customHeight="1" x14ac:dyDescent="0.25">
      <c r="B6" s="365">
        <v>43952</v>
      </c>
      <c r="C6" s="366">
        <v>31</v>
      </c>
      <c r="D6" s="367">
        <v>119951.99999999997</v>
      </c>
      <c r="E6" s="367">
        <v>4253</v>
      </c>
      <c r="F6" s="367">
        <v>4857</v>
      </c>
      <c r="G6" s="367">
        <v>6811</v>
      </c>
      <c r="H6" s="367">
        <v>2375</v>
      </c>
      <c r="I6" s="367"/>
      <c r="J6" s="368">
        <v>144272.19605244105</v>
      </c>
      <c r="K6" s="368">
        <f t="shared" ref="K6:K16" si="9">L6*C6</f>
        <v>151076.15291381013</v>
      </c>
      <c r="L6" s="368">
        <v>4873.4242875422624</v>
      </c>
      <c r="M6" s="367"/>
      <c r="N6" s="369"/>
      <c r="O6" s="370">
        <v>999.4</v>
      </c>
      <c r="P6" s="371">
        <f t="shared" ref="P6:P16" si="10">(O6*24*C6)</f>
        <v>743553.6</v>
      </c>
      <c r="Q6" s="372">
        <f t="shared" si="0"/>
        <v>0.19403066040221048</v>
      </c>
      <c r="R6" s="372">
        <f t="shared" si="1"/>
        <v>0.20318125406670096</v>
      </c>
      <c r="S6" s="372">
        <f t="shared" si="2"/>
        <v>0.16132260001161985</v>
      </c>
      <c r="T6" s="372">
        <f t="shared" si="3"/>
        <v>5.7198297473107524E-3</v>
      </c>
      <c r="U6" s="372">
        <f t="shared" si="4"/>
        <v>6.5321450935077177E-3</v>
      </c>
      <c r="V6" s="372">
        <f t="shared" si="5"/>
        <v>9.1600659320323387E-3</v>
      </c>
      <c r="W6" s="372">
        <f t="shared" si="6"/>
        <v>3.1941207735393926E-3</v>
      </c>
      <c r="X6" s="372">
        <f t="shared" si="7"/>
        <v>0</v>
      </c>
      <c r="Y6" s="372">
        <f t="shared" ref="Y6:Y20" si="11">V6+X6</f>
        <v>9.1600659320323387E-3</v>
      </c>
      <c r="Z6" s="372">
        <f t="shared" ref="Z6:Z20" si="12">R6-Q6</f>
        <v>9.1505936644904751E-3</v>
      </c>
      <c r="AA6" s="372">
        <f t="shared" si="8"/>
        <v>8.1018988442004281E-3</v>
      </c>
    </row>
    <row r="7" spans="2:27" ht="18" customHeight="1" x14ac:dyDescent="0.25">
      <c r="B7" s="365">
        <v>43983</v>
      </c>
      <c r="C7" s="366">
        <v>30</v>
      </c>
      <c r="D7" s="367">
        <v>119239.99999999996</v>
      </c>
      <c r="E7" s="367">
        <v>2837</v>
      </c>
      <c r="F7" s="367">
        <v>4451</v>
      </c>
      <c r="G7" s="367">
        <v>382</v>
      </c>
      <c r="H7" s="367">
        <v>2944</v>
      </c>
      <c r="I7" s="367"/>
      <c r="J7" s="368">
        <v>132137.00821003551</v>
      </c>
      <c r="K7" s="368">
        <f t="shared" si="9"/>
        <v>130529.94003227689</v>
      </c>
      <c r="L7" s="368">
        <v>4350.9980010758964</v>
      </c>
      <c r="M7" s="367"/>
      <c r="N7" s="369"/>
      <c r="O7" s="370">
        <v>999.4</v>
      </c>
      <c r="P7" s="371">
        <f t="shared" si="10"/>
        <v>719568</v>
      </c>
      <c r="Q7" s="372">
        <f t="shared" si="0"/>
        <v>0.18363380279561559</v>
      </c>
      <c r="R7" s="372">
        <f t="shared" si="1"/>
        <v>0.18140042363234177</v>
      </c>
      <c r="S7" s="372">
        <f t="shared" si="2"/>
        <v>0.1657105374335712</v>
      </c>
      <c r="T7" s="372">
        <f t="shared" si="3"/>
        <v>3.9426433637960558E-3</v>
      </c>
      <c r="U7" s="372">
        <f t="shared" si="4"/>
        <v>6.1856558379472125E-3</v>
      </c>
      <c r="V7" s="372">
        <f t="shared" si="5"/>
        <v>5.3087408000355768E-4</v>
      </c>
      <c r="W7" s="372">
        <f t="shared" si="6"/>
        <v>4.0913436951059527E-3</v>
      </c>
      <c r="X7" s="372">
        <f t="shared" si="7"/>
        <v>0</v>
      </c>
      <c r="Y7" s="372">
        <f t="shared" si="11"/>
        <v>5.3087408000355768E-4</v>
      </c>
      <c r="Z7" s="372">
        <f t="shared" si="12"/>
        <v>-2.2333791632738187E-3</v>
      </c>
      <c r="AA7" s="372">
        <f t="shared" si="8"/>
        <v>3.1727483851916091E-3</v>
      </c>
    </row>
    <row r="8" spans="2:27" ht="18" customHeight="1" x14ac:dyDescent="0.25">
      <c r="B8" s="365">
        <v>44013</v>
      </c>
      <c r="C8" s="366">
        <v>31</v>
      </c>
      <c r="D8" s="367">
        <v>103576.00000000006</v>
      </c>
      <c r="E8" s="367">
        <v>0</v>
      </c>
      <c r="F8" s="367">
        <v>4367</v>
      </c>
      <c r="G8" s="367">
        <v>1906</v>
      </c>
      <c r="H8" s="367">
        <v>597</v>
      </c>
      <c r="I8" s="367"/>
      <c r="J8" s="368">
        <v>113896.27109900001</v>
      </c>
      <c r="K8" s="368">
        <f t="shared" si="9"/>
        <v>115548.54259105901</v>
      </c>
      <c r="L8" s="368">
        <v>3727.3723416470648</v>
      </c>
      <c r="M8" s="367"/>
      <c r="N8" s="369"/>
      <c r="O8" s="370">
        <v>999.4</v>
      </c>
      <c r="P8" s="371">
        <f t="shared" si="10"/>
        <v>743553.6</v>
      </c>
      <c r="Q8" s="372">
        <f t="shared" si="0"/>
        <v>0.15317829286146958</v>
      </c>
      <c r="R8" s="372">
        <f t="shared" si="1"/>
        <v>0.15540042115465383</v>
      </c>
      <c r="S8" s="372">
        <f t="shared" si="2"/>
        <v>0.13929863294320688</v>
      </c>
      <c r="T8" s="372">
        <f t="shared" si="3"/>
        <v>0</v>
      </c>
      <c r="U8" s="372">
        <f t="shared" si="4"/>
        <v>5.8731475444406432E-3</v>
      </c>
      <c r="V8" s="372">
        <f t="shared" si="5"/>
        <v>2.5633659765751924E-3</v>
      </c>
      <c r="W8" s="372">
        <f t="shared" si="6"/>
        <v>8.0290109549600733E-4</v>
      </c>
      <c r="X8" s="372">
        <f t="shared" si="7"/>
        <v>0</v>
      </c>
      <c r="Y8" s="372">
        <f t="shared" si="11"/>
        <v>2.5633659765751924E-3</v>
      </c>
      <c r="Z8" s="372">
        <f t="shared" si="12"/>
        <v>2.2221282931842445E-3</v>
      </c>
      <c r="AA8" s="372">
        <f t="shared" si="8"/>
        <v>4.6402453017508616E-3</v>
      </c>
    </row>
    <row r="9" spans="2:27" ht="18" customHeight="1" x14ac:dyDescent="0.25">
      <c r="B9" s="365">
        <v>44044</v>
      </c>
      <c r="C9" s="366">
        <v>31</v>
      </c>
      <c r="D9" s="367">
        <v>96623.999999999971</v>
      </c>
      <c r="E9" s="367">
        <v>1549</v>
      </c>
      <c r="F9" s="367">
        <v>1830</v>
      </c>
      <c r="G9" s="367">
        <v>0</v>
      </c>
      <c r="H9" s="367">
        <v>168</v>
      </c>
      <c r="I9" s="367"/>
      <c r="J9" s="368">
        <v>104011.76437807207</v>
      </c>
      <c r="K9" s="368">
        <f t="shared" si="9"/>
        <v>114129.05151633573</v>
      </c>
      <c r="L9" s="368">
        <v>3681.582306978572</v>
      </c>
      <c r="M9" s="367"/>
      <c r="N9" s="369"/>
      <c r="O9" s="370">
        <v>999.4</v>
      </c>
      <c r="P9" s="371">
        <f t="shared" si="10"/>
        <v>743553.6</v>
      </c>
      <c r="Q9" s="372">
        <f t="shared" si="0"/>
        <v>0.1398846893863093</v>
      </c>
      <c r="R9" s="372">
        <f t="shared" si="1"/>
        <v>0.15349135760533705</v>
      </c>
      <c r="S9" s="372">
        <f t="shared" si="2"/>
        <v>0.12994893710419797</v>
      </c>
      <c r="T9" s="372">
        <f t="shared" si="3"/>
        <v>2.0832391908263237E-3</v>
      </c>
      <c r="U9" s="372">
        <f t="shared" si="4"/>
        <v>2.461154111821932E-3</v>
      </c>
      <c r="V9" s="372">
        <f t="shared" si="5"/>
        <v>0</v>
      </c>
      <c r="W9" s="372">
        <f t="shared" si="6"/>
        <v>2.2594201682299704E-4</v>
      </c>
      <c r="X9" s="372">
        <f t="shared" si="7"/>
        <v>0</v>
      </c>
      <c r="Y9" s="372">
        <f t="shared" si="11"/>
        <v>0</v>
      </c>
      <c r="Z9" s="372">
        <f t="shared" si="12"/>
        <v>1.3606668219027757E-2</v>
      </c>
      <c r="AA9" s="372">
        <f t="shared" si="8"/>
        <v>5.1654169626400744E-3</v>
      </c>
    </row>
    <row r="10" spans="2:27" ht="18" customHeight="1" x14ac:dyDescent="0.25">
      <c r="B10" s="365">
        <v>44075</v>
      </c>
      <c r="C10" s="366">
        <v>30</v>
      </c>
      <c r="D10" s="367">
        <v>108915.99999999999</v>
      </c>
      <c r="E10" s="367">
        <v>2065</v>
      </c>
      <c r="F10" s="367">
        <v>1457</v>
      </c>
      <c r="G10" s="367">
        <v>0</v>
      </c>
      <c r="H10" s="367">
        <v>7955</v>
      </c>
      <c r="I10" s="367"/>
      <c r="J10" s="368">
        <v>124821.94469929149</v>
      </c>
      <c r="K10" s="368">
        <f t="shared" si="9"/>
        <v>124645.21619226669</v>
      </c>
      <c r="L10" s="368">
        <v>4154.840539742223</v>
      </c>
      <c r="M10" s="367"/>
      <c r="N10" s="369"/>
      <c r="O10" s="370">
        <v>999.4</v>
      </c>
      <c r="P10" s="371">
        <f t="shared" si="10"/>
        <v>719568</v>
      </c>
      <c r="Q10" s="372">
        <f t="shared" si="0"/>
        <v>0.17346789281804012</v>
      </c>
      <c r="R10" s="372">
        <f t="shared" si="1"/>
        <v>0.1732222891961103</v>
      </c>
      <c r="S10" s="372">
        <f t="shared" si="2"/>
        <v>0.15136304004624995</v>
      </c>
      <c r="T10" s="372">
        <f t="shared" si="3"/>
        <v>2.8697774220087608E-3</v>
      </c>
      <c r="U10" s="372">
        <f t="shared" si="4"/>
        <v>2.0248260067151401E-3</v>
      </c>
      <c r="V10" s="372">
        <f t="shared" si="5"/>
        <v>0</v>
      </c>
      <c r="W10" s="372">
        <f t="shared" si="6"/>
        <v>1.105524425766571E-2</v>
      </c>
      <c r="X10" s="372">
        <f t="shared" si="7"/>
        <v>0</v>
      </c>
      <c r="Y10" s="372">
        <f t="shared" si="11"/>
        <v>0</v>
      </c>
      <c r="Z10" s="372">
        <f t="shared" si="12"/>
        <v>-2.456036219298241E-4</v>
      </c>
      <c r="AA10" s="372">
        <f t="shared" si="8"/>
        <v>6.1550050854005563E-3</v>
      </c>
    </row>
    <row r="11" spans="2:27" ht="18" customHeight="1" x14ac:dyDescent="0.25">
      <c r="B11" s="365">
        <v>44105</v>
      </c>
      <c r="C11" s="366">
        <v>31</v>
      </c>
      <c r="D11" s="367">
        <v>122183.99999999997</v>
      </c>
      <c r="E11" s="367">
        <v>0</v>
      </c>
      <c r="F11" s="367">
        <v>1694</v>
      </c>
      <c r="G11" s="367">
        <v>0</v>
      </c>
      <c r="H11" s="367">
        <v>5042</v>
      </c>
      <c r="I11" s="367"/>
      <c r="J11" s="368">
        <v>132138.39068536897</v>
      </c>
      <c r="K11" s="368">
        <f t="shared" si="9"/>
        <v>141897.89552710703</v>
      </c>
      <c r="L11" s="368">
        <v>4577.3514686163562</v>
      </c>
      <c r="M11" s="367"/>
      <c r="N11" s="369"/>
      <c r="O11" s="370">
        <v>999.4</v>
      </c>
      <c r="P11" s="371">
        <f t="shared" si="10"/>
        <v>743553.6</v>
      </c>
      <c r="Q11" s="372">
        <f t="shared" si="0"/>
        <v>0.1777119910190321</v>
      </c>
      <c r="R11" s="372">
        <f t="shared" si="1"/>
        <v>0.19083748034722317</v>
      </c>
      <c r="S11" s="372">
        <f t="shared" si="2"/>
        <v>0.16432440109226823</v>
      </c>
      <c r="T11" s="372">
        <f t="shared" si="3"/>
        <v>0</v>
      </c>
      <c r="U11" s="372">
        <f t="shared" si="4"/>
        <v>2.2782486696318869E-3</v>
      </c>
      <c r="V11" s="372">
        <f t="shared" si="5"/>
        <v>0</v>
      </c>
      <c r="W11" s="372">
        <f t="shared" si="6"/>
        <v>6.7809502906044702E-3</v>
      </c>
      <c r="X11" s="372">
        <f t="shared" si="7"/>
        <v>0</v>
      </c>
      <c r="Y11" s="372">
        <f t="shared" si="11"/>
        <v>0</v>
      </c>
      <c r="Z11" s="372">
        <f t="shared" si="12"/>
        <v>1.3125489328191076E-2</v>
      </c>
      <c r="AA11" s="372">
        <f t="shared" si="8"/>
        <v>4.3283909665275087E-3</v>
      </c>
    </row>
    <row r="12" spans="2:27" ht="18" customHeight="1" x14ac:dyDescent="0.25">
      <c r="B12" s="365">
        <v>44136</v>
      </c>
      <c r="C12" s="366">
        <v>30</v>
      </c>
      <c r="D12" s="367">
        <v>90968.000000000044</v>
      </c>
      <c r="E12" s="367">
        <v>15435</v>
      </c>
      <c r="F12" s="367">
        <v>1712</v>
      </c>
      <c r="G12" s="367">
        <v>0</v>
      </c>
      <c r="H12" s="367">
        <v>268</v>
      </c>
      <c r="I12" s="367"/>
      <c r="J12" s="368">
        <v>109823.15409740296</v>
      </c>
      <c r="K12" s="368">
        <f t="shared" si="9"/>
        <v>137984.77393963246</v>
      </c>
      <c r="L12" s="368">
        <v>4599.492464654415</v>
      </c>
      <c r="M12" s="367"/>
      <c r="N12" s="369"/>
      <c r="O12" s="370">
        <v>999.4</v>
      </c>
      <c r="P12" s="371">
        <f t="shared" si="10"/>
        <v>719568</v>
      </c>
      <c r="Q12" s="372">
        <f t="shared" si="0"/>
        <v>0.15262373270824017</v>
      </c>
      <c r="R12" s="372">
        <f t="shared" si="1"/>
        <v>0.19176057570602426</v>
      </c>
      <c r="S12" s="372">
        <f t="shared" si="2"/>
        <v>0.12642029662241797</v>
      </c>
      <c r="T12" s="372">
        <f t="shared" si="3"/>
        <v>2.145037022213328E-2</v>
      </c>
      <c r="U12" s="372">
        <f t="shared" si="4"/>
        <v>2.379205300958353E-3</v>
      </c>
      <c r="V12" s="372">
        <f t="shared" si="5"/>
        <v>0</v>
      </c>
      <c r="W12" s="372">
        <f t="shared" si="6"/>
        <v>3.7244568963600385E-4</v>
      </c>
      <c r="X12" s="372">
        <f t="shared" si="7"/>
        <v>0</v>
      </c>
      <c r="Y12" s="372">
        <f t="shared" si="11"/>
        <v>0</v>
      </c>
      <c r="Z12" s="372">
        <f t="shared" si="12"/>
        <v>3.9136842997784083E-2</v>
      </c>
      <c r="AA12" s="372">
        <f t="shared" si="8"/>
        <v>2.0014148730945758E-3</v>
      </c>
    </row>
    <row r="13" spans="2:27" ht="18" customHeight="1" x14ac:dyDescent="0.25">
      <c r="B13" s="365">
        <v>44166</v>
      </c>
      <c r="C13" s="366">
        <v>31</v>
      </c>
      <c r="D13" s="367">
        <v>91684.000000000102</v>
      </c>
      <c r="E13" s="367">
        <v>2400</v>
      </c>
      <c r="F13" s="367">
        <v>580</v>
      </c>
      <c r="G13" s="367">
        <v>0</v>
      </c>
      <c r="H13" s="367">
        <v>6136</v>
      </c>
      <c r="I13" s="367"/>
      <c r="J13" s="368">
        <v>104217.38731714168</v>
      </c>
      <c r="K13" s="368">
        <f t="shared" si="9"/>
        <v>131378.96050626002</v>
      </c>
      <c r="L13" s="368">
        <v>4238.0309840729042</v>
      </c>
      <c r="M13" s="367"/>
      <c r="N13" s="369"/>
      <c r="O13" s="370">
        <v>999.4</v>
      </c>
      <c r="P13" s="371">
        <f t="shared" si="10"/>
        <v>743553.6</v>
      </c>
      <c r="Q13" s="372">
        <f t="shared" si="0"/>
        <v>0.14016123022891919</v>
      </c>
      <c r="R13" s="372">
        <f t="shared" si="1"/>
        <v>0.17669063871960275</v>
      </c>
      <c r="S13" s="372">
        <f t="shared" si="2"/>
        <v>0.12330516589523621</v>
      </c>
      <c r="T13" s="372">
        <f t="shared" si="3"/>
        <v>3.2277430974713864E-3</v>
      </c>
      <c r="U13" s="372">
        <f t="shared" si="4"/>
        <v>7.8003791522225164E-4</v>
      </c>
      <c r="V13" s="372">
        <f t="shared" si="5"/>
        <v>0</v>
      </c>
      <c r="W13" s="372">
        <f t="shared" si="6"/>
        <v>8.2522631858685108E-3</v>
      </c>
      <c r="X13" s="372">
        <f t="shared" si="7"/>
        <v>0</v>
      </c>
      <c r="Y13" s="372">
        <f t="shared" si="11"/>
        <v>0</v>
      </c>
      <c r="Z13" s="372">
        <f t="shared" si="12"/>
        <v>3.6529408490683563E-2</v>
      </c>
      <c r="AA13" s="372">
        <f t="shared" si="8"/>
        <v>4.5960201351208235E-3</v>
      </c>
    </row>
    <row r="14" spans="2:27" ht="18" customHeight="1" x14ac:dyDescent="0.25">
      <c r="B14" s="365">
        <v>44197</v>
      </c>
      <c r="C14" s="366">
        <v>31</v>
      </c>
      <c r="D14" s="367">
        <v>76887.799999999901</v>
      </c>
      <c r="E14" s="367">
        <v>1984</v>
      </c>
      <c r="F14" s="367">
        <v>0</v>
      </c>
      <c r="G14" s="367">
        <v>0</v>
      </c>
      <c r="H14" s="367">
        <v>3694</v>
      </c>
      <c r="I14" s="367"/>
      <c r="J14" s="368">
        <v>87252.197818768254</v>
      </c>
      <c r="K14" s="368">
        <f t="shared" si="9"/>
        <v>148347.70976141153</v>
      </c>
      <c r="L14" s="368">
        <v>4785.4099923035974</v>
      </c>
      <c r="M14" s="367"/>
      <c r="N14" s="369"/>
      <c r="O14" s="370">
        <f>999.4+248</f>
        <v>1247.4000000000001</v>
      </c>
      <c r="P14" s="371">
        <f t="shared" si="10"/>
        <v>928065.60000000009</v>
      </c>
      <c r="Q14" s="372">
        <f t="shared" si="0"/>
        <v>9.4015118994571337E-2</v>
      </c>
      <c r="R14" s="372">
        <f t="shared" si="1"/>
        <v>0.15984614639462072</v>
      </c>
      <c r="S14" s="372">
        <f t="shared" si="2"/>
        <v>8.2847376306157558E-2</v>
      </c>
      <c r="T14" s="372">
        <f t="shared" si="3"/>
        <v>2.1377799155576933E-3</v>
      </c>
      <c r="U14" s="372">
        <f t="shared" si="4"/>
        <v>0</v>
      </c>
      <c r="V14" s="372">
        <f t="shared" si="5"/>
        <v>0</v>
      </c>
      <c r="W14" s="372">
        <f t="shared" si="6"/>
        <v>3.9803220806805036E-3</v>
      </c>
      <c r="X14" s="372">
        <f t="shared" si="7"/>
        <v>0</v>
      </c>
      <c r="Y14" s="372">
        <f t="shared" si="11"/>
        <v>0</v>
      </c>
      <c r="Z14" s="372">
        <f t="shared" si="12"/>
        <v>6.5831027400049383E-2</v>
      </c>
      <c r="AA14" s="372">
        <f t="shared" si="8"/>
        <v>5.0496406921755749E-3</v>
      </c>
    </row>
    <row r="15" spans="2:27" ht="18" customHeight="1" x14ac:dyDescent="0.25">
      <c r="B15" s="365">
        <v>44228</v>
      </c>
      <c r="C15" s="366">
        <v>28</v>
      </c>
      <c r="D15" s="367">
        <v>115644.00004000007</v>
      </c>
      <c r="E15" s="367">
        <v>2367</v>
      </c>
      <c r="F15" s="367">
        <v>1924</v>
      </c>
      <c r="G15" s="367">
        <v>20</v>
      </c>
      <c r="H15" s="367">
        <v>6755</v>
      </c>
      <c r="I15" s="367"/>
      <c r="J15" s="368">
        <v>128872.83010938668</v>
      </c>
      <c r="K15" s="368">
        <v>161944.6999724918</v>
      </c>
      <c r="L15" s="368">
        <v>5783.7392847318497</v>
      </c>
      <c r="M15" s="367"/>
      <c r="N15" s="369"/>
      <c r="O15" s="370">
        <v>1247.4000000000001</v>
      </c>
      <c r="P15" s="371">
        <v>838252.8</v>
      </c>
      <c r="Q15" s="372">
        <f t="shared" si="0"/>
        <v>0.15373981465899866</v>
      </c>
      <c r="R15" s="372">
        <f t="shared" si="1"/>
        <v>0.19319315124565262</v>
      </c>
      <c r="S15" s="372">
        <f t="shared" si="2"/>
        <v>0.13795838205371944</v>
      </c>
      <c r="T15" s="372">
        <f t="shared" si="3"/>
        <v>2.8237305023019305E-3</v>
      </c>
      <c r="U15" s="372">
        <f t="shared" si="4"/>
        <v>2.2952503111233267E-3</v>
      </c>
      <c r="V15" s="372">
        <f t="shared" si="5"/>
        <v>2.3859150843277827E-5</v>
      </c>
      <c r="W15" s="372">
        <f t="shared" si="6"/>
        <v>8.0584281973170857E-3</v>
      </c>
      <c r="X15" s="372">
        <f t="shared" si="7"/>
        <v>0</v>
      </c>
      <c r="Y15" s="372">
        <f t="shared" si="11"/>
        <v>2.3859150843277827E-5</v>
      </c>
      <c r="Z15" s="372">
        <f t="shared" si="12"/>
        <v>3.9453336586653953E-2</v>
      </c>
      <c r="AA15" s="372">
        <f t="shared" si="8"/>
        <v>2.5801644436936055E-3</v>
      </c>
    </row>
    <row r="16" spans="2:27" ht="18" customHeight="1" x14ac:dyDescent="0.25">
      <c r="B16" s="365">
        <v>44256</v>
      </c>
      <c r="C16" s="366">
        <f>+'Solar Report_Base'!AI198</f>
        <v>14</v>
      </c>
      <c r="D16" s="367">
        <f>[3]Formula!AI103</f>
        <v>160223.99997999996</v>
      </c>
      <c r="E16" s="367">
        <f>[3]Formula!AI193</f>
        <v>5224</v>
      </c>
      <c r="F16" s="367" t="e">
        <f>[3]Formula!AI206</f>
        <v>#REF!</v>
      </c>
      <c r="G16" s="367">
        <f>[3]Formula!AI216</f>
        <v>87</v>
      </c>
      <c r="H16" s="367">
        <f>[3]Formula!AI225</f>
        <v>8208</v>
      </c>
      <c r="I16" s="367"/>
      <c r="J16" s="368">
        <f>[3]Formula!AI106</f>
        <v>176560.5414978292</v>
      </c>
      <c r="K16" s="368">
        <f t="shared" si="9"/>
        <v>85767.703855008353</v>
      </c>
      <c r="L16" s="368">
        <v>6126.2645610720256</v>
      </c>
      <c r="M16" s="367"/>
      <c r="N16" s="369"/>
      <c r="O16" s="370">
        <f>999.4+248</f>
        <v>1247.4000000000001</v>
      </c>
      <c r="P16" s="371">
        <f t="shared" si="10"/>
        <v>419126.4</v>
      </c>
      <c r="Q16" s="372">
        <f t="shared" si="0"/>
        <v>0.42125845925675209</v>
      </c>
      <c r="R16" s="372">
        <f t="shared" si="1"/>
        <v>0.20463445837582253</v>
      </c>
      <c r="S16" s="372">
        <f t="shared" si="2"/>
        <v>0.38228085842361625</v>
      </c>
      <c r="T16" s="372">
        <f t="shared" si="3"/>
        <v>1.2464020400528337E-2</v>
      </c>
      <c r="U16" s="372" t="e">
        <f t="shared" si="4"/>
        <v>#REF!</v>
      </c>
      <c r="V16" s="372">
        <f t="shared" si="5"/>
        <v>2.0757461233651708E-4</v>
      </c>
      <c r="W16" s="372">
        <f t="shared" si="6"/>
        <v>1.9583591012162439E-2</v>
      </c>
      <c r="X16" s="372">
        <f t="shared" si="7"/>
        <v>0</v>
      </c>
      <c r="Y16" s="372">
        <f t="shared" si="11"/>
        <v>2.0757461233651708E-4</v>
      </c>
      <c r="Z16" s="372">
        <f t="shared" si="12"/>
        <v>-0.21662400088092956</v>
      </c>
      <c r="AA16" s="372" t="e">
        <f t="shared" si="8"/>
        <v>#REF!</v>
      </c>
    </row>
    <row r="17" spans="2:27" ht="18" customHeight="1" x14ac:dyDescent="0.25">
      <c r="B17" s="365">
        <v>44287</v>
      </c>
      <c r="C17" s="366"/>
      <c r="D17" s="367"/>
      <c r="E17" s="367"/>
      <c r="F17" s="367"/>
      <c r="G17" s="367"/>
      <c r="H17" s="367"/>
      <c r="I17" s="367"/>
      <c r="J17" s="368"/>
      <c r="K17" s="368"/>
      <c r="L17" s="368"/>
      <c r="M17" s="367"/>
      <c r="N17" s="369"/>
      <c r="O17" s="370"/>
      <c r="P17" s="370"/>
      <c r="Q17" s="370"/>
      <c r="R17" s="370"/>
      <c r="S17" s="370"/>
      <c r="T17" s="370"/>
      <c r="U17" s="370"/>
      <c r="V17" s="370"/>
      <c r="W17" s="370"/>
      <c r="X17" s="370"/>
      <c r="Y17" s="370"/>
      <c r="Z17" s="370"/>
      <c r="AA17" s="370"/>
    </row>
    <row r="18" spans="2:27" ht="18" customHeight="1" x14ac:dyDescent="0.25">
      <c r="B18" s="365">
        <v>44317</v>
      </c>
      <c r="C18" s="366"/>
      <c r="D18" s="367"/>
      <c r="E18" s="367"/>
      <c r="F18" s="367"/>
      <c r="G18" s="367"/>
      <c r="H18" s="367"/>
      <c r="I18" s="367"/>
      <c r="J18" s="368"/>
      <c r="K18" s="368"/>
      <c r="L18" s="368"/>
      <c r="M18" s="367"/>
      <c r="N18" s="369"/>
      <c r="O18" s="370"/>
      <c r="P18" s="371"/>
      <c r="Q18" s="370"/>
      <c r="R18" s="370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2:27" ht="18" customHeight="1" x14ac:dyDescent="0.25">
      <c r="B19" s="365">
        <v>44348</v>
      </c>
      <c r="C19" s="366"/>
      <c r="D19" s="374"/>
      <c r="E19" s="374"/>
      <c r="F19" s="374"/>
      <c r="G19" s="374"/>
      <c r="H19" s="374"/>
      <c r="I19" s="374"/>
      <c r="J19" s="375"/>
      <c r="K19" s="375"/>
      <c r="L19" s="375"/>
      <c r="M19" s="374"/>
      <c r="N19" s="369"/>
      <c r="O19" s="374"/>
      <c r="P19" s="374"/>
      <c r="Q19" s="370"/>
      <c r="R19" s="370"/>
      <c r="S19" s="375"/>
      <c r="T19" s="375"/>
      <c r="U19" s="375"/>
      <c r="V19" s="375"/>
      <c r="W19" s="375"/>
      <c r="X19" s="372"/>
      <c r="Y19" s="372"/>
      <c r="Z19" s="372"/>
      <c r="AA19" s="372"/>
    </row>
    <row r="20" spans="2:27" s="109" customFormat="1" ht="18" customHeight="1" x14ac:dyDescent="0.25">
      <c r="B20" s="377" t="s">
        <v>4</v>
      </c>
      <c r="C20" s="378">
        <f>SUM(C5:C19)</f>
        <v>348</v>
      </c>
      <c r="D20" s="378">
        <f>SUM(D5:D19)</f>
        <v>1323419.80002</v>
      </c>
      <c r="E20" s="378">
        <f t="shared" ref="E20:K20" si="13">SUM(E5:E19)</f>
        <v>42263</v>
      </c>
      <c r="F20" s="378" t="e">
        <f t="shared" si="13"/>
        <v>#REF!</v>
      </c>
      <c r="G20" s="378">
        <f t="shared" si="13"/>
        <v>16153</v>
      </c>
      <c r="H20" s="378">
        <f t="shared" si="13"/>
        <v>52220</v>
      </c>
      <c r="I20" s="378">
        <f t="shared" si="13"/>
        <v>0</v>
      </c>
      <c r="J20" s="379">
        <f t="shared" si="13"/>
        <v>1498299.6628852838</v>
      </c>
      <c r="K20" s="379">
        <f t="shared" si="13"/>
        <v>1593509.7305748006</v>
      </c>
      <c r="L20" s="379">
        <f>SUM(L5:L19)</f>
        <v>55907.142358008532</v>
      </c>
      <c r="M20" s="378"/>
      <c r="N20" s="380"/>
      <c r="O20" s="377"/>
      <c r="P20" s="379">
        <f t="shared" ref="P20" si="14">SUM(P5:P19)</f>
        <v>8781484.7999999989</v>
      </c>
      <c r="Q20" s="372">
        <f>J20/P20</f>
        <v>0.17062031046108331</v>
      </c>
      <c r="R20" s="372">
        <f>K20/P20</f>
        <v>0.18146244819267932</v>
      </c>
      <c r="S20" s="372">
        <f>D20/P20</f>
        <v>0.15070569842812917</v>
      </c>
      <c r="T20" s="372">
        <f>E20/P20</f>
        <v>4.8127396405673907E-3</v>
      </c>
      <c r="U20" s="372" t="e">
        <f>F20/P20</f>
        <v>#REF!</v>
      </c>
      <c r="V20" s="372">
        <f>G20/P20</f>
        <v>1.8394383601278911E-3</v>
      </c>
      <c r="W20" s="372">
        <f>H20/P20</f>
        <v>5.9466025608789991E-3</v>
      </c>
      <c r="X20" s="372">
        <f>I20/P20</f>
        <v>0</v>
      </c>
      <c r="Y20" s="372">
        <f t="shared" si="11"/>
        <v>1.8394383601278911E-3</v>
      </c>
      <c r="Z20" s="372">
        <f t="shared" si="12"/>
        <v>1.0842137731596008E-2</v>
      </c>
      <c r="AA20" s="372" t="e">
        <f>(R20-S20)-(T20+U20+W20+Y20+Z20)</f>
        <v>#REF!</v>
      </c>
    </row>
    <row r="21" spans="2:27" ht="6" customHeight="1" x14ac:dyDescent="0.25"/>
    <row r="22" spans="2:27" ht="18.75" customHeight="1" x14ac:dyDescent="0.25">
      <c r="B22" s="906" t="s">
        <v>309</v>
      </c>
      <c r="C22" s="906"/>
      <c r="D22" s="906"/>
      <c r="E22" s="906"/>
      <c r="F22" s="906"/>
      <c r="G22" s="906"/>
      <c r="H22" s="906"/>
      <c r="I22" s="906"/>
      <c r="J22" s="906"/>
      <c r="K22" s="906"/>
      <c r="L22" s="906"/>
      <c r="M22" s="906"/>
      <c r="N22" s="906"/>
      <c r="O22" s="906"/>
      <c r="P22" s="906"/>
      <c r="Q22" s="906"/>
      <c r="R22" s="906"/>
      <c r="S22" s="906"/>
      <c r="T22" s="906"/>
      <c r="U22" s="906"/>
      <c r="V22" s="906"/>
      <c r="W22" s="906"/>
      <c r="X22" s="906"/>
      <c r="Y22" s="906"/>
      <c r="Z22" s="906"/>
      <c r="AA22" s="906"/>
    </row>
    <row r="23" spans="2:27" s="364" customFormat="1" ht="30" x14ac:dyDescent="0.25">
      <c r="B23" s="363" t="s">
        <v>121</v>
      </c>
      <c r="C23" s="363" t="s">
        <v>122</v>
      </c>
      <c r="D23" s="363" t="s">
        <v>307</v>
      </c>
      <c r="E23" s="307" t="s">
        <v>271</v>
      </c>
      <c r="F23" s="307" t="s">
        <v>272</v>
      </c>
      <c r="G23" s="307" t="s">
        <v>273</v>
      </c>
      <c r="H23" s="307" t="s">
        <v>274</v>
      </c>
      <c r="I23" s="307" t="s">
        <v>275</v>
      </c>
      <c r="J23" s="307" t="s">
        <v>276</v>
      </c>
      <c r="K23" s="307" t="s">
        <v>277</v>
      </c>
      <c r="L23" s="307" t="s">
        <v>278</v>
      </c>
      <c r="M23" s="307"/>
      <c r="O23" s="363" t="s">
        <v>279</v>
      </c>
      <c r="P23" s="363" t="s">
        <v>279</v>
      </c>
      <c r="Q23" s="307" t="s">
        <v>276</v>
      </c>
      <c r="R23" s="307" t="s">
        <v>277</v>
      </c>
      <c r="S23" s="363" t="s">
        <v>307</v>
      </c>
      <c r="T23" s="307" t="s">
        <v>271</v>
      </c>
      <c r="U23" s="307" t="s">
        <v>272</v>
      </c>
      <c r="V23" s="307" t="s">
        <v>273</v>
      </c>
      <c r="W23" s="307" t="s">
        <v>274</v>
      </c>
      <c r="X23" s="307" t="s">
        <v>275</v>
      </c>
      <c r="Y23" s="307" t="s">
        <v>280</v>
      </c>
      <c r="Z23" s="307" t="s">
        <v>308</v>
      </c>
      <c r="AA23" s="307" t="s">
        <v>294</v>
      </c>
    </row>
    <row r="24" spans="2:27" s="364" customFormat="1" x14ac:dyDescent="0.25">
      <c r="B24" s="363"/>
      <c r="C24" s="363"/>
      <c r="D24" s="363" t="s">
        <v>6</v>
      </c>
      <c r="E24" s="363" t="s">
        <v>6</v>
      </c>
      <c r="F24" s="363" t="s">
        <v>6</v>
      </c>
      <c r="G24" s="363" t="s">
        <v>6</v>
      </c>
      <c r="H24" s="363" t="s">
        <v>6</v>
      </c>
      <c r="I24" s="363" t="s">
        <v>6</v>
      </c>
      <c r="J24" s="307" t="s">
        <v>6</v>
      </c>
      <c r="K24" s="307" t="s">
        <v>6</v>
      </c>
      <c r="L24" s="307" t="s">
        <v>281</v>
      </c>
      <c r="M24" s="363"/>
      <c r="O24" s="363" t="s">
        <v>282</v>
      </c>
      <c r="P24" s="363" t="s">
        <v>6</v>
      </c>
      <c r="Q24" s="307" t="s">
        <v>216</v>
      </c>
      <c r="R24" s="307" t="s">
        <v>216</v>
      </c>
      <c r="S24" s="307" t="s">
        <v>216</v>
      </c>
      <c r="T24" s="307" t="s">
        <v>216</v>
      </c>
      <c r="U24" s="307" t="s">
        <v>216</v>
      </c>
      <c r="V24" s="307" t="s">
        <v>216</v>
      </c>
      <c r="W24" s="307" t="s">
        <v>216</v>
      </c>
      <c r="X24" s="307" t="s">
        <v>216</v>
      </c>
      <c r="Y24" s="307" t="s">
        <v>216</v>
      </c>
      <c r="Z24" s="307" t="s">
        <v>216</v>
      </c>
      <c r="AA24" s="307" t="s">
        <v>216</v>
      </c>
    </row>
    <row r="25" spans="2:27" ht="17.25" x14ac:dyDescent="0.25">
      <c r="B25" s="365">
        <v>43922</v>
      </c>
      <c r="C25" s="366">
        <v>30</v>
      </c>
      <c r="D25" s="367">
        <v>133490.00000000003</v>
      </c>
      <c r="E25" s="367"/>
      <c r="F25" s="367">
        <v>1741</v>
      </c>
      <c r="G25" s="367">
        <v>0</v>
      </c>
      <c r="H25" s="367">
        <v>0</v>
      </c>
      <c r="I25" s="367"/>
      <c r="J25" s="368">
        <v>136108.53483726887</v>
      </c>
      <c r="K25" s="368">
        <f t="shared" ref="K25:K36" si="15">L25*C25</f>
        <v>146072.81089015471</v>
      </c>
      <c r="L25" s="368">
        <v>4869.0936963384902</v>
      </c>
      <c r="M25" s="367"/>
      <c r="N25" s="369"/>
      <c r="O25" s="370">
        <v>999.4</v>
      </c>
      <c r="P25" s="371">
        <f>(O25*24*C25)</f>
        <v>719568</v>
      </c>
      <c r="Q25" s="372">
        <f t="shared" ref="Q25:Q36" si="16">J25/P25</f>
        <v>0.18915312359258454</v>
      </c>
      <c r="R25" s="372">
        <f t="shared" ref="R25:R36" si="17">K25/P25</f>
        <v>0.20300070443676582</v>
      </c>
      <c r="S25" s="372">
        <f t="shared" ref="S25:S36" si="18">D25/P25</f>
        <v>0.18551408622951554</v>
      </c>
      <c r="T25" s="372">
        <f t="shared" ref="T25:T36" si="19">E25/P25</f>
        <v>0</v>
      </c>
      <c r="U25" s="372">
        <f t="shared" ref="U25:U36" si="20">F25/P25</f>
        <v>2.4195072599115025E-3</v>
      </c>
      <c r="V25" s="372">
        <f t="shared" ref="V25:V36" si="21">G25/P25</f>
        <v>0</v>
      </c>
      <c r="W25" s="372">
        <f t="shared" ref="W25:W36" si="22">H25/P25</f>
        <v>0</v>
      </c>
      <c r="X25" s="372">
        <f t="shared" ref="X25:X36" si="23">I25/P25</f>
        <v>0</v>
      </c>
      <c r="Y25" s="372">
        <f>V25+X25</f>
        <v>0</v>
      </c>
      <c r="Z25" s="372">
        <f>R25-Q25</f>
        <v>1.3847580844181279E-2</v>
      </c>
      <c r="AA25" s="372">
        <f t="shared" ref="AA25:AA36" si="24">(R25-S25)-(T25+U25+W25+Y25+Z25)</f>
        <v>1.2195301031574998E-3</v>
      </c>
    </row>
    <row r="26" spans="2:27" ht="17.25" x14ac:dyDescent="0.25">
      <c r="B26" s="365">
        <v>43952</v>
      </c>
      <c r="C26" s="366">
        <v>31</v>
      </c>
      <c r="D26" s="367">
        <v>133070.00000000003</v>
      </c>
      <c r="E26" s="367"/>
      <c r="F26" s="367">
        <v>3640</v>
      </c>
      <c r="G26" s="367">
        <v>605</v>
      </c>
      <c r="H26" s="367">
        <v>0</v>
      </c>
      <c r="I26" s="367"/>
      <c r="J26" s="368">
        <v>143167.29695391515</v>
      </c>
      <c r="K26" s="368">
        <f t="shared" si="15"/>
        <v>149760.30630524861</v>
      </c>
      <c r="L26" s="368">
        <v>4830.9776227499551</v>
      </c>
      <c r="M26" s="367"/>
      <c r="N26" s="369"/>
      <c r="O26" s="370">
        <v>999.4</v>
      </c>
      <c r="P26" s="371">
        <f t="shared" ref="P26:P36" si="25">(O26*24*C26)</f>
        <v>743553.6</v>
      </c>
      <c r="Q26" s="372">
        <f t="shared" si="16"/>
        <v>0.19254468938609826</v>
      </c>
      <c r="R26" s="372">
        <f t="shared" si="17"/>
        <v>0.20141158122998612</v>
      </c>
      <c r="S26" s="372">
        <f t="shared" si="18"/>
        <v>0.1789649058252156</v>
      </c>
      <c r="T26" s="372">
        <f t="shared" si="19"/>
        <v>0</v>
      </c>
      <c r="U26" s="372">
        <f t="shared" si="20"/>
        <v>4.8954103644982686E-3</v>
      </c>
      <c r="V26" s="372">
        <f t="shared" si="21"/>
        <v>8.1366023915424525E-4</v>
      </c>
      <c r="W26" s="372">
        <f t="shared" si="22"/>
        <v>0</v>
      </c>
      <c r="X26" s="372">
        <f t="shared" si="23"/>
        <v>0</v>
      </c>
      <c r="Y26" s="372">
        <f t="shared" ref="Y26:Y40" si="26">V26+X26</f>
        <v>8.1366023915424525E-4</v>
      </c>
      <c r="Z26" s="372">
        <f t="shared" ref="Z26:Z36" si="27">R26-Q26</f>
        <v>8.8668918438878641E-3</v>
      </c>
      <c r="AA26" s="372">
        <f t="shared" si="24"/>
        <v>7.8707129572301443E-3</v>
      </c>
    </row>
    <row r="27" spans="2:27" ht="17.25" x14ac:dyDescent="0.25">
      <c r="B27" s="365">
        <v>43983</v>
      </c>
      <c r="C27" s="366">
        <v>30</v>
      </c>
      <c r="D27" s="367">
        <v>127593.00000000003</v>
      </c>
      <c r="E27" s="367"/>
      <c r="F27" s="367">
        <v>9809</v>
      </c>
      <c r="G27" s="367">
        <v>2114</v>
      </c>
      <c r="H27" s="367">
        <v>95</v>
      </c>
      <c r="I27" s="367"/>
      <c r="J27" s="368">
        <v>141853.73032384366</v>
      </c>
      <c r="K27" s="368">
        <f t="shared" si="15"/>
        <v>129244.27931429249</v>
      </c>
      <c r="L27" s="368">
        <v>4308.1426438097496</v>
      </c>
      <c r="M27" s="367"/>
      <c r="N27" s="369"/>
      <c r="O27" s="370">
        <v>999.4</v>
      </c>
      <c r="P27" s="371">
        <f t="shared" si="25"/>
        <v>719568</v>
      </c>
      <c r="Q27" s="372">
        <f t="shared" si="16"/>
        <v>0.19713735230561066</v>
      </c>
      <c r="R27" s="372">
        <f t="shared" si="17"/>
        <v>0.17961371171910437</v>
      </c>
      <c r="S27" s="372">
        <f t="shared" si="18"/>
        <v>0.17731889133480092</v>
      </c>
      <c r="T27" s="372">
        <f t="shared" si="19"/>
        <v>0</v>
      </c>
      <c r="U27" s="372">
        <f t="shared" si="20"/>
        <v>1.3631790185222245E-2</v>
      </c>
      <c r="V27" s="372">
        <f t="shared" si="21"/>
        <v>2.9378738354123583E-3</v>
      </c>
      <c r="W27" s="372">
        <f t="shared" si="22"/>
        <v>1.3202365863962821E-4</v>
      </c>
      <c r="X27" s="372">
        <f t="shared" si="23"/>
        <v>0</v>
      </c>
      <c r="Y27" s="372">
        <f t="shared" si="26"/>
        <v>2.9378738354123583E-3</v>
      </c>
      <c r="Z27" s="372">
        <f t="shared" si="27"/>
        <v>-1.7523640586506295E-2</v>
      </c>
      <c r="AA27" s="372">
        <f t="shared" si="24"/>
        <v>3.1167732915355177E-3</v>
      </c>
    </row>
    <row r="28" spans="2:27" ht="17.25" x14ac:dyDescent="0.25">
      <c r="B28" s="365">
        <v>44013</v>
      </c>
      <c r="C28" s="366">
        <v>31</v>
      </c>
      <c r="D28" s="367">
        <v>111977.99999999996</v>
      </c>
      <c r="E28" s="367"/>
      <c r="F28" s="367">
        <v>1239</v>
      </c>
      <c r="G28" s="367">
        <v>5760</v>
      </c>
      <c r="H28" s="367">
        <v>0</v>
      </c>
      <c r="I28" s="367"/>
      <c r="J28" s="368">
        <v>122105.60780037515</v>
      </c>
      <c r="K28" s="368">
        <f t="shared" si="15"/>
        <v>111200.6103467833</v>
      </c>
      <c r="L28" s="368">
        <v>3587.1164627994613</v>
      </c>
      <c r="M28" s="367"/>
      <c r="N28" s="369"/>
      <c r="O28" s="370">
        <v>999.4</v>
      </c>
      <c r="P28" s="371">
        <f t="shared" si="25"/>
        <v>743553.6</v>
      </c>
      <c r="Q28" s="372">
        <f t="shared" si="16"/>
        <v>0.16421897197508714</v>
      </c>
      <c r="R28" s="372">
        <f t="shared" si="17"/>
        <v>0.14955291770059792</v>
      </c>
      <c r="S28" s="372">
        <f t="shared" si="18"/>
        <v>0.15059842357027114</v>
      </c>
      <c r="T28" s="372">
        <f t="shared" si="19"/>
        <v>0</v>
      </c>
      <c r="U28" s="372">
        <f t="shared" si="20"/>
        <v>1.666322374069603E-3</v>
      </c>
      <c r="V28" s="372">
        <f t="shared" si="21"/>
        <v>7.7465834339313271E-3</v>
      </c>
      <c r="W28" s="372">
        <f t="shared" si="22"/>
        <v>0</v>
      </c>
      <c r="X28" s="372">
        <f t="shared" si="23"/>
        <v>0</v>
      </c>
      <c r="Y28" s="372">
        <f t="shared" si="26"/>
        <v>7.7465834339313271E-3</v>
      </c>
      <c r="Z28" s="372">
        <f t="shared" si="27"/>
        <v>-1.4666054274489221E-2</v>
      </c>
      <c r="AA28" s="372">
        <f t="shared" si="24"/>
        <v>4.2076425968150671E-3</v>
      </c>
    </row>
    <row r="29" spans="2:27" ht="17.25" x14ac:dyDescent="0.25">
      <c r="B29" s="365">
        <v>44044</v>
      </c>
      <c r="C29" s="366">
        <v>31</v>
      </c>
      <c r="D29" s="367">
        <v>103941.00000000009</v>
      </c>
      <c r="E29" s="367"/>
      <c r="F29" s="367">
        <v>6822</v>
      </c>
      <c r="G29" s="367">
        <v>1018</v>
      </c>
      <c r="H29" s="367">
        <v>0</v>
      </c>
      <c r="I29" s="367"/>
      <c r="J29" s="368">
        <v>114229.97955928923</v>
      </c>
      <c r="K29" s="368">
        <f t="shared" si="15"/>
        <v>113383.03938389241</v>
      </c>
      <c r="L29" s="368">
        <v>3657.5173994804004</v>
      </c>
      <c r="M29" s="367"/>
      <c r="N29" s="369"/>
      <c r="O29" s="370">
        <v>999.4</v>
      </c>
      <c r="P29" s="371">
        <f t="shared" si="25"/>
        <v>743553.6</v>
      </c>
      <c r="Q29" s="372">
        <f t="shared" si="16"/>
        <v>0.15362709501949723</v>
      </c>
      <c r="R29" s="372">
        <f t="shared" si="17"/>
        <v>0.15248805114236877</v>
      </c>
      <c r="S29" s="372">
        <f t="shared" si="18"/>
        <v>0.13978951887261401</v>
      </c>
      <c r="T29" s="372">
        <f t="shared" si="19"/>
        <v>0</v>
      </c>
      <c r="U29" s="372">
        <f t="shared" si="20"/>
        <v>9.1748597545624148E-3</v>
      </c>
      <c r="V29" s="372">
        <f t="shared" si="21"/>
        <v>1.3691010305107796E-3</v>
      </c>
      <c r="W29" s="372">
        <f t="shared" si="22"/>
        <v>0</v>
      </c>
      <c r="X29" s="372">
        <f t="shared" si="23"/>
        <v>0</v>
      </c>
      <c r="Y29" s="372">
        <f t="shared" si="26"/>
        <v>1.3691010305107796E-3</v>
      </c>
      <c r="Z29" s="372">
        <f t="shared" si="27"/>
        <v>-1.1390438771284594E-3</v>
      </c>
      <c r="AA29" s="372">
        <f t="shared" si="24"/>
        <v>3.2936153618100244E-3</v>
      </c>
    </row>
    <row r="30" spans="2:27" ht="17.25" x14ac:dyDescent="0.25">
      <c r="B30" s="365">
        <v>44075</v>
      </c>
      <c r="C30" s="366">
        <v>30</v>
      </c>
      <c r="D30" s="367">
        <v>113201.99999999994</v>
      </c>
      <c r="E30" s="367"/>
      <c r="F30" s="367">
        <v>6020</v>
      </c>
      <c r="G30" s="367">
        <v>226</v>
      </c>
      <c r="H30" s="367">
        <v>0</v>
      </c>
      <c r="I30" s="367"/>
      <c r="J30" s="368">
        <v>121997.0384461815</v>
      </c>
      <c r="K30" s="368">
        <f t="shared" si="15"/>
        <v>110259.09859419208</v>
      </c>
      <c r="L30" s="368">
        <v>3675.3032864730694</v>
      </c>
      <c r="M30" s="367"/>
      <c r="N30" s="369"/>
      <c r="O30" s="370">
        <v>999.4</v>
      </c>
      <c r="P30" s="371">
        <f t="shared" si="25"/>
        <v>719568</v>
      </c>
      <c r="Q30" s="372">
        <f t="shared" si="16"/>
        <v>0.16954205640909753</v>
      </c>
      <c r="R30" s="372">
        <f t="shared" si="17"/>
        <v>0.15322957468118661</v>
      </c>
      <c r="S30" s="372">
        <f t="shared" si="18"/>
        <v>0.1573193916349809</v>
      </c>
      <c r="T30" s="372">
        <f t="shared" si="19"/>
        <v>0</v>
      </c>
      <c r="U30" s="372">
        <f t="shared" si="20"/>
        <v>8.3661307895848622E-3</v>
      </c>
      <c r="V30" s="372">
        <f t="shared" si="21"/>
        <v>3.1407733529006292E-4</v>
      </c>
      <c r="W30" s="372">
        <f t="shared" si="22"/>
        <v>0</v>
      </c>
      <c r="X30" s="372">
        <f t="shared" si="23"/>
        <v>0</v>
      </c>
      <c r="Y30" s="372">
        <f t="shared" si="26"/>
        <v>3.1407733529006292E-4</v>
      </c>
      <c r="Z30" s="372">
        <f t="shared" si="27"/>
        <v>-1.6312481727910916E-2</v>
      </c>
      <c r="AA30" s="372">
        <f t="shared" si="24"/>
        <v>3.5424566492417014E-3</v>
      </c>
    </row>
    <row r="31" spans="2:27" ht="17.25" x14ac:dyDescent="0.25">
      <c r="B31" s="365">
        <v>44105</v>
      </c>
      <c r="C31" s="366">
        <v>31</v>
      </c>
      <c r="D31" s="367">
        <v>129501.00000000004</v>
      </c>
      <c r="E31" s="367"/>
      <c r="F31" s="367">
        <v>2966</v>
      </c>
      <c r="G31" s="367">
        <v>92</v>
      </c>
      <c r="H31" s="367">
        <v>0</v>
      </c>
      <c r="I31" s="367"/>
      <c r="J31" s="368">
        <v>135503.78462338325</v>
      </c>
      <c r="K31" s="368">
        <f t="shared" si="15"/>
        <v>152335.54061970839</v>
      </c>
      <c r="L31" s="368">
        <v>4914.0496974099478</v>
      </c>
      <c r="M31" s="367"/>
      <c r="N31" s="369"/>
      <c r="O31" s="370">
        <v>999.4</v>
      </c>
      <c r="P31" s="371">
        <f t="shared" si="25"/>
        <v>743553.6</v>
      </c>
      <c r="Q31" s="372">
        <f t="shared" si="16"/>
        <v>0.18223808562473945</v>
      </c>
      <c r="R31" s="372">
        <f t="shared" si="17"/>
        <v>0.20487499572284823</v>
      </c>
      <c r="S31" s="372">
        <f t="shared" si="18"/>
        <v>0.17416498286068421</v>
      </c>
      <c r="T31" s="372">
        <f t="shared" si="19"/>
        <v>0</v>
      </c>
      <c r="U31" s="372">
        <f t="shared" si="20"/>
        <v>3.9889525112917212E-3</v>
      </c>
      <c r="V31" s="372">
        <f t="shared" si="21"/>
        <v>1.2373015206973648E-4</v>
      </c>
      <c r="W31" s="372">
        <f t="shared" si="22"/>
        <v>0</v>
      </c>
      <c r="X31" s="372">
        <f t="shared" si="23"/>
        <v>0</v>
      </c>
      <c r="Y31" s="372">
        <f t="shared" si="26"/>
        <v>1.2373015206973648E-4</v>
      </c>
      <c r="Z31" s="372">
        <f t="shared" si="27"/>
        <v>2.2636910098108781E-2</v>
      </c>
      <c r="AA31" s="372">
        <f t="shared" si="24"/>
        <v>3.9604201006937755E-3</v>
      </c>
    </row>
    <row r="32" spans="2:27" ht="17.25" x14ac:dyDescent="0.25">
      <c r="B32" s="365">
        <v>44136</v>
      </c>
      <c r="C32" s="366">
        <v>30</v>
      </c>
      <c r="D32" s="367">
        <v>110159.99999999994</v>
      </c>
      <c r="E32" s="367"/>
      <c r="F32" s="367">
        <v>2878</v>
      </c>
      <c r="G32" s="367">
        <v>0</v>
      </c>
      <c r="H32" s="367">
        <v>408</v>
      </c>
      <c r="I32" s="367"/>
      <c r="J32" s="368">
        <v>115584.84871546875</v>
      </c>
      <c r="K32" s="368">
        <f t="shared" si="15"/>
        <v>152526.40025450382</v>
      </c>
      <c r="L32" s="368">
        <v>5084.2133418167941</v>
      </c>
      <c r="M32" s="367"/>
      <c r="N32" s="369"/>
      <c r="O32" s="370">
        <v>999.4</v>
      </c>
      <c r="P32" s="371">
        <f t="shared" si="25"/>
        <v>719568</v>
      </c>
      <c r="Q32" s="372">
        <f t="shared" si="16"/>
        <v>0.16063089063920122</v>
      </c>
      <c r="R32" s="372">
        <f t="shared" si="17"/>
        <v>0.21196940421823068</v>
      </c>
      <c r="S32" s="372">
        <f t="shared" si="18"/>
        <v>0.15309185511306775</v>
      </c>
      <c r="T32" s="372">
        <f t="shared" si="19"/>
        <v>0</v>
      </c>
      <c r="U32" s="372">
        <f t="shared" si="20"/>
        <v>3.9996219954194735E-3</v>
      </c>
      <c r="V32" s="372">
        <f t="shared" si="21"/>
        <v>0</v>
      </c>
      <c r="W32" s="372">
        <f t="shared" si="22"/>
        <v>5.6700687078914012E-4</v>
      </c>
      <c r="X32" s="372">
        <f t="shared" si="23"/>
        <v>0</v>
      </c>
      <c r="Y32" s="372">
        <f t="shared" si="26"/>
        <v>0</v>
      </c>
      <c r="Z32" s="372">
        <f t="shared" si="27"/>
        <v>5.1338513579029466E-2</v>
      </c>
      <c r="AA32" s="372">
        <f t="shared" si="24"/>
        <v>2.9724066599248547E-3</v>
      </c>
    </row>
    <row r="33" spans="2:27" ht="17.25" x14ac:dyDescent="0.25">
      <c r="B33" s="365">
        <v>44166</v>
      </c>
      <c r="C33" s="366">
        <v>31</v>
      </c>
      <c r="D33" s="367">
        <v>87732.000000000029</v>
      </c>
      <c r="E33" s="367"/>
      <c r="F33" s="367">
        <v>2379</v>
      </c>
      <c r="G33" s="367">
        <v>0</v>
      </c>
      <c r="H33" s="367">
        <v>793</v>
      </c>
      <c r="I33" s="367">
        <v>1545</v>
      </c>
      <c r="J33" s="368">
        <v>95217.997054789215</v>
      </c>
      <c r="K33" s="368">
        <f t="shared" si="15"/>
        <v>142948.96489558439</v>
      </c>
      <c r="L33" s="368">
        <v>4611.2569321156252</v>
      </c>
      <c r="M33" s="367"/>
      <c r="N33" s="369"/>
      <c r="O33" s="370">
        <v>999.4</v>
      </c>
      <c r="P33" s="371">
        <f t="shared" si="25"/>
        <v>743553.6</v>
      </c>
      <c r="Q33" s="372">
        <f t="shared" si="16"/>
        <v>0.12805801364526945</v>
      </c>
      <c r="R33" s="372">
        <f t="shared" si="17"/>
        <v>0.19225105613850083</v>
      </c>
      <c r="S33" s="372">
        <f t="shared" si="18"/>
        <v>0.11799014892806656</v>
      </c>
      <c r="T33" s="372">
        <f t="shared" si="19"/>
        <v>0</v>
      </c>
      <c r="U33" s="372">
        <f t="shared" si="20"/>
        <v>3.1995003453685117E-3</v>
      </c>
      <c r="V33" s="372">
        <f t="shared" si="21"/>
        <v>0</v>
      </c>
      <c r="W33" s="372">
        <f t="shared" si="22"/>
        <v>1.0665001151228372E-3</v>
      </c>
      <c r="X33" s="372">
        <f t="shared" si="23"/>
        <v>2.0778596189972047E-3</v>
      </c>
      <c r="Y33" s="372">
        <f t="shared" si="26"/>
        <v>2.0778596189972047E-3</v>
      </c>
      <c r="Z33" s="372">
        <f t="shared" si="27"/>
        <v>6.4193042493231378E-2</v>
      </c>
      <c r="AA33" s="372">
        <f t="shared" si="24"/>
        <v>3.7240046377143426E-3</v>
      </c>
    </row>
    <row r="34" spans="2:27" ht="17.25" x14ac:dyDescent="0.25">
      <c r="B34" s="365">
        <v>44197</v>
      </c>
      <c r="C34" s="366">
        <v>31</v>
      </c>
      <c r="D34" s="367">
        <v>69831</v>
      </c>
      <c r="E34" s="367"/>
      <c r="F34" s="367">
        <v>2260</v>
      </c>
      <c r="G34" s="367">
        <v>0</v>
      </c>
      <c r="H34" s="367">
        <v>0</v>
      </c>
      <c r="I34" s="367">
        <v>0</v>
      </c>
      <c r="J34" s="368">
        <v>74262.179171971147</v>
      </c>
      <c r="K34" s="368">
        <f t="shared" si="15"/>
        <v>126287.356622222</v>
      </c>
      <c r="L34" s="368">
        <v>4073.7856974910319</v>
      </c>
      <c r="M34" s="367"/>
      <c r="N34" s="369"/>
      <c r="O34" s="370">
        <v>999.4</v>
      </c>
      <c r="P34" s="371">
        <f t="shared" si="25"/>
        <v>743553.6</v>
      </c>
      <c r="Q34" s="372">
        <f t="shared" si="16"/>
        <v>9.987468176063051E-2</v>
      </c>
      <c r="R34" s="372">
        <f t="shared" si="17"/>
        <v>0.16984297651470184</v>
      </c>
      <c r="S34" s="372">
        <f t="shared" si="18"/>
        <v>9.3915220099801813E-2</v>
      </c>
      <c r="T34" s="372">
        <f t="shared" si="19"/>
        <v>0</v>
      </c>
      <c r="U34" s="372">
        <f t="shared" si="20"/>
        <v>3.0394580834522218E-3</v>
      </c>
      <c r="V34" s="372">
        <f t="shared" si="21"/>
        <v>0</v>
      </c>
      <c r="W34" s="372">
        <f t="shared" si="22"/>
        <v>0</v>
      </c>
      <c r="X34" s="372">
        <f t="shared" si="23"/>
        <v>0</v>
      </c>
      <c r="Y34" s="372">
        <f t="shared" si="26"/>
        <v>0</v>
      </c>
      <c r="Z34" s="372">
        <f t="shared" si="27"/>
        <v>6.9968294754071333E-2</v>
      </c>
      <c r="AA34" s="372">
        <f t="shared" si="24"/>
        <v>2.9200035773764704E-3</v>
      </c>
    </row>
    <row r="35" spans="2:27" ht="17.25" x14ac:dyDescent="0.25">
      <c r="B35" s="365">
        <v>44228</v>
      </c>
      <c r="C35" s="366">
        <v>28</v>
      </c>
      <c r="D35" s="367">
        <v>110312.99999999997</v>
      </c>
      <c r="E35" s="367"/>
      <c r="F35" s="367">
        <v>1439</v>
      </c>
      <c r="G35" s="367">
        <v>51</v>
      </c>
      <c r="H35" s="367">
        <v>208</v>
      </c>
      <c r="I35" s="367"/>
      <c r="J35" s="368">
        <v>114170.55140555234</v>
      </c>
      <c r="K35" s="368">
        <v>137171.05422238228</v>
      </c>
      <c r="L35" s="368">
        <v>4898.9662222279385</v>
      </c>
      <c r="M35" s="367"/>
      <c r="N35" s="369"/>
      <c r="O35" s="370">
        <v>999.4</v>
      </c>
      <c r="P35" s="371">
        <v>671596.79999999993</v>
      </c>
      <c r="Q35" s="372">
        <f t="shared" si="16"/>
        <v>0.16999865306915155</v>
      </c>
      <c r="R35" s="372">
        <f t="shared" si="17"/>
        <v>0.204246140276997</v>
      </c>
      <c r="S35" s="372">
        <f t="shared" si="18"/>
        <v>0.164254802881729</v>
      </c>
      <c r="T35" s="372">
        <f t="shared" si="19"/>
        <v>0</v>
      </c>
      <c r="U35" s="372">
        <f t="shared" si="20"/>
        <v>2.1426546404032898E-3</v>
      </c>
      <c r="V35" s="372">
        <f t="shared" si="21"/>
        <v>7.5938420194974129E-5</v>
      </c>
      <c r="W35" s="372">
        <f t="shared" si="22"/>
        <v>3.0970963530499256E-4</v>
      </c>
      <c r="X35" s="372">
        <f t="shared" si="23"/>
        <v>0</v>
      </c>
      <c r="Y35" s="372">
        <f t="shared" si="26"/>
        <v>7.5938420194974129E-5</v>
      </c>
      <c r="Z35" s="372">
        <f t="shared" si="27"/>
        <v>3.4247487207845456E-2</v>
      </c>
      <c r="AA35" s="372">
        <f t="shared" si="24"/>
        <v>3.2155474915192897E-3</v>
      </c>
    </row>
    <row r="36" spans="2:27" ht="17.25" x14ac:dyDescent="0.25">
      <c r="B36" s="365">
        <v>44256</v>
      </c>
      <c r="C36" s="366">
        <f>+'Solar Report_Base'!AI198</f>
        <v>14</v>
      </c>
      <c r="D36" s="367">
        <f>[3]Formula!AI57</f>
        <v>135314.99999999997</v>
      </c>
      <c r="E36" s="367"/>
      <c r="F36" s="367" t="e">
        <f>[3]Formula!AI207</f>
        <v>#REF!</v>
      </c>
      <c r="G36" s="367">
        <f>[3]Formula!AI217</f>
        <v>0</v>
      </c>
      <c r="H36" s="367">
        <f>[3]Formula!AI226</f>
        <v>2100</v>
      </c>
      <c r="I36" s="367"/>
      <c r="J36" s="368">
        <f>[3]Formula!AI63</f>
        <v>141677.40213435161</v>
      </c>
      <c r="K36" s="368">
        <f t="shared" si="15"/>
        <v>71969.49776465079</v>
      </c>
      <c r="L36" s="368">
        <v>5140.6784117607704</v>
      </c>
      <c r="M36" s="367"/>
      <c r="N36" s="369"/>
      <c r="O36" s="370">
        <v>999.4</v>
      </c>
      <c r="P36" s="371">
        <f t="shared" si="25"/>
        <v>335798.39999999997</v>
      </c>
      <c r="Q36" s="372">
        <f t="shared" si="16"/>
        <v>0.42191208217296933</v>
      </c>
      <c r="R36" s="372">
        <f t="shared" si="17"/>
        <v>0.21432352794012954</v>
      </c>
      <c r="S36" s="372">
        <f t="shared" si="18"/>
        <v>0.40296499328168323</v>
      </c>
      <c r="T36" s="372">
        <f t="shared" si="19"/>
        <v>0</v>
      </c>
      <c r="U36" s="372" t="e">
        <f t="shared" si="20"/>
        <v>#REF!</v>
      </c>
      <c r="V36" s="372">
        <f t="shared" si="21"/>
        <v>0</v>
      </c>
      <c r="W36" s="372">
        <f t="shared" si="22"/>
        <v>6.2537522513508113E-3</v>
      </c>
      <c r="X36" s="372">
        <f t="shared" si="23"/>
        <v>0</v>
      </c>
      <c r="Y36" s="372">
        <f t="shared" si="26"/>
        <v>0</v>
      </c>
      <c r="Z36" s="372">
        <f t="shared" si="27"/>
        <v>-0.20758855423283978</v>
      </c>
      <c r="AA36" s="372" t="e">
        <f t="shared" si="24"/>
        <v>#REF!</v>
      </c>
    </row>
    <row r="37" spans="2:27" ht="17.25" x14ac:dyDescent="0.25">
      <c r="B37" s="365">
        <v>44287</v>
      </c>
      <c r="C37" s="366"/>
      <c r="D37" s="367"/>
      <c r="E37" s="367"/>
      <c r="F37" s="367"/>
      <c r="G37" s="367"/>
      <c r="H37" s="367"/>
      <c r="I37" s="367"/>
      <c r="J37" s="368"/>
      <c r="K37" s="368"/>
      <c r="L37" s="368"/>
      <c r="M37" s="367"/>
      <c r="N37" s="369"/>
      <c r="O37" s="370"/>
      <c r="P37" s="370"/>
      <c r="Q37" s="370"/>
      <c r="R37" s="370"/>
      <c r="S37" s="370"/>
      <c r="T37" s="370"/>
      <c r="U37" s="370"/>
      <c r="V37" s="370"/>
      <c r="W37" s="370"/>
      <c r="X37" s="370"/>
      <c r="Y37" s="370"/>
      <c r="Z37" s="370"/>
      <c r="AA37" s="370"/>
    </row>
    <row r="38" spans="2:27" ht="17.25" x14ac:dyDescent="0.25">
      <c r="B38" s="365">
        <v>44317</v>
      </c>
      <c r="C38" s="366"/>
      <c r="D38" s="367"/>
      <c r="E38" s="367"/>
      <c r="F38" s="367"/>
      <c r="G38" s="367"/>
      <c r="H38" s="367"/>
      <c r="I38" s="367"/>
      <c r="J38" s="368"/>
      <c r="K38" s="368"/>
      <c r="L38" s="368"/>
      <c r="M38" s="367"/>
      <c r="N38" s="369"/>
      <c r="O38" s="370"/>
      <c r="P38" s="371"/>
      <c r="Q38" s="372"/>
      <c r="R38" s="373"/>
      <c r="S38" s="372"/>
      <c r="T38" s="372"/>
      <c r="U38" s="372"/>
      <c r="V38" s="372"/>
      <c r="W38" s="372"/>
      <c r="X38" s="372"/>
      <c r="Y38" s="372"/>
      <c r="Z38" s="372"/>
      <c r="AA38" s="372"/>
    </row>
    <row r="39" spans="2:27" ht="17.25" x14ac:dyDescent="0.25">
      <c r="B39" s="365">
        <v>44348</v>
      </c>
      <c r="C39" s="366"/>
      <c r="D39" s="374"/>
      <c r="E39" s="374"/>
      <c r="F39" s="374"/>
      <c r="G39" s="374"/>
      <c r="H39" s="374"/>
      <c r="I39" s="374"/>
      <c r="J39" s="375"/>
      <c r="K39" s="375"/>
      <c r="L39" s="375"/>
      <c r="M39" s="374"/>
      <c r="N39" s="369"/>
      <c r="O39" s="374"/>
      <c r="P39" s="374"/>
      <c r="Q39" s="375"/>
      <c r="R39" s="376"/>
      <c r="S39" s="375"/>
      <c r="T39" s="375"/>
      <c r="U39" s="375"/>
      <c r="V39" s="375"/>
      <c r="W39" s="375"/>
      <c r="X39" s="372"/>
      <c r="Y39" s="372"/>
      <c r="Z39" s="372"/>
      <c r="AA39" s="372"/>
    </row>
    <row r="40" spans="2:27" ht="17.25" x14ac:dyDescent="0.25">
      <c r="B40" s="377" t="s">
        <v>4</v>
      </c>
      <c r="C40" s="378">
        <f>SUM(C25:C39)</f>
        <v>348</v>
      </c>
      <c r="D40" s="378">
        <f>SUM(D25:D39)</f>
        <v>1366126</v>
      </c>
      <c r="E40" s="378">
        <f t="shared" ref="E40:L40" si="28">SUM(E25:E39)</f>
        <v>0</v>
      </c>
      <c r="F40" s="378" t="e">
        <f t="shared" si="28"/>
        <v>#REF!</v>
      </c>
      <c r="G40" s="378">
        <f t="shared" si="28"/>
        <v>9866</v>
      </c>
      <c r="H40" s="378">
        <f t="shared" si="28"/>
        <v>3604</v>
      </c>
      <c r="I40" s="378">
        <f t="shared" si="28"/>
        <v>1545</v>
      </c>
      <c r="J40" s="379">
        <f t="shared" si="28"/>
        <v>1455878.9510263898</v>
      </c>
      <c r="K40" s="379">
        <f t="shared" si="28"/>
        <v>1543158.9592136152</v>
      </c>
      <c r="L40" s="379">
        <f t="shared" si="28"/>
        <v>53651.101414473233</v>
      </c>
      <c r="M40" s="378"/>
      <c r="N40" s="380"/>
      <c r="O40" s="377"/>
      <c r="P40" s="379">
        <f t="shared" ref="P40" si="29">SUM(P25:P39)</f>
        <v>8346988.7999999998</v>
      </c>
      <c r="Q40" s="372">
        <f>J40/P40</f>
        <v>0.17441966030029774</v>
      </c>
      <c r="R40" s="372">
        <f>K40/P40</f>
        <v>0.18487612673130879</v>
      </c>
      <c r="S40" s="372">
        <f>D40/P40</f>
        <v>0.16366692620936546</v>
      </c>
      <c r="T40" s="372">
        <f>E40/P40</f>
        <v>0</v>
      </c>
      <c r="U40" s="372" t="e">
        <f>F40/P40</f>
        <v>#REF!</v>
      </c>
      <c r="V40" s="372">
        <f>G40/P40</f>
        <v>1.1819831362418984E-3</v>
      </c>
      <c r="W40" s="372">
        <f>H40/P40</f>
        <v>4.3177247344575328E-4</v>
      </c>
      <c r="X40" s="372">
        <f>I40/P40</f>
        <v>1.8509669019802687E-4</v>
      </c>
      <c r="Y40" s="372">
        <f t="shared" si="26"/>
        <v>1.3670798264399252E-3</v>
      </c>
      <c r="Z40" s="372">
        <f t="shared" ref="Z40" si="30">R40-Q40</f>
        <v>1.0456466431011058E-2</v>
      </c>
      <c r="AA40" s="372" t="e">
        <f>(R40-S40)-(T40+U40+W40+Y40+Z40)</f>
        <v>#REF!</v>
      </c>
    </row>
    <row r="44" spans="2:27" ht="18.75" customHeight="1" x14ac:dyDescent="0.25">
      <c r="B44" s="906" t="s">
        <v>310</v>
      </c>
      <c r="C44" s="906"/>
      <c r="D44" s="906"/>
      <c r="E44" s="906"/>
      <c r="F44" s="906"/>
      <c r="G44" s="906"/>
      <c r="H44" s="906"/>
      <c r="I44" s="906"/>
      <c r="J44" s="906"/>
      <c r="K44" s="906"/>
      <c r="L44" s="906"/>
      <c r="M44" s="906"/>
      <c r="N44" s="906"/>
      <c r="O44" s="906"/>
      <c r="P44" s="906"/>
      <c r="Q44" s="906"/>
      <c r="R44" s="906"/>
      <c r="S44" s="906"/>
      <c r="T44" s="906"/>
      <c r="U44" s="906"/>
      <c r="V44" s="906"/>
      <c r="W44" s="906"/>
      <c r="X44" s="906"/>
      <c r="Y44" s="906"/>
      <c r="Z44" s="906"/>
      <c r="AA44" s="906"/>
    </row>
    <row r="45" spans="2:27" s="364" customFormat="1" ht="30" x14ac:dyDescent="0.25">
      <c r="B45" s="363" t="s">
        <v>121</v>
      </c>
      <c r="C45" s="363" t="s">
        <v>122</v>
      </c>
      <c r="D45" s="363" t="s">
        <v>307</v>
      </c>
      <c r="E45" s="307" t="s">
        <v>271</v>
      </c>
      <c r="F45" s="307" t="s">
        <v>272</v>
      </c>
      <c r="G45" s="307" t="s">
        <v>273</v>
      </c>
      <c r="H45" s="307" t="s">
        <v>274</v>
      </c>
      <c r="I45" s="307" t="s">
        <v>275</v>
      </c>
      <c r="J45" s="307" t="s">
        <v>276</v>
      </c>
      <c r="K45" s="307" t="s">
        <v>277</v>
      </c>
      <c r="L45" s="307" t="s">
        <v>278</v>
      </c>
      <c r="M45" s="307"/>
      <c r="O45" s="363" t="s">
        <v>279</v>
      </c>
      <c r="P45" s="363" t="s">
        <v>279</v>
      </c>
      <c r="Q45" s="307" t="s">
        <v>276</v>
      </c>
      <c r="R45" s="307" t="s">
        <v>277</v>
      </c>
      <c r="S45" s="363" t="s">
        <v>307</v>
      </c>
      <c r="T45" s="307" t="s">
        <v>271</v>
      </c>
      <c r="U45" s="307" t="s">
        <v>272</v>
      </c>
      <c r="V45" s="307" t="s">
        <v>273</v>
      </c>
      <c r="W45" s="307" t="s">
        <v>274</v>
      </c>
      <c r="X45" s="307" t="s">
        <v>275</v>
      </c>
      <c r="Y45" s="307" t="s">
        <v>280</v>
      </c>
      <c r="Z45" s="307" t="s">
        <v>308</v>
      </c>
      <c r="AA45" s="307" t="s">
        <v>294</v>
      </c>
    </row>
    <row r="46" spans="2:27" s="364" customFormat="1" x14ac:dyDescent="0.25">
      <c r="B46" s="363"/>
      <c r="C46" s="363"/>
      <c r="D46" s="363" t="s">
        <v>6</v>
      </c>
      <c r="E46" s="363" t="s">
        <v>6</v>
      </c>
      <c r="F46" s="363" t="s">
        <v>6</v>
      </c>
      <c r="G46" s="363" t="s">
        <v>6</v>
      </c>
      <c r="H46" s="363" t="s">
        <v>6</v>
      </c>
      <c r="I46" s="363" t="s">
        <v>6</v>
      </c>
      <c r="J46" s="307" t="s">
        <v>6</v>
      </c>
      <c r="K46" s="307" t="s">
        <v>6</v>
      </c>
      <c r="L46" s="307" t="s">
        <v>281</v>
      </c>
      <c r="M46" s="363"/>
      <c r="O46" s="363" t="s">
        <v>282</v>
      </c>
      <c r="P46" s="363" t="s">
        <v>6</v>
      </c>
      <c r="Q46" s="307" t="s">
        <v>216</v>
      </c>
      <c r="R46" s="307" t="s">
        <v>216</v>
      </c>
      <c r="S46" s="307" t="s">
        <v>216</v>
      </c>
      <c r="T46" s="307" t="s">
        <v>216</v>
      </c>
      <c r="U46" s="307" t="s">
        <v>216</v>
      </c>
      <c r="V46" s="307" t="s">
        <v>216</v>
      </c>
      <c r="W46" s="307" t="s">
        <v>216</v>
      </c>
      <c r="X46" s="307" t="s">
        <v>216</v>
      </c>
      <c r="Y46" s="307" t="s">
        <v>216</v>
      </c>
      <c r="Z46" s="307" t="s">
        <v>216</v>
      </c>
      <c r="AA46" s="307" t="s">
        <v>216</v>
      </c>
    </row>
    <row r="47" spans="2:27" ht="17.25" x14ac:dyDescent="0.25">
      <c r="B47" s="365">
        <v>43922</v>
      </c>
      <c r="C47" s="366">
        <v>30</v>
      </c>
      <c r="D47" s="367">
        <v>16415</v>
      </c>
      <c r="E47" s="367">
        <f>76981+12770</f>
        <v>89751</v>
      </c>
      <c r="F47" s="367">
        <v>0</v>
      </c>
      <c r="G47" s="367">
        <v>761</v>
      </c>
      <c r="H47" s="367">
        <v>0</v>
      </c>
      <c r="I47" s="367"/>
      <c r="J47" s="368">
        <v>29242.939343123013</v>
      </c>
      <c r="K47" s="368">
        <f t="shared" ref="K47:K58" si="31">L47*C47</f>
        <v>279477.41996362252</v>
      </c>
      <c r="L47" s="368">
        <v>9315.9139987874169</v>
      </c>
      <c r="M47" s="367"/>
      <c r="N47" s="369"/>
      <c r="O47" s="370">
        <v>1998.8</v>
      </c>
      <c r="P47" s="371">
        <f>(O47*24*C47)</f>
        <v>1439136</v>
      </c>
      <c r="Q47" s="372">
        <f t="shared" ref="Q47:Q58" si="32">J47/P47</f>
        <v>2.0319788639241193E-2</v>
      </c>
      <c r="R47" s="372">
        <f t="shared" ref="R47:R58" si="33">K47/P47</f>
        <v>0.19419806047769114</v>
      </c>
      <c r="S47" s="372">
        <f t="shared" ref="S47:S58" si="34">D47/P47</f>
        <v>1.1406149245102618E-2</v>
      </c>
      <c r="T47" s="372">
        <f t="shared" ref="T47:T58" si="35">E47/P47</f>
        <v>6.2364502034554063E-2</v>
      </c>
      <c r="U47" s="372">
        <f t="shared" ref="U47:U58" si="36">F47/P47</f>
        <v>0</v>
      </c>
      <c r="V47" s="372">
        <f t="shared" ref="V47:V58" si="37">G47/P47</f>
        <v>5.287894959197741E-4</v>
      </c>
      <c r="W47" s="372">
        <f t="shared" ref="W47:W58" si="38">H47/P47</f>
        <v>0</v>
      </c>
      <c r="X47" s="372">
        <f t="shared" ref="X47:X58" si="39">I47/P47</f>
        <v>0</v>
      </c>
      <c r="Y47" s="372">
        <f>V47+X47</f>
        <v>5.287894959197741E-4</v>
      </c>
      <c r="Z47" s="372">
        <f>R47-Q47</f>
        <v>0.17387827183844995</v>
      </c>
      <c r="AA47" s="372">
        <f t="shared" ref="AA47:AA58" si="40">(R47-S47)-(T47+U47+W47+Y47+Z47)</f>
        <v>-5.3979652136335265E-2</v>
      </c>
    </row>
    <row r="48" spans="2:27" ht="17.25" x14ac:dyDescent="0.25">
      <c r="B48" s="365">
        <v>43952</v>
      </c>
      <c r="C48" s="366">
        <v>31</v>
      </c>
      <c r="D48" s="367">
        <v>148969.28100000002</v>
      </c>
      <c r="E48" s="367">
        <v>101920</v>
      </c>
      <c r="F48" s="367">
        <v>239</v>
      </c>
      <c r="G48" s="367">
        <v>4370</v>
      </c>
      <c r="H48" s="367">
        <v>0</v>
      </c>
      <c r="I48" s="367"/>
      <c r="J48" s="368">
        <v>274541.32136922795</v>
      </c>
      <c r="K48" s="368">
        <f t="shared" si="31"/>
        <v>293281.53026791423</v>
      </c>
      <c r="L48" s="368">
        <v>9460.6945247714266</v>
      </c>
      <c r="M48" s="367"/>
      <c r="N48" s="369"/>
      <c r="O48" s="370">
        <v>1998.8</v>
      </c>
      <c r="P48" s="371">
        <f t="shared" ref="P48:P58" si="41">(O48*24*C48)</f>
        <v>1487107.2</v>
      </c>
      <c r="Q48" s="372">
        <f t="shared" si="32"/>
        <v>0.18461434479587482</v>
      </c>
      <c r="R48" s="372">
        <f t="shared" si="33"/>
        <v>0.19721613227877199</v>
      </c>
      <c r="S48" s="372">
        <f t="shared" si="34"/>
        <v>0.10017386843396361</v>
      </c>
      <c r="T48" s="372">
        <f t="shared" si="35"/>
        <v>6.8535745102975762E-2</v>
      </c>
      <c r="U48" s="372">
        <f t="shared" si="36"/>
        <v>1.6071470839492945E-4</v>
      </c>
      <c r="V48" s="372">
        <f t="shared" si="37"/>
        <v>2.9385911116562411E-3</v>
      </c>
      <c r="W48" s="372">
        <f t="shared" si="38"/>
        <v>0</v>
      </c>
      <c r="X48" s="372">
        <f t="shared" si="39"/>
        <v>0</v>
      </c>
      <c r="Y48" s="372">
        <f t="shared" ref="Y48:Y62" si="42">V48+X48</f>
        <v>2.9385911116562411E-3</v>
      </c>
      <c r="Z48" s="372">
        <f t="shared" ref="Z48:Z58" si="43">R48-Q48</f>
        <v>1.260178748289717E-2</v>
      </c>
      <c r="AA48" s="372">
        <f t="shared" si="40"/>
        <v>1.2805425438884271E-2</v>
      </c>
    </row>
    <row r="49" spans="2:27" ht="17.25" x14ac:dyDescent="0.25">
      <c r="B49" s="365">
        <v>43983</v>
      </c>
      <c r="C49" s="366">
        <v>30</v>
      </c>
      <c r="D49" s="367">
        <v>132247.94400000002</v>
      </c>
      <c r="E49" s="367">
        <v>55987</v>
      </c>
      <c r="F49" s="367">
        <v>0</v>
      </c>
      <c r="G49" s="367">
        <v>4814</v>
      </c>
      <c r="H49" s="367">
        <v>0</v>
      </c>
      <c r="I49" s="367"/>
      <c r="J49" s="368">
        <v>213485.15879024265</v>
      </c>
      <c r="K49" s="368">
        <f t="shared" si="31"/>
        <v>230400.53889292653</v>
      </c>
      <c r="L49" s="368">
        <v>7680.0179630975508</v>
      </c>
      <c r="M49" s="367"/>
      <c r="N49" s="369"/>
      <c r="O49" s="370">
        <v>1998.8</v>
      </c>
      <c r="P49" s="371">
        <f t="shared" si="41"/>
        <v>1439136</v>
      </c>
      <c r="Q49" s="372">
        <f t="shared" si="32"/>
        <v>0.14834258804605169</v>
      </c>
      <c r="R49" s="372">
        <f t="shared" si="33"/>
        <v>0.16009643209045324</v>
      </c>
      <c r="S49" s="372">
        <f t="shared" si="34"/>
        <v>9.1893986391835117E-2</v>
      </c>
      <c r="T49" s="372">
        <f t="shared" si="35"/>
        <v>3.8903203032930871E-2</v>
      </c>
      <c r="U49" s="372">
        <f t="shared" si="36"/>
        <v>0</v>
      </c>
      <c r="V49" s="372">
        <f t="shared" si="37"/>
        <v>3.3450625931114226E-3</v>
      </c>
      <c r="W49" s="372">
        <f t="shared" si="38"/>
        <v>0</v>
      </c>
      <c r="X49" s="372">
        <f t="shared" si="39"/>
        <v>0</v>
      </c>
      <c r="Y49" s="372">
        <f t="shared" si="42"/>
        <v>3.3450625931114226E-3</v>
      </c>
      <c r="Z49" s="372">
        <f t="shared" si="43"/>
        <v>1.1753844044401551E-2</v>
      </c>
      <c r="AA49" s="372">
        <f t="shared" si="40"/>
        <v>1.4200336028174276E-2</v>
      </c>
    </row>
    <row r="50" spans="2:27" ht="17.25" x14ac:dyDescent="0.25">
      <c r="B50" s="365">
        <v>44013</v>
      </c>
      <c r="C50" s="366">
        <v>31</v>
      </c>
      <c r="D50" s="367">
        <v>134085</v>
      </c>
      <c r="E50" s="367">
        <v>65465</v>
      </c>
      <c r="F50" s="367">
        <v>0</v>
      </c>
      <c r="G50" s="367">
        <v>742</v>
      </c>
      <c r="H50" s="367">
        <v>7256</v>
      </c>
      <c r="I50" s="367"/>
      <c r="J50" s="368">
        <v>221213.86603486529</v>
      </c>
      <c r="K50" s="368">
        <f t="shared" si="31"/>
        <v>194347.67306948692</v>
      </c>
      <c r="L50" s="368">
        <v>6269.2797764350616</v>
      </c>
      <c r="M50" s="367"/>
      <c r="N50" s="369"/>
      <c r="O50" s="370">
        <v>1998.8</v>
      </c>
      <c r="P50" s="371">
        <f t="shared" si="41"/>
        <v>1487107.2</v>
      </c>
      <c r="Q50" s="372">
        <f t="shared" si="32"/>
        <v>0.14875448524145757</v>
      </c>
      <c r="R50" s="372">
        <f t="shared" si="33"/>
        <v>0.13068840838742959</v>
      </c>
      <c r="S50" s="372">
        <f t="shared" si="34"/>
        <v>9.0164986088427254E-2</v>
      </c>
      <c r="T50" s="372">
        <f t="shared" si="35"/>
        <v>4.4021708724159225E-2</v>
      </c>
      <c r="U50" s="372">
        <f t="shared" si="36"/>
        <v>0</v>
      </c>
      <c r="V50" s="372">
        <f t="shared" si="37"/>
        <v>4.9895528715078507E-4</v>
      </c>
      <c r="W50" s="372">
        <f t="shared" si="38"/>
        <v>4.879271649010912E-3</v>
      </c>
      <c r="X50" s="372">
        <f t="shared" si="39"/>
        <v>0</v>
      </c>
      <c r="Y50" s="372">
        <f t="shared" si="42"/>
        <v>4.9895528715078507E-4</v>
      </c>
      <c r="Z50" s="372">
        <f t="shared" si="43"/>
        <v>-1.8066076854027974E-2</v>
      </c>
      <c r="AA50" s="372">
        <f t="shared" si="40"/>
        <v>9.1895634927093919E-3</v>
      </c>
    </row>
    <row r="51" spans="2:27" ht="17.25" x14ac:dyDescent="0.25">
      <c r="B51" s="365">
        <v>44044</v>
      </c>
      <c r="C51" s="366">
        <v>31</v>
      </c>
      <c r="D51" s="367">
        <v>108125</v>
      </c>
      <c r="E51" s="367">
        <v>62880</v>
      </c>
      <c r="F51" s="367">
        <v>0</v>
      </c>
      <c r="G51" s="367">
        <v>0</v>
      </c>
      <c r="H51" s="367">
        <v>28921</v>
      </c>
      <c r="I51" s="367"/>
      <c r="J51" s="368">
        <v>207440.73404691098</v>
      </c>
      <c r="K51" s="368">
        <f t="shared" si="31"/>
        <v>197098.67365212759</v>
      </c>
      <c r="L51" s="368">
        <v>6358.0217307137927</v>
      </c>
      <c r="M51" s="367"/>
      <c r="N51" s="369"/>
      <c r="O51" s="370">
        <v>1998.8</v>
      </c>
      <c r="P51" s="371">
        <f t="shared" si="41"/>
        <v>1487107.2</v>
      </c>
      <c r="Q51" s="372">
        <f t="shared" si="32"/>
        <v>0.13949279113631552</v>
      </c>
      <c r="R51" s="372">
        <f t="shared" si="33"/>
        <v>0.13253830904196254</v>
      </c>
      <c r="S51" s="372">
        <f t="shared" si="34"/>
        <v>7.2708275502936168E-2</v>
      </c>
      <c r="T51" s="372">
        <f t="shared" si="35"/>
        <v>4.228343457687516E-2</v>
      </c>
      <c r="U51" s="372">
        <f t="shared" si="36"/>
        <v>0</v>
      </c>
      <c r="V51" s="372">
        <f t="shared" si="37"/>
        <v>0</v>
      </c>
      <c r="W51" s="372">
        <f t="shared" si="38"/>
        <v>1.9447824608743742E-2</v>
      </c>
      <c r="X51" s="372">
        <f t="shared" si="39"/>
        <v>0</v>
      </c>
      <c r="Y51" s="372">
        <f t="shared" si="42"/>
        <v>0</v>
      </c>
      <c r="Z51" s="372">
        <f t="shared" si="43"/>
        <v>-6.9544820943529817E-3</v>
      </c>
      <c r="AA51" s="372">
        <f t="shared" si="40"/>
        <v>5.0532564477604458E-3</v>
      </c>
    </row>
    <row r="52" spans="2:27" ht="17.25" x14ac:dyDescent="0.25">
      <c r="B52" s="365">
        <v>44075</v>
      </c>
      <c r="C52" s="366">
        <v>30</v>
      </c>
      <c r="D52" s="367">
        <v>130322</v>
      </c>
      <c r="E52" s="367">
        <v>37978</v>
      </c>
      <c r="F52" s="367">
        <v>0</v>
      </c>
      <c r="G52" s="367">
        <v>0</v>
      </c>
      <c r="H52" s="367">
        <v>49297</v>
      </c>
      <c r="I52" s="367"/>
      <c r="J52" s="368">
        <v>227101.1284015062</v>
      </c>
      <c r="K52" s="368">
        <f t="shared" si="31"/>
        <v>201411.0851888406</v>
      </c>
      <c r="L52" s="368">
        <v>6713.7028396280202</v>
      </c>
      <c r="M52" s="367"/>
      <c r="N52" s="369"/>
      <c r="O52" s="370">
        <v>1998.8</v>
      </c>
      <c r="P52" s="371">
        <f t="shared" si="41"/>
        <v>1439136</v>
      </c>
      <c r="Q52" s="372">
        <f t="shared" si="32"/>
        <v>0.15780379922502544</v>
      </c>
      <c r="R52" s="372">
        <f t="shared" si="33"/>
        <v>0.13995278082741353</v>
      </c>
      <c r="S52" s="372">
        <f t="shared" si="34"/>
        <v>9.0555722322282262E-2</v>
      </c>
      <c r="T52" s="372">
        <f t="shared" si="35"/>
        <v>2.6389444777977899E-2</v>
      </c>
      <c r="U52" s="372">
        <f t="shared" si="36"/>
        <v>0</v>
      </c>
      <c r="V52" s="372">
        <f t="shared" si="37"/>
        <v>0</v>
      </c>
      <c r="W52" s="372">
        <f t="shared" si="38"/>
        <v>3.4254580526093432E-2</v>
      </c>
      <c r="X52" s="372">
        <f t="shared" si="39"/>
        <v>0</v>
      </c>
      <c r="Y52" s="372">
        <f t="shared" si="42"/>
        <v>0</v>
      </c>
      <c r="Z52" s="372">
        <f t="shared" si="43"/>
        <v>-1.7851018397611912E-2</v>
      </c>
      <c r="AA52" s="372">
        <f t="shared" si="40"/>
        <v>6.6040515986718479E-3</v>
      </c>
    </row>
    <row r="53" spans="2:27" ht="17.25" x14ac:dyDescent="0.25">
      <c r="B53" s="365">
        <v>44105</v>
      </c>
      <c r="C53" s="366">
        <v>31</v>
      </c>
      <c r="D53" s="367">
        <v>154723</v>
      </c>
      <c r="E53" s="367">
        <v>51487</v>
      </c>
      <c r="F53" s="367">
        <v>391</v>
      </c>
      <c r="G53" s="367">
        <v>0</v>
      </c>
      <c r="H53" s="367">
        <v>10622</v>
      </c>
      <c r="I53" s="367"/>
      <c r="J53" s="368">
        <v>245404.77880671335</v>
      </c>
      <c r="K53" s="368">
        <f t="shared" si="31"/>
        <v>235826.20666286326</v>
      </c>
      <c r="L53" s="368">
        <v>7607.2969891246212</v>
      </c>
      <c r="M53" s="367"/>
      <c r="N53" s="369"/>
      <c r="O53" s="370">
        <v>1998.8</v>
      </c>
      <c r="P53" s="371">
        <f t="shared" si="41"/>
        <v>1487107.2</v>
      </c>
      <c r="Q53" s="372">
        <f t="shared" si="32"/>
        <v>0.16502157934997111</v>
      </c>
      <c r="R53" s="372">
        <f t="shared" si="33"/>
        <v>0.15858050224144116</v>
      </c>
      <c r="S53" s="372">
        <f t="shared" si="34"/>
        <v>0.10404293651459694</v>
      </c>
      <c r="T53" s="372">
        <f t="shared" si="35"/>
        <v>3.4622251845731096E-2</v>
      </c>
      <c r="U53" s="372">
        <f t="shared" si="36"/>
        <v>2.6292657314819001E-4</v>
      </c>
      <c r="V53" s="372">
        <f t="shared" si="37"/>
        <v>0</v>
      </c>
      <c r="W53" s="372">
        <f t="shared" si="38"/>
        <v>7.1427264961127215E-3</v>
      </c>
      <c r="X53" s="372">
        <f t="shared" si="39"/>
        <v>0</v>
      </c>
      <c r="Y53" s="372">
        <f t="shared" si="42"/>
        <v>0</v>
      </c>
      <c r="Z53" s="372">
        <f t="shared" si="43"/>
        <v>-6.4410771085299523E-3</v>
      </c>
      <c r="AA53" s="372">
        <f t="shared" si="40"/>
        <v>1.8950737920382162E-2</v>
      </c>
    </row>
    <row r="54" spans="2:27" ht="17.25" x14ac:dyDescent="0.25">
      <c r="B54" s="365">
        <v>44136</v>
      </c>
      <c r="C54" s="366">
        <v>30</v>
      </c>
      <c r="D54" s="367">
        <v>103069</v>
      </c>
      <c r="E54" s="367">
        <v>36746</v>
      </c>
      <c r="F54" s="367">
        <v>0</v>
      </c>
      <c r="G54" s="367">
        <v>85332</v>
      </c>
      <c r="H54" s="367">
        <v>1501</v>
      </c>
      <c r="I54" s="367"/>
      <c r="J54" s="368">
        <v>235300.19106579319</v>
      </c>
      <c r="K54" s="368">
        <f t="shared" si="31"/>
        <v>259689.98953370139</v>
      </c>
      <c r="L54" s="368">
        <v>8656.3329844567124</v>
      </c>
      <c r="M54" s="367"/>
      <c r="N54" s="369"/>
      <c r="O54" s="370">
        <v>1998.8</v>
      </c>
      <c r="P54" s="371">
        <f t="shared" si="41"/>
        <v>1439136</v>
      </c>
      <c r="Q54" s="372">
        <f t="shared" si="32"/>
        <v>0.16350101106899778</v>
      </c>
      <c r="R54" s="372">
        <f t="shared" si="33"/>
        <v>0.18044853963329482</v>
      </c>
      <c r="S54" s="372">
        <f t="shared" si="34"/>
        <v>7.1618665643830737E-2</v>
      </c>
      <c r="T54" s="372">
        <f t="shared" si="35"/>
        <v>2.55333755809041E-2</v>
      </c>
      <c r="U54" s="372">
        <f t="shared" si="36"/>
        <v>0</v>
      </c>
      <c r="V54" s="372">
        <f t="shared" si="37"/>
        <v>5.9293909679140819E-2</v>
      </c>
      <c r="W54" s="372">
        <f t="shared" si="38"/>
        <v>1.0429869032530629E-3</v>
      </c>
      <c r="X54" s="372">
        <f t="shared" si="39"/>
        <v>0</v>
      </c>
      <c r="Y54" s="372">
        <f t="shared" si="42"/>
        <v>5.9293909679140819E-2</v>
      </c>
      <c r="Z54" s="372">
        <f t="shared" si="43"/>
        <v>1.6947528564297043E-2</v>
      </c>
      <c r="AA54" s="372">
        <f t="shared" si="40"/>
        <v>6.0120732618690609E-3</v>
      </c>
    </row>
    <row r="55" spans="2:27" ht="17.25" x14ac:dyDescent="0.25">
      <c r="B55" s="365">
        <v>44166</v>
      </c>
      <c r="C55" s="366">
        <v>31</v>
      </c>
      <c r="D55" s="367">
        <v>213813</v>
      </c>
      <c r="E55" s="367">
        <v>0</v>
      </c>
      <c r="F55" s="367">
        <v>0</v>
      </c>
      <c r="G55" s="367">
        <v>701</v>
      </c>
      <c r="H55" s="367">
        <v>10920</v>
      </c>
      <c r="I55" s="367">
        <v>6897</v>
      </c>
      <c r="J55" s="368">
        <v>239643.0911137799</v>
      </c>
      <c r="K55" s="368">
        <f t="shared" si="31"/>
        <v>282996.58493043878</v>
      </c>
      <c r="L55" s="368">
        <v>9128.9220945302841</v>
      </c>
      <c r="M55" s="367"/>
      <c r="N55" s="369"/>
      <c r="O55" s="370">
        <v>1998.8</v>
      </c>
      <c r="P55" s="371">
        <f t="shared" si="41"/>
        <v>1487107.2</v>
      </c>
      <c r="Q55" s="372">
        <f t="shared" si="32"/>
        <v>0.16114715274983532</v>
      </c>
      <c r="R55" s="372">
        <f t="shared" si="33"/>
        <v>0.19030005700358305</v>
      </c>
      <c r="S55" s="372">
        <f t="shared" si="34"/>
        <v>0.14377779893742698</v>
      </c>
      <c r="T55" s="372">
        <f t="shared" si="35"/>
        <v>0</v>
      </c>
      <c r="U55" s="372">
        <f t="shared" si="36"/>
        <v>0</v>
      </c>
      <c r="V55" s="372">
        <f t="shared" si="37"/>
        <v>4.7138498152655034E-4</v>
      </c>
      <c r="W55" s="372">
        <f t="shared" si="38"/>
        <v>7.3431155467474033E-3</v>
      </c>
      <c r="X55" s="372">
        <f t="shared" si="39"/>
        <v>4.6378633631791984E-3</v>
      </c>
      <c r="Y55" s="372">
        <f t="shared" si="42"/>
        <v>5.1092483447057486E-3</v>
      </c>
      <c r="Z55" s="372">
        <f t="shared" si="43"/>
        <v>2.9152904253747725E-2</v>
      </c>
      <c r="AA55" s="372">
        <f t="shared" si="40"/>
        <v>4.9169899209551837E-3</v>
      </c>
    </row>
    <row r="56" spans="2:27" ht="17.25" x14ac:dyDescent="0.25">
      <c r="B56" s="365">
        <v>44197</v>
      </c>
      <c r="C56" s="366">
        <v>31</v>
      </c>
      <c r="D56" s="367">
        <v>182169</v>
      </c>
      <c r="E56" s="367">
        <v>28444</v>
      </c>
      <c r="F56" s="367">
        <v>350</v>
      </c>
      <c r="G56" s="367">
        <v>90</v>
      </c>
      <c r="H56" s="367">
        <v>5472</v>
      </c>
      <c r="I56" s="367">
        <v>0</v>
      </c>
      <c r="J56" s="368">
        <v>231213.21576322854</v>
      </c>
      <c r="K56" s="368">
        <f t="shared" si="31"/>
        <v>268816.04206824559</v>
      </c>
      <c r="L56" s="368">
        <v>8671.4852280079231</v>
      </c>
      <c r="M56" s="367"/>
      <c r="N56" s="369"/>
      <c r="O56" s="370">
        <v>1998.8</v>
      </c>
      <c r="P56" s="371">
        <f t="shared" si="41"/>
        <v>1487107.2</v>
      </c>
      <c r="Q56" s="372">
        <f t="shared" si="32"/>
        <v>0.15547851275498401</v>
      </c>
      <c r="R56" s="372">
        <f t="shared" si="33"/>
        <v>0.18076440089069948</v>
      </c>
      <c r="S56" s="372">
        <f t="shared" si="34"/>
        <v>0.12249890256734686</v>
      </c>
      <c r="T56" s="372">
        <f t="shared" si="35"/>
        <v>1.9127067638432523E-2</v>
      </c>
      <c r="U56" s="372">
        <f t="shared" si="36"/>
        <v>2.3535626752395523E-4</v>
      </c>
      <c r="V56" s="372">
        <f t="shared" si="37"/>
        <v>6.0520183077588493E-5</v>
      </c>
      <c r="W56" s="372">
        <f t="shared" si="38"/>
        <v>3.6796271311173804E-3</v>
      </c>
      <c r="X56" s="372">
        <f t="shared" si="39"/>
        <v>0</v>
      </c>
      <c r="Y56" s="372">
        <f t="shared" si="42"/>
        <v>6.0520183077588493E-5</v>
      </c>
      <c r="Z56" s="372">
        <f t="shared" si="43"/>
        <v>2.5285888135715473E-2</v>
      </c>
      <c r="AA56" s="372">
        <f t="shared" si="40"/>
        <v>9.8770389674857004E-3</v>
      </c>
    </row>
    <row r="57" spans="2:27" ht="17.25" x14ac:dyDescent="0.25">
      <c r="B57" s="365">
        <v>44228</v>
      </c>
      <c r="C57" s="366">
        <v>28</v>
      </c>
      <c r="D57" s="367">
        <v>212753</v>
      </c>
      <c r="E57" s="367">
        <v>32522</v>
      </c>
      <c r="F57" s="367">
        <v>0</v>
      </c>
      <c r="G57" s="367">
        <v>0</v>
      </c>
      <c r="H57" s="367">
        <v>556</v>
      </c>
      <c r="I57" s="367"/>
      <c r="J57" s="368">
        <v>249731.42578587407</v>
      </c>
      <c r="K57" s="368">
        <v>265930.45016697515</v>
      </c>
      <c r="L57" s="368">
        <v>9497.5160773919706</v>
      </c>
      <c r="M57" s="367"/>
      <c r="N57" s="369"/>
      <c r="O57" s="370">
        <v>1998.8</v>
      </c>
      <c r="P57" s="371">
        <f t="shared" si="41"/>
        <v>1343193.5999999999</v>
      </c>
      <c r="Q57" s="372">
        <f t="shared" si="32"/>
        <v>0.18592362693350692</v>
      </c>
      <c r="R57" s="372">
        <f t="shared" si="33"/>
        <v>0.19798370850410185</v>
      </c>
      <c r="S57" s="372">
        <f t="shared" si="34"/>
        <v>0.15839339913471895</v>
      </c>
      <c r="T57" s="372">
        <f t="shared" si="35"/>
        <v>2.4212444133146556E-2</v>
      </c>
      <c r="U57" s="372">
        <f t="shared" si="36"/>
        <v>0</v>
      </c>
      <c r="V57" s="372">
        <f t="shared" si="37"/>
        <v>0</v>
      </c>
      <c r="W57" s="372">
        <f t="shared" si="38"/>
        <v>4.1393883949417272E-4</v>
      </c>
      <c r="X57" s="372">
        <f t="shared" si="39"/>
        <v>0</v>
      </c>
      <c r="Y57" s="372">
        <f t="shared" si="42"/>
        <v>0</v>
      </c>
      <c r="Z57" s="372">
        <f t="shared" si="43"/>
        <v>1.2060081570594933E-2</v>
      </c>
      <c r="AA57" s="372">
        <f t="shared" si="40"/>
        <v>2.9038448261472435E-3</v>
      </c>
    </row>
    <row r="58" spans="2:27" ht="17.25" x14ac:dyDescent="0.25">
      <c r="B58" s="365">
        <v>44256</v>
      </c>
      <c r="C58" s="366">
        <f>+'Solar Report_Base'!AI198</f>
        <v>14</v>
      </c>
      <c r="D58" s="367">
        <f>[3]Formula!AI169</f>
        <v>262484</v>
      </c>
      <c r="E58" s="367">
        <f>[3]Formula!AI191</f>
        <v>0</v>
      </c>
      <c r="F58" s="367" t="e">
        <f>[3]Formula!AI208</f>
        <v>#REF!</v>
      </c>
      <c r="G58" s="367">
        <f>[3]Formula!AI218</f>
        <v>0</v>
      </c>
      <c r="H58" s="367">
        <f>[3]Formula!AI227</f>
        <v>6541</v>
      </c>
      <c r="I58" s="367"/>
      <c r="J58" s="368">
        <f>[3]Formula!AI175</f>
        <v>272183.99900498835</v>
      </c>
      <c r="K58" s="368">
        <f t="shared" si="31"/>
        <v>130750.49481220319</v>
      </c>
      <c r="L58" s="368">
        <v>9339.3210580145133</v>
      </c>
      <c r="M58" s="367"/>
      <c r="N58" s="369"/>
      <c r="O58" s="370">
        <v>1998.8</v>
      </c>
      <c r="P58" s="371">
        <f t="shared" si="41"/>
        <v>671596.79999999993</v>
      </c>
      <c r="Q58" s="372">
        <f t="shared" si="32"/>
        <v>0.40527888013312208</v>
      </c>
      <c r="R58" s="372">
        <f t="shared" si="33"/>
        <v>0.19468600030882102</v>
      </c>
      <c r="S58" s="372">
        <f t="shared" si="34"/>
        <v>0.39083569189132533</v>
      </c>
      <c r="T58" s="372">
        <f t="shared" si="35"/>
        <v>0</v>
      </c>
      <c r="U58" s="372" t="e">
        <f t="shared" si="36"/>
        <v>#REF!</v>
      </c>
      <c r="V58" s="372">
        <f t="shared" si="37"/>
        <v>0</v>
      </c>
      <c r="W58" s="372">
        <f t="shared" si="38"/>
        <v>9.7394746371632507E-3</v>
      </c>
      <c r="X58" s="372">
        <f t="shared" si="39"/>
        <v>0</v>
      </c>
      <c r="Y58" s="372">
        <f t="shared" si="42"/>
        <v>0</v>
      </c>
      <c r="Z58" s="372">
        <f t="shared" si="43"/>
        <v>-0.21059287982430105</v>
      </c>
      <c r="AA58" s="372" t="e">
        <f t="shared" si="40"/>
        <v>#REF!</v>
      </c>
    </row>
    <row r="59" spans="2:27" ht="17.25" x14ac:dyDescent="0.25">
      <c r="B59" s="365">
        <v>44287</v>
      </c>
      <c r="C59" s="366"/>
      <c r="D59" s="367"/>
      <c r="E59" s="367"/>
      <c r="F59" s="367"/>
      <c r="G59" s="367"/>
      <c r="H59" s="367"/>
      <c r="I59" s="367"/>
      <c r="J59" s="368"/>
      <c r="K59" s="368"/>
      <c r="L59" s="368"/>
      <c r="M59" s="367"/>
      <c r="N59" s="369"/>
      <c r="O59" s="370"/>
      <c r="P59" s="370"/>
      <c r="Q59" s="370"/>
      <c r="R59" s="370"/>
      <c r="S59" s="370"/>
      <c r="T59" s="370"/>
      <c r="U59" s="370"/>
      <c r="V59" s="370"/>
      <c r="W59" s="370"/>
      <c r="X59" s="370"/>
      <c r="Y59" s="370"/>
      <c r="Z59" s="370"/>
      <c r="AA59" s="370"/>
    </row>
    <row r="60" spans="2:27" ht="17.25" x14ac:dyDescent="0.25">
      <c r="B60" s="365">
        <v>44317</v>
      </c>
      <c r="C60" s="366"/>
      <c r="D60" s="367"/>
      <c r="E60" s="367"/>
      <c r="F60" s="367"/>
      <c r="G60" s="367"/>
      <c r="H60" s="367"/>
      <c r="I60" s="367"/>
      <c r="J60" s="368"/>
      <c r="K60" s="368"/>
      <c r="L60" s="368"/>
      <c r="M60" s="367"/>
      <c r="N60" s="369"/>
      <c r="O60" s="370"/>
      <c r="P60" s="371"/>
      <c r="Q60" s="372"/>
      <c r="R60" s="373"/>
      <c r="S60" s="372"/>
      <c r="T60" s="372"/>
      <c r="U60" s="372"/>
      <c r="V60" s="372"/>
      <c r="W60" s="372"/>
      <c r="X60" s="372"/>
      <c r="Y60" s="372"/>
      <c r="Z60" s="372"/>
      <c r="AA60" s="372"/>
    </row>
    <row r="61" spans="2:27" ht="17.25" x14ac:dyDescent="0.25">
      <c r="B61" s="365">
        <v>44348</v>
      </c>
      <c r="C61" s="366"/>
      <c r="D61" s="374"/>
      <c r="E61" s="374"/>
      <c r="F61" s="374"/>
      <c r="G61" s="374"/>
      <c r="H61" s="374"/>
      <c r="I61" s="374"/>
      <c r="J61" s="375"/>
      <c r="K61" s="375"/>
      <c r="L61" s="375"/>
      <c r="M61" s="374"/>
      <c r="N61" s="369"/>
      <c r="O61" s="374"/>
      <c r="P61" s="374"/>
      <c r="Q61" s="375"/>
      <c r="R61" s="376"/>
      <c r="S61" s="375"/>
      <c r="T61" s="375"/>
      <c r="U61" s="375"/>
      <c r="V61" s="375"/>
      <c r="W61" s="375"/>
      <c r="X61" s="372"/>
      <c r="Y61" s="372"/>
      <c r="Z61" s="372"/>
      <c r="AA61" s="372"/>
    </row>
    <row r="62" spans="2:27" ht="17.25" x14ac:dyDescent="0.25">
      <c r="B62" s="377" t="s">
        <v>4</v>
      </c>
      <c r="C62" s="378">
        <f>SUM(C47:C61)</f>
        <v>348</v>
      </c>
      <c r="D62" s="378">
        <f>SUM(D47:D61)</f>
        <v>1799175.2250000001</v>
      </c>
      <c r="E62" s="378">
        <f t="shared" ref="E62:L62" si="44">SUM(E47:E61)</f>
        <v>563180</v>
      </c>
      <c r="F62" s="378" t="e">
        <f t="shared" si="44"/>
        <v>#REF!</v>
      </c>
      <c r="G62" s="378">
        <f t="shared" si="44"/>
        <v>96810</v>
      </c>
      <c r="H62" s="378">
        <f t="shared" si="44"/>
        <v>121086</v>
      </c>
      <c r="I62" s="378">
        <f t="shared" si="44"/>
        <v>6897</v>
      </c>
      <c r="J62" s="379">
        <f t="shared" si="44"/>
        <v>2646501.8495262535</v>
      </c>
      <c r="K62" s="379">
        <f t="shared" si="44"/>
        <v>2840026.6892093462</v>
      </c>
      <c r="L62" s="379">
        <f t="shared" si="44"/>
        <v>98698.505264959284</v>
      </c>
      <c r="M62" s="378"/>
      <c r="N62" s="380"/>
      <c r="O62" s="377"/>
      <c r="P62" s="379">
        <f t="shared" ref="P62" si="45">SUM(P47:P61)</f>
        <v>16693977.6</v>
      </c>
      <c r="Q62" s="372">
        <f>J62/P62</f>
        <v>0.158530334288112</v>
      </c>
      <c r="R62" s="372">
        <f>K62/P62</f>
        <v>0.17012282855880592</v>
      </c>
      <c r="S62" s="372">
        <f>D62/P62</f>
        <v>0.10777390913714896</v>
      </c>
      <c r="T62" s="372">
        <f>E62/P62</f>
        <v>3.3735519089231315E-2</v>
      </c>
      <c r="U62" s="372" t="e">
        <f>F62/P62</f>
        <v>#REF!</v>
      </c>
      <c r="V62" s="372">
        <f>G62/P62</f>
        <v>5.799097274456628E-3</v>
      </c>
      <c r="W62" s="372">
        <f>H62/P62</f>
        <v>7.253274378420156E-3</v>
      </c>
      <c r="X62" s="372">
        <f>I62/P62</f>
        <v>4.1314300074297451E-4</v>
      </c>
      <c r="Y62" s="372">
        <f t="shared" si="42"/>
        <v>6.2122402751996026E-3</v>
      </c>
      <c r="Z62" s="372">
        <f t="shared" ref="Z62" si="46">R62-Q62</f>
        <v>1.159249427069392E-2</v>
      </c>
      <c r="AA62" s="372" t="e">
        <f>(R62-S62)-(T62+U62+W62+Y62+Z62)</f>
        <v>#REF!</v>
      </c>
    </row>
    <row r="63" spans="2:27" ht="6" customHeight="1" x14ac:dyDescent="0.25"/>
    <row r="64" spans="2:27" ht="18.75" customHeight="1" x14ac:dyDescent="0.25">
      <c r="B64" s="906" t="s">
        <v>311</v>
      </c>
      <c r="C64" s="906"/>
      <c r="D64" s="906"/>
      <c r="E64" s="906"/>
      <c r="F64" s="906"/>
      <c r="G64" s="906"/>
      <c r="H64" s="906"/>
      <c r="I64" s="906"/>
      <c r="J64" s="906"/>
      <c r="K64" s="906"/>
      <c r="L64" s="906"/>
      <c r="M64" s="906"/>
      <c r="N64" s="906"/>
      <c r="O64" s="906"/>
      <c r="P64" s="906"/>
      <c r="Q64" s="906"/>
      <c r="R64" s="906"/>
      <c r="S64" s="906"/>
      <c r="T64" s="906"/>
      <c r="U64" s="906"/>
      <c r="V64" s="906"/>
      <c r="W64" s="906"/>
      <c r="X64" s="906"/>
      <c r="Y64" s="906"/>
      <c r="Z64" s="906"/>
      <c r="AA64" s="906"/>
    </row>
    <row r="65" spans="2:27" s="364" customFormat="1" ht="30" x14ac:dyDescent="0.25">
      <c r="B65" s="363" t="s">
        <v>121</v>
      </c>
      <c r="C65" s="363" t="s">
        <v>122</v>
      </c>
      <c r="D65" s="363" t="s">
        <v>307</v>
      </c>
      <c r="E65" s="307" t="s">
        <v>271</v>
      </c>
      <c r="F65" s="307" t="s">
        <v>272</v>
      </c>
      <c r="G65" s="307" t="s">
        <v>273</v>
      </c>
      <c r="H65" s="307" t="s">
        <v>274</v>
      </c>
      <c r="I65" s="307" t="s">
        <v>275</v>
      </c>
      <c r="J65" s="307" t="s">
        <v>276</v>
      </c>
      <c r="K65" s="307" t="s">
        <v>277</v>
      </c>
      <c r="L65" s="307" t="s">
        <v>278</v>
      </c>
      <c r="M65" s="307"/>
      <c r="O65" s="363" t="s">
        <v>279</v>
      </c>
      <c r="P65" s="363" t="s">
        <v>279</v>
      </c>
      <c r="Q65" s="307" t="s">
        <v>276</v>
      </c>
      <c r="R65" s="307" t="s">
        <v>277</v>
      </c>
      <c r="S65" s="363" t="s">
        <v>307</v>
      </c>
      <c r="T65" s="307" t="s">
        <v>271</v>
      </c>
      <c r="U65" s="307" t="s">
        <v>272</v>
      </c>
      <c r="V65" s="307" t="s">
        <v>273</v>
      </c>
      <c r="W65" s="307" t="s">
        <v>274</v>
      </c>
      <c r="X65" s="307" t="s">
        <v>275</v>
      </c>
      <c r="Y65" s="307" t="s">
        <v>280</v>
      </c>
      <c r="Z65" s="307" t="s">
        <v>308</v>
      </c>
      <c r="AA65" s="307" t="s">
        <v>294</v>
      </c>
    </row>
    <row r="66" spans="2:27" s="364" customFormat="1" x14ac:dyDescent="0.25">
      <c r="B66" s="363"/>
      <c r="C66" s="363"/>
      <c r="D66" s="363" t="s">
        <v>6</v>
      </c>
      <c r="E66" s="363" t="s">
        <v>6</v>
      </c>
      <c r="F66" s="363" t="s">
        <v>6</v>
      </c>
      <c r="G66" s="363" t="s">
        <v>6</v>
      </c>
      <c r="H66" s="363" t="s">
        <v>6</v>
      </c>
      <c r="I66" s="363" t="s">
        <v>6</v>
      </c>
      <c r="J66" s="307" t="s">
        <v>6</v>
      </c>
      <c r="K66" s="307" t="s">
        <v>6</v>
      </c>
      <c r="L66" s="307" t="s">
        <v>281</v>
      </c>
      <c r="M66" s="363"/>
      <c r="O66" s="363" t="s">
        <v>282</v>
      </c>
      <c r="P66" s="363" t="s">
        <v>6</v>
      </c>
      <c r="Q66" s="307" t="s">
        <v>216</v>
      </c>
      <c r="R66" s="307" t="s">
        <v>216</v>
      </c>
      <c r="S66" s="307" t="s">
        <v>216</v>
      </c>
      <c r="T66" s="307" t="s">
        <v>216</v>
      </c>
      <c r="U66" s="307" t="s">
        <v>216</v>
      </c>
      <c r="V66" s="307" t="s">
        <v>216</v>
      </c>
      <c r="W66" s="307" t="s">
        <v>216</v>
      </c>
      <c r="X66" s="307" t="s">
        <v>216</v>
      </c>
      <c r="Y66" s="307" t="s">
        <v>216</v>
      </c>
      <c r="Z66" s="307" t="s">
        <v>216</v>
      </c>
      <c r="AA66" s="307" t="s">
        <v>216</v>
      </c>
    </row>
    <row r="67" spans="2:27" ht="17.25" x14ac:dyDescent="0.25">
      <c r="B67" s="365">
        <v>43922</v>
      </c>
      <c r="C67" s="366">
        <v>30</v>
      </c>
      <c r="D67" s="367">
        <f>155130+90</f>
        <v>155220</v>
      </c>
      <c r="E67" s="367"/>
      <c r="F67" s="367">
        <v>0</v>
      </c>
      <c r="G67" s="367">
        <v>0</v>
      </c>
      <c r="H67" s="367">
        <v>0</v>
      </c>
      <c r="I67" s="367"/>
      <c r="J67" s="368">
        <v>157283.98250598361</v>
      </c>
      <c r="K67" s="368">
        <f t="shared" ref="K67:K76" si="47">L67*C67</f>
        <v>156841.50614804932</v>
      </c>
      <c r="L67" s="368">
        <v>5228.050204934977</v>
      </c>
      <c r="M67" s="367"/>
      <c r="N67" s="369"/>
      <c r="O67" s="370">
        <v>999.37</v>
      </c>
      <c r="P67" s="371">
        <f>(O67*24*C67)</f>
        <v>719546.4</v>
      </c>
      <c r="Q67" s="372">
        <f t="shared" ref="Q67:Q78" si="48">J67/P67</f>
        <v>0.2185876859449003</v>
      </c>
      <c r="R67" s="372">
        <f t="shared" ref="R67:R78" si="49">K67/P67</f>
        <v>0.21797274803688729</v>
      </c>
      <c r="S67" s="372">
        <f t="shared" ref="S67:S78" si="50">D67/P67</f>
        <v>0.21571923645229826</v>
      </c>
      <c r="T67" s="372">
        <f t="shared" ref="T67:T78" si="51">E67/P67</f>
        <v>0</v>
      </c>
      <c r="U67" s="372">
        <f t="shared" ref="U67:U78" si="52">F67/P67</f>
        <v>0</v>
      </c>
      <c r="V67" s="372">
        <f t="shared" ref="V67:V78" si="53">G67/P67</f>
        <v>0</v>
      </c>
      <c r="W67" s="372">
        <f t="shared" ref="W67:W78" si="54">H67/P67</f>
        <v>0</v>
      </c>
      <c r="X67" s="372">
        <f t="shared" ref="X67:X78" si="55">I67/P67</f>
        <v>0</v>
      </c>
      <c r="Y67" s="372">
        <f>V67+X67</f>
        <v>0</v>
      </c>
      <c r="Z67" s="372">
        <f>R67-Q67</f>
        <v>-6.1493790801300796E-4</v>
      </c>
      <c r="AA67" s="372">
        <f t="shared" ref="AA67:AA78" si="56">(R67-S67)-(T67+U67+W67+Y67+Z67)</f>
        <v>2.8684494926020376E-3</v>
      </c>
    </row>
    <row r="68" spans="2:27" ht="17.25" x14ac:dyDescent="0.25">
      <c r="B68" s="365">
        <v>43952</v>
      </c>
      <c r="C68" s="366">
        <v>31</v>
      </c>
      <c r="D68" s="367">
        <v>161279.99999999985</v>
      </c>
      <c r="E68" s="367"/>
      <c r="F68" s="367">
        <v>0</v>
      </c>
      <c r="G68" s="367">
        <v>0</v>
      </c>
      <c r="H68" s="367">
        <v>0</v>
      </c>
      <c r="I68" s="367"/>
      <c r="J68" s="368">
        <v>164801.34931182858</v>
      </c>
      <c r="K68" s="368">
        <f t="shared" si="47"/>
        <v>160854.64041416024</v>
      </c>
      <c r="L68" s="368">
        <v>5188.8593681987177</v>
      </c>
      <c r="M68" s="367"/>
      <c r="N68" s="369"/>
      <c r="O68" s="370">
        <v>999.37</v>
      </c>
      <c r="P68" s="371">
        <f t="shared" ref="P68:P78" si="57">(O68*24*C68)</f>
        <v>743531.28</v>
      </c>
      <c r="Q68" s="372">
        <f t="shared" si="48"/>
        <v>0.22164682743653849</v>
      </c>
      <c r="R68" s="372">
        <f t="shared" si="49"/>
        <v>0.21633876709821842</v>
      </c>
      <c r="S68" s="372">
        <f t="shared" si="50"/>
        <v>0.2169108473822377</v>
      </c>
      <c r="T68" s="372">
        <f t="shared" si="51"/>
        <v>0</v>
      </c>
      <c r="U68" s="372">
        <f t="shared" si="52"/>
        <v>0</v>
      </c>
      <c r="V68" s="372">
        <f t="shared" si="53"/>
        <v>0</v>
      </c>
      <c r="W68" s="372">
        <f t="shared" si="54"/>
        <v>0</v>
      </c>
      <c r="X68" s="372">
        <f t="shared" si="55"/>
        <v>0</v>
      </c>
      <c r="Y68" s="372">
        <f t="shared" ref="Y68:Y82" si="58">V68+X68</f>
        <v>0</v>
      </c>
      <c r="Z68" s="372">
        <f t="shared" ref="Z68:Z78" si="59">R68-Q68</f>
        <v>-5.3080603383200697E-3</v>
      </c>
      <c r="AA68" s="372">
        <f t="shared" si="56"/>
        <v>4.7359800543007868E-3</v>
      </c>
    </row>
    <row r="69" spans="2:27" ht="17.25" x14ac:dyDescent="0.25">
      <c r="B69" s="365">
        <v>43983</v>
      </c>
      <c r="C69" s="366">
        <v>30</v>
      </c>
      <c r="D69" s="367">
        <v>149520.00000000017</v>
      </c>
      <c r="E69" s="367"/>
      <c r="F69" s="367">
        <v>2940.7</v>
      </c>
      <c r="G69" s="367">
        <v>178</v>
      </c>
      <c r="H69" s="367">
        <v>0</v>
      </c>
      <c r="I69" s="367"/>
      <c r="J69" s="368">
        <v>154394.41735259412</v>
      </c>
      <c r="K69" s="368">
        <f t="shared" si="47"/>
        <v>139292.80978827731</v>
      </c>
      <c r="L69" s="368">
        <v>4643.0936596092433</v>
      </c>
      <c r="M69" s="367"/>
      <c r="N69" s="369"/>
      <c r="O69" s="370">
        <v>999.37</v>
      </c>
      <c r="P69" s="371">
        <f t="shared" si="57"/>
        <v>719546.4</v>
      </c>
      <c r="Q69" s="372">
        <f t="shared" si="48"/>
        <v>0.21457187104625094</v>
      </c>
      <c r="R69" s="372">
        <f t="shared" si="49"/>
        <v>0.1935841938591831</v>
      </c>
      <c r="S69" s="372">
        <f t="shared" si="50"/>
        <v>0.20779757914152605</v>
      </c>
      <c r="T69" s="372">
        <f t="shared" si="51"/>
        <v>0</v>
      </c>
      <c r="U69" s="372">
        <f t="shared" si="52"/>
        <v>4.0868802901383424E-3</v>
      </c>
      <c r="V69" s="372">
        <f t="shared" si="53"/>
        <v>2.4737807040657838E-4</v>
      </c>
      <c r="W69" s="372">
        <f t="shared" si="54"/>
        <v>0</v>
      </c>
      <c r="X69" s="372">
        <f t="shared" si="55"/>
        <v>0</v>
      </c>
      <c r="Y69" s="372">
        <f t="shared" si="58"/>
        <v>2.4737807040657838E-4</v>
      </c>
      <c r="Z69" s="372">
        <f t="shared" si="59"/>
        <v>-2.0987677187067844E-2</v>
      </c>
      <c r="AA69" s="372">
        <f t="shared" si="56"/>
        <v>2.4400335441799731E-3</v>
      </c>
    </row>
    <row r="70" spans="2:27" ht="17.25" x14ac:dyDescent="0.25">
      <c r="B70" s="365">
        <v>44013</v>
      </c>
      <c r="C70" s="366">
        <v>31</v>
      </c>
      <c r="D70" s="367">
        <v>131190.00000000006</v>
      </c>
      <c r="E70" s="367"/>
      <c r="F70" s="367">
        <v>2569</v>
      </c>
      <c r="G70" s="367">
        <v>200</v>
      </c>
      <c r="H70" s="367">
        <v>0</v>
      </c>
      <c r="I70" s="367"/>
      <c r="J70" s="368">
        <v>136487.8962358635</v>
      </c>
      <c r="K70" s="368">
        <f t="shared" si="47"/>
        <v>125510.28892247968</v>
      </c>
      <c r="L70" s="368">
        <v>4048.7189974993444</v>
      </c>
      <c r="M70" s="367"/>
      <c r="N70" s="369"/>
      <c r="O70" s="370">
        <v>999.37</v>
      </c>
      <c r="P70" s="371">
        <f t="shared" si="57"/>
        <v>743531.28</v>
      </c>
      <c r="Q70" s="372">
        <f t="shared" si="48"/>
        <v>0.18356712072135487</v>
      </c>
      <c r="R70" s="372">
        <f t="shared" si="49"/>
        <v>0.16880297076738948</v>
      </c>
      <c r="S70" s="372">
        <f t="shared" si="50"/>
        <v>0.1764418034974938</v>
      </c>
      <c r="T70" s="372">
        <f t="shared" si="51"/>
        <v>0</v>
      </c>
      <c r="U70" s="372">
        <f t="shared" si="52"/>
        <v>3.4551337234931122E-3</v>
      </c>
      <c r="V70" s="372">
        <f t="shared" si="53"/>
        <v>2.6898666590059262E-4</v>
      </c>
      <c r="W70" s="372">
        <f t="shared" si="54"/>
        <v>0</v>
      </c>
      <c r="X70" s="372">
        <f t="shared" si="55"/>
        <v>0</v>
      </c>
      <c r="Y70" s="372">
        <f t="shared" si="58"/>
        <v>2.6898666590059262E-4</v>
      </c>
      <c r="Z70" s="372">
        <f t="shared" si="59"/>
        <v>-1.4764149953965383E-2</v>
      </c>
      <c r="AA70" s="372">
        <f t="shared" si="56"/>
        <v>3.401196834467355E-3</v>
      </c>
    </row>
    <row r="71" spans="2:27" ht="17.25" x14ac:dyDescent="0.25">
      <c r="B71" s="365">
        <v>44044</v>
      </c>
      <c r="C71" s="366">
        <v>31</v>
      </c>
      <c r="D71" s="367">
        <v>98519.999999999884</v>
      </c>
      <c r="E71" s="367"/>
      <c r="F71" s="367">
        <v>2839</v>
      </c>
      <c r="G71" s="367">
        <v>40</v>
      </c>
      <c r="H71" s="367">
        <v>0</v>
      </c>
      <c r="I71" s="367"/>
      <c r="J71" s="368">
        <v>103586.20937380086</v>
      </c>
      <c r="K71" s="368">
        <f t="shared" si="47"/>
        <v>119811.40504095181</v>
      </c>
      <c r="L71" s="368">
        <v>3864.8840335790906</v>
      </c>
      <c r="M71" s="367"/>
      <c r="N71" s="369"/>
      <c r="O71" s="370">
        <v>999.37</v>
      </c>
      <c r="P71" s="371">
        <f t="shared" si="57"/>
        <v>743531.28</v>
      </c>
      <c r="Q71" s="372">
        <f t="shared" si="48"/>
        <v>0.13931654546369704</v>
      </c>
      <c r="R71" s="372">
        <f t="shared" si="49"/>
        <v>0.16113835189415543</v>
      </c>
      <c r="S71" s="372">
        <f t="shared" si="50"/>
        <v>0.13250283162263177</v>
      </c>
      <c r="T71" s="372">
        <f t="shared" si="51"/>
        <v>0</v>
      </c>
      <c r="U71" s="372">
        <f t="shared" si="52"/>
        <v>3.8182657224589125E-3</v>
      </c>
      <c r="V71" s="372">
        <f t="shared" si="53"/>
        <v>5.3797333180118525E-5</v>
      </c>
      <c r="W71" s="372">
        <f t="shared" si="54"/>
        <v>0</v>
      </c>
      <c r="X71" s="372">
        <f t="shared" si="55"/>
        <v>0</v>
      </c>
      <c r="Y71" s="372">
        <f t="shared" si="58"/>
        <v>5.3797333180118525E-5</v>
      </c>
      <c r="Z71" s="372">
        <f t="shared" si="59"/>
        <v>2.182180643045839E-2</v>
      </c>
      <c r="AA71" s="372">
        <f t="shared" si="56"/>
        <v>2.9416507854262419E-3</v>
      </c>
    </row>
    <row r="72" spans="2:27" ht="17.25" x14ac:dyDescent="0.25">
      <c r="B72" s="365">
        <v>44075</v>
      </c>
      <c r="C72" s="366">
        <v>30</v>
      </c>
      <c r="D72" s="367">
        <v>98969.999999999884</v>
      </c>
      <c r="E72" s="367"/>
      <c r="F72" s="367">
        <v>6743</v>
      </c>
      <c r="G72" s="367">
        <v>100</v>
      </c>
      <c r="H72" s="367">
        <v>3919</v>
      </c>
      <c r="I72" s="367"/>
      <c r="J72" s="368">
        <v>113020.83015786824</v>
      </c>
      <c r="K72" s="368">
        <f t="shared" si="47"/>
        <v>131189.21155461608</v>
      </c>
      <c r="L72" s="368">
        <v>4372.9737184872029</v>
      </c>
      <c r="M72" s="367"/>
      <c r="N72" s="369"/>
      <c r="O72" s="370">
        <v>999.37</v>
      </c>
      <c r="P72" s="371">
        <f t="shared" si="57"/>
        <v>719546.4</v>
      </c>
      <c r="Q72" s="372">
        <f t="shared" si="48"/>
        <v>0.15707233078765767</v>
      </c>
      <c r="R72" s="372">
        <f t="shared" si="49"/>
        <v>0.18232210119405234</v>
      </c>
      <c r="S72" s="372">
        <f t="shared" si="50"/>
        <v>0.13754498667493839</v>
      </c>
      <c r="T72" s="372">
        <f t="shared" si="51"/>
        <v>0</v>
      </c>
      <c r="U72" s="372">
        <f t="shared" si="52"/>
        <v>9.3711816221997632E-3</v>
      </c>
      <c r="V72" s="372">
        <f t="shared" si="53"/>
        <v>1.3897644404863954E-4</v>
      </c>
      <c r="W72" s="372">
        <f t="shared" si="54"/>
        <v>5.4464868422661834E-3</v>
      </c>
      <c r="X72" s="372">
        <f t="shared" si="55"/>
        <v>0</v>
      </c>
      <c r="Y72" s="372">
        <f t="shared" si="58"/>
        <v>1.3897644404863954E-4</v>
      </c>
      <c r="Z72" s="372">
        <f t="shared" si="59"/>
        <v>2.5249770406394673E-2</v>
      </c>
      <c r="AA72" s="372">
        <f t="shared" si="56"/>
        <v>4.5706992042046923E-3</v>
      </c>
    </row>
    <row r="73" spans="2:27" ht="17.25" x14ac:dyDescent="0.25">
      <c r="B73" s="365">
        <v>44105</v>
      </c>
      <c r="C73" s="366">
        <v>31</v>
      </c>
      <c r="D73" s="367">
        <v>121710</v>
      </c>
      <c r="E73" s="367"/>
      <c r="F73" s="367">
        <v>989</v>
      </c>
      <c r="G73" s="367">
        <v>0</v>
      </c>
      <c r="H73" s="367">
        <v>2717</v>
      </c>
      <c r="I73" s="367"/>
      <c r="J73" s="368">
        <v>128961.23406748295</v>
      </c>
      <c r="K73" s="368">
        <f t="shared" si="47"/>
        <v>131448.60148260146</v>
      </c>
      <c r="L73" s="368">
        <v>4240.2774671806919</v>
      </c>
      <c r="M73" s="367"/>
      <c r="N73" s="369"/>
      <c r="O73" s="370">
        <v>999.37</v>
      </c>
      <c r="P73" s="371">
        <f t="shared" si="57"/>
        <v>743531.28</v>
      </c>
      <c r="Q73" s="372">
        <f t="shared" si="48"/>
        <v>0.17344426191119081</v>
      </c>
      <c r="R73" s="372">
        <f t="shared" si="49"/>
        <v>0.17678960525050333</v>
      </c>
      <c r="S73" s="372">
        <f t="shared" si="50"/>
        <v>0.16369183553380565</v>
      </c>
      <c r="T73" s="372">
        <f t="shared" si="51"/>
        <v>0</v>
      </c>
      <c r="U73" s="372">
        <f t="shared" si="52"/>
        <v>1.3301390628784305E-3</v>
      </c>
      <c r="V73" s="372">
        <f t="shared" si="53"/>
        <v>0</v>
      </c>
      <c r="W73" s="372">
        <f t="shared" si="54"/>
        <v>3.6541838562595508E-3</v>
      </c>
      <c r="X73" s="372">
        <f t="shared" si="55"/>
        <v>0</v>
      </c>
      <c r="Y73" s="372">
        <f t="shared" si="58"/>
        <v>0</v>
      </c>
      <c r="Z73" s="372">
        <f t="shared" si="59"/>
        <v>3.3453433393125231E-3</v>
      </c>
      <c r="AA73" s="372">
        <f t="shared" si="56"/>
        <v>4.768103458247179E-3</v>
      </c>
    </row>
    <row r="74" spans="2:27" ht="17.25" x14ac:dyDescent="0.25">
      <c r="B74" s="365">
        <v>44136</v>
      </c>
      <c r="C74" s="366">
        <v>30</v>
      </c>
      <c r="D74" s="367">
        <v>101219.9999999999</v>
      </c>
      <c r="E74" s="367"/>
      <c r="F74" s="367">
        <v>3211</v>
      </c>
      <c r="G74" s="367">
        <v>242</v>
      </c>
      <c r="H74" s="367">
        <v>458</v>
      </c>
      <c r="I74" s="367">
        <v>2027</v>
      </c>
      <c r="J74" s="368">
        <v>109452.79267524825</v>
      </c>
      <c r="K74" s="368">
        <f t="shared" si="47"/>
        <v>105639.11491895317</v>
      </c>
      <c r="L74" s="368">
        <v>3521.3038306317726</v>
      </c>
      <c r="M74" s="367"/>
      <c r="N74" s="369"/>
      <c r="O74" s="370">
        <v>999.37</v>
      </c>
      <c r="P74" s="371">
        <f t="shared" si="57"/>
        <v>719546.4</v>
      </c>
      <c r="Q74" s="372">
        <f t="shared" si="48"/>
        <v>0.1521135991719898</v>
      </c>
      <c r="R74" s="372">
        <f t="shared" si="49"/>
        <v>0.14681348543881698</v>
      </c>
      <c r="S74" s="372">
        <f t="shared" si="50"/>
        <v>0.1406719566660328</v>
      </c>
      <c r="T74" s="372">
        <f t="shared" si="51"/>
        <v>0</v>
      </c>
      <c r="U74" s="372">
        <f t="shared" si="52"/>
        <v>4.4625336184018153E-3</v>
      </c>
      <c r="V74" s="372">
        <f t="shared" si="53"/>
        <v>3.3632299459770764E-4</v>
      </c>
      <c r="W74" s="372">
        <f t="shared" si="54"/>
        <v>6.3651211374276899E-4</v>
      </c>
      <c r="X74" s="372">
        <f t="shared" si="55"/>
        <v>2.8170525208659233E-3</v>
      </c>
      <c r="Y74" s="372">
        <f t="shared" si="58"/>
        <v>3.1533755154636309E-3</v>
      </c>
      <c r="Z74" s="372">
        <f t="shared" si="59"/>
        <v>-5.3001137331728232E-3</v>
      </c>
      <c r="AA74" s="372">
        <f t="shared" si="56"/>
        <v>3.1892212583487858E-3</v>
      </c>
    </row>
    <row r="75" spans="2:27" ht="17.25" x14ac:dyDescent="0.25">
      <c r="B75" s="365">
        <v>44166</v>
      </c>
      <c r="C75" s="366">
        <v>31</v>
      </c>
      <c r="D75" s="367">
        <v>97889.999999999563</v>
      </c>
      <c r="E75" s="367"/>
      <c r="F75" s="367">
        <v>5805</v>
      </c>
      <c r="G75" s="367">
        <v>0</v>
      </c>
      <c r="H75" s="367">
        <v>463</v>
      </c>
      <c r="I75" s="367">
        <v>2535</v>
      </c>
      <c r="J75" s="368">
        <v>109356.32697976934</v>
      </c>
      <c r="K75" s="368">
        <f t="shared" si="47"/>
        <v>107165.11613800917</v>
      </c>
      <c r="L75" s="368">
        <v>3456.9392302583601</v>
      </c>
      <c r="M75" s="367"/>
      <c r="N75" s="369"/>
      <c r="O75" s="370">
        <v>999.37</v>
      </c>
      <c r="P75" s="371">
        <f t="shared" si="57"/>
        <v>743531.28</v>
      </c>
      <c r="Q75" s="372">
        <f t="shared" si="48"/>
        <v>0.14707696894711589</v>
      </c>
      <c r="R75" s="372">
        <f t="shared" si="49"/>
        <v>0.14412993645406438</v>
      </c>
      <c r="S75" s="372">
        <f t="shared" si="50"/>
        <v>0.13165552362504448</v>
      </c>
      <c r="T75" s="372">
        <f t="shared" si="51"/>
        <v>0</v>
      </c>
      <c r="U75" s="372">
        <f t="shared" si="52"/>
        <v>7.8073379777647009E-3</v>
      </c>
      <c r="V75" s="372">
        <f t="shared" si="53"/>
        <v>0</v>
      </c>
      <c r="W75" s="372">
        <f t="shared" si="54"/>
        <v>6.227041315598719E-4</v>
      </c>
      <c r="X75" s="372">
        <f t="shared" si="55"/>
        <v>3.4094059902900118E-3</v>
      </c>
      <c r="Y75" s="372">
        <f t="shared" si="58"/>
        <v>3.4094059902900118E-3</v>
      </c>
      <c r="Z75" s="372">
        <f t="shared" si="59"/>
        <v>-2.9470324930515046E-3</v>
      </c>
      <c r="AA75" s="372">
        <f t="shared" si="56"/>
        <v>3.5819972224568185E-3</v>
      </c>
    </row>
    <row r="76" spans="2:27" ht="17.25" x14ac:dyDescent="0.25">
      <c r="B76" s="365">
        <v>44197</v>
      </c>
      <c r="C76" s="366">
        <v>31</v>
      </c>
      <c r="D76" s="367">
        <v>104250</v>
      </c>
      <c r="E76" s="367"/>
      <c r="F76" s="367">
        <v>303</v>
      </c>
      <c r="G76" s="367">
        <v>0</v>
      </c>
      <c r="H76" s="367">
        <v>0</v>
      </c>
      <c r="I76" s="367">
        <v>0</v>
      </c>
      <c r="J76" s="368">
        <v>107573.14382650178</v>
      </c>
      <c r="K76" s="368">
        <f t="shared" si="47"/>
        <v>113523.59774552338</v>
      </c>
      <c r="L76" s="368">
        <v>3662.0515401781736</v>
      </c>
      <c r="M76" s="367"/>
      <c r="N76" s="369"/>
      <c r="O76" s="370">
        <v>999.37</v>
      </c>
      <c r="P76" s="371">
        <f t="shared" si="57"/>
        <v>743531.28</v>
      </c>
      <c r="Q76" s="372">
        <f t="shared" si="48"/>
        <v>0.14467870649167816</v>
      </c>
      <c r="R76" s="372">
        <f t="shared" si="49"/>
        <v>0.15268167029304183</v>
      </c>
      <c r="S76" s="372">
        <f t="shared" si="50"/>
        <v>0.1402092996006839</v>
      </c>
      <c r="T76" s="372">
        <f t="shared" si="51"/>
        <v>0</v>
      </c>
      <c r="U76" s="372">
        <f t="shared" si="52"/>
        <v>4.0751479883939783E-4</v>
      </c>
      <c r="V76" s="372">
        <f t="shared" si="53"/>
        <v>0</v>
      </c>
      <c r="W76" s="372">
        <f t="shared" si="54"/>
        <v>0</v>
      </c>
      <c r="X76" s="372">
        <f t="shared" si="55"/>
        <v>0</v>
      </c>
      <c r="Y76" s="372">
        <f t="shared" si="58"/>
        <v>0</v>
      </c>
      <c r="Z76" s="372">
        <f t="shared" si="59"/>
        <v>8.0029638013636717E-3</v>
      </c>
      <c r="AA76" s="372">
        <f t="shared" si="56"/>
        <v>4.0618920921548611E-3</v>
      </c>
    </row>
    <row r="77" spans="2:27" ht="17.25" x14ac:dyDescent="0.25">
      <c r="B77" s="365">
        <v>44228</v>
      </c>
      <c r="C77" s="366">
        <v>28</v>
      </c>
      <c r="D77" s="367">
        <v>112799.99999999956</v>
      </c>
      <c r="E77" s="367"/>
      <c r="F77" s="367">
        <v>8685</v>
      </c>
      <c r="G77" s="367">
        <v>364</v>
      </c>
      <c r="H77" s="367">
        <v>301</v>
      </c>
      <c r="I77" s="367"/>
      <c r="J77" s="368">
        <v>124093.26700195186</v>
      </c>
      <c r="K77" s="368">
        <v>125481.05628319687</v>
      </c>
      <c r="L77" s="368">
        <v>4481.4662958284598</v>
      </c>
      <c r="M77" s="367"/>
      <c r="N77" s="369"/>
      <c r="O77" s="370">
        <v>999.37</v>
      </c>
      <c r="P77" s="371">
        <f t="shared" si="57"/>
        <v>671576.64</v>
      </c>
      <c r="Q77" s="372">
        <f t="shared" si="48"/>
        <v>0.18477901048188908</v>
      </c>
      <c r="R77" s="372">
        <f t="shared" si="49"/>
        <v>0.18684547497542034</v>
      </c>
      <c r="S77" s="372">
        <f t="shared" si="50"/>
        <v>0.16796295952164084</v>
      </c>
      <c r="T77" s="372">
        <f t="shared" si="51"/>
        <v>0</v>
      </c>
      <c r="U77" s="372">
        <f t="shared" si="52"/>
        <v>1.293225446316894E-2</v>
      </c>
      <c r="V77" s="372">
        <f t="shared" si="53"/>
        <v>5.4200813178969414E-4</v>
      </c>
      <c r="W77" s="372">
        <f t="shared" si="54"/>
        <v>4.4819903205686246E-4</v>
      </c>
      <c r="X77" s="372">
        <f t="shared" si="55"/>
        <v>0</v>
      </c>
      <c r="Y77" s="372">
        <f t="shared" si="58"/>
        <v>5.4200813178969414E-4</v>
      </c>
      <c r="Z77" s="372">
        <f t="shared" si="59"/>
        <v>2.0664644935312615E-3</v>
      </c>
      <c r="AA77" s="372">
        <f t="shared" si="56"/>
        <v>2.8935893332327454E-3</v>
      </c>
    </row>
    <row r="78" spans="2:27" ht="17.25" x14ac:dyDescent="0.25">
      <c r="B78" s="365">
        <v>44256</v>
      </c>
      <c r="C78" s="366">
        <f>+'Solar Report_Base'!AI198</f>
        <v>14</v>
      </c>
      <c r="D78" s="367">
        <f>[3]Formula!AI23</f>
        <v>132660.00000000012</v>
      </c>
      <c r="E78" s="367"/>
      <c r="F78" s="367" t="e">
        <f>[3]Formula!AI209</f>
        <v>#REF!</v>
      </c>
      <c r="G78" s="367">
        <f>[3]Formula!AI219</f>
        <v>205</v>
      </c>
      <c r="H78" s="367">
        <f>[3]Formula!AI228</f>
        <v>1436</v>
      </c>
      <c r="I78" s="367"/>
      <c r="J78" s="368">
        <f>[3]Formula!AI29</f>
        <v>147643.57641068115</v>
      </c>
      <c r="K78" s="368">
        <f>L78*C78</f>
        <v>68356.18979051389</v>
      </c>
      <c r="L78" s="368">
        <v>4882.5849850367067</v>
      </c>
      <c r="M78" s="367"/>
      <c r="N78" s="369"/>
      <c r="O78" s="370">
        <v>999.37</v>
      </c>
      <c r="P78" s="371">
        <f t="shared" si="57"/>
        <v>335788.32</v>
      </c>
      <c r="Q78" s="372">
        <f t="shared" si="48"/>
        <v>0.43969241220385852</v>
      </c>
      <c r="R78" s="372">
        <f t="shared" si="49"/>
        <v>0.2035692896957044</v>
      </c>
      <c r="S78" s="372">
        <f t="shared" si="50"/>
        <v>0.39507032287484006</v>
      </c>
      <c r="T78" s="372">
        <f t="shared" si="51"/>
        <v>0</v>
      </c>
      <c r="U78" s="372" t="e">
        <f t="shared" si="52"/>
        <v>#REF!</v>
      </c>
      <c r="V78" s="372">
        <f t="shared" si="53"/>
        <v>6.105036649279522E-4</v>
      </c>
      <c r="W78" s="372">
        <f t="shared" si="54"/>
        <v>4.2765037211538503E-3</v>
      </c>
      <c r="X78" s="372">
        <f t="shared" si="55"/>
        <v>0</v>
      </c>
      <c r="Y78" s="372">
        <f t="shared" si="58"/>
        <v>6.105036649279522E-4</v>
      </c>
      <c r="Z78" s="372">
        <f t="shared" si="59"/>
        <v>-0.23612312250815412</v>
      </c>
      <c r="AA78" s="372" t="e">
        <f t="shared" si="56"/>
        <v>#REF!</v>
      </c>
    </row>
    <row r="79" spans="2:27" ht="17.25" x14ac:dyDescent="0.25">
      <c r="B79" s="365">
        <v>44287</v>
      </c>
      <c r="C79" s="366"/>
      <c r="D79" s="367"/>
      <c r="E79" s="367"/>
      <c r="F79" s="367"/>
      <c r="G79" s="367"/>
      <c r="H79" s="367"/>
      <c r="I79" s="367"/>
      <c r="J79" s="368"/>
      <c r="K79" s="368"/>
      <c r="L79" s="368"/>
      <c r="M79" s="367"/>
      <c r="N79" s="369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</row>
    <row r="80" spans="2:27" ht="17.25" x14ac:dyDescent="0.25">
      <c r="B80" s="365">
        <v>44317</v>
      </c>
      <c r="C80" s="366"/>
      <c r="D80" s="367"/>
      <c r="E80" s="367"/>
      <c r="F80" s="367"/>
      <c r="G80" s="367"/>
      <c r="H80" s="367"/>
      <c r="I80" s="367"/>
      <c r="J80" s="368"/>
      <c r="K80" s="368"/>
      <c r="L80" s="368"/>
      <c r="M80" s="367"/>
      <c r="N80" s="369"/>
      <c r="O80" s="370"/>
      <c r="P80" s="371"/>
      <c r="Q80" s="372"/>
      <c r="R80" s="373"/>
      <c r="S80" s="372"/>
      <c r="T80" s="372"/>
      <c r="U80" s="372"/>
      <c r="V80" s="372"/>
      <c r="W80" s="372"/>
      <c r="X80" s="372"/>
      <c r="Y80" s="372"/>
      <c r="Z80" s="372"/>
      <c r="AA80" s="372"/>
    </row>
    <row r="81" spans="2:27" ht="17.25" x14ac:dyDescent="0.25">
      <c r="B81" s="365">
        <v>44348</v>
      </c>
      <c r="C81" s="366"/>
      <c r="D81" s="374"/>
      <c r="E81" s="374"/>
      <c r="F81" s="374"/>
      <c r="G81" s="374"/>
      <c r="H81" s="374"/>
      <c r="I81" s="374"/>
      <c r="J81" s="375"/>
      <c r="K81" s="375"/>
      <c r="L81" s="375"/>
      <c r="M81" s="374"/>
      <c r="N81" s="369"/>
      <c r="O81" s="374"/>
      <c r="P81" s="374"/>
      <c r="Q81" s="375"/>
      <c r="R81" s="376"/>
      <c r="S81" s="375"/>
      <c r="T81" s="375"/>
      <c r="U81" s="375"/>
      <c r="V81" s="375"/>
      <c r="W81" s="375"/>
      <c r="X81" s="372"/>
      <c r="Y81" s="372"/>
      <c r="Z81" s="372"/>
      <c r="AA81" s="372"/>
    </row>
    <row r="82" spans="2:27" ht="17.25" x14ac:dyDescent="0.25">
      <c r="B82" s="377" t="s">
        <v>4</v>
      </c>
      <c r="C82" s="378">
        <f>SUM(C67:C81)</f>
        <v>348</v>
      </c>
      <c r="D82" s="378">
        <f>SUM(D67:D81)</f>
        <v>1465229.9999999991</v>
      </c>
      <c r="E82" s="378">
        <f t="shared" ref="E82:L82" si="60">SUM(E67:E81)</f>
        <v>0</v>
      </c>
      <c r="F82" s="378" t="e">
        <f t="shared" si="60"/>
        <v>#REF!</v>
      </c>
      <c r="G82" s="378">
        <f t="shared" si="60"/>
        <v>1329</v>
      </c>
      <c r="H82" s="378">
        <f t="shared" si="60"/>
        <v>9294</v>
      </c>
      <c r="I82" s="378">
        <f t="shared" si="60"/>
        <v>4562</v>
      </c>
      <c r="J82" s="379">
        <f t="shared" si="60"/>
        <v>1556655.0258995742</v>
      </c>
      <c r="K82" s="379">
        <f t="shared" si="60"/>
        <v>1485113.5382273323</v>
      </c>
      <c r="L82" s="379">
        <f t="shared" si="60"/>
        <v>51591.203331422745</v>
      </c>
      <c r="M82" s="378"/>
      <c r="N82" s="380"/>
      <c r="O82" s="377"/>
      <c r="P82" s="379">
        <f t="shared" ref="P82" si="61">SUM(P67:P81)</f>
        <v>8346738.2400000021</v>
      </c>
      <c r="Q82" s="372">
        <f>J82/P82</f>
        <v>0.18649860354307382</v>
      </c>
      <c r="R82" s="372">
        <f>K82/P82</f>
        <v>0.17792741254424818</v>
      </c>
      <c r="S82" s="372">
        <f>D82/P82</f>
        <v>0.17554521992533442</v>
      </c>
      <c r="T82" s="372">
        <f>E82/P82</f>
        <v>0</v>
      </c>
      <c r="U82" s="372" t="e">
        <f>F82/P82</f>
        <v>#REF!</v>
      </c>
      <c r="V82" s="372">
        <f>G82/P82</f>
        <v>1.5922387425917404E-4</v>
      </c>
      <c r="W82" s="372">
        <f>H82/P82</f>
        <v>1.1134888543000477E-3</v>
      </c>
      <c r="X82" s="372">
        <f>I82/P82</f>
        <v>5.4656080840508048E-4</v>
      </c>
      <c r="Y82" s="372">
        <f t="shared" si="58"/>
        <v>7.0578468266425454E-4</v>
      </c>
      <c r="Z82" s="372">
        <f t="shared" ref="Z82" si="62">R82-Q82</f>
        <v>-8.5711909988256396E-3</v>
      </c>
      <c r="AA82" s="372" t="e">
        <f>(R82-S82)-(T82+U82+W82+Y82+Z82)</f>
        <v>#REF!</v>
      </c>
    </row>
    <row r="83" spans="2:27" ht="3.75" customHeight="1" x14ac:dyDescent="0.25"/>
    <row r="84" spans="2:27" ht="18.75" customHeight="1" x14ac:dyDescent="0.25">
      <c r="B84" s="906" t="s">
        <v>283</v>
      </c>
      <c r="C84" s="906"/>
      <c r="D84" s="906"/>
      <c r="E84" s="906"/>
      <c r="F84" s="906"/>
      <c r="G84" s="906"/>
      <c r="H84" s="906"/>
      <c r="I84" s="906"/>
      <c r="J84" s="906"/>
      <c r="K84" s="906"/>
      <c r="L84" s="906"/>
      <c r="M84" s="906"/>
      <c r="N84" s="906"/>
      <c r="O84" s="906"/>
      <c r="P84" s="906"/>
      <c r="Q84" s="906"/>
      <c r="R84" s="906"/>
      <c r="S84" s="906"/>
      <c r="T84" s="906"/>
      <c r="U84" s="906"/>
      <c r="V84" s="906"/>
      <c r="W84" s="906"/>
      <c r="X84" s="906"/>
      <c r="Y84" s="906"/>
      <c r="Z84" s="906"/>
      <c r="AA84" s="906"/>
    </row>
    <row r="85" spans="2:27" s="364" customFormat="1" ht="30" x14ac:dyDescent="0.25">
      <c r="B85" s="363" t="s">
        <v>121</v>
      </c>
      <c r="C85" s="363" t="s">
        <v>122</v>
      </c>
      <c r="D85" s="363" t="s">
        <v>307</v>
      </c>
      <c r="E85" s="307" t="s">
        <v>271</v>
      </c>
      <c r="F85" s="307" t="s">
        <v>272</v>
      </c>
      <c r="G85" s="307" t="s">
        <v>273</v>
      </c>
      <c r="H85" s="307" t="s">
        <v>274</v>
      </c>
      <c r="I85" s="307" t="s">
        <v>275</v>
      </c>
      <c r="J85" s="307" t="s">
        <v>276</v>
      </c>
      <c r="K85" s="307" t="s">
        <v>277</v>
      </c>
      <c r="L85" s="307" t="s">
        <v>278</v>
      </c>
      <c r="M85" s="307"/>
      <c r="O85" s="363" t="s">
        <v>279</v>
      </c>
      <c r="P85" s="363" t="s">
        <v>279</v>
      </c>
      <c r="Q85" s="307" t="s">
        <v>276</v>
      </c>
      <c r="R85" s="307" t="s">
        <v>277</v>
      </c>
      <c r="S85" s="363" t="s">
        <v>307</v>
      </c>
      <c r="T85" s="307" t="s">
        <v>271</v>
      </c>
      <c r="U85" s="307" t="s">
        <v>272</v>
      </c>
      <c r="V85" s="307" t="s">
        <v>273</v>
      </c>
      <c r="W85" s="307" t="s">
        <v>274</v>
      </c>
      <c r="X85" s="307" t="s">
        <v>275</v>
      </c>
      <c r="Y85" s="307" t="s">
        <v>280</v>
      </c>
      <c r="Z85" s="307" t="s">
        <v>308</v>
      </c>
      <c r="AA85" s="307" t="s">
        <v>294</v>
      </c>
    </row>
    <row r="86" spans="2:27" s="364" customFormat="1" x14ac:dyDescent="0.25">
      <c r="B86" s="363"/>
      <c r="C86" s="363"/>
      <c r="D86" s="363" t="s">
        <v>6</v>
      </c>
      <c r="E86" s="363" t="s">
        <v>6</v>
      </c>
      <c r="F86" s="363" t="s">
        <v>6</v>
      </c>
      <c r="G86" s="363" t="s">
        <v>6</v>
      </c>
      <c r="H86" s="363" t="s">
        <v>6</v>
      </c>
      <c r="I86" s="363" t="s">
        <v>6</v>
      </c>
      <c r="J86" s="307" t="s">
        <v>6</v>
      </c>
      <c r="K86" s="307" t="s">
        <v>6</v>
      </c>
      <c r="L86" s="307" t="s">
        <v>281</v>
      </c>
      <c r="M86" s="363"/>
      <c r="O86" s="363" t="s">
        <v>282</v>
      </c>
      <c r="P86" s="363" t="s">
        <v>6</v>
      </c>
      <c r="Q86" s="307" t="s">
        <v>216</v>
      </c>
      <c r="R86" s="307" t="s">
        <v>216</v>
      </c>
      <c r="S86" s="307" t="s">
        <v>216</v>
      </c>
      <c r="T86" s="307" t="s">
        <v>216</v>
      </c>
      <c r="U86" s="307" t="s">
        <v>216</v>
      </c>
      <c r="V86" s="307" t="s">
        <v>216</v>
      </c>
      <c r="W86" s="307" t="s">
        <v>216</v>
      </c>
      <c r="X86" s="307" t="s">
        <v>216</v>
      </c>
      <c r="Y86" s="307" t="s">
        <v>216</v>
      </c>
      <c r="Z86" s="307" t="s">
        <v>216</v>
      </c>
      <c r="AA86" s="307" t="s">
        <v>216</v>
      </c>
    </row>
    <row r="87" spans="2:27" ht="17.25" x14ac:dyDescent="0.25">
      <c r="B87" s="365">
        <v>43922</v>
      </c>
      <c r="C87" s="366">
        <v>30</v>
      </c>
      <c r="D87" s="367">
        <v>10088.1325</v>
      </c>
      <c r="E87" s="367"/>
      <c r="F87" s="367"/>
      <c r="G87" s="367"/>
      <c r="H87" s="367"/>
      <c r="I87" s="367"/>
      <c r="J87" s="368">
        <v>10492.336053890762</v>
      </c>
      <c r="K87" s="368">
        <f t="shared" ref="K87:K98" si="63">L87*C87</f>
        <v>10230.294210954668</v>
      </c>
      <c r="L87" s="368">
        <v>341.00980703182228</v>
      </c>
      <c r="M87" s="367"/>
      <c r="N87" s="369"/>
      <c r="O87" s="370">
        <v>62</v>
      </c>
      <c r="P87" s="371">
        <f>(O87*24*C87)</f>
        <v>44640</v>
      </c>
      <c r="Q87" s="372">
        <f>J87/P87</f>
        <v>0.23504337038285758</v>
      </c>
      <c r="R87" s="372">
        <f>K87/P87</f>
        <v>0.22917325741385905</v>
      </c>
      <c r="S87" s="372">
        <f t="shared" ref="S87:S98" si="64">D87/P87</f>
        <v>0.22598863127240143</v>
      </c>
      <c r="T87" s="372">
        <f t="shared" ref="T87:T98" si="65">E87/P87</f>
        <v>0</v>
      </c>
      <c r="U87" s="372">
        <f t="shared" ref="U87:U98" si="66">F87/P87</f>
        <v>0</v>
      </c>
      <c r="V87" s="372">
        <f t="shared" ref="V87:V98" si="67">G87/P87</f>
        <v>0</v>
      </c>
      <c r="W87" s="372">
        <f t="shared" ref="W87:W98" si="68">H87/P87</f>
        <v>0</v>
      </c>
      <c r="X87" s="372">
        <f t="shared" ref="X87:X98" si="69">I87/P87</f>
        <v>0</v>
      </c>
      <c r="Y87" s="372">
        <f>V87+X87</f>
        <v>0</v>
      </c>
      <c r="Z87" s="372">
        <f>R87-Q87</f>
        <v>-5.870112968998531E-3</v>
      </c>
      <c r="AA87" s="372">
        <f t="shared" ref="AA87:AA98" si="70">(R87-S87)-(T87+U87+W87+Y87+Z87)</f>
        <v>9.0547391104561503E-3</v>
      </c>
    </row>
    <row r="88" spans="2:27" ht="17.25" x14ac:dyDescent="0.25">
      <c r="B88" s="365">
        <v>43952</v>
      </c>
      <c r="C88" s="366">
        <v>31</v>
      </c>
      <c r="D88" s="367">
        <v>10520.484375</v>
      </c>
      <c r="E88" s="367"/>
      <c r="F88" s="367"/>
      <c r="G88" s="367"/>
      <c r="H88" s="367"/>
      <c r="I88" s="367"/>
      <c r="J88" s="368">
        <v>11036.106133845367</v>
      </c>
      <c r="K88" s="368">
        <f t="shared" si="63"/>
        <v>10560.9741902887</v>
      </c>
      <c r="L88" s="368">
        <v>340.67658678350642</v>
      </c>
      <c r="M88" s="367"/>
      <c r="N88" s="369"/>
      <c r="O88" s="370">
        <v>62</v>
      </c>
      <c r="P88" s="371">
        <f t="shared" ref="P88:P98" si="71">(O88*24*C88)</f>
        <v>46128</v>
      </c>
      <c r="Q88" s="372">
        <f t="shared" ref="Q88:Q98" si="72">J88/P88</f>
        <v>0.23924961268308548</v>
      </c>
      <c r="R88" s="372">
        <f t="shared" ref="R88:R98" si="73">K88/P88</f>
        <v>0.22894931907493712</v>
      </c>
      <c r="S88" s="372">
        <f t="shared" si="64"/>
        <v>0.22807154819198752</v>
      </c>
      <c r="T88" s="372">
        <f t="shared" si="65"/>
        <v>0</v>
      </c>
      <c r="U88" s="372">
        <f t="shared" si="66"/>
        <v>0</v>
      </c>
      <c r="V88" s="372">
        <f t="shared" si="67"/>
        <v>0</v>
      </c>
      <c r="W88" s="372">
        <f t="shared" si="68"/>
        <v>0</v>
      </c>
      <c r="X88" s="372">
        <f t="shared" si="69"/>
        <v>0</v>
      </c>
      <c r="Y88" s="372">
        <f t="shared" ref="Y88:Y102" si="74">V88+X88</f>
        <v>0</v>
      </c>
      <c r="Z88" s="372">
        <f t="shared" ref="Z88:Z98" si="75">R88-Q88</f>
        <v>-1.0300293608148353E-2</v>
      </c>
      <c r="AA88" s="372">
        <f t="shared" si="70"/>
        <v>1.1178064491097955E-2</v>
      </c>
    </row>
    <row r="89" spans="2:27" ht="17.25" x14ac:dyDescent="0.25">
      <c r="B89" s="365">
        <v>43983</v>
      </c>
      <c r="C89" s="366">
        <v>30</v>
      </c>
      <c r="D89" s="367">
        <v>10294</v>
      </c>
      <c r="E89" s="367"/>
      <c r="F89" s="367"/>
      <c r="G89" s="367"/>
      <c r="H89" s="367"/>
      <c r="I89" s="367"/>
      <c r="J89" s="368">
        <v>10333.933361250076</v>
      </c>
      <c r="K89" s="368">
        <f t="shared" si="63"/>
        <v>8777.3900877469077</v>
      </c>
      <c r="L89" s="368">
        <v>292.57966959156357</v>
      </c>
      <c r="M89" s="367"/>
      <c r="N89" s="369"/>
      <c r="O89" s="370">
        <v>62</v>
      </c>
      <c r="P89" s="371">
        <f t="shared" si="71"/>
        <v>44640</v>
      </c>
      <c r="Q89" s="372">
        <f t="shared" si="72"/>
        <v>0.23149492296707158</v>
      </c>
      <c r="R89" s="372">
        <f t="shared" si="73"/>
        <v>0.19662612203734112</v>
      </c>
      <c r="S89" s="372">
        <f t="shared" si="64"/>
        <v>0.23060035842293908</v>
      </c>
      <c r="T89" s="372">
        <f t="shared" si="65"/>
        <v>0</v>
      </c>
      <c r="U89" s="372">
        <f t="shared" si="66"/>
        <v>0</v>
      </c>
      <c r="V89" s="372">
        <f t="shared" si="67"/>
        <v>0</v>
      </c>
      <c r="W89" s="372">
        <f t="shared" si="68"/>
        <v>0</v>
      </c>
      <c r="X89" s="372">
        <f t="shared" si="69"/>
        <v>0</v>
      </c>
      <c r="Y89" s="372">
        <f t="shared" si="74"/>
        <v>0</v>
      </c>
      <c r="Z89" s="372">
        <f t="shared" si="75"/>
        <v>-3.4868800929730465E-2</v>
      </c>
      <c r="AA89" s="372">
        <f t="shared" si="70"/>
        <v>8.9456454413250341E-4</v>
      </c>
    </row>
    <row r="90" spans="2:27" ht="17.25" x14ac:dyDescent="0.25">
      <c r="B90" s="365">
        <v>44013</v>
      </c>
      <c r="C90" s="366">
        <v>31</v>
      </c>
      <c r="D90" s="367">
        <v>9006</v>
      </c>
      <c r="E90" s="367"/>
      <c r="F90" s="367"/>
      <c r="G90" s="367"/>
      <c r="H90" s="367"/>
      <c r="I90" s="367"/>
      <c r="J90" s="368">
        <v>9265.0470246422628</v>
      </c>
      <c r="K90" s="368">
        <f t="shared" si="63"/>
        <v>7965.7157145014098</v>
      </c>
      <c r="L90" s="368">
        <v>256.95857143552934</v>
      </c>
      <c r="M90" s="367"/>
      <c r="N90" s="369"/>
      <c r="O90" s="370">
        <v>62</v>
      </c>
      <c r="P90" s="371">
        <f t="shared" si="71"/>
        <v>46128</v>
      </c>
      <c r="Q90" s="372">
        <f t="shared" si="72"/>
        <v>0.20085516442599424</v>
      </c>
      <c r="R90" s="372">
        <f t="shared" si="73"/>
        <v>0.17268721198624284</v>
      </c>
      <c r="S90" s="372">
        <f t="shared" si="64"/>
        <v>0.19523933402705515</v>
      </c>
      <c r="T90" s="372">
        <f t="shared" si="65"/>
        <v>0</v>
      </c>
      <c r="U90" s="372">
        <f t="shared" si="66"/>
        <v>0</v>
      </c>
      <c r="V90" s="372">
        <f t="shared" si="67"/>
        <v>0</v>
      </c>
      <c r="W90" s="372">
        <f t="shared" si="68"/>
        <v>0</v>
      </c>
      <c r="X90" s="372">
        <f t="shared" si="69"/>
        <v>0</v>
      </c>
      <c r="Y90" s="372">
        <f t="shared" si="74"/>
        <v>0</v>
      </c>
      <c r="Z90" s="372">
        <f t="shared" si="75"/>
        <v>-2.8167952439751398E-2</v>
      </c>
      <c r="AA90" s="372">
        <f t="shared" si="70"/>
        <v>5.6158303989390923E-3</v>
      </c>
    </row>
    <row r="91" spans="2:27" ht="17.25" x14ac:dyDescent="0.25">
      <c r="B91" s="365">
        <v>44044</v>
      </c>
      <c r="C91" s="366">
        <v>31</v>
      </c>
      <c r="D91" s="367">
        <v>6635</v>
      </c>
      <c r="E91" s="367"/>
      <c r="F91" s="367"/>
      <c r="G91" s="367"/>
      <c r="H91" s="367"/>
      <c r="I91" s="367"/>
      <c r="J91" s="368">
        <v>6896.5123574283953</v>
      </c>
      <c r="K91" s="368">
        <f t="shared" si="63"/>
        <v>7428.8466610034502</v>
      </c>
      <c r="L91" s="368">
        <v>239.64021487107905</v>
      </c>
      <c r="M91" s="367"/>
      <c r="N91" s="369"/>
      <c r="O91" s="370">
        <v>62</v>
      </c>
      <c r="P91" s="371">
        <f t="shared" si="71"/>
        <v>46128</v>
      </c>
      <c r="Q91" s="372">
        <f t="shared" si="72"/>
        <v>0.14950815897997735</v>
      </c>
      <c r="R91" s="372">
        <f t="shared" si="73"/>
        <v>0.16104853149938109</v>
      </c>
      <c r="S91" s="372">
        <f t="shared" si="64"/>
        <v>0.14383888310787374</v>
      </c>
      <c r="T91" s="372">
        <f t="shared" si="65"/>
        <v>0</v>
      </c>
      <c r="U91" s="372">
        <f t="shared" si="66"/>
        <v>0</v>
      </c>
      <c r="V91" s="372">
        <f t="shared" si="67"/>
        <v>0</v>
      </c>
      <c r="W91" s="372">
        <f t="shared" si="68"/>
        <v>0</v>
      </c>
      <c r="X91" s="372">
        <f t="shared" si="69"/>
        <v>0</v>
      </c>
      <c r="Y91" s="372">
        <f t="shared" si="74"/>
        <v>0</v>
      </c>
      <c r="Z91" s="372">
        <f t="shared" si="75"/>
        <v>1.1540372519403735E-2</v>
      </c>
      <c r="AA91" s="372">
        <f t="shared" si="70"/>
        <v>5.6692758721036129E-3</v>
      </c>
    </row>
    <row r="92" spans="2:27" ht="17.25" x14ac:dyDescent="0.25">
      <c r="B92" s="365">
        <v>44075</v>
      </c>
      <c r="C92" s="366">
        <v>30</v>
      </c>
      <c r="D92" s="367">
        <v>7966</v>
      </c>
      <c r="E92" s="367"/>
      <c r="F92" s="367"/>
      <c r="G92" s="367"/>
      <c r="H92" s="367"/>
      <c r="I92" s="367"/>
      <c r="J92" s="368">
        <v>8268.8522411805679</v>
      </c>
      <c r="K92" s="368">
        <f t="shared" si="63"/>
        <v>8578.953469555634</v>
      </c>
      <c r="L92" s="368">
        <v>285.96511565185449</v>
      </c>
      <c r="M92" s="367"/>
      <c r="N92" s="369"/>
      <c r="O92" s="370">
        <v>62</v>
      </c>
      <c r="P92" s="371">
        <f t="shared" si="71"/>
        <v>44640</v>
      </c>
      <c r="Q92" s="372">
        <f t="shared" si="72"/>
        <v>0.18523414518773673</v>
      </c>
      <c r="R92" s="372">
        <f t="shared" si="73"/>
        <v>0.19218085729291295</v>
      </c>
      <c r="S92" s="372">
        <f t="shared" si="64"/>
        <v>0.17844982078853047</v>
      </c>
      <c r="T92" s="372">
        <f t="shared" si="65"/>
        <v>0</v>
      </c>
      <c r="U92" s="372">
        <f t="shared" si="66"/>
        <v>0</v>
      </c>
      <c r="V92" s="372">
        <f t="shared" si="67"/>
        <v>0</v>
      </c>
      <c r="W92" s="372">
        <f t="shared" si="68"/>
        <v>0</v>
      </c>
      <c r="X92" s="372">
        <f t="shared" si="69"/>
        <v>0</v>
      </c>
      <c r="Y92" s="372">
        <f t="shared" si="74"/>
        <v>0</v>
      </c>
      <c r="Z92" s="372">
        <f t="shared" si="75"/>
        <v>6.9467121051762226E-3</v>
      </c>
      <c r="AA92" s="372">
        <f t="shared" si="70"/>
        <v>6.7843243992062596E-3</v>
      </c>
    </row>
    <row r="93" spans="2:27" ht="17.25" x14ac:dyDescent="0.25">
      <c r="B93" s="365">
        <v>44105</v>
      </c>
      <c r="C93" s="366">
        <v>31</v>
      </c>
      <c r="D93" s="367">
        <v>8377</v>
      </c>
      <c r="E93" s="367"/>
      <c r="F93" s="367"/>
      <c r="G93" s="367"/>
      <c r="H93" s="367"/>
      <c r="I93" s="367"/>
      <c r="J93" s="368">
        <v>8634.4890614334836</v>
      </c>
      <c r="K93" s="368">
        <f t="shared" si="63"/>
        <v>9532.4518460847212</v>
      </c>
      <c r="L93" s="368">
        <v>307.49844664789424</v>
      </c>
      <c r="M93" s="367"/>
      <c r="N93" s="369"/>
      <c r="O93" s="370">
        <v>62</v>
      </c>
      <c r="P93" s="371">
        <f t="shared" si="71"/>
        <v>46128</v>
      </c>
      <c r="Q93" s="372">
        <f t="shared" si="72"/>
        <v>0.18718542016635198</v>
      </c>
      <c r="R93" s="372">
        <f t="shared" si="73"/>
        <v>0.20665218188702569</v>
      </c>
      <c r="S93" s="372">
        <f t="shared" si="64"/>
        <v>0.18160336455081513</v>
      </c>
      <c r="T93" s="372">
        <f t="shared" si="65"/>
        <v>0</v>
      </c>
      <c r="U93" s="372">
        <f t="shared" si="66"/>
        <v>0</v>
      </c>
      <c r="V93" s="372">
        <f t="shared" si="67"/>
        <v>0</v>
      </c>
      <c r="W93" s="372">
        <f t="shared" si="68"/>
        <v>0</v>
      </c>
      <c r="X93" s="372">
        <f t="shared" si="69"/>
        <v>0</v>
      </c>
      <c r="Y93" s="372">
        <f t="shared" si="74"/>
        <v>0</v>
      </c>
      <c r="Z93" s="372">
        <f t="shared" si="75"/>
        <v>1.9466761720673714E-2</v>
      </c>
      <c r="AA93" s="372">
        <f t="shared" si="70"/>
        <v>5.5820556155368461E-3</v>
      </c>
    </row>
    <row r="94" spans="2:27" ht="17.25" x14ac:dyDescent="0.25">
      <c r="B94" s="365">
        <v>44136</v>
      </c>
      <c r="C94" s="366">
        <v>30</v>
      </c>
      <c r="D94" s="367">
        <v>7283</v>
      </c>
      <c r="E94" s="367"/>
      <c r="F94" s="367"/>
      <c r="G94" s="367"/>
      <c r="H94" s="367"/>
      <c r="I94" s="367"/>
      <c r="J94" s="368">
        <v>7643.2460940688088</v>
      </c>
      <c r="K94" s="368">
        <f t="shared" si="63"/>
        <v>8035.7561739924822</v>
      </c>
      <c r="L94" s="368">
        <v>267.85853913308273</v>
      </c>
      <c r="M94" s="367"/>
      <c r="N94" s="369"/>
      <c r="O94" s="370">
        <v>62</v>
      </c>
      <c r="P94" s="371">
        <f t="shared" si="71"/>
        <v>44640</v>
      </c>
      <c r="Q94" s="372">
        <f t="shared" si="72"/>
        <v>0.17121967056605755</v>
      </c>
      <c r="R94" s="372">
        <f t="shared" si="73"/>
        <v>0.18001245909481367</v>
      </c>
      <c r="S94" s="372">
        <f t="shared" si="64"/>
        <v>0.16314964157706094</v>
      </c>
      <c r="T94" s="372">
        <f t="shared" si="65"/>
        <v>0</v>
      </c>
      <c r="U94" s="372">
        <f t="shared" si="66"/>
        <v>0</v>
      </c>
      <c r="V94" s="372">
        <f t="shared" si="67"/>
        <v>0</v>
      </c>
      <c r="W94" s="372">
        <f t="shared" si="68"/>
        <v>0</v>
      </c>
      <c r="X94" s="372">
        <f t="shared" si="69"/>
        <v>0</v>
      </c>
      <c r="Y94" s="372">
        <f t="shared" si="74"/>
        <v>0</v>
      </c>
      <c r="Z94" s="372">
        <f t="shared" si="75"/>
        <v>8.792788528756118E-3</v>
      </c>
      <c r="AA94" s="372">
        <f t="shared" si="70"/>
        <v>8.0700289889966137E-3</v>
      </c>
    </row>
    <row r="95" spans="2:27" ht="17.25" x14ac:dyDescent="0.25">
      <c r="B95" s="365">
        <v>44166</v>
      </c>
      <c r="C95" s="366">
        <v>31</v>
      </c>
      <c r="D95" s="367">
        <v>7705</v>
      </c>
      <c r="E95" s="367"/>
      <c r="F95" s="367"/>
      <c r="G95" s="367"/>
      <c r="H95" s="367"/>
      <c r="I95" s="367"/>
      <c r="J95" s="368">
        <v>7975.6566300961558</v>
      </c>
      <c r="K95" s="368">
        <f t="shared" si="63"/>
        <v>8483.7876432530611</v>
      </c>
      <c r="L95" s="368">
        <v>273.67056913719551</v>
      </c>
      <c r="M95" s="367"/>
      <c r="N95" s="369"/>
      <c r="O95" s="370">
        <v>62</v>
      </c>
      <c r="P95" s="371">
        <f t="shared" si="71"/>
        <v>46128</v>
      </c>
      <c r="Q95" s="372">
        <f t="shared" si="72"/>
        <v>0.17290271917482128</v>
      </c>
      <c r="R95" s="372">
        <f t="shared" si="73"/>
        <v>0.18391839323736259</v>
      </c>
      <c r="S95" s="372">
        <f t="shared" si="64"/>
        <v>0.16703520638224073</v>
      </c>
      <c r="T95" s="372">
        <f t="shared" si="65"/>
        <v>0</v>
      </c>
      <c r="U95" s="372">
        <f t="shared" si="66"/>
        <v>0</v>
      </c>
      <c r="V95" s="372">
        <f t="shared" si="67"/>
        <v>0</v>
      </c>
      <c r="W95" s="372">
        <f t="shared" si="68"/>
        <v>0</v>
      </c>
      <c r="X95" s="372">
        <f t="shared" si="69"/>
        <v>0</v>
      </c>
      <c r="Y95" s="372">
        <f t="shared" si="74"/>
        <v>0</v>
      </c>
      <c r="Z95" s="372">
        <f t="shared" si="75"/>
        <v>1.1015674062541309E-2</v>
      </c>
      <c r="AA95" s="372">
        <f t="shared" si="70"/>
        <v>5.8675127925805481E-3</v>
      </c>
    </row>
    <row r="96" spans="2:27" ht="17.25" x14ac:dyDescent="0.25">
      <c r="B96" s="365">
        <v>44197</v>
      </c>
      <c r="C96" s="366">
        <v>31</v>
      </c>
      <c r="D96" s="367">
        <v>7087</v>
      </c>
      <c r="E96" s="367"/>
      <c r="F96" s="367"/>
      <c r="G96" s="381">
        <v>644</v>
      </c>
      <c r="H96" s="367">
        <f>77-17</f>
        <v>60</v>
      </c>
      <c r="I96" s="367"/>
      <c r="J96" s="368">
        <v>7355.1929810338115</v>
      </c>
      <c r="K96" s="368">
        <f t="shared" si="63"/>
        <v>8922.2320448233186</v>
      </c>
      <c r="L96" s="368">
        <v>287.81393692978446</v>
      </c>
      <c r="M96" s="367"/>
      <c r="N96" s="369"/>
      <c r="O96" s="370">
        <v>62</v>
      </c>
      <c r="P96" s="371">
        <f t="shared" si="71"/>
        <v>46128</v>
      </c>
      <c r="Q96" s="372">
        <f t="shared" si="72"/>
        <v>0.15945180760132266</v>
      </c>
      <c r="R96" s="372">
        <f t="shared" si="73"/>
        <v>0.19342334471087666</v>
      </c>
      <c r="S96" s="372">
        <f t="shared" si="64"/>
        <v>0.1536377037807839</v>
      </c>
      <c r="T96" s="372">
        <f t="shared" si="65"/>
        <v>0</v>
      </c>
      <c r="U96" s="372">
        <f t="shared" si="66"/>
        <v>0</v>
      </c>
      <c r="V96" s="372">
        <f t="shared" si="67"/>
        <v>1.3961151578217135E-2</v>
      </c>
      <c r="W96" s="372">
        <f t="shared" si="68"/>
        <v>1.3007284079084287E-3</v>
      </c>
      <c r="X96" s="372">
        <f t="shared" si="69"/>
        <v>0</v>
      </c>
      <c r="Y96" s="372">
        <f t="shared" si="74"/>
        <v>1.3961151578217135E-2</v>
      </c>
      <c r="Z96" s="372">
        <f t="shared" si="75"/>
        <v>3.3971537109554001E-2</v>
      </c>
      <c r="AA96" s="372">
        <f t="shared" si="70"/>
        <v>-9.4477761655867992E-3</v>
      </c>
    </row>
    <row r="97" spans="2:27" ht="17.25" x14ac:dyDescent="0.25">
      <c r="B97" s="365">
        <v>44228</v>
      </c>
      <c r="C97" s="366">
        <v>28</v>
      </c>
      <c r="D97" s="367">
        <v>8999</v>
      </c>
      <c r="E97" s="367"/>
      <c r="F97" s="367"/>
      <c r="G97" s="381"/>
      <c r="H97" s="367">
        <v>17</v>
      </c>
      <c r="I97" s="367"/>
      <c r="J97" s="368">
        <v>9171.8779113481251</v>
      </c>
      <c r="K97" s="368">
        <v>9414.836106295983</v>
      </c>
      <c r="L97" s="368">
        <v>336.24414665342795</v>
      </c>
      <c r="M97" s="367"/>
      <c r="N97" s="369"/>
      <c r="O97" s="370">
        <v>62</v>
      </c>
      <c r="P97" s="371">
        <f t="shared" si="71"/>
        <v>41664</v>
      </c>
      <c r="Q97" s="372">
        <f t="shared" si="72"/>
        <v>0.22013915877851684</v>
      </c>
      <c r="R97" s="372">
        <f t="shared" si="73"/>
        <v>0.22597052866493814</v>
      </c>
      <c r="S97" s="372">
        <f t="shared" si="64"/>
        <v>0.21598982334869432</v>
      </c>
      <c r="T97" s="372">
        <f t="shared" si="65"/>
        <v>0</v>
      </c>
      <c r="U97" s="372">
        <f t="shared" si="66"/>
        <v>0</v>
      </c>
      <c r="V97" s="372">
        <f t="shared" si="67"/>
        <v>0</v>
      </c>
      <c r="W97" s="372">
        <f t="shared" si="68"/>
        <v>4.0802611367127495E-4</v>
      </c>
      <c r="X97" s="372">
        <f t="shared" si="69"/>
        <v>0</v>
      </c>
      <c r="Y97" s="372">
        <f t="shared" si="74"/>
        <v>0</v>
      </c>
      <c r="Z97" s="372">
        <f t="shared" si="75"/>
        <v>5.8313698864213004E-3</v>
      </c>
      <c r="AA97" s="372">
        <f t="shared" si="70"/>
        <v>3.7413093161512397E-3</v>
      </c>
    </row>
    <row r="98" spans="2:27" ht="17.25" x14ac:dyDescent="0.25">
      <c r="B98" s="365">
        <v>44256</v>
      </c>
      <c r="C98" s="366">
        <f>+'Solar Report_Base'!AI198</f>
        <v>14</v>
      </c>
      <c r="D98" s="367">
        <f>[3]Formula!AI109</f>
        <v>10235</v>
      </c>
      <c r="E98" s="367"/>
      <c r="F98" s="367"/>
      <c r="G98" s="381"/>
      <c r="H98" s="381"/>
      <c r="I98" s="367"/>
      <c r="J98" s="368">
        <f>[3]Formula!AI113</f>
        <v>10346.419114771739</v>
      </c>
      <c r="K98" s="368">
        <f t="shared" si="63"/>
        <v>4796.0264637369273</v>
      </c>
      <c r="L98" s="368">
        <v>342.57331883835195</v>
      </c>
      <c r="M98" s="367"/>
      <c r="N98" s="369"/>
      <c r="O98" s="370">
        <v>62</v>
      </c>
      <c r="P98" s="371">
        <f t="shared" si="71"/>
        <v>20832</v>
      </c>
      <c r="Q98" s="372">
        <f t="shared" si="72"/>
        <v>0.49665990374288305</v>
      </c>
      <c r="R98" s="372">
        <f t="shared" si="73"/>
        <v>0.23022400459566664</v>
      </c>
      <c r="S98" s="372">
        <f t="shared" si="64"/>
        <v>0.49131144393241166</v>
      </c>
      <c r="T98" s="372">
        <f t="shared" si="65"/>
        <v>0</v>
      </c>
      <c r="U98" s="372">
        <f t="shared" si="66"/>
        <v>0</v>
      </c>
      <c r="V98" s="372">
        <f t="shared" si="67"/>
        <v>0</v>
      </c>
      <c r="W98" s="372">
        <f t="shared" si="68"/>
        <v>0</v>
      </c>
      <c r="X98" s="372">
        <f t="shared" si="69"/>
        <v>0</v>
      </c>
      <c r="Y98" s="372">
        <f t="shared" si="74"/>
        <v>0</v>
      </c>
      <c r="Z98" s="372">
        <f t="shared" si="75"/>
        <v>-0.26643589914721644</v>
      </c>
      <c r="AA98" s="372">
        <f t="shared" si="70"/>
        <v>5.3484598104713843E-3</v>
      </c>
    </row>
    <row r="99" spans="2:27" ht="17.25" x14ac:dyDescent="0.25">
      <c r="B99" s="365">
        <v>44287</v>
      </c>
      <c r="C99" s="366"/>
      <c r="D99" s="367"/>
      <c r="E99" s="367"/>
      <c r="F99" s="367"/>
      <c r="G99" s="381"/>
      <c r="H99" s="381"/>
      <c r="I99" s="367"/>
      <c r="J99" s="368"/>
      <c r="K99" s="368"/>
      <c r="L99" s="368"/>
      <c r="M99" s="367"/>
      <c r="N99" s="369"/>
      <c r="O99" s="370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  <c r="AA99" s="370"/>
    </row>
    <row r="100" spans="2:27" ht="17.25" x14ac:dyDescent="0.25">
      <c r="B100" s="365">
        <v>44317</v>
      </c>
      <c r="C100" s="366"/>
      <c r="D100" s="367"/>
      <c r="E100" s="367"/>
      <c r="F100" s="367"/>
      <c r="G100" s="381"/>
      <c r="H100" s="381"/>
      <c r="I100" s="367"/>
      <c r="J100" s="368"/>
      <c r="K100" s="368"/>
      <c r="L100" s="368"/>
      <c r="M100" s="367"/>
      <c r="N100" s="369"/>
      <c r="O100" s="370"/>
      <c r="P100" s="371"/>
      <c r="Q100" s="372"/>
      <c r="R100" s="373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ht="17.25" x14ac:dyDescent="0.25">
      <c r="B101" s="365">
        <v>44348</v>
      </c>
      <c r="C101" s="366"/>
      <c r="D101" s="374"/>
      <c r="E101" s="374"/>
      <c r="F101" s="374"/>
      <c r="G101" s="374"/>
      <c r="H101" s="374"/>
      <c r="I101" s="374"/>
      <c r="J101" s="375"/>
      <c r="K101" s="375"/>
      <c r="L101" s="375"/>
      <c r="M101" s="374"/>
      <c r="N101" s="369"/>
      <c r="O101" s="374"/>
      <c r="P101" s="374"/>
      <c r="Q101" s="375"/>
      <c r="R101" s="376"/>
      <c r="S101" s="375"/>
      <c r="T101" s="375"/>
      <c r="U101" s="375"/>
      <c r="V101" s="375"/>
      <c r="W101" s="375"/>
      <c r="X101" s="372"/>
      <c r="Y101" s="372"/>
      <c r="Z101" s="372"/>
      <c r="AA101" s="372"/>
    </row>
    <row r="102" spans="2:27" ht="17.25" x14ac:dyDescent="0.25">
      <c r="B102" s="377" t="s">
        <v>4</v>
      </c>
      <c r="C102" s="378">
        <f>SUM(C87:C101)</f>
        <v>348</v>
      </c>
      <c r="D102" s="378">
        <f>SUM(D87:D101)</f>
        <v>104195.61687500001</v>
      </c>
      <c r="E102" s="378">
        <f t="shared" ref="E102:L102" si="76">SUM(E87:E101)</f>
        <v>0</v>
      </c>
      <c r="F102" s="378">
        <f t="shared" si="76"/>
        <v>0</v>
      </c>
      <c r="G102" s="378">
        <f t="shared" si="76"/>
        <v>644</v>
      </c>
      <c r="H102" s="378">
        <f t="shared" si="76"/>
        <v>77</v>
      </c>
      <c r="I102" s="378">
        <f t="shared" si="76"/>
        <v>0</v>
      </c>
      <c r="J102" s="379">
        <f t="shared" si="76"/>
        <v>107419.66896498954</v>
      </c>
      <c r="K102" s="379">
        <f t="shared" si="76"/>
        <v>102727.26461223727</v>
      </c>
      <c r="L102" s="379">
        <f t="shared" si="76"/>
        <v>3572.4889227050917</v>
      </c>
      <c r="M102" s="378"/>
      <c r="N102" s="380"/>
      <c r="O102" s="377"/>
      <c r="P102" s="379">
        <f t="shared" ref="P102" si="77">SUM(P87:P101)</f>
        <v>517824</v>
      </c>
      <c r="Q102" s="372">
        <f t="shared" ref="Q102" si="78">J102/P102</f>
        <v>0.20744436133703642</v>
      </c>
      <c r="R102" s="372">
        <f t="shared" ref="R102" si="79">K102/P102</f>
        <v>0.19838258677125292</v>
      </c>
      <c r="S102" s="372">
        <f>D102/P102</f>
        <v>0.20121820710318566</v>
      </c>
      <c r="T102" s="372">
        <f>E102/P102</f>
        <v>0</v>
      </c>
      <c r="U102" s="372">
        <f>F102/P102</f>
        <v>0</v>
      </c>
      <c r="V102" s="372">
        <f>G102/P102</f>
        <v>1.2436658015078483E-3</v>
      </c>
      <c r="W102" s="372">
        <f>H102/P102</f>
        <v>1.4869917191941663E-4</v>
      </c>
      <c r="X102" s="372">
        <f>I102/P102</f>
        <v>0</v>
      </c>
      <c r="Y102" s="372">
        <f t="shared" si="74"/>
        <v>1.2436658015078483E-3</v>
      </c>
      <c r="Z102" s="372">
        <f t="shared" ref="Z102" si="80">R102-Q102</f>
        <v>-9.061774565783498E-3</v>
      </c>
      <c r="AA102" s="372">
        <f>(R102-S102)-(T102+U102+W102+Y102+Z102)</f>
        <v>4.8337892604234907E-3</v>
      </c>
    </row>
    <row r="105" spans="2:27" ht="18.75" customHeight="1" x14ac:dyDescent="0.25">
      <c r="B105" s="906" t="s">
        <v>312</v>
      </c>
      <c r="C105" s="906"/>
      <c r="D105" s="906"/>
      <c r="E105" s="906"/>
      <c r="F105" s="906"/>
      <c r="G105" s="906"/>
      <c r="H105" s="906"/>
      <c r="I105" s="906"/>
      <c r="J105" s="906"/>
      <c r="K105" s="906"/>
      <c r="L105" s="906"/>
      <c r="M105" s="906"/>
      <c r="N105" s="906"/>
      <c r="O105" s="906"/>
      <c r="P105" s="906"/>
      <c r="Q105" s="906"/>
      <c r="R105" s="906"/>
      <c r="S105" s="906"/>
      <c r="T105" s="906"/>
      <c r="U105" s="906"/>
      <c r="V105" s="906"/>
      <c r="W105" s="906"/>
      <c r="X105" s="906"/>
      <c r="Y105" s="906"/>
      <c r="Z105" s="906"/>
      <c r="AA105" s="906"/>
    </row>
    <row r="106" spans="2:27" s="364" customFormat="1" ht="30" x14ac:dyDescent="0.25">
      <c r="B106" s="363" t="s">
        <v>121</v>
      </c>
      <c r="C106" s="363" t="s">
        <v>122</v>
      </c>
      <c r="D106" s="363" t="s">
        <v>307</v>
      </c>
      <c r="E106" s="307" t="s">
        <v>271</v>
      </c>
      <c r="F106" s="307" t="s">
        <v>272</v>
      </c>
      <c r="G106" s="307" t="s">
        <v>273</v>
      </c>
      <c r="H106" s="307" t="s">
        <v>274</v>
      </c>
      <c r="I106" s="307" t="s">
        <v>275</v>
      </c>
      <c r="J106" s="307" t="s">
        <v>276</v>
      </c>
      <c r="K106" s="307" t="s">
        <v>277</v>
      </c>
      <c r="L106" s="307" t="s">
        <v>278</v>
      </c>
      <c r="M106" s="307"/>
      <c r="O106" s="363" t="s">
        <v>279</v>
      </c>
      <c r="P106" s="363" t="s">
        <v>279</v>
      </c>
      <c r="Q106" s="307" t="s">
        <v>276</v>
      </c>
      <c r="R106" s="307" t="s">
        <v>277</v>
      </c>
      <c r="S106" s="363" t="s">
        <v>307</v>
      </c>
      <c r="T106" s="307" t="s">
        <v>271</v>
      </c>
      <c r="U106" s="307" t="s">
        <v>272</v>
      </c>
      <c r="V106" s="307" t="s">
        <v>273</v>
      </c>
      <c r="W106" s="307" t="s">
        <v>274</v>
      </c>
      <c r="X106" s="307" t="s">
        <v>275</v>
      </c>
      <c r="Y106" s="307" t="s">
        <v>280</v>
      </c>
      <c r="Z106" s="307" t="s">
        <v>308</v>
      </c>
      <c r="AA106" s="307" t="s">
        <v>294</v>
      </c>
    </row>
    <row r="107" spans="2:27" s="364" customFormat="1" x14ac:dyDescent="0.25">
      <c r="B107" s="363"/>
      <c r="C107" s="363"/>
      <c r="D107" s="363" t="s">
        <v>6</v>
      </c>
      <c r="E107" s="363" t="s">
        <v>6</v>
      </c>
      <c r="F107" s="363" t="s">
        <v>6</v>
      </c>
      <c r="G107" s="363" t="s">
        <v>6</v>
      </c>
      <c r="H107" s="363" t="s">
        <v>6</v>
      </c>
      <c r="I107" s="363" t="s">
        <v>6</v>
      </c>
      <c r="J107" s="307" t="s">
        <v>6</v>
      </c>
      <c r="K107" s="307" t="s">
        <v>6</v>
      </c>
      <c r="L107" s="307" t="s">
        <v>281</v>
      </c>
      <c r="M107" s="363"/>
      <c r="O107" s="363" t="s">
        <v>282</v>
      </c>
      <c r="P107" s="363" t="s">
        <v>6</v>
      </c>
      <c r="Q107" s="307" t="s">
        <v>216</v>
      </c>
      <c r="R107" s="307" t="s">
        <v>216</v>
      </c>
      <c r="S107" s="307" t="s">
        <v>216</v>
      </c>
      <c r="T107" s="307" t="s">
        <v>216</v>
      </c>
      <c r="U107" s="307" t="s">
        <v>216</v>
      </c>
      <c r="V107" s="307" t="s">
        <v>216</v>
      </c>
      <c r="W107" s="307" t="s">
        <v>216</v>
      </c>
      <c r="X107" s="307" t="s">
        <v>216</v>
      </c>
      <c r="Y107" s="307" t="s">
        <v>216</v>
      </c>
      <c r="Z107" s="307" t="s">
        <v>216</v>
      </c>
      <c r="AA107" s="307" t="s">
        <v>216</v>
      </c>
    </row>
    <row r="108" spans="2:27" ht="17.25" x14ac:dyDescent="0.25">
      <c r="B108" s="365">
        <v>43922</v>
      </c>
      <c r="C108" s="366">
        <v>30</v>
      </c>
      <c r="D108" s="367">
        <f>D5+D25+D47+D67+D87</f>
        <v>432733.13250000001</v>
      </c>
      <c r="E108" s="367">
        <f t="shared" ref="E108:K108" si="81">E5+E25+E47+E67+E87</f>
        <v>93900</v>
      </c>
      <c r="F108" s="367">
        <f t="shared" si="81"/>
        <v>1779</v>
      </c>
      <c r="G108" s="367">
        <f t="shared" si="81"/>
        <v>7708</v>
      </c>
      <c r="H108" s="367">
        <f t="shared" si="81"/>
        <v>8078</v>
      </c>
      <c r="I108" s="367">
        <f t="shared" si="81"/>
        <v>0</v>
      </c>
      <c r="J108" s="367">
        <f t="shared" si="81"/>
        <v>473423.76966081228</v>
      </c>
      <c r="K108" s="367">
        <f t="shared" si="81"/>
        <v>742881.11497992242</v>
      </c>
      <c r="L108" s="368"/>
      <c r="M108" s="367"/>
      <c r="N108" s="369"/>
      <c r="O108" s="367">
        <f t="shared" ref="O108:O119" si="82">O5+O25+O47+O67+O87</f>
        <v>5058.97</v>
      </c>
      <c r="P108" s="371">
        <f>(O108*24*C108)</f>
        <v>3642458.4</v>
      </c>
      <c r="Q108" s="372">
        <f>J108/P108</f>
        <v>0.12997369294891942</v>
      </c>
      <c r="R108" s="372">
        <f>K108/P108</f>
        <v>0.20395047338905023</v>
      </c>
      <c r="S108" s="372">
        <f t="shared" ref="S108:S119" si="83">D108/P108</f>
        <v>0.11880249133387495</v>
      </c>
      <c r="T108" s="372">
        <f t="shared" ref="T108:T119" si="84">E108/P108</f>
        <v>2.5779292359248359E-2</v>
      </c>
      <c r="U108" s="372">
        <f t="shared" ref="U108:U119" si="85">F108/P108</f>
        <v>4.8840640156659035E-4</v>
      </c>
      <c r="V108" s="372">
        <f t="shared" ref="V108:V119" si="86">G108/P108</f>
        <v>2.1161532002671605E-3</v>
      </c>
      <c r="W108" s="372">
        <f t="shared" ref="W108:W119" si="87">H108/P108</f>
        <v>2.2177329465176599E-3</v>
      </c>
      <c r="X108" s="372">
        <f t="shared" ref="X108:X119" si="88">I108/P108</f>
        <v>0</v>
      </c>
      <c r="Y108" s="372">
        <f>V108+X108</f>
        <v>2.1161532002671605E-3</v>
      </c>
      <c r="Z108" s="372">
        <f>R108-Q108</f>
        <v>7.3976780440130813E-2</v>
      </c>
      <c r="AA108" s="372">
        <f t="shared" ref="AA108:AA119" si="89">(R108-S108)-(T108+U108+W108+Y108+Z108)</f>
        <v>-1.9430383292555295E-2</v>
      </c>
    </row>
    <row r="109" spans="2:27" ht="17.25" x14ac:dyDescent="0.25">
      <c r="B109" s="365">
        <v>43952</v>
      </c>
      <c r="C109" s="366">
        <v>31</v>
      </c>
      <c r="D109" s="367">
        <f t="shared" ref="D109:K119" si="90">D6+D26+D48+D68+D88</f>
        <v>573791.76537499984</v>
      </c>
      <c r="E109" s="367">
        <f t="shared" si="90"/>
        <v>106173</v>
      </c>
      <c r="F109" s="367">
        <f t="shared" si="90"/>
        <v>8736</v>
      </c>
      <c r="G109" s="367">
        <f t="shared" si="90"/>
        <v>11786</v>
      </c>
      <c r="H109" s="367">
        <f t="shared" si="90"/>
        <v>2375</v>
      </c>
      <c r="I109" s="367">
        <f t="shared" si="90"/>
        <v>0</v>
      </c>
      <c r="J109" s="367">
        <f t="shared" si="90"/>
        <v>737818.26982125815</v>
      </c>
      <c r="K109" s="367">
        <f t="shared" si="90"/>
        <v>765533.60409142193</v>
      </c>
      <c r="L109" s="368"/>
      <c r="M109" s="367"/>
      <c r="N109" s="369"/>
      <c r="O109" s="367">
        <f t="shared" si="82"/>
        <v>5058.97</v>
      </c>
      <c r="P109" s="371">
        <f t="shared" ref="P109:P119" si="91">(O109*24*C109)</f>
        <v>3763873.68</v>
      </c>
      <c r="Q109" s="372">
        <f t="shared" ref="Q109:Q119" si="92">J109/P109</f>
        <v>0.19602631027225603</v>
      </c>
      <c r="R109" s="372">
        <f t="shared" ref="R109:R119" si="93">K109/P109</f>
        <v>0.20338982367001804</v>
      </c>
      <c r="S109" s="372">
        <f t="shared" si="83"/>
        <v>0.15244713668897619</v>
      </c>
      <c r="T109" s="372">
        <f t="shared" si="84"/>
        <v>2.8208438706157642E-2</v>
      </c>
      <c r="U109" s="372">
        <f t="shared" si="85"/>
        <v>2.3210130686426222E-3</v>
      </c>
      <c r="V109" s="372">
        <f t="shared" si="86"/>
        <v>3.1313484463166147E-3</v>
      </c>
      <c r="W109" s="372">
        <f t="shared" si="87"/>
        <v>6.309988596641745E-4</v>
      </c>
      <c r="X109" s="372">
        <f t="shared" si="88"/>
        <v>0</v>
      </c>
      <c r="Y109" s="372">
        <f t="shared" ref="Y109:Y119" si="94">V109+X109</f>
        <v>3.1313484463166147E-3</v>
      </c>
      <c r="Z109" s="372">
        <f t="shared" ref="Z109:Z119" si="95">R109-Q109</f>
        <v>7.363513397762006E-3</v>
      </c>
      <c r="AA109" s="372">
        <f t="shared" si="89"/>
        <v>9.2873745024987867E-3</v>
      </c>
    </row>
    <row r="110" spans="2:27" ht="17.25" x14ac:dyDescent="0.25">
      <c r="B110" s="365">
        <v>43983</v>
      </c>
      <c r="C110" s="366">
        <v>30</v>
      </c>
      <c r="D110" s="367">
        <f t="shared" si="90"/>
        <v>538894.94400000013</v>
      </c>
      <c r="E110" s="367">
        <f t="shared" si="90"/>
        <v>58824</v>
      </c>
      <c r="F110" s="367">
        <f t="shared" si="90"/>
        <v>17200.7</v>
      </c>
      <c r="G110" s="367">
        <f t="shared" si="90"/>
        <v>7488</v>
      </c>
      <c r="H110" s="367">
        <f t="shared" si="90"/>
        <v>3039</v>
      </c>
      <c r="I110" s="367">
        <f t="shared" si="90"/>
        <v>0</v>
      </c>
      <c r="J110" s="367">
        <f t="shared" si="90"/>
        <v>652204.24803796597</v>
      </c>
      <c r="K110" s="367">
        <f t="shared" si="90"/>
        <v>638244.95811552007</v>
      </c>
      <c r="L110" s="368"/>
      <c r="M110" s="367"/>
      <c r="N110" s="369"/>
      <c r="O110" s="367">
        <f t="shared" si="82"/>
        <v>5058.97</v>
      </c>
      <c r="P110" s="371">
        <f t="shared" si="91"/>
        <v>3642458.4</v>
      </c>
      <c r="Q110" s="372">
        <f t="shared" si="92"/>
        <v>0.17905605951133607</v>
      </c>
      <c r="R110" s="372">
        <f t="shared" si="93"/>
        <v>0.17522367808387876</v>
      </c>
      <c r="S110" s="372">
        <f t="shared" si="83"/>
        <v>0.14794813964107323</v>
      </c>
      <c r="T110" s="372">
        <f t="shared" si="84"/>
        <v>1.6149532414701018E-2</v>
      </c>
      <c r="U110" s="372">
        <f t="shared" si="85"/>
        <v>4.7222776792728779E-3</v>
      </c>
      <c r="V110" s="372">
        <f t="shared" si="86"/>
        <v>2.0557544322263228E-3</v>
      </c>
      <c r="W110" s="372">
        <f t="shared" si="87"/>
        <v>8.3432661852775043E-4</v>
      </c>
      <c r="X110" s="372">
        <f t="shared" si="88"/>
        <v>0</v>
      </c>
      <c r="Y110" s="372">
        <f t="shared" si="94"/>
        <v>2.0557544322263228E-3</v>
      </c>
      <c r="Z110" s="372">
        <f t="shared" si="95"/>
        <v>-3.8323814274573154E-3</v>
      </c>
      <c r="AA110" s="372">
        <f t="shared" si="89"/>
        <v>7.3460287255348762E-3</v>
      </c>
    </row>
    <row r="111" spans="2:27" ht="17.25" x14ac:dyDescent="0.25">
      <c r="B111" s="365">
        <v>44013</v>
      </c>
      <c r="C111" s="366">
        <v>31</v>
      </c>
      <c r="D111" s="367">
        <f t="shared" si="90"/>
        <v>489835.00000000006</v>
      </c>
      <c r="E111" s="367">
        <f t="shared" si="90"/>
        <v>65465</v>
      </c>
      <c r="F111" s="367">
        <f t="shared" si="90"/>
        <v>8175</v>
      </c>
      <c r="G111" s="367">
        <f t="shared" si="90"/>
        <v>8608</v>
      </c>
      <c r="H111" s="367">
        <f t="shared" si="90"/>
        <v>7853</v>
      </c>
      <c r="I111" s="367">
        <f t="shared" si="90"/>
        <v>0</v>
      </c>
      <c r="J111" s="367">
        <f t="shared" si="90"/>
        <v>602968.68819474627</v>
      </c>
      <c r="K111" s="367">
        <f t="shared" si="90"/>
        <v>554572.83064431034</v>
      </c>
      <c r="L111" s="368"/>
      <c r="M111" s="367"/>
      <c r="N111" s="369"/>
      <c r="O111" s="367">
        <f t="shared" si="82"/>
        <v>5058.97</v>
      </c>
      <c r="P111" s="371">
        <f t="shared" si="91"/>
        <v>3763873.68</v>
      </c>
      <c r="Q111" s="372">
        <f t="shared" si="92"/>
        <v>0.16019897038487918</v>
      </c>
      <c r="R111" s="372">
        <f t="shared" si="93"/>
        <v>0.14734097841570237</v>
      </c>
      <c r="S111" s="372">
        <f t="shared" si="83"/>
        <v>0.13014119007309513</v>
      </c>
      <c r="T111" s="372">
        <f t="shared" si="84"/>
        <v>1.7392985409648499E-2</v>
      </c>
      <c r="U111" s="372">
        <f t="shared" si="85"/>
        <v>2.1719644958966846E-3</v>
      </c>
      <c r="V111" s="372">
        <f t="shared" si="86"/>
        <v>2.2870055511533534E-3</v>
      </c>
      <c r="W111" s="372">
        <f t="shared" si="87"/>
        <v>2.0864143347127419E-3</v>
      </c>
      <c r="X111" s="372">
        <f t="shared" si="88"/>
        <v>0</v>
      </c>
      <c r="Y111" s="372">
        <f t="shared" si="94"/>
        <v>2.2870055511533534E-3</v>
      </c>
      <c r="Z111" s="372">
        <f t="shared" si="95"/>
        <v>-1.2857991969176807E-2</v>
      </c>
      <c r="AA111" s="372">
        <f t="shared" si="89"/>
        <v>6.1194105203727714E-3</v>
      </c>
    </row>
    <row r="112" spans="2:27" ht="17.25" x14ac:dyDescent="0.25">
      <c r="B112" s="365">
        <v>44044</v>
      </c>
      <c r="C112" s="366">
        <v>31</v>
      </c>
      <c r="D112" s="367">
        <f t="shared" si="90"/>
        <v>413844.99999999994</v>
      </c>
      <c r="E112" s="367">
        <f t="shared" si="90"/>
        <v>64429</v>
      </c>
      <c r="F112" s="367">
        <f t="shared" si="90"/>
        <v>11491</v>
      </c>
      <c r="G112" s="367">
        <f t="shared" si="90"/>
        <v>1058</v>
      </c>
      <c r="H112" s="367">
        <f t="shared" si="90"/>
        <v>29089</v>
      </c>
      <c r="I112" s="367">
        <f t="shared" si="90"/>
        <v>0</v>
      </c>
      <c r="J112" s="367">
        <f t="shared" si="90"/>
        <v>536165.19971550163</v>
      </c>
      <c r="K112" s="367">
        <f t="shared" si="90"/>
        <v>551851.01625431096</v>
      </c>
      <c r="L112" s="368"/>
      <c r="M112" s="367"/>
      <c r="N112" s="369"/>
      <c r="O112" s="367">
        <f t="shared" si="82"/>
        <v>5058.97</v>
      </c>
      <c r="P112" s="371">
        <f t="shared" si="91"/>
        <v>3763873.68</v>
      </c>
      <c r="Q112" s="372">
        <f t="shared" si="92"/>
        <v>0.14245037036298774</v>
      </c>
      <c r="R112" s="372">
        <f t="shared" si="93"/>
        <v>0.14661783661515201</v>
      </c>
      <c r="S112" s="372">
        <f t="shared" si="83"/>
        <v>0.10995188340114537</v>
      </c>
      <c r="T112" s="372">
        <f t="shared" si="84"/>
        <v>1.7117737064969725E-2</v>
      </c>
      <c r="U112" s="372">
        <f t="shared" si="85"/>
        <v>3.0529717458530649E-3</v>
      </c>
      <c r="V112" s="372">
        <f t="shared" si="86"/>
        <v>2.8109338674724068E-4</v>
      </c>
      <c r="W112" s="372">
        <f t="shared" si="87"/>
        <v>7.7284740331668086E-3</v>
      </c>
      <c r="X112" s="372">
        <f t="shared" si="88"/>
        <v>0</v>
      </c>
      <c r="Y112" s="372">
        <f t="shared" si="94"/>
        <v>2.8109338674724068E-4</v>
      </c>
      <c r="Z112" s="372">
        <f t="shared" si="95"/>
        <v>4.1674662521642702E-3</v>
      </c>
      <c r="AA112" s="372">
        <f t="shared" si="89"/>
        <v>4.3182107311055401E-3</v>
      </c>
    </row>
    <row r="113" spans="2:27" ht="17.25" x14ac:dyDescent="0.25">
      <c r="B113" s="365">
        <v>44075</v>
      </c>
      <c r="C113" s="366">
        <v>30</v>
      </c>
      <c r="D113" s="367">
        <f t="shared" si="90"/>
        <v>459375.99999999983</v>
      </c>
      <c r="E113" s="367">
        <f t="shared" si="90"/>
        <v>40043</v>
      </c>
      <c r="F113" s="367">
        <f t="shared" si="90"/>
        <v>14220</v>
      </c>
      <c r="G113" s="367">
        <f t="shared" si="90"/>
        <v>326</v>
      </c>
      <c r="H113" s="367">
        <f t="shared" si="90"/>
        <v>61171</v>
      </c>
      <c r="I113" s="367">
        <f t="shared" si="90"/>
        <v>0</v>
      </c>
      <c r="J113" s="367">
        <f t="shared" si="90"/>
        <v>595209.79394602799</v>
      </c>
      <c r="K113" s="367">
        <f t="shared" si="90"/>
        <v>576083.56499947107</v>
      </c>
      <c r="L113" s="368"/>
      <c r="M113" s="367"/>
      <c r="N113" s="369"/>
      <c r="O113" s="367">
        <f t="shared" si="82"/>
        <v>5058.97</v>
      </c>
      <c r="P113" s="371">
        <f t="shared" si="91"/>
        <v>3642458.4</v>
      </c>
      <c r="Q113" s="372">
        <f t="shared" si="92"/>
        <v>0.16340881036445826</v>
      </c>
      <c r="R113" s="372">
        <f t="shared" si="93"/>
        <v>0.15815789824791715</v>
      </c>
      <c r="S113" s="372">
        <f t="shared" si="83"/>
        <v>0.1261170203069443</v>
      </c>
      <c r="T113" s="372">
        <f t="shared" si="84"/>
        <v>1.0993399402996614E-2</v>
      </c>
      <c r="U113" s="372">
        <f t="shared" si="85"/>
        <v>3.9039567342759496E-3</v>
      </c>
      <c r="V113" s="372">
        <f t="shared" si="86"/>
        <v>8.9499992642331889E-5</v>
      </c>
      <c r="W113" s="372">
        <f t="shared" si="87"/>
        <v>1.6793877453754859E-2</v>
      </c>
      <c r="X113" s="372">
        <f t="shared" si="88"/>
        <v>0</v>
      </c>
      <c r="Y113" s="372">
        <f t="shared" si="94"/>
        <v>8.9499992642331889E-5</v>
      </c>
      <c r="Z113" s="372">
        <f t="shared" si="95"/>
        <v>-5.2509121165411066E-3</v>
      </c>
      <c r="AA113" s="372">
        <f t="shared" si="89"/>
        <v>5.5110564738442072E-3</v>
      </c>
    </row>
    <row r="114" spans="2:27" ht="17.25" x14ac:dyDescent="0.25">
      <c r="B114" s="365">
        <v>44105</v>
      </c>
      <c r="C114" s="366">
        <v>31</v>
      </c>
      <c r="D114" s="367">
        <f t="shared" si="90"/>
        <v>536495</v>
      </c>
      <c r="E114" s="367">
        <f t="shared" si="90"/>
        <v>51487</v>
      </c>
      <c r="F114" s="367">
        <f t="shared" si="90"/>
        <v>6040</v>
      </c>
      <c r="G114" s="367">
        <f t="shared" si="90"/>
        <v>92</v>
      </c>
      <c r="H114" s="367">
        <f t="shared" si="90"/>
        <v>18381</v>
      </c>
      <c r="I114" s="367">
        <f t="shared" si="90"/>
        <v>0</v>
      </c>
      <c r="J114" s="367">
        <f t="shared" si="90"/>
        <v>650642.67724438198</v>
      </c>
      <c r="K114" s="367">
        <f t="shared" si="90"/>
        <v>671040.69613836484</v>
      </c>
      <c r="L114" s="368"/>
      <c r="M114" s="367"/>
      <c r="N114" s="369"/>
      <c r="O114" s="367">
        <f t="shared" si="82"/>
        <v>5058.97</v>
      </c>
      <c r="P114" s="371">
        <f t="shared" si="91"/>
        <v>3763873.68</v>
      </c>
      <c r="Q114" s="372">
        <f t="shared" si="92"/>
        <v>0.17286517363791601</v>
      </c>
      <c r="R114" s="372">
        <f t="shared" si="93"/>
        <v>0.17828459539013136</v>
      </c>
      <c r="S114" s="372">
        <f t="shared" si="83"/>
        <v>0.14253799293285527</v>
      </c>
      <c r="T114" s="372">
        <f t="shared" si="84"/>
        <v>1.3679258226328147E-2</v>
      </c>
      <c r="U114" s="372">
        <f t="shared" si="85"/>
        <v>1.60472973152489E-3</v>
      </c>
      <c r="V114" s="372">
        <f t="shared" si="86"/>
        <v>2.4442903195412233E-5</v>
      </c>
      <c r="W114" s="372">
        <f t="shared" si="87"/>
        <v>4.8835326482051331E-3</v>
      </c>
      <c r="X114" s="372">
        <f t="shared" si="88"/>
        <v>0</v>
      </c>
      <c r="Y114" s="372">
        <f t="shared" si="94"/>
        <v>2.4442903195412233E-5</v>
      </c>
      <c r="Z114" s="372">
        <f t="shared" si="95"/>
        <v>5.4194217522153532E-3</v>
      </c>
      <c r="AA114" s="372">
        <f t="shared" si="89"/>
        <v>1.0135217195807157E-2</v>
      </c>
    </row>
    <row r="115" spans="2:27" ht="17.25" x14ac:dyDescent="0.25">
      <c r="B115" s="365">
        <v>44136</v>
      </c>
      <c r="C115" s="366">
        <v>30</v>
      </c>
      <c r="D115" s="367">
        <f t="shared" si="90"/>
        <v>412699.99999999988</v>
      </c>
      <c r="E115" s="367">
        <f t="shared" si="90"/>
        <v>52181</v>
      </c>
      <c r="F115" s="367">
        <f t="shared" si="90"/>
        <v>7801</v>
      </c>
      <c r="G115" s="367">
        <f t="shared" si="90"/>
        <v>85574</v>
      </c>
      <c r="H115" s="367">
        <f t="shared" si="90"/>
        <v>2635</v>
      </c>
      <c r="I115" s="367">
        <f t="shared" si="90"/>
        <v>2027</v>
      </c>
      <c r="J115" s="367">
        <f t="shared" si="90"/>
        <v>577804.23264798196</v>
      </c>
      <c r="K115" s="367">
        <f t="shared" si="90"/>
        <v>663876.0348207833</v>
      </c>
      <c r="L115" s="368"/>
      <c r="M115" s="367"/>
      <c r="N115" s="369"/>
      <c r="O115" s="367">
        <f t="shared" si="82"/>
        <v>5058.97</v>
      </c>
      <c r="P115" s="371">
        <f t="shared" si="91"/>
        <v>3642458.4</v>
      </c>
      <c r="Q115" s="372">
        <f t="shared" si="92"/>
        <v>0.15863029009417978</v>
      </c>
      <c r="R115" s="372">
        <f t="shared" si="93"/>
        <v>0.18226043015914287</v>
      </c>
      <c r="S115" s="372">
        <f t="shared" si="83"/>
        <v>0.11330259804751645</v>
      </c>
      <c r="T115" s="372">
        <f t="shared" si="84"/>
        <v>1.4325764159722455E-2</v>
      </c>
      <c r="U115" s="372">
        <f t="shared" si="85"/>
        <v>2.1416854067571505E-3</v>
      </c>
      <c r="V115" s="372">
        <f t="shared" si="86"/>
        <v>2.3493473528757393E-2</v>
      </c>
      <c r="W115" s="372">
        <f t="shared" si="87"/>
        <v>7.2341251721639427E-4</v>
      </c>
      <c r="X115" s="372">
        <f t="shared" si="88"/>
        <v>5.5649228553989805E-4</v>
      </c>
      <c r="Y115" s="372">
        <f t="shared" si="94"/>
        <v>2.4049965814297292E-2</v>
      </c>
      <c r="Z115" s="372">
        <f t="shared" si="95"/>
        <v>2.3630140064963084E-2</v>
      </c>
      <c r="AA115" s="372">
        <f t="shared" si="89"/>
        <v>4.0868641486700302E-3</v>
      </c>
    </row>
    <row r="116" spans="2:27" ht="17.25" x14ac:dyDescent="0.25">
      <c r="B116" s="365">
        <v>44166</v>
      </c>
      <c r="C116" s="366">
        <v>31</v>
      </c>
      <c r="D116" s="367">
        <f t="shared" si="90"/>
        <v>498823.99999999965</v>
      </c>
      <c r="E116" s="367">
        <f t="shared" si="90"/>
        <v>2400</v>
      </c>
      <c r="F116" s="367">
        <f t="shared" si="90"/>
        <v>8764</v>
      </c>
      <c r="G116" s="367">
        <f t="shared" si="90"/>
        <v>701</v>
      </c>
      <c r="H116" s="367">
        <f t="shared" si="90"/>
        <v>18312</v>
      </c>
      <c r="I116" s="367">
        <f t="shared" si="90"/>
        <v>10977</v>
      </c>
      <c r="J116" s="367">
        <f t="shared" si="90"/>
        <v>556410.4590955762</v>
      </c>
      <c r="K116" s="367">
        <f t="shared" si="90"/>
        <v>672973.41411354544</v>
      </c>
      <c r="L116" s="368"/>
      <c r="M116" s="367"/>
      <c r="N116" s="369"/>
      <c r="O116" s="367">
        <f t="shared" si="82"/>
        <v>5058.97</v>
      </c>
      <c r="P116" s="371">
        <f t="shared" si="91"/>
        <v>3763873.68</v>
      </c>
      <c r="Q116" s="372">
        <f t="shared" si="92"/>
        <v>0.14782920639769614</v>
      </c>
      <c r="R116" s="372">
        <f t="shared" si="93"/>
        <v>0.17879808711155934</v>
      </c>
      <c r="S116" s="372">
        <f t="shared" si="83"/>
        <v>0.13252942112552502</v>
      </c>
      <c r="T116" s="372">
        <f t="shared" si="84"/>
        <v>6.3764095292379735E-4</v>
      </c>
      <c r="U116" s="372">
        <f t="shared" si="85"/>
        <v>2.3284522130934001E-3</v>
      </c>
      <c r="V116" s="372">
        <f t="shared" si="86"/>
        <v>1.862442949998258E-4</v>
      </c>
      <c r="W116" s="372">
        <f t="shared" si="87"/>
        <v>4.8652004708085736E-3</v>
      </c>
      <c r="X116" s="372">
        <f t="shared" si="88"/>
        <v>2.9164103084352183E-3</v>
      </c>
      <c r="Y116" s="372">
        <f t="shared" si="94"/>
        <v>3.1026546034350439E-3</v>
      </c>
      <c r="Z116" s="372">
        <f t="shared" si="95"/>
        <v>3.0968880713863195E-2</v>
      </c>
      <c r="AA116" s="372">
        <f t="shared" si="89"/>
        <v>4.365837031910319E-3</v>
      </c>
    </row>
    <row r="117" spans="2:27" ht="17.25" x14ac:dyDescent="0.25">
      <c r="B117" s="365">
        <v>44197</v>
      </c>
      <c r="C117" s="366">
        <v>31</v>
      </c>
      <c r="D117" s="367">
        <f t="shared" si="90"/>
        <v>440224.79999999993</v>
      </c>
      <c r="E117" s="367">
        <f t="shared" si="90"/>
        <v>30428</v>
      </c>
      <c r="F117" s="367">
        <f t="shared" si="90"/>
        <v>2913</v>
      </c>
      <c r="G117" s="367">
        <f t="shared" si="90"/>
        <v>734</v>
      </c>
      <c r="H117" s="367">
        <f t="shared" si="90"/>
        <v>9226</v>
      </c>
      <c r="I117" s="367">
        <f t="shared" si="90"/>
        <v>0</v>
      </c>
      <c r="J117" s="367">
        <f t="shared" si="90"/>
        <v>507655.92956150358</v>
      </c>
      <c r="K117" s="367">
        <f t="shared" si="90"/>
        <v>665896.93824222579</v>
      </c>
      <c r="L117" s="368"/>
      <c r="M117" s="367"/>
      <c r="N117" s="369"/>
      <c r="O117" s="367">
        <f t="shared" si="82"/>
        <v>5306.97</v>
      </c>
      <c r="P117" s="371">
        <f t="shared" si="91"/>
        <v>3948385.68</v>
      </c>
      <c r="Q117" s="372">
        <f t="shared" si="92"/>
        <v>0.12857303483116259</v>
      </c>
      <c r="R117" s="372">
        <f t="shared" si="93"/>
        <v>0.16865042886140388</v>
      </c>
      <c r="S117" s="372">
        <f t="shared" si="83"/>
        <v>0.11149488314424236</v>
      </c>
      <c r="T117" s="372">
        <f t="shared" si="84"/>
        <v>7.7064406737489734E-3</v>
      </c>
      <c r="U117" s="372">
        <f t="shared" si="85"/>
        <v>7.3776987257232677E-4</v>
      </c>
      <c r="V117" s="372">
        <f t="shared" si="86"/>
        <v>1.8589875951530651E-4</v>
      </c>
      <c r="W117" s="372">
        <f t="shared" si="87"/>
        <v>2.3366511652428037E-3</v>
      </c>
      <c r="X117" s="372">
        <f t="shared" si="88"/>
        <v>0</v>
      </c>
      <c r="Y117" s="372">
        <f t="shared" si="94"/>
        <v>1.8589875951530651E-4</v>
      </c>
      <c r="Z117" s="372">
        <f t="shared" si="95"/>
        <v>4.0077394030241298E-2</v>
      </c>
      <c r="AA117" s="372">
        <f t="shared" si="89"/>
        <v>6.1113912158408182E-3</v>
      </c>
    </row>
    <row r="118" spans="2:27" ht="17.25" x14ac:dyDescent="0.25">
      <c r="B118" s="365">
        <v>44228</v>
      </c>
      <c r="C118" s="366">
        <v>28</v>
      </c>
      <c r="D118" s="367">
        <f t="shared" si="90"/>
        <v>560509.00003999961</v>
      </c>
      <c r="E118" s="367">
        <f t="shared" si="90"/>
        <v>34889</v>
      </c>
      <c r="F118" s="367">
        <f t="shared" si="90"/>
        <v>12048</v>
      </c>
      <c r="G118" s="367">
        <f t="shared" si="90"/>
        <v>435</v>
      </c>
      <c r="H118" s="367">
        <f t="shared" si="90"/>
        <v>7837</v>
      </c>
      <c r="I118" s="367">
        <f t="shared" si="90"/>
        <v>0</v>
      </c>
      <c r="J118" s="367">
        <f t="shared" si="90"/>
        <v>626039.95221411309</v>
      </c>
      <c r="K118" s="367">
        <f t="shared" si="90"/>
        <v>699942.09675134206</v>
      </c>
      <c r="L118" s="368"/>
      <c r="M118" s="367"/>
      <c r="N118" s="369"/>
      <c r="O118" s="367">
        <f t="shared" si="82"/>
        <v>5306.97</v>
      </c>
      <c r="P118" s="371">
        <f t="shared" si="91"/>
        <v>3566283.84</v>
      </c>
      <c r="Q118" s="372">
        <f t="shared" si="92"/>
        <v>0.17554406219503638</v>
      </c>
      <c r="R118" s="372">
        <f t="shared" si="93"/>
        <v>0.19626651387101654</v>
      </c>
      <c r="S118" s="372">
        <f t="shared" si="83"/>
        <v>0.15716892574652713</v>
      </c>
      <c r="T118" s="372">
        <f t="shared" si="84"/>
        <v>9.7830126723732688E-3</v>
      </c>
      <c r="U118" s="372">
        <f t="shared" si="85"/>
        <v>3.3783065343447258E-3</v>
      </c>
      <c r="V118" s="372">
        <f t="shared" si="86"/>
        <v>1.2197570903386086E-4</v>
      </c>
      <c r="W118" s="372">
        <f t="shared" si="87"/>
        <v>2.19752559011119E-3</v>
      </c>
      <c r="X118" s="372">
        <f t="shared" si="88"/>
        <v>0</v>
      </c>
      <c r="Y118" s="372">
        <f t="shared" si="94"/>
        <v>1.2197570903386086E-4</v>
      </c>
      <c r="Z118" s="372">
        <f t="shared" si="95"/>
        <v>2.0722451675980164E-2</v>
      </c>
      <c r="AA118" s="372">
        <f t="shared" si="89"/>
        <v>2.8943159426461987E-3</v>
      </c>
    </row>
    <row r="119" spans="2:27" ht="17.25" x14ac:dyDescent="0.25">
      <c r="B119" s="365">
        <v>44256</v>
      </c>
      <c r="C119" s="366">
        <f>+'Solar Report_Base'!AI198</f>
        <v>14</v>
      </c>
      <c r="D119" s="367">
        <f t="shared" si="90"/>
        <v>700917.99998000008</v>
      </c>
      <c r="E119" s="367">
        <f t="shared" si="90"/>
        <v>5224</v>
      </c>
      <c r="F119" s="367" t="e">
        <f t="shared" si="90"/>
        <v>#REF!</v>
      </c>
      <c r="G119" s="367">
        <f t="shared" si="90"/>
        <v>292</v>
      </c>
      <c r="H119" s="367">
        <f t="shared" si="90"/>
        <v>18285</v>
      </c>
      <c r="I119" s="367">
        <f t="shared" si="90"/>
        <v>0</v>
      </c>
      <c r="J119" s="367">
        <f t="shared" si="90"/>
        <v>748411.93816262204</v>
      </c>
      <c r="K119" s="367">
        <f t="shared" si="90"/>
        <v>361639.91268611315</v>
      </c>
      <c r="L119" s="368"/>
      <c r="M119" s="367"/>
      <c r="N119" s="369"/>
      <c r="O119" s="367">
        <f t="shared" si="82"/>
        <v>5306.97</v>
      </c>
      <c r="P119" s="371">
        <f t="shared" si="91"/>
        <v>1783141.92</v>
      </c>
      <c r="Q119" s="372">
        <f t="shared" si="92"/>
        <v>0.41971529566341081</v>
      </c>
      <c r="R119" s="372">
        <f t="shared" si="93"/>
        <v>0.20281050466589512</v>
      </c>
      <c r="S119" s="372">
        <f t="shared" si="83"/>
        <v>0.393080321940948</v>
      </c>
      <c r="T119" s="372">
        <f t="shared" si="84"/>
        <v>2.9296602482431684E-3</v>
      </c>
      <c r="U119" s="372" t="e">
        <f t="shared" si="85"/>
        <v>#REF!</v>
      </c>
      <c r="V119" s="372">
        <f t="shared" si="86"/>
        <v>1.6375589442706837E-4</v>
      </c>
      <c r="W119" s="372">
        <f t="shared" si="87"/>
        <v>1.0254371676708717E-2</v>
      </c>
      <c r="X119" s="372">
        <f t="shared" si="88"/>
        <v>0</v>
      </c>
      <c r="Y119" s="372">
        <f t="shared" si="94"/>
        <v>1.6375589442706837E-4</v>
      </c>
      <c r="Z119" s="372">
        <f t="shared" si="95"/>
        <v>-0.2169047909975157</v>
      </c>
      <c r="AA119" s="372" t="e">
        <f t="shared" si="89"/>
        <v>#REF!</v>
      </c>
    </row>
    <row r="120" spans="2:27" ht="17.25" x14ac:dyDescent="0.25">
      <c r="B120" s="365">
        <v>44287</v>
      </c>
      <c r="C120" s="366"/>
      <c r="D120" s="367"/>
      <c r="E120" s="367"/>
      <c r="F120" s="367"/>
      <c r="G120" s="367"/>
      <c r="H120" s="367"/>
      <c r="I120" s="367"/>
      <c r="J120" s="367"/>
      <c r="K120" s="367"/>
      <c r="L120" s="368"/>
      <c r="M120" s="367"/>
      <c r="N120" s="369"/>
      <c r="O120" s="367"/>
      <c r="P120" s="371"/>
      <c r="Q120" s="372"/>
      <c r="R120" s="372"/>
      <c r="S120" s="372"/>
      <c r="T120" s="372"/>
      <c r="U120" s="372"/>
      <c r="V120" s="372"/>
      <c r="W120" s="372"/>
      <c r="X120" s="372"/>
      <c r="Y120" s="372"/>
      <c r="Z120" s="372"/>
      <c r="AA120" s="372"/>
    </row>
    <row r="121" spans="2:27" ht="17.25" x14ac:dyDescent="0.25">
      <c r="B121" s="365">
        <v>44317</v>
      </c>
      <c r="C121" s="366"/>
      <c r="D121" s="367"/>
      <c r="E121" s="367"/>
      <c r="F121" s="367"/>
      <c r="G121" s="367"/>
      <c r="H121" s="367"/>
      <c r="I121" s="367"/>
      <c r="J121" s="367"/>
      <c r="K121" s="367"/>
      <c r="L121" s="368"/>
      <c r="M121" s="367"/>
      <c r="N121" s="369"/>
      <c r="O121" s="367"/>
      <c r="P121" s="371"/>
      <c r="Q121" s="372"/>
      <c r="R121" s="372"/>
      <c r="S121" s="372"/>
      <c r="T121" s="372"/>
      <c r="U121" s="372"/>
      <c r="V121" s="372"/>
      <c r="W121" s="372"/>
      <c r="X121" s="372"/>
      <c r="Y121" s="372"/>
      <c r="Z121" s="372"/>
      <c r="AA121" s="372"/>
    </row>
    <row r="122" spans="2:27" ht="17.25" x14ac:dyDescent="0.25">
      <c r="B122" s="365">
        <v>44348</v>
      </c>
      <c r="C122" s="366"/>
      <c r="D122" s="367"/>
      <c r="E122" s="367"/>
      <c r="F122" s="367"/>
      <c r="G122" s="367"/>
      <c r="H122" s="367"/>
      <c r="I122" s="367"/>
      <c r="J122" s="367"/>
      <c r="K122" s="367"/>
      <c r="L122" s="368"/>
      <c r="M122" s="367"/>
      <c r="N122" s="369"/>
      <c r="O122" s="367"/>
      <c r="P122" s="371"/>
      <c r="Q122" s="372"/>
      <c r="R122" s="372"/>
      <c r="S122" s="372"/>
      <c r="T122" s="372"/>
      <c r="U122" s="372"/>
      <c r="V122" s="372"/>
      <c r="W122" s="372"/>
      <c r="X122" s="372"/>
      <c r="Y122" s="372"/>
      <c r="Z122" s="372"/>
      <c r="AA122" s="372"/>
    </row>
    <row r="123" spans="2:27" ht="17.25" x14ac:dyDescent="0.25">
      <c r="B123" s="377" t="s">
        <v>4</v>
      </c>
      <c r="C123" s="378">
        <f>SUM(C108:C122)</f>
        <v>348</v>
      </c>
      <c r="D123" s="378">
        <f>SUM(D108:D122)</f>
        <v>6058146.641894999</v>
      </c>
      <c r="E123" s="378">
        <f t="shared" ref="E123:L123" si="96">SUM(E108:E122)</f>
        <v>605443</v>
      </c>
      <c r="F123" s="378" t="e">
        <f t="shared" si="96"/>
        <v>#REF!</v>
      </c>
      <c r="G123" s="378">
        <f t="shared" si="96"/>
        <v>124802</v>
      </c>
      <c r="H123" s="378">
        <f t="shared" si="96"/>
        <v>186281</v>
      </c>
      <c r="I123" s="378">
        <f t="shared" si="96"/>
        <v>13004</v>
      </c>
      <c r="J123" s="379">
        <f t="shared" si="96"/>
        <v>7264755.1583024906</v>
      </c>
      <c r="K123" s="379">
        <f t="shared" si="96"/>
        <v>7564536.1818373315</v>
      </c>
      <c r="L123" s="379">
        <f t="shared" si="96"/>
        <v>0</v>
      </c>
      <c r="M123" s="378"/>
      <c r="N123" s="380"/>
      <c r="O123" s="377"/>
      <c r="P123" s="379">
        <f t="shared" ref="P123" si="97">SUM(P108:P122)</f>
        <v>42687013.439999998</v>
      </c>
      <c r="Q123" s="372">
        <f t="shared" ref="Q123" si="98">J123/P123</f>
        <v>0.17018654089056109</v>
      </c>
      <c r="R123" s="372">
        <f t="shared" ref="R123" si="99">K123/P123</f>
        <v>0.17720930962925974</v>
      </c>
      <c r="S123" s="372">
        <f>D123/P123</f>
        <v>0.1419201334009981</v>
      </c>
      <c r="T123" s="372">
        <f>E123/P123</f>
        <v>1.4183306612700803E-2</v>
      </c>
      <c r="U123" s="372" t="e">
        <f>F123/P123</f>
        <v>#REF!</v>
      </c>
      <c r="V123" s="372">
        <f>G123/P123</f>
        <v>2.9236526508330026E-3</v>
      </c>
      <c r="W123" s="372">
        <f>H123/P123</f>
        <v>4.3638799013623383E-3</v>
      </c>
      <c r="X123" s="372">
        <f>I123/P123</f>
        <v>3.0463597595737539E-4</v>
      </c>
      <c r="Y123" s="372">
        <f t="shared" ref="Y123" si="100">V123+X123</f>
        <v>3.228288626790378E-3</v>
      </c>
      <c r="Z123" s="372">
        <f t="shared" ref="Z123" si="101">R123-Q123</f>
        <v>7.0227687386986426E-3</v>
      </c>
      <c r="AA123" s="372" t="e">
        <f>(R123-S123)-(T123+U123+W123+Y123+Z123)</f>
        <v>#REF!</v>
      </c>
    </row>
    <row r="126" spans="2:27" x14ac:dyDescent="0.25">
      <c r="D126" s="382" t="b">
        <f>D123=[3]Email!AA11</f>
        <v>1</v>
      </c>
      <c r="K126" s="160" t="b">
        <f>K123=[3]Email!AA8</f>
        <v>0</v>
      </c>
      <c r="Q126" s="160" t="b">
        <f>Q123=[3]Email!AA15</f>
        <v>0</v>
      </c>
    </row>
    <row r="127" spans="2:27" x14ac:dyDescent="0.25">
      <c r="D127" s="104" t="b">
        <f>D119=[3]Email!Z11</f>
        <v>1</v>
      </c>
      <c r="K127" s="160" t="b">
        <f>K119=[3]Email!Z8</f>
        <v>0</v>
      </c>
    </row>
  </sheetData>
  <mergeCells count="6">
    <mergeCell ref="B84:AA84"/>
    <mergeCell ref="B105:AA105"/>
    <mergeCell ref="B2:AA2"/>
    <mergeCell ref="B22:AA22"/>
    <mergeCell ref="B44:AA44"/>
    <mergeCell ref="B64:AA64"/>
  </mergeCells>
  <pageMargins left="0.7" right="0.7" top="0.75" bottom="0.75" header="0.3" footer="0.3"/>
  <pageSetup paperSize="9" scale="3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zoomScale="148" zoomScaleNormal="148" workbookViewId="0">
      <selection activeCell="C11" sqref="C11"/>
    </sheetView>
  </sheetViews>
  <sheetFormatPr defaultRowHeight="15" x14ac:dyDescent="0.25"/>
  <cols>
    <col min="2" max="2" width="10.7109375" bestFit="1" customWidth="1"/>
    <col min="4" max="4" width="11" bestFit="1" customWidth="1"/>
    <col min="5" max="5" width="9.42578125" bestFit="1" customWidth="1"/>
    <col min="6" max="6" width="16.7109375" bestFit="1" customWidth="1"/>
    <col min="8" max="8" width="10" bestFit="1" customWidth="1"/>
  </cols>
  <sheetData>
    <row r="3" spans="2:8" ht="15.75" thickBot="1" x14ac:dyDescent="0.3"/>
    <row r="4" spans="2:8" x14ac:dyDescent="0.25">
      <c r="B4" s="351" t="s">
        <v>2</v>
      </c>
      <c r="C4" s="359" t="s">
        <v>1</v>
      </c>
      <c r="D4" s="359" t="s">
        <v>300</v>
      </c>
      <c r="E4" s="359" t="s">
        <v>301</v>
      </c>
      <c r="F4" s="359" t="s">
        <v>302</v>
      </c>
      <c r="G4" s="358" t="s">
        <v>30</v>
      </c>
      <c r="H4" s="360" t="s">
        <v>36</v>
      </c>
    </row>
    <row r="5" spans="2:8" x14ac:dyDescent="0.25">
      <c r="B5" s="352">
        <v>44254</v>
      </c>
      <c r="C5" s="353">
        <v>4619.9999999998909</v>
      </c>
      <c r="D5" s="353">
        <v>5076.0000000000218</v>
      </c>
      <c r="E5" s="353">
        <v>794.89996999999994</v>
      </c>
      <c r="F5" s="353">
        <f>+D5+E5</f>
        <v>5870.8999700000222</v>
      </c>
      <c r="G5" s="353">
        <v>4860.0000000000564</v>
      </c>
      <c r="H5" s="354">
        <v>10746</v>
      </c>
    </row>
    <row r="6" spans="2:8" ht="15.75" thickBot="1" x14ac:dyDescent="0.3">
      <c r="B6" s="355">
        <v>44224</v>
      </c>
      <c r="C6" s="356">
        <v>0</v>
      </c>
      <c r="D6" s="356">
        <v>5331.9999999999709</v>
      </c>
      <c r="E6" s="356">
        <v>999.80000999999993</v>
      </c>
      <c r="F6" s="356">
        <f>+D6+E6</f>
        <v>6331.8000099999708</v>
      </c>
      <c r="G6" s="356">
        <v>5147.9999999998963</v>
      </c>
      <c r="H6" s="357">
        <v>9661</v>
      </c>
    </row>
    <row r="8" spans="2:8" x14ac:dyDescent="0.25">
      <c r="B8" t="s">
        <v>304</v>
      </c>
    </row>
    <row r="9" spans="2:8" x14ac:dyDescent="0.25">
      <c r="B9" t="s">
        <v>303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5</vt:i4>
      </vt:variant>
    </vt:vector>
  </HeadingPairs>
  <TitlesOfParts>
    <vt:vector size="34" baseType="lpstr">
      <vt:lpstr>Solar Report RKT</vt:lpstr>
      <vt:lpstr>Meter reading</vt:lpstr>
      <vt:lpstr>Solar Report_Base</vt:lpstr>
      <vt:lpstr>Remark</vt:lpstr>
      <vt:lpstr>Sheet13</vt:lpstr>
      <vt:lpstr>Target</vt:lpstr>
      <vt:lpstr>Solar Report_Base-May</vt:lpstr>
      <vt:lpstr>Exception Report F1</vt:lpstr>
      <vt:lpstr>Solar Report_Base_April</vt:lpstr>
      <vt:lpstr>Bckup sheet</vt:lpstr>
      <vt:lpstr>Sheet1</vt:lpstr>
      <vt:lpstr>Sheet8</vt:lpstr>
      <vt:lpstr>Sheet7</vt:lpstr>
      <vt:lpstr>Castamet</vt:lpstr>
      <vt:lpstr>Target </vt:lpstr>
      <vt:lpstr>Sheet2</vt:lpstr>
      <vt:lpstr>Sheet3</vt:lpstr>
      <vt:lpstr>Sheet4</vt:lpstr>
      <vt:lpstr>Sheet5</vt:lpstr>
      <vt:lpstr>Sheet6</vt:lpstr>
      <vt:lpstr>RGU</vt:lpstr>
      <vt:lpstr>Panipat</vt:lpstr>
      <vt:lpstr>Beawar Target</vt:lpstr>
      <vt:lpstr>Jharkhand</vt:lpstr>
      <vt:lpstr>Panipat_248</vt:lpstr>
      <vt:lpstr>Sheet12</vt:lpstr>
      <vt:lpstr>Sheet11</vt:lpstr>
      <vt:lpstr>Sheet10</vt:lpstr>
      <vt:lpstr>Sheet9</vt:lpstr>
      <vt:lpstr>'Beawar Target'!Print_Area</vt:lpstr>
      <vt:lpstr>'Exception Report F1'!Print_Area</vt:lpstr>
      <vt:lpstr>Panipat_248!Print_Area</vt:lpstr>
      <vt:lpstr>Sheet11!Print_Area</vt:lpstr>
      <vt:lpstr>Sheet12!Print_Area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Bhavesh Kumar Patel</dc:creator>
  <cp:lastModifiedBy>Mr. Nikhil Pal Singh</cp:lastModifiedBy>
  <cp:lastPrinted>2021-06-15T04:47:45Z</cp:lastPrinted>
  <dcterms:created xsi:type="dcterms:W3CDTF">2019-12-20T05:03:51Z</dcterms:created>
  <dcterms:modified xsi:type="dcterms:W3CDTF">2021-06-16T04:48:03Z</dcterms:modified>
</cp:coreProperties>
</file>