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menov\cyberorda.github.io\docs\tables\"/>
    </mc:Choice>
  </mc:AlternateContent>
  <xr:revisionPtr revIDLastSave="0" documentId="13_ncr:1_{7139B46B-6DBF-4359-AB7F-7D2834F1D781}" xr6:coauthVersionLast="36" xr6:coauthVersionMax="36" xr10:uidLastSave="{00000000-0000-0000-0000-000000000000}"/>
  <bookViews>
    <workbookView xWindow="0" yWindow="0" windowWidth="25600" windowHeight="12130" xr2:uid="{D07FF462-9CCD-4394-9EB2-5BBA270BE507}"/>
  </bookViews>
  <sheets>
    <sheet name="AppSec Consulting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2" l="1"/>
  <c r="F96" i="2"/>
  <c r="H96" i="2"/>
  <c r="D96" i="2"/>
  <c r="D32" i="2"/>
  <c r="F32" i="2"/>
  <c r="F33" i="2"/>
  <c r="I92" i="2" l="1"/>
  <c r="I5" i="2" l="1"/>
  <c r="J5" i="2"/>
  <c r="I7" i="2"/>
  <c r="J7" i="2"/>
  <c r="I12" i="2"/>
  <c r="J12" i="2" s="1"/>
  <c r="I33" i="2"/>
  <c r="J33" i="2"/>
  <c r="I42" i="2"/>
  <c r="J42" i="2" s="1"/>
  <c r="I44" i="2"/>
  <c r="J44" i="2" s="1"/>
  <c r="I71" i="2"/>
  <c r="J71" i="2"/>
  <c r="I77" i="2"/>
  <c r="J77" i="2"/>
  <c r="J92" i="2"/>
  <c r="G92" i="2"/>
  <c r="H92" i="2"/>
  <c r="F92" i="2"/>
  <c r="F93" i="2"/>
  <c r="G93" i="2" s="1"/>
  <c r="G88" i="2"/>
  <c r="H88" i="2" s="1"/>
  <c r="I88" i="2" s="1"/>
  <c r="J88" i="2" s="1"/>
  <c r="F94" i="2" l="1"/>
  <c r="G94" i="2"/>
  <c r="H93" i="2"/>
  <c r="I93" i="2" s="1"/>
  <c r="J50" i="2"/>
  <c r="J49" i="2" s="1"/>
  <c r="J51" i="2"/>
  <c r="J52" i="2" s="1"/>
  <c r="I51" i="2"/>
  <c r="I52" i="2" s="1"/>
  <c r="I50" i="2"/>
  <c r="I49" i="2" s="1"/>
  <c r="J93" i="2" l="1"/>
  <c r="J94" i="2" s="1"/>
  <c r="I94" i="2"/>
  <c r="H94" i="2"/>
  <c r="J48" i="2"/>
  <c r="I48" i="2"/>
  <c r="H86" i="2"/>
  <c r="I86" i="2" s="1"/>
  <c r="J86" i="2" s="1"/>
  <c r="H81" i="2"/>
  <c r="I81" i="2" s="1"/>
  <c r="G80" i="2"/>
  <c r="F80" i="2"/>
  <c r="H77" i="2"/>
  <c r="G77" i="2"/>
  <c r="F77" i="2"/>
  <c r="G71" i="2"/>
  <c r="H71" i="2"/>
  <c r="F71" i="2"/>
  <c r="G50" i="2"/>
  <c r="G49" i="2" s="1"/>
  <c r="H50" i="2"/>
  <c r="H49" i="2" s="1"/>
  <c r="G51" i="2"/>
  <c r="G52" i="2" s="1"/>
  <c r="H51" i="2"/>
  <c r="H52" i="2" s="1"/>
  <c r="F51" i="2"/>
  <c r="F52" i="2" s="1"/>
  <c r="F50" i="2"/>
  <c r="F49" i="2" s="1"/>
  <c r="D35" i="2"/>
  <c r="G33" i="2"/>
  <c r="H33" i="2"/>
  <c r="F75" i="2"/>
  <c r="F74" i="2" s="1"/>
  <c r="F12" i="2"/>
  <c r="F7" i="2"/>
  <c r="D11" i="2"/>
  <c r="G5" i="2"/>
  <c r="H5" i="2"/>
  <c r="F5" i="2"/>
  <c r="G7" i="2"/>
  <c r="H7" i="2"/>
  <c r="D6" i="2"/>
  <c r="F6" i="2" s="1"/>
  <c r="G3" i="2"/>
  <c r="H3" i="2" s="1"/>
  <c r="I3" i="2" s="1"/>
  <c r="J3" i="2" s="1"/>
  <c r="I80" i="2" l="1"/>
  <c r="J81" i="2"/>
  <c r="J80" i="2" s="1"/>
  <c r="F35" i="2"/>
  <c r="F36" i="2" s="1"/>
  <c r="J35" i="2"/>
  <c r="I35" i="2"/>
  <c r="G6" i="2"/>
  <c r="H6" i="2" s="1"/>
  <c r="I6" i="2" s="1"/>
  <c r="F73" i="2"/>
  <c r="F48" i="2"/>
  <c r="F34" i="2"/>
  <c r="H80" i="2"/>
  <c r="G32" i="2"/>
  <c r="G75" i="2" s="1"/>
  <c r="G74" i="2" s="1"/>
  <c r="G73" i="2" s="1"/>
  <c r="G90" i="2" s="1"/>
  <c r="H48" i="2"/>
  <c r="H35" i="2"/>
  <c r="G48" i="2"/>
  <c r="G35" i="2"/>
  <c r="F4" i="2"/>
  <c r="F90" i="2" l="1"/>
  <c r="I36" i="2"/>
  <c r="I4" i="2"/>
  <c r="J6" i="2"/>
  <c r="J4" i="2" s="1"/>
  <c r="G36" i="2"/>
  <c r="H36" i="2"/>
  <c r="F11" i="2"/>
  <c r="F16" i="2" s="1"/>
  <c r="F43" i="2"/>
  <c r="G34" i="2"/>
  <c r="H32" i="2"/>
  <c r="G4" i="2"/>
  <c r="H4" i="2"/>
  <c r="H75" i="2" l="1"/>
  <c r="H74" i="2" s="1"/>
  <c r="H73" i="2" s="1"/>
  <c r="I32" i="2"/>
  <c r="J11" i="2"/>
  <c r="J43" i="2"/>
  <c r="I11" i="2"/>
  <c r="I43" i="2"/>
  <c r="J54" i="2" s="1"/>
  <c r="J36" i="2"/>
  <c r="F20" i="2"/>
  <c r="F28" i="2" s="1"/>
  <c r="F18" i="2"/>
  <c r="F26" i="2" s="1"/>
  <c r="H34" i="2"/>
  <c r="H11" i="2"/>
  <c r="H43" i="2"/>
  <c r="F54" i="2"/>
  <c r="G11" i="2"/>
  <c r="G16" i="2" s="1"/>
  <c r="G17" i="2" s="1"/>
  <c r="G25" i="2" s="1"/>
  <c r="G43" i="2"/>
  <c r="G54" i="2" s="1"/>
  <c r="F19" i="2"/>
  <c r="F27" i="2" s="1"/>
  <c r="F17" i="2"/>
  <c r="F25" i="2" s="1"/>
  <c r="H90" i="2" l="1"/>
  <c r="I16" i="2"/>
  <c r="I17" i="2" s="1"/>
  <c r="I25" i="2" s="1"/>
  <c r="J58" i="2"/>
  <c r="J64" i="2" s="1"/>
  <c r="J55" i="2"/>
  <c r="J61" i="2" s="1"/>
  <c r="J57" i="2"/>
  <c r="J63" i="2" s="1"/>
  <c r="J56" i="2"/>
  <c r="J62" i="2" s="1"/>
  <c r="I19" i="2"/>
  <c r="I27" i="2" s="1"/>
  <c r="J16" i="2"/>
  <c r="I54" i="2"/>
  <c r="J32" i="2"/>
  <c r="I75" i="2"/>
  <c r="I74" i="2" s="1"/>
  <c r="I73" i="2" s="1"/>
  <c r="I90" i="2" s="1"/>
  <c r="I34" i="2"/>
  <c r="H16" i="2"/>
  <c r="H18" i="2" s="1"/>
  <c r="H26" i="2" s="1"/>
  <c r="F58" i="2"/>
  <c r="F64" i="2" s="1"/>
  <c r="F57" i="2"/>
  <c r="F63" i="2" s="1"/>
  <c r="F56" i="2"/>
  <c r="F62" i="2" s="1"/>
  <c r="F55" i="2"/>
  <c r="F61" i="2" s="1"/>
  <c r="G55" i="2"/>
  <c r="G61" i="2" s="1"/>
  <c r="G57" i="2"/>
  <c r="G63" i="2" s="1"/>
  <c r="G56" i="2"/>
  <c r="G62" i="2" s="1"/>
  <c r="G58" i="2"/>
  <c r="G64" i="2" s="1"/>
  <c r="F24" i="2"/>
  <c r="H54" i="2"/>
  <c r="G19" i="2"/>
  <c r="G27" i="2" s="1"/>
  <c r="G18" i="2"/>
  <c r="G26" i="2" s="1"/>
  <c r="G20" i="2"/>
  <c r="G28" i="2" s="1"/>
  <c r="I18" i="2" l="1"/>
  <c r="I26" i="2" s="1"/>
  <c r="I20" i="2"/>
  <c r="I28" i="2" s="1"/>
  <c r="I24" i="2" s="1"/>
  <c r="J75" i="2"/>
  <c r="J74" i="2" s="1"/>
  <c r="J73" i="2" s="1"/>
  <c r="J90" i="2" s="1"/>
  <c r="J34" i="2"/>
  <c r="I57" i="2"/>
  <c r="I63" i="2" s="1"/>
  <c r="I58" i="2"/>
  <c r="I64" i="2" s="1"/>
  <c r="I56" i="2"/>
  <c r="I62" i="2" s="1"/>
  <c r="I55" i="2"/>
  <c r="I61" i="2" s="1"/>
  <c r="I60" i="2" s="1"/>
  <c r="J60" i="2"/>
  <c r="J19" i="2"/>
  <c r="J27" i="2" s="1"/>
  <c r="J17" i="2"/>
  <c r="J25" i="2" s="1"/>
  <c r="J18" i="2"/>
  <c r="J26" i="2" s="1"/>
  <c r="J20" i="2"/>
  <c r="J28" i="2" s="1"/>
  <c r="H20" i="2"/>
  <c r="H28" i="2" s="1"/>
  <c r="H17" i="2"/>
  <c r="H25" i="2" s="1"/>
  <c r="H19" i="2"/>
  <c r="H27" i="2" s="1"/>
  <c r="H24" i="2" s="1"/>
  <c r="F60" i="2"/>
  <c r="F66" i="2" s="1"/>
  <c r="G60" i="2"/>
  <c r="G65" i="2" s="1"/>
  <c r="G70" i="2" s="1"/>
  <c r="F38" i="2"/>
  <c r="F37" i="2"/>
  <c r="F69" i="2" s="1"/>
  <c r="H56" i="2"/>
  <c r="H62" i="2" s="1"/>
  <c r="H55" i="2"/>
  <c r="H61" i="2" s="1"/>
  <c r="H57" i="2"/>
  <c r="H63" i="2" s="1"/>
  <c r="H58" i="2"/>
  <c r="H64" i="2" s="1"/>
  <c r="G24" i="2"/>
  <c r="J65" i="2" l="1"/>
  <c r="J70" i="2" s="1"/>
  <c r="J66" i="2"/>
  <c r="I66" i="2"/>
  <c r="I65" i="2"/>
  <c r="I70" i="2" s="1"/>
  <c r="F65" i="2"/>
  <c r="F70" i="2" s="1"/>
  <c r="J24" i="2"/>
  <c r="I37" i="2"/>
  <c r="I69" i="2" s="1"/>
  <c r="I38" i="2"/>
  <c r="G66" i="2"/>
  <c r="H60" i="2"/>
  <c r="G38" i="2"/>
  <c r="G37" i="2"/>
  <c r="G69" i="2" s="1"/>
  <c r="G68" i="2" s="1"/>
  <c r="H38" i="2"/>
  <c r="H37" i="2"/>
  <c r="H69" i="2" s="1"/>
  <c r="F68" i="2" l="1"/>
  <c r="F89" i="2" s="1"/>
  <c r="F91" i="2" s="1"/>
  <c r="F95" i="2" s="1"/>
  <c r="G89" i="2"/>
  <c r="G91" i="2" s="1"/>
  <c r="G95" i="2" s="1"/>
  <c r="J37" i="2"/>
  <c r="J69" i="2" s="1"/>
  <c r="J68" i="2" s="1"/>
  <c r="J89" i="2" s="1"/>
  <c r="J91" i="2" s="1"/>
  <c r="J95" i="2" s="1"/>
  <c r="J38" i="2"/>
  <c r="I68" i="2"/>
  <c r="I89" i="2" s="1"/>
  <c r="I91" i="2" s="1"/>
  <c r="I95" i="2" s="1"/>
  <c r="H65" i="2"/>
  <c r="H70" i="2" s="1"/>
  <c r="H68" i="2" s="1"/>
  <c r="H66" i="2"/>
  <c r="H89" i="2" l="1"/>
  <c r="H91" i="2" s="1"/>
  <c r="H95" i="2" s="1"/>
  <c r="D9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</author>
  </authors>
  <commentList>
    <comment ref="B12" authorId="0" shapeId="0" xr:uid="{EE6279FE-385E-4A8C-91CC-CD611CB95B6F}">
      <text>
        <r>
          <rPr>
            <b/>
            <sz val="9"/>
            <color indexed="81"/>
            <rFont val="Tahoma"/>
            <family val="2"/>
            <charset val="204"/>
          </rPr>
          <t>IM:</t>
        </r>
        <r>
          <rPr>
            <sz val="9"/>
            <color indexed="81"/>
            <rFont val="Tahoma"/>
            <family val="2"/>
            <charset val="204"/>
          </rPr>
          <t xml:space="preserve">
Количество неисправленных уязвимостей приложения на 1000 строк кода</t>
        </r>
      </text>
    </comment>
    <comment ref="D32" authorId="0" shapeId="0" xr:uid="{0D32D888-2E60-438C-BBCD-2AFF8D219078}">
      <text>
        <r>
          <rPr>
            <b/>
            <sz val="9"/>
            <color indexed="81"/>
            <rFont val="Tahoma"/>
            <family val="2"/>
            <charset val="204"/>
          </rPr>
          <t>IM:</t>
        </r>
        <r>
          <rPr>
            <sz val="9"/>
            <color indexed="81"/>
            <rFont val="Tahoma"/>
            <family val="2"/>
            <charset val="204"/>
          </rPr>
          <t xml:space="preserve">
ЗП в месяц, вкл. НДФЛ, ЕСН</t>
        </r>
      </text>
    </comment>
    <comment ref="B42" authorId="0" shapeId="0" xr:uid="{2F98C529-3CB3-40BC-9887-4CA2EFC107A8}">
      <text>
        <r>
          <rPr>
            <b/>
            <sz val="9"/>
            <color indexed="81"/>
            <rFont val="Tahoma"/>
            <family val="2"/>
            <charset val="204"/>
          </rPr>
          <t>IM:</t>
        </r>
        <r>
          <rPr>
            <sz val="9"/>
            <color indexed="81"/>
            <rFont val="Tahoma"/>
            <family val="2"/>
            <charset val="204"/>
          </rPr>
          <t xml:space="preserve">
Динамика улучшения отображает количество дефектов, которые успешно обнаруживаются на этапе Dev и Tes в рамках интеграции c ПО PT. Целевая оценка от Forrester составляет 85%, что является стандартом в индустрии. Для достижения этой цели необходимо внедрить все практики безопасной разработки PT.</t>
        </r>
      </text>
    </comment>
  </commentList>
</comments>
</file>

<file path=xl/sharedStrings.xml><?xml version="1.0" encoding="utf-8"?>
<sst xmlns="http://schemas.openxmlformats.org/spreadsheetml/2006/main" count="148" uniqueCount="66">
  <si>
    <t>%</t>
  </si>
  <si>
    <t>AppSec Consulting</t>
  </si>
  <si>
    <t>Объем кода</t>
  </si>
  <si>
    <t>KSLOC</t>
  </si>
  <si>
    <t>Объем кода на 1 разработчика</t>
  </si>
  <si>
    <t>Количество разработчиков</t>
  </si>
  <si>
    <t>чел.</t>
  </si>
  <si>
    <t>Рост количества разработчиков</t>
  </si>
  <si>
    <t>Ед. изм.</t>
  </si>
  <si>
    <t>Прогнозный объем технического долга</t>
  </si>
  <si>
    <t>Base</t>
  </si>
  <si>
    <t>ч/ч</t>
  </si>
  <si>
    <t>Трудозатраты на исправление дефектов</t>
  </si>
  <si>
    <t>Формирование технического долга</t>
  </si>
  <si>
    <t>из них Dev</t>
  </si>
  <si>
    <t>из них Test</t>
  </si>
  <si>
    <t>из них Stage</t>
  </si>
  <si>
    <t>из них Prod</t>
  </si>
  <si>
    <t>Количество дефектов к устранению</t>
  </si>
  <si>
    <t>Прогнозная плотность риска безопасности AS IS</t>
  </si>
  <si>
    <t>Стоимость команды разработки</t>
  </si>
  <si>
    <t>тыс. руб.</t>
  </si>
  <si>
    <t>Устранение дефектов по факту обнаружения AS IS</t>
  </si>
  <si>
    <t>Количество часов на исправление дефектов</t>
  </si>
  <si>
    <t>Ежегодный рост ФОТ</t>
  </si>
  <si>
    <t>Бюджет команды разработки</t>
  </si>
  <si>
    <t>Общее количество часов всех разработчиков</t>
  </si>
  <si>
    <t>Количество часов в год</t>
  </si>
  <si>
    <t>ч.</t>
  </si>
  <si>
    <t>Выявление дефектов на более ранних стадиях разработки</t>
  </si>
  <si>
    <t xml:space="preserve">Целевой объем технического долга </t>
  </si>
  <si>
    <t>Дисконтирование потенциальной экономии</t>
  </si>
  <si>
    <t>Трудозатраты на исправление дефекта в Dev</t>
  </si>
  <si>
    <t>Трудозатраты на исправление дефекта в Test</t>
  </si>
  <si>
    <t>Трудозатраты на исправление дефекта в Stage</t>
  </si>
  <si>
    <t>Трудозатраты на исправление дефекта в Prod</t>
  </si>
  <si>
    <t>Бюджет внутренней команды ЦК DevSecOps</t>
  </si>
  <si>
    <t>Внешние сервисы (включая НДС)</t>
  </si>
  <si>
    <t>Тиражирование практик, адаптация процессов, доработка ОРД</t>
  </si>
  <si>
    <t>Обучение</t>
  </si>
  <si>
    <t>Лицензии на ПО</t>
  </si>
  <si>
    <t>Затраты на внедрение процесса разработки защищенного ПО</t>
  </si>
  <si>
    <t>Стоимость 1 инженера-разработчика</t>
  </si>
  <si>
    <t>Размер команды</t>
  </si>
  <si>
    <t>Данные</t>
  </si>
  <si>
    <t>NPV проекта</t>
  </si>
  <si>
    <t>Денежный поток</t>
  </si>
  <si>
    <t>Экономическая выгода на Time-To-Market</t>
  </si>
  <si>
    <t>Ставка дисконтирования годовая</t>
  </si>
  <si>
    <t>Период дисконтирования</t>
  </si>
  <si>
    <t>Фактор дисконтирования</t>
  </si>
  <si>
    <t>NPV (3 года)</t>
  </si>
  <si>
    <t>х</t>
  </si>
  <si>
    <t>ROSI (Return on Investment for Security, 3 года)</t>
  </si>
  <si>
    <t>SAST</t>
  </si>
  <si>
    <t xml:space="preserve">ASOC </t>
  </si>
  <si>
    <t xml:space="preserve">OSA </t>
  </si>
  <si>
    <t xml:space="preserve">SCA </t>
  </si>
  <si>
    <t>CSP</t>
  </si>
  <si>
    <t>DAST</t>
  </si>
  <si>
    <t xml:space="preserve">Бюджет команды на исправление дефектов </t>
  </si>
  <si>
    <t xml:space="preserve">Целевая плотность риска безопасности </t>
  </si>
  <si>
    <t xml:space="preserve">Количество дефектов к устранению </t>
  </si>
  <si>
    <t xml:space="preserve">Количество часов на исправление дефектов </t>
  </si>
  <si>
    <t xml:space="preserve">Устранение дефектов </t>
  </si>
  <si>
    <t xml:space="preserve">ИСПОЛЬЗОВАНИЕ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</si>
</sst>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#,##0;\(#,##0\);\-"/>
    <numFmt numFmtId="165" formatCode="_-* #,##0\ _₽_-;\-* #,##0\ _₽_-;_-* &quot;-&quot;??\ _₽_-;_-@_-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  <charset val="204"/>
    </font>
    <font>
      <sz val="10"/>
      <name val="Arial Narrow"/>
      <family val="2"/>
      <charset val="204"/>
    </font>
    <font>
      <sz val="10"/>
      <color theme="1"/>
      <name val="Arial Narrow"/>
      <family val="2"/>
      <charset val="204"/>
    </font>
    <font>
      <b/>
      <sz val="10"/>
      <color theme="0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FF0000"/>
      <name val="Arial Narrow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 Narrow"/>
      <family val="2"/>
      <charset val="204"/>
    </font>
    <font>
      <sz val="5"/>
      <color theme="0" tint="-0.34998626667073579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1" fillId="0" borderId="0"/>
  </cellStyleXfs>
  <cellXfs count="39">
    <xf numFmtId="0" fontId="0" fillId="0" borderId="0" xfId="0"/>
    <xf numFmtId="0" fontId="3" fillId="0" borderId="0" xfId="3" applyFont="1" applyFill="1"/>
    <xf numFmtId="0" fontId="4" fillId="0" borderId="0" xfId="3" applyFont="1" applyFill="1" applyAlignment="1"/>
    <xf numFmtId="0" fontId="4" fillId="0" borderId="0" xfId="3" applyFont="1" applyFill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/>
    <xf numFmtId="0" fontId="6" fillId="2" borderId="0" xfId="3" applyFont="1" applyFill="1"/>
    <xf numFmtId="0" fontId="6" fillId="2" borderId="0" xfId="3" applyFont="1" applyFill="1" applyAlignment="1">
      <alignment horizontal="center"/>
    </xf>
    <xf numFmtId="0" fontId="7" fillId="0" borderId="0" xfId="3" applyFont="1"/>
    <xf numFmtId="0" fontId="5" fillId="0" borderId="0" xfId="3" applyFont="1" applyAlignment="1">
      <alignment horizontal="left" indent="1"/>
    </xf>
    <xf numFmtId="3" fontId="5" fillId="3" borderId="1" xfId="0" applyNumberFormat="1" applyFont="1" applyFill="1" applyBorder="1" applyAlignment="1">
      <alignment horizontal="center"/>
    </xf>
    <xf numFmtId="3" fontId="5" fillId="0" borderId="0" xfId="3" applyNumberFormat="1" applyFont="1" applyAlignment="1">
      <alignment horizontal="center"/>
    </xf>
    <xf numFmtId="9" fontId="5" fillId="0" borderId="0" xfId="3" applyNumberFormat="1" applyFont="1" applyAlignment="1">
      <alignment horizontal="center"/>
    </xf>
    <xf numFmtId="9" fontId="5" fillId="3" borderId="1" xfId="3" applyNumberFormat="1" applyFont="1" applyFill="1" applyBorder="1" applyAlignment="1">
      <alignment horizontal="center"/>
    </xf>
    <xf numFmtId="9" fontId="4" fillId="0" borderId="0" xfId="2" applyFont="1" applyAlignment="1">
      <alignment horizontal="center"/>
    </xf>
    <xf numFmtId="0" fontId="10" fillId="0" borderId="0" xfId="3" applyFont="1"/>
    <xf numFmtId="9" fontId="10" fillId="0" borderId="0" xfId="3" applyNumberFormat="1" applyFont="1" applyAlignment="1">
      <alignment horizontal="center"/>
    </xf>
    <xf numFmtId="9" fontId="10" fillId="0" borderId="0" xfId="2" applyFont="1" applyAlignment="1">
      <alignment horizontal="center"/>
    </xf>
    <xf numFmtId="9" fontId="5" fillId="0" borderId="0" xfId="2" applyFont="1" applyAlignment="1">
      <alignment horizontal="center"/>
    </xf>
    <xf numFmtId="165" fontId="5" fillId="0" borderId="0" xfId="1" applyNumberFormat="1" applyFont="1"/>
    <xf numFmtId="165" fontId="5" fillId="0" borderId="0" xfId="3" applyNumberFormat="1" applyFont="1"/>
    <xf numFmtId="0" fontId="7" fillId="0" borderId="0" xfId="3" applyFont="1" applyAlignment="1">
      <alignment horizontal="center"/>
    </xf>
    <xf numFmtId="3" fontId="7" fillId="0" borderId="0" xfId="3" applyNumberFormat="1" applyFont="1" applyAlignment="1">
      <alignment horizontal="center"/>
    </xf>
    <xf numFmtId="9" fontId="5" fillId="0" borderId="0" xfId="2" applyNumberFormat="1" applyFont="1" applyAlignment="1">
      <alignment horizontal="center"/>
    </xf>
    <xf numFmtId="9" fontId="5" fillId="0" borderId="0" xfId="0" applyNumberFormat="1" applyFont="1" applyAlignment="1">
      <alignment horizontal="center" vertical="center"/>
    </xf>
    <xf numFmtId="3" fontId="5" fillId="0" borderId="0" xfId="3" applyNumberFormat="1" applyFont="1"/>
    <xf numFmtId="3" fontId="7" fillId="0" borderId="0" xfId="3" applyNumberFormat="1" applyFont="1"/>
    <xf numFmtId="0" fontId="7" fillId="0" borderId="0" xfId="3" applyFont="1" applyFill="1"/>
    <xf numFmtId="0" fontId="6" fillId="0" borderId="0" xfId="3" applyFont="1" applyFill="1"/>
    <xf numFmtId="0" fontId="5" fillId="0" borderId="0" xfId="3" applyFont="1" applyAlignment="1">
      <alignment horizontal="left" indent="2"/>
    </xf>
    <xf numFmtId="0" fontId="7" fillId="0" borderId="0" xfId="3" applyFont="1" applyAlignment="1">
      <alignment horizontal="left" indent="1"/>
    </xf>
    <xf numFmtId="3" fontId="5" fillId="0" borderId="0" xfId="3" applyNumberFormat="1" applyFont="1" applyAlignment="1">
      <alignment horizontal="left"/>
    </xf>
    <xf numFmtId="0" fontId="12" fillId="0" borderId="0" xfId="0" applyFont="1"/>
    <xf numFmtId="4" fontId="5" fillId="0" borderId="0" xfId="3" applyNumberFormat="1" applyFont="1" applyAlignment="1">
      <alignment horizontal="center"/>
    </xf>
    <xf numFmtId="164" fontId="5" fillId="0" borderId="0" xfId="0" applyNumberFormat="1" applyFont="1" applyAlignment="1">
      <alignment horizontal="right" vertical="center"/>
    </xf>
    <xf numFmtId="164" fontId="7" fillId="0" borderId="0" xfId="3" applyNumberFormat="1" applyFont="1" applyAlignment="1">
      <alignment horizontal="center"/>
    </xf>
    <xf numFmtId="3" fontId="7" fillId="0" borderId="0" xfId="3" applyNumberFormat="1" applyFont="1" applyAlignment="1">
      <alignment horizontal="left"/>
    </xf>
    <xf numFmtId="9" fontId="7" fillId="0" borderId="0" xfId="2" applyFont="1" applyAlignment="1">
      <alignment horizontal="center"/>
    </xf>
    <xf numFmtId="0" fontId="13" fillId="0" borderId="0" xfId="3" applyFont="1"/>
  </cellXfs>
  <cellStyles count="5">
    <cellStyle name="Normal 2" xfId="3" xr:uid="{28A8FA13-1AB0-4EB0-B6C7-BEF0417B0672}"/>
    <cellStyle name="Обычный" xfId="0" builtinId="0"/>
    <cellStyle name="Обычный 3" xfId="4" xr:uid="{CC4A6E44-32D2-4C3C-96D2-027A2D5906A8}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91BD-3345-4D77-A2EB-8AFD10D778BD}">
  <sheetPr>
    <outlinePr summaryBelow="0"/>
  </sheetPr>
  <dimension ref="A1:Q128"/>
  <sheetViews>
    <sheetView showGridLines="0" tabSelected="1" zoomScale="96" zoomScaleNormal="110" workbookViewId="0">
      <pane xSplit="5" ySplit="3" topLeftCell="F46" activePane="bottomRight" state="frozen"/>
      <selection pane="topRight" activeCell="F1" sqref="F1"/>
      <selection pane="bottomLeft" activeCell="A4" sqref="A4"/>
      <selection pane="bottomRight" activeCell="B50" sqref="B50"/>
    </sheetView>
  </sheetViews>
  <sheetFormatPr defaultColWidth="9.1796875" defaultRowHeight="13" x14ac:dyDescent="0.3"/>
  <cols>
    <col min="1" max="1" width="0.81640625" style="5" customWidth="1"/>
    <col min="2" max="2" width="48.36328125" style="5" bestFit="1" customWidth="1"/>
    <col min="3" max="4" width="11.81640625" style="4" customWidth="1"/>
    <col min="5" max="5" width="0.81640625" style="4" customWidth="1" collapsed="1"/>
    <col min="6" max="10" width="13.81640625" style="5" customWidth="1"/>
    <col min="11" max="11" width="9.1796875" style="5"/>
    <col min="12" max="12" width="19.08984375" style="5" bestFit="1" customWidth="1"/>
    <col min="13" max="15" width="12" style="5" bestFit="1" customWidth="1"/>
    <col min="16" max="16" width="9.453125" style="5" bestFit="1" customWidth="1"/>
    <col min="17" max="16384" width="9.1796875" style="5"/>
  </cols>
  <sheetData>
    <row r="1" spans="2:11" x14ac:dyDescent="0.3">
      <c r="B1" s="1" t="s">
        <v>1</v>
      </c>
      <c r="C1" s="2"/>
      <c r="D1" s="3"/>
    </row>
    <row r="2" spans="2:11" ht="3.75" customHeight="1" x14ac:dyDescent="0.3"/>
    <row r="3" spans="2:11" x14ac:dyDescent="0.3">
      <c r="B3" s="6" t="s">
        <v>44</v>
      </c>
      <c r="C3" s="7" t="s">
        <v>8</v>
      </c>
      <c r="D3" s="7" t="s">
        <v>10</v>
      </c>
      <c r="F3" s="7">
        <v>1</v>
      </c>
      <c r="G3" s="7">
        <f>F3+1</f>
        <v>2</v>
      </c>
      <c r="H3" s="7">
        <f t="shared" ref="H3:J3" si="0">G3+1</f>
        <v>3</v>
      </c>
      <c r="I3" s="7">
        <f t="shared" si="0"/>
        <v>4</v>
      </c>
      <c r="J3" s="7">
        <f t="shared" si="0"/>
        <v>5</v>
      </c>
    </row>
    <row r="4" spans="2:11" x14ac:dyDescent="0.3">
      <c r="B4" s="5" t="s">
        <v>2</v>
      </c>
      <c r="C4" s="4" t="s">
        <v>3</v>
      </c>
      <c r="D4" s="10">
        <v>15000</v>
      </c>
      <c r="F4" s="11">
        <f>F5*F6</f>
        <v>15000</v>
      </c>
      <c r="G4" s="11">
        <f t="shared" ref="G4:J4" si="1">G5*G6</f>
        <v>16500</v>
      </c>
      <c r="H4" s="11">
        <f t="shared" si="1"/>
        <v>18150.000000000004</v>
      </c>
      <c r="I4" s="11">
        <f t="shared" si="1"/>
        <v>19965.000000000004</v>
      </c>
      <c r="J4" s="11">
        <f t="shared" si="1"/>
        <v>21961.500000000007</v>
      </c>
    </row>
    <row r="5" spans="2:11" collapsed="1" x14ac:dyDescent="0.3">
      <c r="B5" s="5" t="s">
        <v>4</v>
      </c>
      <c r="C5" s="4" t="s">
        <v>3</v>
      </c>
      <c r="D5" s="10">
        <v>100</v>
      </c>
      <c r="F5" s="11">
        <f>$D$5</f>
        <v>100</v>
      </c>
      <c r="G5" s="11">
        <f t="shared" ref="G5:J5" si="2">$D$5</f>
        <v>100</v>
      </c>
      <c r="H5" s="11">
        <f t="shared" si="2"/>
        <v>100</v>
      </c>
      <c r="I5" s="11">
        <f t="shared" si="2"/>
        <v>100</v>
      </c>
      <c r="J5" s="11">
        <f t="shared" si="2"/>
        <v>100</v>
      </c>
    </row>
    <row r="6" spans="2:11" x14ac:dyDescent="0.3">
      <c r="B6" s="5" t="s">
        <v>5</v>
      </c>
      <c r="C6" s="4" t="s">
        <v>6</v>
      </c>
      <c r="D6" s="11">
        <f>D4/D5</f>
        <v>150</v>
      </c>
      <c r="F6" s="11">
        <f>D6</f>
        <v>150</v>
      </c>
      <c r="G6" s="11">
        <f>F6*(1+G7)</f>
        <v>165</v>
      </c>
      <c r="H6" s="11">
        <f t="shared" ref="H6:J6" si="3">G6*(1+H7)</f>
        <v>181.50000000000003</v>
      </c>
      <c r="I6" s="11">
        <f t="shared" si="3"/>
        <v>199.65000000000003</v>
      </c>
      <c r="J6" s="11">
        <f t="shared" si="3"/>
        <v>219.61500000000007</v>
      </c>
    </row>
    <row r="7" spans="2:11" x14ac:dyDescent="0.3">
      <c r="B7" s="5" t="s">
        <v>7</v>
      </c>
      <c r="C7" s="4" t="s">
        <v>0</v>
      </c>
      <c r="D7" s="13">
        <v>0.1</v>
      </c>
      <c r="F7" s="14">
        <f>$D$7</f>
        <v>0.1</v>
      </c>
      <c r="G7" s="14">
        <f t="shared" ref="G7:J7" si="4">$D$7</f>
        <v>0.1</v>
      </c>
      <c r="H7" s="14">
        <f t="shared" si="4"/>
        <v>0.1</v>
      </c>
      <c r="I7" s="14">
        <f t="shared" si="4"/>
        <v>0.1</v>
      </c>
      <c r="J7" s="14">
        <f t="shared" si="4"/>
        <v>0.1</v>
      </c>
    </row>
    <row r="8" spans="2:11" x14ac:dyDescent="0.3">
      <c r="F8" s="4"/>
      <c r="G8" s="4"/>
      <c r="H8" s="4"/>
      <c r="I8" s="4"/>
      <c r="J8" s="4"/>
    </row>
    <row r="9" spans="2:11" x14ac:dyDescent="0.3">
      <c r="B9" s="8" t="s">
        <v>13</v>
      </c>
      <c r="F9" s="4"/>
      <c r="G9" s="18"/>
      <c r="H9" s="18"/>
      <c r="I9" s="18"/>
      <c r="J9" s="4"/>
    </row>
    <row r="10" spans="2:11" ht="4.5" customHeight="1" x14ac:dyDescent="0.3"/>
    <row r="11" spans="2:11" x14ac:dyDescent="0.3">
      <c r="B11" s="5" t="s">
        <v>9</v>
      </c>
      <c r="C11" s="4" t="s">
        <v>3</v>
      </c>
      <c r="D11" s="11">
        <f>D4*D12</f>
        <v>6750</v>
      </c>
      <c r="E11" s="11"/>
      <c r="F11" s="11">
        <f>F4*F12</f>
        <v>6750</v>
      </c>
      <c r="G11" s="11">
        <f>G4*G12</f>
        <v>10725</v>
      </c>
      <c r="H11" s="11">
        <f>H4*H12</f>
        <v>13612.500000000004</v>
      </c>
      <c r="I11" s="11">
        <f>I4*I12</f>
        <v>14973.750000000004</v>
      </c>
      <c r="J11" s="11">
        <f>J4*J12</f>
        <v>16471.125000000007</v>
      </c>
    </row>
    <row r="12" spans="2:11" x14ac:dyDescent="0.3">
      <c r="B12" s="5" t="s">
        <v>19</v>
      </c>
      <c r="C12" s="4" t="s">
        <v>0</v>
      </c>
      <c r="D12" s="13">
        <v>0.45</v>
      </c>
      <c r="F12" s="14">
        <f>$D$12</f>
        <v>0.45</v>
      </c>
      <c r="G12" s="17">
        <v>0.65</v>
      </c>
      <c r="H12" s="17">
        <v>0.75</v>
      </c>
      <c r="I12" s="14">
        <f>H12</f>
        <v>0.75</v>
      </c>
      <c r="J12" s="14">
        <f>I12</f>
        <v>0.75</v>
      </c>
      <c r="K12" s="15"/>
    </row>
    <row r="13" spans="2:11" x14ac:dyDescent="0.3">
      <c r="F13" s="12"/>
      <c r="G13" s="12"/>
      <c r="H13" s="12"/>
      <c r="I13" s="12"/>
      <c r="J13" s="12"/>
    </row>
    <row r="14" spans="2:11" x14ac:dyDescent="0.3">
      <c r="B14" s="8" t="s">
        <v>22</v>
      </c>
    </row>
    <row r="15" spans="2:11" ht="4.5" customHeight="1" x14ac:dyDescent="0.3"/>
    <row r="16" spans="2:11" x14ac:dyDescent="0.3">
      <c r="B16" s="5" t="s">
        <v>18</v>
      </c>
      <c r="C16" s="4" t="s">
        <v>3</v>
      </c>
      <c r="F16" s="11">
        <f>F11</f>
        <v>6750</v>
      </c>
      <c r="G16" s="11">
        <f>G11-F11</f>
        <v>3975</v>
      </c>
      <c r="H16" s="11">
        <f>H11-G11</f>
        <v>2887.5000000000036</v>
      </c>
      <c r="I16" s="11">
        <f>I11-H11</f>
        <v>1361.25</v>
      </c>
      <c r="J16" s="11">
        <f>J11-I11</f>
        <v>1497.3750000000036</v>
      </c>
    </row>
    <row r="17" spans="2:10" x14ac:dyDescent="0.3">
      <c r="B17" s="9" t="s">
        <v>14</v>
      </c>
      <c r="C17" s="4" t="s">
        <v>0</v>
      </c>
      <c r="D17" s="13">
        <v>0</v>
      </c>
      <c r="F17" s="11">
        <f>F$16*$D17</f>
        <v>0</v>
      </c>
      <c r="G17" s="11">
        <f t="shared" ref="G17:J17" si="5">G$16*$D17</f>
        <v>0</v>
      </c>
      <c r="H17" s="11">
        <f t="shared" si="5"/>
        <v>0</v>
      </c>
      <c r="I17" s="11">
        <f t="shared" si="5"/>
        <v>0</v>
      </c>
      <c r="J17" s="11">
        <f t="shared" si="5"/>
        <v>0</v>
      </c>
    </row>
    <row r="18" spans="2:10" x14ac:dyDescent="0.3">
      <c r="B18" s="9" t="s">
        <v>15</v>
      </c>
      <c r="C18" s="4" t="s">
        <v>0</v>
      </c>
      <c r="D18" s="13">
        <v>0</v>
      </c>
      <c r="F18" s="11">
        <f t="shared" ref="F18:J20" si="6">F$16*$D18</f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</row>
    <row r="19" spans="2:10" x14ac:dyDescent="0.3">
      <c r="B19" s="9" t="s">
        <v>16</v>
      </c>
      <c r="C19" s="4" t="s">
        <v>0</v>
      </c>
      <c r="D19" s="13">
        <v>0.2</v>
      </c>
      <c r="F19" s="11">
        <f t="shared" si="6"/>
        <v>1350</v>
      </c>
      <c r="G19" s="11">
        <f t="shared" si="6"/>
        <v>795</v>
      </c>
      <c r="H19" s="11">
        <f t="shared" si="6"/>
        <v>577.5000000000008</v>
      </c>
      <c r="I19" s="11">
        <f t="shared" si="6"/>
        <v>272.25</v>
      </c>
      <c r="J19" s="11">
        <f t="shared" si="6"/>
        <v>299.47500000000076</v>
      </c>
    </row>
    <row r="20" spans="2:10" x14ac:dyDescent="0.3">
      <c r="B20" s="9" t="s">
        <v>17</v>
      </c>
      <c r="C20" s="4" t="s">
        <v>0</v>
      </c>
      <c r="D20" s="13">
        <v>0.8</v>
      </c>
      <c r="F20" s="11">
        <f t="shared" si="6"/>
        <v>5400</v>
      </c>
      <c r="G20" s="11">
        <f t="shared" si="6"/>
        <v>3180</v>
      </c>
      <c r="H20" s="11">
        <f t="shared" si="6"/>
        <v>2310.0000000000032</v>
      </c>
      <c r="I20" s="11">
        <f t="shared" si="6"/>
        <v>1089</v>
      </c>
      <c r="J20" s="11">
        <f t="shared" si="6"/>
        <v>1197.900000000003</v>
      </c>
    </row>
    <row r="21" spans="2:10" x14ac:dyDescent="0.3">
      <c r="F21" s="12"/>
      <c r="G21" s="12"/>
      <c r="H21" s="12"/>
      <c r="I21" s="12"/>
      <c r="J21" s="12"/>
    </row>
    <row r="22" spans="2:10" x14ac:dyDescent="0.3">
      <c r="B22" s="8" t="s">
        <v>12</v>
      </c>
      <c r="F22" s="12"/>
      <c r="G22" s="12"/>
      <c r="H22" s="12"/>
      <c r="I22" s="12"/>
      <c r="J22" s="12"/>
    </row>
    <row r="23" spans="2:10" ht="4.5" customHeight="1" x14ac:dyDescent="0.3"/>
    <row r="24" spans="2:10" x14ac:dyDescent="0.3">
      <c r="B24" s="5" t="s">
        <v>23</v>
      </c>
      <c r="C24" s="4" t="s">
        <v>11</v>
      </c>
      <c r="F24" s="11">
        <f>SUM(F25:F28)</f>
        <v>194400</v>
      </c>
      <c r="G24" s="11">
        <f t="shared" ref="G24:J24" si="7">SUM(G25:G28)</f>
        <v>114480</v>
      </c>
      <c r="H24" s="11">
        <f t="shared" si="7"/>
        <v>83160.000000000116</v>
      </c>
      <c r="I24" s="11">
        <f t="shared" si="7"/>
        <v>39204</v>
      </c>
      <c r="J24" s="11">
        <f t="shared" si="7"/>
        <v>43124.400000000111</v>
      </c>
    </row>
    <row r="25" spans="2:10" x14ac:dyDescent="0.3">
      <c r="B25" s="9" t="s">
        <v>32</v>
      </c>
      <c r="C25" s="4" t="s">
        <v>11</v>
      </c>
      <c r="D25" s="10">
        <v>4</v>
      </c>
      <c r="F25" s="11">
        <f>F17*$D25</f>
        <v>0</v>
      </c>
      <c r="G25" s="11">
        <f t="shared" ref="G25:J25" si="8">G17*$D25</f>
        <v>0</v>
      </c>
      <c r="H25" s="11">
        <f t="shared" si="8"/>
        <v>0</v>
      </c>
      <c r="I25" s="11">
        <f t="shared" si="8"/>
        <v>0</v>
      </c>
      <c r="J25" s="11">
        <f t="shared" si="8"/>
        <v>0</v>
      </c>
    </row>
    <row r="26" spans="2:10" x14ac:dyDescent="0.3">
      <c r="B26" s="9" t="s">
        <v>33</v>
      </c>
      <c r="C26" s="4" t="s">
        <v>11</v>
      </c>
      <c r="D26" s="10">
        <v>8</v>
      </c>
      <c r="F26" s="11">
        <f>F18*$D26</f>
        <v>0</v>
      </c>
      <c r="G26" s="11">
        <f t="shared" ref="G26:J28" si="9">G18*$D26</f>
        <v>0</v>
      </c>
      <c r="H26" s="11">
        <f t="shared" si="9"/>
        <v>0</v>
      </c>
      <c r="I26" s="11">
        <f t="shared" si="9"/>
        <v>0</v>
      </c>
      <c r="J26" s="11">
        <f t="shared" si="9"/>
        <v>0</v>
      </c>
    </row>
    <row r="27" spans="2:10" x14ac:dyDescent="0.3">
      <c r="B27" s="9" t="s">
        <v>34</v>
      </c>
      <c r="C27" s="4" t="s">
        <v>11</v>
      </c>
      <c r="D27" s="10">
        <v>16</v>
      </c>
      <c r="F27" s="11">
        <f>F19*$D27</f>
        <v>21600</v>
      </c>
      <c r="G27" s="11">
        <f t="shared" si="9"/>
        <v>12720</v>
      </c>
      <c r="H27" s="11">
        <f t="shared" si="9"/>
        <v>9240.0000000000127</v>
      </c>
      <c r="I27" s="11">
        <f t="shared" si="9"/>
        <v>4356</v>
      </c>
      <c r="J27" s="11">
        <f t="shared" si="9"/>
        <v>4791.6000000000122</v>
      </c>
    </row>
    <row r="28" spans="2:10" x14ac:dyDescent="0.3">
      <c r="B28" s="9" t="s">
        <v>35</v>
      </c>
      <c r="C28" s="4" t="s">
        <v>11</v>
      </c>
      <c r="D28" s="10">
        <v>32</v>
      </c>
      <c r="F28" s="11">
        <f>F20*$D28</f>
        <v>172800</v>
      </c>
      <c r="G28" s="11">
        <f t="shared" si="9"/>
        <v>101760</v>
      </c>
      <c r="H28" s="11">
        <f t="shared" si="9"/>
        <v>73920.000000000102</v>
      </c>
      <c r="I28" s="11">
        <f t="shared" si="9"/>
        <v>34848</v>
      </c>
      <c r="J28" s="11">
        <f t="shared" si="9"/>
        <v>38332.800000000097</v>
      </c>
    </row>
    <row r="29" spans="2:10" x14ac:dyDescent="0.3">
      <c r="F29" s="12"/>
      <c r="G29" s="12"/>
      <c r="H29" s="12"/>
      <c r="I29" s="12"/>
      <c r="J29" s="12"/>
    </row>
    <row r="30" spans="2:10" x14ac:dyDescent="0.3">
      <c r="B30" s="8" t="s">
        <v>20</v>
      </c>
      <c r="F30" s="12"/>
      <c r="G30" s="12"/>
      <c r="H30" s="12"/>
      <c r="I30" s="12"/>
      <c r="J30" s="12"/>
    </row>
    <row r="31" spans="2:10" ht="4.5" customHeight="1" x14ac:dyDescent="0.3"/>
    <row r="32" spans="2:10" x14ac:dyDescent="0.3">
      <c r="B32" s="5" t="s">
        <v>42</v>
      </c>
      <c r="C32" s="4" t="s">
        <v>21</v>
      </c>
      <c r="D32" s="10">
        <f>330000*1.1</f>
        <v>363000.00000000006</v>
      </c>
      <c r="F32" s="11">
        <f>D32*12</f>
        <v>4356000.0000000009</v>
      </c>
      <c r="G32" s="11">
        <f>F32*(1+G33)</f>
        <v>5009400.0000000009</v>
      </c>
      <c r="H32" s="11">
        <f t="shared" ref="H32:J32" si="10">G32*(1+H33)</f>
        <v>5760810.0000000009</v>
      </c>
      <c r="I32" s="11">
        <f t="shared" si="10"/>
        <v>6624931.5000000009</v>
      </c>
      <c r="J32" s="11">
        <f t="shared" si="10"/>
        <v>7618671.2250000006</v>
      </c>
    </row>
    <row r="33" spans="1:10" x14ac:dyDescent="0.3">
      <c r="B33" s="5" t="s">
        <v>24</v>
      </c>
      <c r="C33" s="4" t="s">
        <v>0</v>
      </c>
      <c r="D33" s="13">
        <v>0.15</v>
      </c>
      <c r="F33" s="14">
        <f>$D$33</f>
        <v>0.15</v>
      </c>
      <c r="G33" s="14">
        <f t="shared" ref="G33:J33" si="11">$D$33</f>
        <v>0.15</v>
      </c>
      <c r="H33" s="14">
        <f t="shared" si="11"/>
        <v>0.15</v>
      </c>
      <c r="I33" s="14">
        <f t="shared" si="11"/>
        <v>0.15</v>
      </c>
      <c r="J33" s="14">
        <f t="shared" si="11"/>
        <v>0.15</v>
      </c>
    </row>
    <row r="34" spans="1:10" x14ac:dyDescent="0.3">
      <c r="B34" s="5" t="s">
        <v>25</v>
      </c>
      <c r="C34" s="4" t="s">
        <v>21</v>
      </c>
      <c r="D34" s="5"/>
      <c r="F34" s="11">
        <f>F32*F6</f>
        <v>653400000.00000012</v>
      </c>
      <c r="G34" s="11">
        <f>G32*G6</f>
        <v>826551000.00000012</v>
      </c>
      <c r="H34" s="11">
        <f>H32*H6</f>
        <v>1045587015.0000004</v>
      </c>
      <c r="I34" s="11">
        <f>I32*I6</f>
        <v>1322667573.9750004</v>
      </c>
      <c r="J34" s="11">
        <f>J32*J6</f>
        <v>1673174481.0783756</v>
      </c>
    </row>
    <row r="35" spans="1:10" x14ac:dyDescent="0.3">
      <c r="B35" s="5" t="s">
        <v>27</v>
      </c>
      <c r="C35" s="4" t="s">
        <v>28</v>
      </c>
      <c r="D35" s="10">
        <f>12*160</f>
        <v>1920</v>
      </c>
      <c r="F35" s="11">
        <f>$D$35</f>
        <v>1920</v>
      </c>
      <c r="G35" s="11">
        <f t="shared" ref="G35:J35" si="12">$D$35</f>
        <v>1920</v>
      </c>
      <c r="H35" s="11">
        <f t="shared" si="12"/>
        <v>1920</v>
      </c>
      <c r="I35" s="11">
        <f t="shared" si="12"/>
        <v>1920</v>
      </c>
      <c r="J35" s="11">
        <f t="shared" si="12"/>
        <v>1920</v>
      </c>
    </row>
    <row r="36" spans="1:10" x14ac:dyDescent="0.3">
      <c r="B36" s="5" t="s">
        <v>26</v>
      </c>
      <c r="C36" s="4" t="s">
        <v>28</v>
      </c>
      <c r="D36" s="5"/>
      <c r="F36" s="11">
        <f>F35*F6</f>
        <v>288000</v>
      </c>
      <c r="G36" s="11">
        <f>G35*G6</f>
        <v>316800</v>
      </c>
      <c r="H36" s="11">
        <f>H35*H6</f>
        <v>348480.00000000006</v>
      </c>
      <c r="I36" s="11">
        <f>I35*I6</f>
        <v>383328.00000000006</v>
      </c>
      <c r="J36" s="11">
        <f>J35*J6</f>
        <v>421660.8000000001</v>
      </c>
    </row>
    <row r="37" spans="1:10" x14ac:dyDescent="0.3">
      <c r="B37" s="8" t="s">
        <v>60</v>
      </c>
      <c r="C37" s="21" t="s">
        <v>21</v>
      </c>
      <c r="D37" s="8"/>
      <c r="E37" s="21"/>
      <c r="F37" s="22">
        <f>F24/F36*F34</f>
        <v>441045000.00000012</v>
      </c>
      <c r="G37" s="22">
        <f t="shared" ref="G37:J37" si="13">G24/G36*G34</f>
        <v>298685475.00000006</v>
      </c>
      <c r="H37" s="22">
        <f t="shared" si="13"/>
        <v>249515083.12500039</v>
      </c>
      <c r="I37" s="22">
        <f t="shared" si="13"/>
        <v>135272820.06562501</v>
      </c>
      <c r="J37" s="22">
        <f t="shared" si="13"/>
        <v>171120117.38301608</v>
      </c>
    </row>
    <row r="38" spans="1:10" x14ac:dyDescent="0.3">
      <c r="B38" s="8" t="s">
        <v>60</v>
      </c>
      <c r="C38" s="4" t="s">
        <v>0</v>
      </c>
      <c r="D38" s="5"/>
      <c r="F38" s="14">
        <f>F24/F36</f>
        <v>0.67500000000000004</v>
      </c>
      <c r="G38" s="14">
        <f t="shared" ref="G38:J38" si="14">G24/G36</f>
        <v>0.36136363636363639</v>
      </c>
      <c r="H38" s="14">
        <f t="shared" si="14"/>
        <v>0.23863636363636392</v>
      </c>
      <c r="I38" s="14">
        <f t="shared" si="14"/>
        <v>0.10227272727272725</v>
      </c>
      <c r="J38" s="14">
        <f t="shared" si="14"/>
        <v>0.10227272727272751</v>
      </c>
    </row>
    <row r="39" spans="1:10" x14ac:dyDescent="0.3">
      <c r="D39" s="11"/>
      <c r="F39" s="19"/>
    </row>
    <row r="40" spans="1:10" x14ac:dyDescent="0.3">
      <c r="A40" s="38" t="s">
        <v>52</v>
      </c>
      <c r="B40" s="6" t="s">
        <v>65</v>
      </c>
      <c r="C40" s="6"/>
      <c r="D40" s="6"/>
      <c r="F40" s="6"/>
      <c r="G40" s="6"/>
      <c r="H40" s="6"/>
      <c r="I40" s="6"/>
      <c r="J40" s="6"/>
    </row>
    <row r="41" spans="1:10" ht="4.5" customHeight="1" x14ac:dyDescent="0.3"/>
    <row r="42" spans="1:10" x14ac:dyDescent="0.3">
      <c r="B42" s="5" t="s">
        <v>29</v>
      </c>
      <c r="C42" s="4" t="s">
        <v>0</v>
      </c>
      <c r="F42" s="14">
        <v>0.15</v>
      </c>
      <c r="G42" s="14">
        <v>0.5</v>
      </c>
      <c r="H42" s="14">
        <v>0.8</v>
      </c>
      <c r="I42" s="17">
        <f>H42</f>
        <v>0.8</v>
      </c>
      <c r="J42" s="17">
        <f>I42</f>
        <v>0.8</v>
      </c>
    </row>
    <row r="43" spans="1:10" x14ac:dyDescent="0.3">
      <c r="B43" s="5" t="s">
        <v>30</v>
      </c>
      <c r="C43" s="4" t="s">
        <v>3</v>
      </c>
      <c r="D43" s="10">
        <v>6000</v>
      </c>
      <c r="F43" s="11">
        <f>F4*F44</f>
        <v>3750</v>
      </c>
      <c r="G43" s="11">
        <f>G4*G44</f>
        <v>1485</v>
      </c>
      <c r="H43" s="11">
        <f>H4*H44</f>
        <v>544.50000000000011</v>
      </c>
      <c r="I43" s="11">
        <f>I4*I44</f>
        <v>598.95000000000005</v>
      </c>
      <c r="J43" s="11">
        <f>J4*J44</f>
        <v>658.84500000000014</v>
      </c>
    </row>
    <row r="44" spans="1:10" x14ac:dyDescent="0.3">
      <c r="B44" s="5" t="s">
        <v>61</v>
      </c>
      <c r="C44" s="4" t="s">
        <v>0</v>
      </c>
      <c r="D44" s="12">
        <v>0.4</v>
      </c>
      <c r="F44" s="12">
        <v>0.25</v>
      </c>
      <c r="G44" s="12">
        <v>0.09</v>
      </c>
      <c r="H44" s="12">
        <v>0.03</v>
      </c>
      <c r="I44" s="16">
        <f>H44</f>
        <v>0.03</v>
      </c>
      <c r="J44" s="16">
        <f>I44</f>
        <v>0.03</v>
      </c>
    </row>
    <row r="45" spans="1:10" x14ac:dyDescent="0.3">
      <c r="F45" s="12"/>
      <c r="G45" s="12"/>
      <c r="H45" s="12"/>
      <c r="I45" s="12"/>
      <c r="J45" s="12"/>
    </row>
    <row r="46" spans="1:10" x14ac:dyDescent="0.3">
      <c r="B46" s="8" t="s">
        <v>64</v>
      </c>
    </row>
    <row r="47" spans="1:10" ht="4.5" customHeight="1" x14ac:dyDescent="0.3"/>
    <row r="48" spans="1:10" x14ac:dyDescent="0.3">
      <c r="B48" s="5" t="s">
        <v>18</v>
      </c>
      <c r="C48" s="4" t="s">
        <v>3</v>
      </c>
      <c r="F48" s="23">
        <f>SUM(F49:F52)</f>
        <v>1</v>
      </c>
      <c r="G48" s="23">
        <f t="shared" ref="G48:J48" si="15">SUM(G49:G52)</f>
        <v>1</v>
      </c>
      <c r="H48" s="23">
        <f t="shared" si="15"/>
        <v>1.0000000000000002</v>
      </c>
      <c r="I48" s="23">
        <f t="shared" si="15"/>
        <v>1.0000000000000002</v>
      </c>
      <c r="J48" s="23">
        <f t="shared" si="15"/>
        <v>1.0000000000000002</v>
      </c>
    </row>
    <row r="49" spans="2:10" x14ac:dyDescent="0.3">
      <c r="B49" s="9" t="s">
        <v>14</v>
      </c>
      <c r="C49" s="4" t="s">
        <v>0</v>
      </c>
      <c r="F49" s="24">
        <f>0.25*F50</f>
        <v>0.03</v>
      </c>
      <c r="G49" s="24">
        <f t="shared" ref="G49:J49" si="16">0.25*G50</f>
        <v>0.1</v>
      </c>
      <c r="H49" s="24">
        <f t="shared" si="16"/>
        <v>0.16000000000000003</v>
      </c>
      <c r="I49" s="24">
        <f t="shared" si="16"/>
        <v>0.16000000000000003</v>
      </c>
      <c r="J49" s="24">
        <f t="shared" si="16"/>
        <v>0.16000000000000003</v>
      </c>
    </row>
    <row r="50" spans="2:10" x14ac:dyDescent="0.3">
      <c r="B50" s="9" t="s">
        <v>15</v>
      </c>
      <c r="C50" s="4" t="s">
        <v>0</v>
      </c>
      <c r="F50" s="24">
        <f>0.8*F42</f>
        <v>0.12</v>
      </c>
      <c r="G50" s="24">
        <f>0.8*G42</f>
        <v>0.4</v>
      </c>
      <c r="H50" s="24">
        <f>0.8*H42</f>
        <v>0.64000000000000012</v>
      </c>
      <c r="I50" s="24">
        <f>0.8*I42</f>
        <v>0.64000000000000012</v>
      </c>
      <c r="J50" s="24">
        <f>0.8*J42</f>
        <v>0.64000000000000012</v>
      </c>
    </row>
    <row r="51" spans="2:10" x14ac:dyDescent="0.3">
      <c r="B51" s="9" t="s">
        <v>16</v>
      </c>
      <c r="C51" s="4" t="s">
        <v>0</v>
      </c>
      <c r="F51" s="24">
        <f>0.8*(100%-F42)</f>
        <v>0.68</v>
      </c>
      <c r="G51" s="24">
        <f>0.8*(100%-G42)</f>
        <v>0.4</v>
      </c>
      <c r="H51" s="24">
        <f>0.8*(100%-H42)</f>
        <v>0.15999999999999998</v>
      </c>
      <c r="I51" s="24">
        <f>0.8*(100%-I42)</f>
        <v>0.15999999999999998</v>
      </c>
      <c r="J51" s="24">
        <f>0.8*(100%-J42)</f>
        <v>0.15999999999999998</v>
      </c>
    </row>
    <row r="52" spans="2:10" x14ac:dyDescent="0.3">
      <c r="B52" s="9" t="s">
        <v>17</v>
      </c>
      <c r="C52" s="4" t="s">
        <v>0</v>
      </c>
      <c r="F52" s="24">
        <f>0.25*F51</f>
        <v>0.17</v>
      </c>
      <c r="G52" s="24">
        <f t="shared" ref="G52:J52" si="17">0.25*G51</f>
        <v>0.1</v>
      </c>
      <c r="H52" s="24">
        <f t="shared" si="17"/>
        <v>3.9999999999999994E-2</v>
      </c>
      <c r="I52" s="24">
        <f t="shared" si="17"/>
        <v>3.9999999999999994E-2</v>
      </c>
      <c r="J52" s="24">
        <f t="shared" si="17"/>
        <v>3.9999999999999994E-2</v>
      </c>
    </row>
    <row r="53" spans="2:10" x14ac:dyDescent="0.3">
      <c r="F53" s="24"/>
      <c r="G53" s="24"/>
      <c r="H53" s="24"/>
      <c r="I53" s="24"/>
      <c r="J53" s="24"/>
    </row>
    <row r="54" spans="2:10" x14ac:dyDescent="0.3">
      <c r="B54" s="5" t="s">
        <v>62</v>
      </c>
      <c r="C54" s="4" t="s">
        <v>3</v>
      </c>
      <c r="F54" s="11">
        <f>D43-F43</f>
        <v>2250</v>
      </c>
      <c r="G54" s="11">
        <f>F43-G43</f>
        <v>2265</v>
      </c>
      <c r="H54" s="11">
        <f t="shared" ref="H54:J54" si="18">G43-H43</f>
        <v>940.49999999999989</v>
      </c>
      <c r="I54" s="11">
        <f t="shared" si="18"/>
        <v>-54.449999999999932</v>
      </c>
      <c r="J54" s="11">
        <f t="shared" si="18"/>
        <v>-59.895000000000095</v>
      </c>
    </row>
    <row r="55" spans="2:10" x14ac:dyDescent="0.3">
      <c r="B55" s="9" t="s">
        <v>14</v>
      </c>
      <c r="C55" s="4" t="s">
        <v>11</v>
      </c>
      <c r="F55" s="11">
        <f>F$54*F49</f>
        <v>67.5</v>
      </c>
      <c r="G55" s="11">
        <f t="shared" ref="G55:J55" si="19">G$54*G49</f>
        <v>226.5</v>
      </c>
      <c r="H55" s="11">
        <f t="shared" si="19"/>
        <v>150.48000000000002</v>
      </c>
      <c r="I55" s="11">
        <f t="shared" si="19"/>
        <v>-8.7119999999999909</v>
      </c>
      <c r="J55" s="11">
        <f t="shared" si="19"/>
        <v>-9.5832000000000175</v>
      </c>
    </row>
    <row r="56" spans="2:10" x14ac:dyDescent="0.3">
      <c r="B56" s="9" t="s">
        <v>15</v>
      </c>
      <c r="C56" s="4" t="s">
        <v>11</v>
      </c>
      <c r="F56" s="11">
        <f>F$54*F50</f>
        <v>270</v>
      </c>
      <c r="G56" s="11">
        <f t="shared" ref="G56:J56" si="20">G$54*G50</f>
        <v>906</v>
      </c>
      <c r="H56" s="11">
        <f t="shared" si="20"/>
        <v>601.92000000000007</v>
      </c>
      <c r="I56" s="11">
        <f t="shared" si="20"/>
        <v>-34.847999999999963</v>
      </c>
      <c r="J56" s="11">
        <f t="shared" si="20"/>
        <v>-38.33280000000007</v>
      </c>
    </row>
    <row r="57" spans="2:10" x14ac:dyDescent="0.3">
      <c r="B57" s="9" t="s">
        <v>16</v>
      </c>
      <c r="C57" s="4" t="s">
        <v>11</v>
      </c>
      <c r="F57" s="11">
        <f>F$54*F51</f>
        <v>1530</v>
      </c>
      <c r="G57" s="11">
        <f t="shared" ref="G57:J57" si="21">G$54*G51</f>
        <v>906</v>
      </c>
      <c r="H57" s="11">
        <f t="shared" si="21"/>
        <v>150.47999999999996</v>
      </c>
      <c r="I57" s="11">
        <f t="shared" si="21"/>
        <v>-8.7119999999999873</v>
      </c>
      <c r="J57" s="11">
        <f t="shared" si="21"/>
        <v>-9.5832000000000139</v>
      </c>
    </row>
    <row r="58" spans="2:10" x14ac:dyDescent="0.3">
      <c r="B58" s="9" t="s">
        <v>17</v>
      </c>
      <c r="C58" s="4" t="s">
        <v>11</v>
      </c>
      <c r="F58" s="11">
        <f>F$54*F52</f>
        <v>382.5</v>
      </c>
      <c r="G58" s="11">
        <f t="shared" ref="G58:J58" si="22">G$54*G52</f>
        <v>226.5</v>
      </c>
      <c r="H58" s="11">
        <f t="shared" si="22"/>
        <v>37.61999999999999</v>
      </c>
      <c r="I58" s="11">
        <f t="shared" si="22"/>
        <v>-2.1779999999999968</v>
      </c>
      <c r="J58" s="11">
        <f t="shared" si="22"/>
        <v>-2.3958000000000035</v>
      </c>
    </row>
    <row r="59" spans="2:10" x14ac:dyDescent="0.3">
      <c r="F59" s="24"/>
      <c r="G59" s="24"/>
      <c r="H59" s="24"/>
      <c r="I59" s="24"/>
      <c r="J59" s="24"/>
    </row>
    <row r="60" spans="2:10" x14ac:dyDescent="0.3">
      <c r="B60" s="5" t="s">
        <v>63</v>
      </c>
      <c r="C60" s="4" t="s">
        <v>11</v>
      </c>
      <c r="F60" s="11">
        <f>SUM(F61:F64)</f>
        <v>39150</v>
      </c>
      <c r="G60" s="11">
        <f t="shared" ref="G60:J60" si="23">SUM(G61:G64)</f>
        <v>29898</v>
      </c>
      <c r="H60" s="11">
        <f t="shared" si="23"/>
        <v>9028.7999999999993</v>
      </c>
      <c r="I60" s="11">
        <f t="shared" si="23"/>
        <v>-522.71999999999935</v>
      </c>
      <c r="J60" s="11">
        <f t="shared" si="23"/>
        <v>-574.99200000000098</v>
      </c>
    </row>
    <row r="61" spans="2:10" x14ac:dyDescent="0.3">
      <c r="B61" s="9" t="s">
        <v>32</v>
      </c>
      <c r="C61" s="4" t="s">
        <v>11</v>
      </c>
      <c r="D61" s="10">
        <v>4</v>
      </c>
      <c r="F61" s="11">
        <f t="shared" ref="F61:J64" si="24">F55*$D61</f>
        <v>270</v>
      </c>
      <c r="G61" s="11">
        <f t="shared" si="24"/>
        <v>906</v>
      </c>
      <c r="H61" s="11">
        <f t="shared" si="24"/>
        <v>601.92000000000007</v>
      </c>
      <c r="I61" s="11">
        <f t="shared" si="24"/>
        <v>-34.847999999999963</v>
      </c>
      <c r="J61" s="11">
        <f t="shared" si="24"/>
        <v>-38.33280000000007</v>
      </c>
    </row>
    <row r="62" spans="2:10" x14ac:dyDescent="0.3">
      <c r="B62" s="9" t="s">
        <v>33</v>
      </c>
      <c r="C62" s="4" t="s">
        <v>11</v>
      </c>
      <c r="D62" s="10">
        <v>8</v>
      </c>
      <c r="F62" s="11">
        <f t="shared" si="24"/>
        <v>2160</v>
      </c>
      <c r="G62" s="11">
        <f t="shared" si="24"/>
        <v>7248</v>
      </c>
      <c r="H62" s="11">
        <f t="shared" si="24"/>
        <v>4815.3600000000006</v>
      </c>
      <c r="I62" s="11">
        <f t="shared" si="24"/>
        <v>-278.78399999999971</v>
      </c>
      <c r="J62" s="11">
        <f t="shared" si="24"/>
        <v>-306.66240000000056</v>
      </c>
    </row>
    <row r="63" spans="2:10" x14ac:dyDescent="0.3">
      <c r="B63" s="9" t="s">
        <v>34</v>
      </c>
      <c r="C63" s="4" t="s">
        <v>11</v>
      </c>
      <c r="D63" s="10">
        <v>16</v>
      </c>
      <c r="F63" s="11">
        <f t="shared" si="24"/>
        <v>24480</v>
      </c>
      <c r="G63" s="11">
        <f t="shared" si="24"/>
        <v>14496</v>
      </c>
      <c r="H63" s="11">
        <f t="shared" si="24"/>
        <v>2407.6799999999994</v>
      </c>
      <c r="I63" s="11">
        <f t="shared" si="24"/>
        <v>-139.3919999999998</v>
      </c>
      <c r="J63" s="11">
        <f t="shared" si="24"/>
        <v>-153.33120000000022</v>
      </c>
    </row>
    <row r="64" spans="2:10" x14ac:dyDescent="0.3">
      <c r="B64" s="9" t="s">
        <v>35</v>
      </c>
      <c r="C64" s="4" t="s">
        <v>11</v>
      </c>
      <c r="D64" s="10">
        <v>32</v>
      </c>
      <c r="F64" s="11">
        <f t="shared" si="24"/>
        <v>12240</v>
      </c>
      <c r="G64" s="11">
        <f t="shared" si="24"/>
        <v>7248</v>
      </c>
      <c r="H64" s="11">
        <f t="shared" si="24"/>
        <v>1203.8399999999997</v>
      </c>
      <c r="I64" s="11">
        <f t="shared" si="24"/>
        <v>-69.695999999999898</v>
      </c>
      <c r="J64" s="11">
        <f t="shared" si="24"/>
        <v>-76.665600000000111</v>
      </c>
    </row>
    <row r="65" spans="2:12" x14ac:dyDescent="0.3">
      <c r="B65" s="8" t="s">
        <v>60</v>
      </c>
      <c r="C65" s="21" t="s">
        <v>21</v>
      </c>
      <c r="D65" s="8"/>
      <c r="E65" s="21"/>
      <c r="F65" s="22">
        <f>F60/F36*F34</f>
        <v>88821562.500000015</v>
      </c>
      <c r="G65" s="22">
        <f>G60/G36*G34</f>
        <v>78005750.625000015</v>
      </c>
      <c r="H65" s="22">
        <f>H60/H36*H34</f>
        <v>27090209.025000002</v>
      </c>
      <c r="I65" s="22">
        <f>I60/I36*I34</f>
        <v>-1803637.6008749981</v>
      </c>
      <c r="J65" s="22">
        <f>J60/J36*J34</f>
        <v>-2281601.5651068795</v>
      </c>
    </row>
    <row r="66" spans="2:12" x14ac:dyDescent="0.3">
      <c r="B66" s="8" t="s">
        <v>60</v>
      </c>
      <c r="C66" s="4" t="s">
        <v>0</v>
      </c>
      <c r="D66" s="5"/>
      <c r="F66" s="14">
        <f>F60/F36</f>
        <v>0.13593749999999999</v>
      </c>
      <c r="G66" s="14">
        <f>G60/G36</f>
        <v>9.4375000000000001E-2</v>
      </c>
      <c r="H66" s="14">
        <f>H60/H36</f>
        <v>2.5909090909090902E-2</v>
      </c>
      <c r="I66" s="14">
        <f>I60/I36</f>
        <v>-1.3636363636363618E-3</v>
      </c>
      <c r="J66" s="14">
        <f>J60/J36</f>
        <v>-1.3636363636363657E-3</v>
      </c>
    </row>
    <row r="68" spans="2:12" x14ac:dyDescent="0.3">
      <c r="B68" s="8" t="s">
        <v>47</v>
      </c>
      <c r="C68" s="21" t="s">
        <v>21</v>
      </c>
      <c r="F68" s="26">
        <f>(F69-F70)*(1-F71)</f>
        <v>264167578.12500009</v>
      </c>
      <c r="G68" s="26">
        <f t="shared" ref="G68:J68" si="25">(G69-G70)*(1-G71)</f>
        <v>165509793.28125006</v>
      </c>
      <c r="H68" s="26">
        <f t="shared" si="25"/>
        <v>166818655.57500029</v>
      </c>
      <c r="I68" s="26">
        <f t="shared" si="25"/>
        <v>102807343.24987501</v>
      </c>
      <c r="J68" s="26">
        <f t="shared" si="25"/>
        <v>130051289.2110922</v>
      </c>
      <c r="L68" s="25"/>
    </row>
    <row r="69" spans="2:12" x14ac:dyDescent="0.3">
      <c r="B69" s="9" t="s">
        <v>60</v>
      </c>
      <c r="C69" s="4" t="s">
        <v>21</v>
      </c>
      <c r="F69" s="25">
        <f>F37</f>
        <v>441045000.00000012</v>
      </c>
      <c r="G69" s="25">
        <f>G37</f>
        <v>298685475.00000006</v>
      </c>
      <c r="H69" s="25">
        <f>H37</f>
        <v>249515083.12500039</v>
      </c>
      <c r="I69" s="25">
        <f>I37</f>
        <v>135272820.06562501</v>
      </c>
      <c r="J69" s="25">
        <f>J37</f>
        <v>171120117.38301608</v>
      </c>
    </row>
    <row r="70" spans="2:12" x14ac:dyDescent="0.3">
      <c r="B70" s="9" t="s">
        <v>60</v>
      </c>
      <c r="C70" s="4" t="s">
        <v>21</v>
      </c>
      <c r="F70" s="25">
        <f>F65</f>
        <v>88821562.500000015</v>
      </c>
      <c r="G70" s="25">
        <f t="shared" ref="G70:I70" si="26">G65</f>
        <v>78005750.625000015</v>
      </c>
      <c r="H70" s="25">
        <f t="shared" si="26"/>
        <v>27090209.025000002</v>
      </c>
      <c r="I70" s="25">
        <f t="shared" si="26"/>
        <v>-1803637.6008749981</v>
      </c>
      <c r="J70" s="25">
        <f t="shared" ref="J70" si="27">J65</f>
        <v>-2281601.5651068795</v>
      </c>
      <c r="L70" s="25"/>
    </row>
    <row r="71" spans="2:12" x14ac:dyDescent="0.3">
      <c r="B71" s="9" t="s">
        <v>31</v>
      </c>
      <c r="C71" s="4" t="s">
        <v>0</v>
      </c>
      <c r="D71" s="13">
        <v>0.25</v>
      </c>
      <c r="F71" s="14">
        <f>$D$71</f>
        <v>0.25</v>
      </c>
      <c r="G71" s="14">
        <f t="shared" ref="G71:J71" si="28">$D$71</f>
        <v>0.25</v>
      </c>
      <c r="H71" s="14">
        <f t="shared" si="28"/>
        <v>0.25</v>
      </c>
      <c r="I71" s="14">
        <f t="shared" si="28"/>
        <v>0.25</v>
      </c>
      <c r="J71" s="14">
        <f t="shared" si="28"/>
        <v>0.25</v>
      </c>
    </row>
    <row r="73" spans="2:12" x14ac:dyDescent="0.3">
      <c r="B73" s="27" t="s">
        <v>41</v>
      </c>
      <c r="C73" s="28"/>
      <c r="D73" s="28"/>
      <c r="E73" s="28"/>
      <c r="F73" s="22">
        <f>F74+F77+F80</f>
        <v>46468000</v>
      </c>
      <c r="G73" s="22">
        <f t="shared" ref="G73:H73" si="29">G74+G77+G80</f>
        <v>66947000</v>
      </c>
      <c r="H73" s="22">
        <f t="shared" si="29"/>
        <v>61164050.000000007</v>
      </c>
      <c r="I73" s="22">
        <f t="shared" ref="I73" si="30">I74+I77+I80</f>
        <v>62868657.500000007</v>
      </c>
      <c r="J73" s="22">
        <f t="shared" ref="J73" si="31">J74+J77+J80</f>
        <v>66790956.125</v>
      </c>
      <c r="L73" s="25"/>
    </row>
    <row r="74" spans="2:12" x14ac:dyDescent="0.3">
      <c r="B74" s="30" t="s">
        <v>36</v>
      </c>
      <c r="C74" s="4" t="s">
        <v>21</v>
      </c>
      <c r="D74" s="21"/>
      <c r="E74" s="21"/>
      <c r="F74" s="22">
        <f>(F75)*F76*12</f>
        <v>13068000.000000004</v>
      </c>
      <c r="G74" s="22">
        <f t="shared" ref="G74:H74" si="32">(G75)*G76*12</f>
        <v>25047000.000000004</v>
      </c>
      <c r="H74" s="22">
        <f t="shared" si="32"/>
        <v>28804050.000000007</v>
      </c>
      <c r="I74" s="22">
        <f t="shared" ref="I74:J74" si="33">(I75)*I76*12</f>
        <v>33124657.500000007</v>
      </c>
      <c r="J74" s="22">
        <f t="shared" si="33"/>
        <v>38093356.125</v>
      </c>
    </row>
    <row r="75" spans="2:12" x14ac:dyDescent="0.3">
      <c r="B75" s="29" t="s">
        <v>42</v>
      </c>
      <c r="C75" s="4" t="s">
        <v>21</v>
      </c>
      <c r="F75" s="11">
        <f>F32/12</f>
        <v>363000.00000000006</v>
      </c>
      <c r="G75" s="11">
        <f t="shared" ref="G75:H75" si="34">G32/12</f>
        <v>417450.00000000006</v>
      </c>
      <c r="H75" s="11">
        <f t="shared" si="34"/>
        <v>480067.50000000006</v>
      </c>
      <c r="I75" s="11">
        <f t="shared" ref="I75:J75" si="35">I32/12</f>
        <v>552077.62500000012</v>
      </c>
      <c r="J75" s="11">
        <f t="shared" si="35"/>
        <v>634889.26875000005</v>
      </c>
    </row>
    <row r="76" spans="2:12" x14ac:dyDescent="0.3">
      <c r="B76" s="29" t="s">
        <v>43</v>
      </c>
      <c r="C76" s="4" t="s">
        <v>6</v>
      </c>
      <c r="F76" s="11">
        <v>3</v>
      </c>
      <c r="G76" s="11">
        <v>5</v>
      </c>
      <c r="H76" s="11">
        <v>5</v>
      </c>
      <c r="I76" s="11">
        <v>5</v>
      </c>
      <c r="J76" s="11">
        <v>5</v>
      </c>
    </row>
    <row r="77" spans="2:12" x14ac:dyDescent="0.3">
      <c r="B77" s="30" t="s">
        <v>37</v>
      </c>
      <c r="C77" s="4" t="s">
        <v>21</v>
      </c>
      <c r="D77" s="21"/>
      <c r="E77" s="21"/>
      <c r="F77" s="22">
        <f>SUM(F78:F79)</f>
        <v>8400000</v>
      </c>
      <c r="G77" s="22">
        <f>SUM(G78:G79)</f>
        <v>6000000</v>
      </c>
      <c r="H77" s="22">
        <f>SUM(H78:H79)</f>
        <v>3000000</v>
      </c>
      <c r="I77" s="22">
        <f t="shared" ref="I77:J77" si="36">SUM(I78:I79)</f>
        <v>3000000</v>
      </c>
      <c r="J77" s="22">
        <f t="shared" si="36"/>
        <v>3000000</v>
      </c>
    </row>
    <row r="78" spans="2:12" x14ac:dyDescent="0.3">
      <c r="B78" s="29" t="s">
        <v>38</v>
      </c>
      <c r="C78" s="4" t="s">
        <v>21</v>
      </c>
      <c r="F78" s="11">
        <v>6000000</v>
      </c>
      <c r="G78" s="11">
        <v>3600000</v>
      </c>
      <c r="H78" s="11">
        <v>1800000</v>
      </c>
      <c r="I78" s="11">
        <v>1800000</v>
      </c>
      <c r="J78" s="11">
        <v>1800000</v>
      </c>
    </row>
    <row r="79" spans="2:12" x14ac:dyDescent="0.3">
      <c r="B79" s="29" t="s">
        <v>39</v>
      </c>
      <c r="C79" s="4" t="s">
        <v>21</v>
      </c>
      <c r="F79" s="11">
        <v>2400000</v>
      </c>
      <c r="G79" s="11">
        <v>2400000</v>
      </c>
      <c r="H79" s="11">
        <v>1200000</v>
      </c>
      <c r="I79" s="11">
        <v>1200000</v>
      </c>
      <c r="J79" s="11">
        <v>1200000</v>
      </c>
    </row>
    <row r="80" spans="2:12" x14ac:dyDescent="0.3">
      <c r="B80" s="30" t="s">
        <v>40</v>
      </c>
      <c r="C80" s="4" t="s">
        <v>21</v>
      </c>
      <c r="D80" s="21"/>
      <c r="E80" s="21"/>
      <c r="F80" s="22">
        <f>SUM(F81:F86)</f>
        <v>25000000</v>
      </c>
      <c r="G80" s="22">
        <f t="shared" ref="G80:H80" si="37">SUM(G81:G86)</f>
        <v>35900000</v>
      </c>
      <c r="H80" s="22">
        <f t="shared" si="37"/>
        <v>29360000</v>
      </c>
      <c r="I80" s="22">
        <f t="shared" ref="I80:J80" si="38">SUM(I81:I86)</f>
        <v>26744000</v>
      </c>
      <c r="J80" s="22">
        <f t="shared" si="38"/>
        <v>25697600</v>
      </c>
    </row>
    <row r="81" spans="1:12" x14ac:dyDescent="0.3">
      <c r="B81" s="29" t="s">
        <v>54</v>
      </c>
      <c r="C81" s="4" t="s">
        <v>21</v>
      </c>
      <c r="F81" s="11">
        <v>8000000</v>
      </c>
      <c r="G81" s="11">
        <v>7750000</v>
      </c>
      <c r="H81" s="11">
        <f>G81*0.4</f>
        <v>3100000</v>
      </c>
      <c r="I81" s="11">
        <f t="shared" ref="I81:J81" si="39">H81*0.4</f>
        <v>1240000</v>
      </c>
      <c r="J81" s="11">
        <f t="shared" si="39"/>
        <v>496000</v>
      </c>
    </row>
    <row r="82" spans="1:12" x14ac:dyDescent="0.3">
      <c r="B82" s="29" t="s">
        <v>55</v>
      </c>
      <c r="C82" s="4" t="s">
        <v>21</v>
      </c>
      <c r="F82" s="11">
        <v>7500000</v>
      </c>
      <c r="G82" s="11">
        <v>7500000</v>
      </c>
      <c r="H82" s="11">
        <v>7500000</v>
      </c>
      <c r="I82" s="11">
        <v>7500000</v>
      </c>
      <c r="J82" s="11">
        <v>7500000</v>
      </c>
    </row>
    <row r="83" spans="1:12" x14ac:dyDescent="0.3">
      <c r="B83" s="29" t="s">
        <v>56</v>
      </c>
      <c r="C83" s="4" t="s">
        <v>21</v>
      </c>
      <c r="F83" s="11">
        <v>4500000</v>
      </c>
      <c r="G83" s="11">
        <v>4500000</v>
      </c>
      <c r="H83" s="11">
        <v>4500000</v>
      </c>
      <c r="I83" s="11">
        <v>4500000</v>
      </c>
      <c r="J83" s="11">
        <v>4500000</v>
      </c>
    </row>
    <row r="84" spans="1:12" x14ac:dyDescent="0.3">
      <c r="B84" s="29" t="s">
        <v>57</v>
      </c>
      <c r="C84" s="4" t="s">
        <v>21</v>
      </c>
      <c r="F84" s="11">
        <v>0</v>
      </c>
      <c r="G84" s="11">
        <v>4000000</v>
      </c>
      <c r="H84" s="11">
        <v>4000000</v>
      </c>
      <c r="I84" s="11">
        <v>4000000</v>
      </c>
      <c r="J84" s="11">
        <v>4000000</v>
      </c>
    </row>
    <row r="85" spans="1:12" x14ac:dyDescent="0.3">
      <c r="B85" s="29" t="s">
        <v>58</v>
      </c>
      <c r="C85" s="4" t="s">
        <v>21</v>
      </c>
      <c r="F85" s="11">
        <v>0</v>
      </c>
      <c r="G85" s="11">
        <v>9000000</v>
      </c>
      <c r="H85" s="11">
        <v>9000000</v>
      </c>
      <c r="I85" s="11">
        <v>9000000</v>
      </c>
      <c r="J85" s="11">
        <v>9000000</v>
      </c>
    </row>
    <row r="86" spans="1:12" x14ac:dyDescent="0.3">
      <c r="B86" s="29" t="s">
        <v>59</v>
      </c>
      <c r="C86" s="4" t="s">
        <v>21</v>
      </c>
      <c r="F86" s="11">
        <v>5000000</v>
      </c>
      <c r="G86" s="11">
        <v>3150000</v>
      </c>
      <c r="H86" s="11">
        <f>G86*0.4</f>
        <v>1260000</v>
      </c>
      <c r="I86" s="11">
        <f t="shared" ref="I86:J86" si="40">H86*0.4</f>
        <v>504000</v>
      </c>
      <c r="J86" s="11">
        <f t="shared" si="40"/>
        <v>201600</v>
      </c>
    </row>
    <row r="87" spans="1:12" x14ac:dyDescent="0.3">
      <c r="F87" s="11"/>
      <c r="G87" s="11"/>
      <c r="H87" s="11"/>
    </row>
    <row r="88" spans="1:12" x14ac:dyDescent="0.3">
      <c r="B88" s="6" t="s">
        <v>45</v>
      </c>
      <c r="C88" s="6"/>
      <c r="D88" s="6"/>
      <c r="F88" s="7">
        <v>1</v>
      </c>
      <c r="G88" s="7">
        <f>F88+1</f>
        <v>2</v>
      </c>
      <c r="H88" s="7">
        <f t="shared" ref="H88:J88" si="41">G88+1</f>
        <v>3</v>
      </c>
      <c r="I88" s="7">
        <f t="shared" si="41"/>
        <v>4</v>
      </c>
      <c r="J88" s="7">
        <f t="shared" si="41"/>
        <v>5</v>
      </c>
    </row>
    <row r="89" spans="1:12" x14ac:dyDescent="0.3">
      <c r="B89" s="5" t="s">
        <v>47</v>
      </c>
      <c r="C89" s="4" t="s">
        <v>21</v>
      </c>
      <c r="D89" s="5"/>
      <c r="F89" s="25">
        <f>F68</f>
        <v>264167578.12500009</v>
      </c>
      <c r="G89" s="25">
        <f>G68</f>
        <v>165509793.28125006</v>
      </c>
      <c r="H89" s="25">
        <f>H68</f>
        <v>166818655.57500029</v>
      </c>
      <c r="I89" s="25">
        <f>I68</f>
        <v>102807343.24987501</v>
      </c>
      <c r="J89" s="25">
        <f>J68</f>
        <v>130051289.2110922</v>
      </c>
      <c r="L89" s="25"/>
    </row>
    <row r="90" spans="1:12" x14ac:dyDescent="0.3">
      <c r="B90" s="31" t="s">
        <v>41</v>
      </c>
      <c r="C90" s="4" t="s">
        <v>21</v>
      </c>
      <c r="F90" s="25">
        <f>F73 * -1</f>
        <v>-46468000</v>
      </c>
      <c r="G90" s="25">
        <f>G73 * -1</f>
        <v>-66947000</v>
      </c>
      <c r="H90" s="25">
        <f>H73 * -1</f>
        <v>-61164050.000000007</v>
      </c>
      <c r="I90" s="25">
        <f>I73 * -1</f>
        <v>-62868657.500000007</v>
      </c>
      <c r="J90" s="25">
        <f>J73 * -1</f>
        <v>-66790956.125</v>
      </c>
      <c r="L90" s="25"/>
    </row>
    <row r="91" spans="1:12" x14ac:dyDescent="0.3">
      <c r="B91" s="31" t="s">
        <v>46</v>
      </c>
      <c r="C91" s="4" t="s">
        <v>21</v>
      </c>
      <c r="F91" s="25">
        <f>SUM(F89:F90)</f>
        <v>217699578.12500009</v>
      </c>
      <c r="G91" s="25">
        <f>SUM(G89:G90)</f>
        <v>98562793.28125006</v>
      </c>
      <c r="H91" s="25">
        <f>SUM(H89:H90)</f>
        <v>105654605.57500029</v>
      </c>
      <c r="I91" s="25">
        <f>SUM(I89:I90)</f>
        <v>39938685.749875002</v>
      </c>
      <c r="J91" s="25">
        <f>SUM(J89:J90)</f>
        <v>63260333.086092204</v>
      </c>
      <c r="L91" s="25"/>
    </row>
    <row r="92" spans="1:12" x14ac:dyDescent="0.3">
      <c r="B92" s="32" t="s">
        <v>48</v>
      </c>
      <c r="C92" s="4" t="s">
        <v>0</v>
      </c>
      <c r="D92" s="13">
        <v>0.2</v>
      </c>
      <c r="F92" s="14">
        <f>$D$92</f>
        <v>0.2</v>
      </c>
      <c r="G92" s="14">
        <f>$D$92</f>
        <v>0.2</v>
      </c>
      <c r="H92" s="14">
        <f>$D$92</f>
        <v>0.2</v>
      </c>
      <c r="I92" s="14">
        <f>$D$92</f>
        <v>0.2</v>
      </c>
      <c r="J92" s="14">
        <f>$D$92</f>
        <v>0.2</v>
      </c>
    </row>
    <row r="93" spans="1:12" x14ac:dyDescent="0.3">
      <c r="B93" s="32" t="s">
        <v>49</v>
      </c>
      <c r="F93" s="33">
        <f>F$88*0.5</f>
        <v>0.5</v>
      </c>
      <c r="G93" s="33">
        <f>F93+1</f>
        <v>1.5</v>
      </c>
      <c r="H93" s="33">
        <f t="shared" ref="H93:J93" si="42">G93+1</f>
        <v>2.5</v>
      </c>
      <c r="I93" s="33">
        <f t="shared" si="42"/>
        <v>3.5</v>
      </c>
      <c r="J93" s="33">
        <f t="shared" si="42"/>
        <v>4.5</v>
      </c>
    </row>
    <row r="94" spans="1:12" x14ac:dyDescent="0.3">
      <c r="B94" s="32" t="s">
        <v>50</v>
      </c>
      <c r="F94" s="33">
        <f>1/(1+F92)^F93</f>
        <v>0.9128709291752769</v>
      </c>
      <c r="G94" s="33">
        <f t="shared" ref="G94:J94" si="43">1/(1+G92)^G93</f>
        <v>0.7607257743127307</v>
      </c>
      <c r="H94" s="33">
        <f t="shared" si="43"/>
        <v>0.63393814526060899</v>
      </c>
      <c r="I94" s="33">
        <f t="shared" si="43"/>
        <v>0.52828178771717416</v>
      </c>
      <c r="J94" s="33">
        <f t="shared" si="43"/>
        <v>0.44023482309764517</v>
      </c>
    </row>
    <row r="95" spans="1:12" x14ac:dyDescent="0.3">
      <c r="B95" s="36" t="s">
        <v>51</v>
      </c>
      <c r="C95" s="4" t="s">
        <v>21</v>
      </c>
      <c r="D95" s="35">
        <f>SUM(F95:H95)</f>
        <v>340689358.09779608</v>
      </c>
      <c r="F95" s="34">
        <f>F91*F94</f>
        <v>198731616.16403461</v>
      </c>
      <c r="G95" s="34">
        <f>G91*G94</f>
        <v>74979257.237304568</v>
      </c>
      <c r="H95" s="34">
        <f>H91*H94</f>
        <v>66978484.696456879</v>
      </c>
      <c r="I95" s="34">
        <f>I91*I94</f>
        <v>21098880.307018396</v>
      </c>
      <c r="J95" s="34">
        <f>J91*J94</f>
        <v>27849401.54525391</v>
      </c>
    </row>
    <row r="96" spans="1:12" x14ac:dyDescent="0.3">
      <c r="A96" s="38" t="s">
        <v>52</v>
      </c>
      <c r="B96" s="36" t="s">
        <v>53</v>
      </c>
      <c r="C96" s="4" t="s">
        <v>0</v>
      </c>
      <c r="D96" s="37">
        <f>(SUM(F68:H68) - (SUM(F73:H73) + SUM(F70:H70))) / (SUM(F73:H73) + SUM(F70:H70))</f>
        <v>0.61872883511774168</v>
      </c>
      <c r="F96" s="37">
        <f>(F68-(F73+F70))/(F73+F70)</f>
        <v>0.95260871011390913</v>
      </c>
      <c r="G96" s="37">
        <f>(G68-(G73+G70))/(G73+G70)</f>
        <v>0.14181892076979039</v>
      </c>
      <c r="H96" s="37">
        <f>(H68-(H73+H70))/(H73+H70)</f>
        <v>0.89020515743886253</v>
      </c>
      <c r="L96" s="37"/>
    </row>
    <row r="97" spans="2:17" x14ac:dyDescent="0.3">
      <c r="B97" s="31"/>
    </row>
    <row r="98" spans="2:17" x14ac:dyDescent="0.3">
      <c r="B98" s="31"/>
    </row>
    <row r="99" spans="2:17" x14ac:dyDescent="0.3">
      <c r="B99" s="31"/>
    </row>
    <row r="100" spans="2:17" x14ac:dyDescent="0.3">
      <c r="B100" s="31"/>
    </row>
    <row r="101" spans="2:17" x14ac:dyDescent="0.3">
      <c r="B101" s="31"/>
    </row>
    <row r="102" spans="2:17" x14ac:dyDescent="0.3">
      <c r="B102" s="31"/>
    </row>
    <row r="103" spans="2:17" x14ac:dyDescent="0.3">
      <c r="B103" s="31"/>
    </row>
    <row r="104" spans="2:17" x14ac:dyDescent="0.3">
      <c r="B104" s="31"/>
      <c r="L104" s="11"/>
      <c r="M104" s="11"/>
      <c r="N104" s="11"/>
      <c r="O104" s="11"/>
      <c r="P104" s="11"/>
    </row>
    <row r="105" spans="2:17" x14ac:dyDescent="0.3">
      <c r="B105" s="31"/>
      <c r="L105" s="11"/>
      <c r="M105" s="11"/>
      <c r="N105" s="11"/>
      <c r="O105" s="11"/>
      <c r="P105" s="11"/>
      <c r="Q105" s="25"/>
    </row>
    <row r="106" spans="2:17" x14ac:dyDescent="0.3">
      <c r="B106" s="31"/>
      <c r="L106" s="11"/>
      <c r="M106" s="11"/>
      <c r="N106" s="11"/>
      <c r="O106" s="11"/>
      <c r="P106" s="11"/>
      <c r="Q106" s="25"/>
    </row>
    <row r="107" spans="2:17" x14ac:dyDescent="0.3">
      <c r="B107" s="31"/>
      <c r="L107" s="18"/>
      <c r="M107" s="11"/>
      <c r="N107" s="11"/>
      <c r="O107" s="11"/>
      <c r="P107" s="11"/>
      <c r="Q107" s="25"/>
    </row>
    <row r="108" spans="2:17" x14ac:dyDescent="0.3">
      <c r="B108" s="31"/>
      <c r="L108" s="11"/>
      <c r="M108" s="11"/>
      <c r="N108" s="11"/>
      <c r="O108" s="11"/>
      <c r="P108" s="11"/>
      <c r="Q108" s="25"/>
    </row>
    <row r="109" spans="2:17" x14ac:dyDescent="0.3">
      <c r="B109" s="31"/>
      <c r="L109" s="11"/>
      <c r="M109" s="11"/>
      <c r="N109" s="11"/>
      <c r="O109" s="11"/>
      <c r="P109" s="11"/>
      <c r="Q109" s="25"/>
    </row>
    <row r="110" spans="2:17" x14ac:dyDescent="0.3">
      <c r="B110" s="31"/>
      <c r="L110" s="11"/>
      <c r="M110" s="11"/>
      <c r="N110" s="11"/>
      <c r="O110" s="11"/>
      <c r="P110" s="11"/>
      <c r="Q110" s="25"/>
    </row>
    <row r="111" spans="2:17" x14ac:dyDescent="0.3">
      <c r="B111" s="31"/>
      <c r="L111" s="11"/>
      <c r="M111" s="11"/>
      <c r="N111" s="11"/>
      <c r="O111" s="11"/>
      <c r="P111" s="11"/>
      <c r="Q111" s="25"/>
    </row>
    <row r="112" spans="2:17" x14ac:dyDescent="0.3">
      <c r="B112" s="31"/>
      <c r="L112" s="11"/>
      <c r="M112" s="11"/>
      <c r="N112" s="11"/>
      <c r="O112" s="11"/>
      <c r="P112" s="11"/>
      <c r="Q112" s="25"/>
    </row>
    <row r="113" spans="2:17" x14ac:dyDescent="0.3">
      <c r="B113" s="31"/>
      <c r="L113" s="11"/>
      <c r="M113" s="11"/>
      <c r="N113" s="11"/>
      <c r="O113" s="11"/>
      <c r="P113" s="11"/>
      <c r="Q113" s="25"/>
    </row>
    <row r="114" spans="2:17" x14ac:dyDescent="0.3">
      <c r="B114" s="31"/>
      <c r="L114" s="11"/>
      <c r="M114" s="11"/>
      <c r="N114" s="11"/>
      <c r="O114" s="11"/>
      <c r="P114" s="11"/>
      <c r="Q114" s="25"/>
    </row>
    <row r="115" spans="2:17" x14ac:dyDescent="0.3">
      <c r="B115" s="31"/>
      <c r="L115" s="11"/>
      <c r="M115" s="11"/>
      <c r="N115" s="11"/>
      <c r="O115" s="11"/>
      <c r="P115" s="11"/>
      <c r="Q115" s="25"/>
    </row>
    <row r="116" spans="2:17" x14ac:dyDescent="0.3">
      <c r="B116" s="31"/>
      <c r="L116" s="11"/>
      <c r="M116" s="11"/>
      <c r="N116" s="11"/>
      <c r="O116" s="11"/>
      <c r="P116" s="11"/>
      <c r="Q116" s="25"/>
    </row>
    <row r="117" spans="2:17" x14ac:dyDescent="0.3">
      <c r="B117" s="31"/>
      <c r="L117" s="11"/>
      <c r="M117" s="11"/>
      <c r="N117" s="11"/>
      <c r="O117" s="11"/>
      <c r="P117" s="11"/>
      <c r="Q117" s="25"/>
    </row>
    <row r="118" spans="2:17" x14ac:dyDescent="0.3">
      <c r="B118" s="31"/>
      <c r="L118" s="11"/>
      <c r="M118" s="11"/>
      <c r="N118" s="11"/>
      <c r="O118" s="11"/>
      <c r="P118" s="11"/>
      <c r="Q118" s="25"/>
    </row>
    <row r="119" spans="2:17" x14ac:dyDescent="0.3">
      <c r="B119" s="31"/>
      <c r="L119" s="11"/>
      <c r="M119" s="11"/>
      <c r="N119" s="11"/>
      <c r="O119" s="11"/>
      <c r="P119" s="11"/>
      <c r="Q119" s="25"/>
    </row>
    <row r="120" spans="2:17" x14ac:dyDescent="0.3">
      <c r="L120" s="11"/>
      <c r="M120" s="11"/>
      <c r="N120" s="11"/>
      <c r="O120" s="11"/>
      <c r="P120" s="11"/>
      <c r="Q120" s="25"/>
    </row>
    <row r="121" spans="2:17" x14ac:dyDescent="0.3">
      <c r="L121" s="11"/>
      <c r="M121" s="11"/>
      <c r="N121" s="11"/>
      <c r="O121" s="11"/>
      <c r="P121" s="11"/>
      <c r="Q121" s="25"/>
    </row>
    <row r="122" spans="2:17" x14ac:dyDescent="0.3">
      <c r="L122" s="11"/>
      <c r="M122" s="11"/>
      <c r="N122" s="11"/>
      <c r="O122" s="11"/>
      <c r="P122" s="11"/>
      <c r="Q122" s="25"/>
    </row>
    <row r="123" spans="2:17" x14ac:dyDescent="0.3">
      <c r="L123" s="11"/>
      <c r="M123" s="11"/>
      <c r="N123" s="11"/>
      <c r="O123" s="11"/>
      <c r="P123" s="11"/>
      <c r="Q123" s="25"/>
    </row>
    <row r="124" spans="2:17" x14ac:dyDescent="0.3">
      <c r="L124" s="11"/>
      <c r="M124" s="11"/>
      <c r="N124" s="11"/>
      <c r="O124" s="11"/>
      <c r="P124" s="11"/>
      <c r="Q124" s="25"/>
    </row>
    <row r="125" spans="2:17" x14ac:dyDescent="0.3">
      <c r="L125" s="11"/>
      <c r="M125" s="11"/>
      <c r="N125" s="11"/>
      <c r="O125" s="11"/>
      <c r="P125" s="11"/>
      <c r="Q125" s="25"/>
    </row>
    <row r="127" spans="2:17" x14ac:dyDescent="0.3">
      <c r="L127" s="19"/>
      <c r="M127" s="19"/>
      <c r="N127" s="19"/>
      <c r="O127" s="19"/>
    </row>
    <row r="128" spans="2:17" x14ac:dyDescent="0.3">
      <c r="L128" s="2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AppSec Consulting</vt:lpstr>
    </vt:vector>
  </TitlesOfParts>
  <Company>Positive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 Mirsiyapov</dc:creator>
  <cp:lastModifiedBy>Artem Semenov</cp:lastModifiedBy>
  <dcterms:created xsi:type="dcterms:W3CDTF">2024-03-26T09:39:43Z</dcterms:created>
  <dcterms:modified xsi:type="dcterms:W3CDTF">2024-09-07T08:46:16Z</dcterms:modified>
</cp:coreProperties>
</file>