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di\Desktop\"/>
    </mc:Choice>
  </mc:AlternateContent>
  <xr:revisionPtr revIDLastSave="0" documentId="13_ncr:1_{599468AB-F6F0-473B-9AAE-1AA46738B68A}" xr6:coauthVersionLast="47" xr6:coauthVersionMax="47" xr10:uidLastSave="{00000000-0000-0000-0000-000000000000}"/>
  <bookViews>
    <workbookView xWindow="-93" yWindow="-93" windowWidth="18426" windowHeight="11746" xr2:uid="{FE8F92BD-88CB-48B6-BB83-8257EDC79C96}"/>
  </bookViews>
  <sheets>
    <sheet name="Ejemplo Clas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8" i="2" l="1"/>
  <c r="S26" i="2"/>
  <c r="P24" i="2"/>
  <c r="P25" i="2" s="1"/>
  <c r="S23" i="2"/>
  <c r="S28" i="2" s="1"/>
  <c r="P23" i="2"/>
  <c r="P26" i="2" s="1"/>
  <c r="M23" i="2"/>
  <c r="M29" i="2" s="1"/>
  <c r="X22" i="2"/>
  <c r="X23" i="2" s="1"/>
  <c r="X24" i="2" s="1"/>
  <c r="S22" i="2"/>
  <c r="P22" i="2"/>
  <c r="M22" i="2"/>
  <c r="I22" i="2"/>
  <c r="M18" i="2"/>
  <c r="M17" i="2" s="1"/>
  <c r="X15" i="2"/>
  <c r="X14" i="2"/>
  <c r="X16" i="2" s="1"/>
  <c r="X13" i="2"/>
  <c r="P13" i="2"/>
  <c r="M13" i="2"/>
  <c r="M10" i="2"/>
  <c r="X8" i="2"/>
  <c r="X9" i="2" s="1"/>
  <c r="X10" i="2" s="1"/>
  <c r="X7" i="2"/>
  <c r="P7" i="2"/>
  <c r="P10" i="2" s="1"/>
  <c r="M7" i="2"/>
  <c r="P6" i="2"/>
  <c r="M6" i="2"/>
  <c r="X3" i="2"/>
  <c r="T3" i="2"/>
  <c r="M2" i="2"/>
  <c r="X4" i="2" l="1"/>
  <c r="X5" i="2" s="1"/>
  <c r="X6" i="2"/>
  <c r="T5" i="2"/>
  <c r="S27" i="2"/>
  <c r="S30" i="2" s="1"/>
  <c r="S31" i="2" s="1"/>
  <c r="X17" i="2"/>
  <c r="P27" i="2"/>
  <c r="P30" i="2" s="1"/>
  <c r="P31" i="2" s="1"/>
  <c r="S24" i="2"/>
  <c r="S25" i="2" s="1"/>
  <c r="P28" i="2"/>
  <c r="S29" i="2"/>
  <c r="P29" i="2"/>
  <c r="M8" i="2"/>
  <c r="M9" i="2" s="1"/>
  <c r="M11" i="2" s="1"/>
  <c r="M14" i="2" s="1"/>
  <c r="M15" i="2" s="1"/>
  <c r="M4" i="2" s="1"/>
  <c r="T4" i="2" s="1"/>
  <c r="M12" i="2"/>
  <c r="M26" i="2"/>
  <c r="P8" i="2"/>
  <c r="P9" i="2" s="1"/>
  <c r="P11" i="2" s="1"/>
  <c r="P14" i="2" s="1"/>
  <c r="P15" i="2" s="1"/>
  <c r="P12" i="2"/>
  <c r="M24" i="2"/>
  <c r="M25" i="2" s="1"/>
  <c r="M27" i="2" s="1"/>
  <c r="M30" i="2" s="1"/>
  <c r="M31" i="2" s="1"/>
  <c r="M20" i="2" s="1"/>
  <c r="T9" i="2" l="1"/>
  <c r="T6" i="2"/>
  <c r="T2" i="2"/>
  <c r="X19" i="2"/>
  <c r="X20" i="2" s="1"/>
  <c r="X21" i="2" s="1"/>
  <c r="X18" i="2"/>
</calcChain>
</file>

<file path=xl/sharedStrings.xml><?xml version="1.0" encoding="utf-8"?>
<sst xmlns="http://schemas.openxmlformats.org/spreadsheetml/2006/main" count="111" uniqueCount="91">
  <si>
    <t>Caída de Presión Total en el sistema y ECD:</t>
  </si>
  <si>
    <t>Psup</t>
  </si>
  <si>
    <t>Ptotal</t>
  </si>
  <si>
    <t>Hidráulica de barrena</t>
  </si>
  <si>
    <t>Mud weight = 12.0 ppg</t>
  </si>
  <si>
    <t>Superf</t>
  </si>
  <si>
    <t>Vab</t>
  </si>
  <si>
    <t>Solids SG =3.82</t>
  </si>
  <si>
    <t>Sarta</t>
  </si>
  <si>
    <t>HHPb</t>
  </si>
  <si>
    <t>Plastic viscosity = 26 cP</t>
  </si>
  <si>
    <t>Drill Pipe</t>
  </si>
  <si>
    <t>Drill Collar</t>
  </si>
  <si>
    <t>Barrena</t>
  </si>
  <si>
    <t>HHPb/pg2</t>
  </si>
  <si>
    <t>Yield point = 14 lb/100 ft2</t>
  </si>
  <si>
    <t>Vp1</t>
  </si>
  <si>
    <t>Vp2</t>
  </si>
  <si>
    <t>Anular</t>
  </si>
  <si>
    <t>%psib</t>
  </si>
  <si>
    <t>θ3 reading (gel strength) = 8 lb/100 ft2</t>
  </si>
  <si>
    <t>np</t>
  </si>
  <si>
    <t>SysHHP</t>
  </si>
  <si>
    <t>Bit size = 9⅞ in. (3 x 12/32nds jets)</t>
  </si>
  <si>
    <t>kp</t>
  </si>
  <si>
    <t>Vn</t>
  </si>
  <si>
    <t>Open hole length = 3000 ft.</t>
  </si>
  <si>
    <t>ViscE1</t>
  </si>
  <si>
    <t>ViscE2</t>
  </si>
  <si>
    <t>ECD</t>
  </si>
  <si>
    <t>IF</t>
  </si>
  <si>
    <t>Casing size = 10¾ in. (45.5 lb/ft., ID = 9.950 in)</t>
  </si>
  <si>
    <t>alfa</t>
  </si>
  <si>
    <t>IF/pg2</t>
  </si>
  <si>
    <t>Casing length (measured) = 12,000 ft. (TVD = 11,500 ft)</t>
  </si>
  <si>
    <t>Rep1</t>
  </si>
  <si>
    <t>Rep2</t>
  </si>
  <si>
    <t>Drill pipe size = 5.0 in. (19.5 lb/ft., ID = 4.276 in.)</t>
  </si>
  <si>
    <t>ReL</t>
  </si>
  <si>
    <t>Limpieza de pozo</t>
  </si>
  <si>
    <t>Drill collar size = 8.0 in. (147 lb/ft., ID = 3.0 in.)</t>
  </si>
  <si>
    <t>ReT</t>
  </si>
  <si>
    <t>Drill collar length = 650 ft.</t>
  </si>
  <si>
    <t>fp1</t>
  </si>
  <si>
    <t>fp2</t>
  </si>
  <si>
    <t>beta</t>
  </si>
  <si>
    <t>Pump output = 400 gpm</t>
  </si>
  <si>
    <t>Ppipe</t>
  </si>
  <si>
    <t>Pd.c.</t>
  </si>
  <si>
    <t>gama</t>
  </si>
  <si>
    <t>Pump pressure = 2950 psi</t>
  </si>
  <si>
    <t>Vs</t>
  </si>
  <si>
    <t>Surface case = 4 (CSC = 0.15)</t>
  </si>
  <si>
    <t>NPT</t>
  </si>
  <si>
    <t>Rate of penetration = 50 ft/hr</t>
  </si>
  <si>
    <t>DJ's</t>
  </si>
  <si>
    <t>ITT</t>
  </si>
  <si>
    <t>Density of particle  = 22.0 ppg</t>
  </si>
  <si>
    <t>NTE</t>
  </si>
  <si>
    <t>Diameter of particle  = 0.25 in.</t>
  </si>
  <si>
    <t>Ca</t>
  </si>
  <si>
    <t>Fracture gradient  = 14.0 ppg</t>
  </si>
  <si>
    <t>Pipe/casing</t>
  </si>
  <si>
    <t>Pipe/Open Hole</t>
  </si>
  <si>
    <t>Drill Collar/Open Hole</t>
  </si>
  <si>
    <t>Den Ca</t>
  </si>
  <si>
    <t>prof total</t>
  </si>
  <si>
    <t>Va1</t>
  </si>
  <si>
    <t>Va2</t>
  </si>
  <si>
    <t>Va3</t>
  </si>
  <si>
    <t>nhb</t>
  </si>
  <si>
    <t>L300</t>
  </si>
  <si>
    <t>na</t>
  </si>
  <si>
    <t>khb</t>
  </si>
  <si>
    <t>L600</t>
  </si>
  <si>
    <t>ka</t>
  </si>
  <si>
    <t>CCI</t>
  </si>
  <si>
    <t>VisEa1</t>
  </si>
  <si>
    <t>VisEa2</t>
  </si>
  <si>
    <t>VisEa3</t>
  </si>
  <si>
    <t>Rea1</t>
  </si>
  <si>
    <t>Rea2</t>
  </si>
  <si>
    <t>Rea3</t>
  </si>
  <si>
    <t>ReLa</t>
  </si>
  <si>
    <t>ReTa</t>
  </si>
  <si>
    <t>fa1</t>
  </si>
  <si>
    <t>fa2</t>
  </si>
  <si>
    <t>fa3</t>
  </si>
  <si>
    <t>Pa1</t>
  </si>
  <si>
    <t>Pa2</t>
  </si>
  <si>
    <t>Pa3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</si>
</sst>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sz val="14"/>
      <color theme="1"/>
      <name val="Arial"/>
      <family val="2"/>
    </font>
    <font>
      <sz val="18"/>
      <color rgb="FF000000"/>
      <name val="Arial"/>
      <family val="2"/>
    </font>
    <font>
      <sz val="11"/>
      <color theme="1"/>
      <name val="Arial"/>
      <family val="2"/>
    </font>
    <font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readingOrder="1"/>
    </xf>
    <xf numFmtId="0" fontId="4" fillId="0" borderId="0" xfId="0" applyFont="1"/>
    <xf numFmtId="0" fontId="5" fillId="0" borderId="0" xfId="0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7" borderId="0" xfId="0" applyFont="1" applyFill="1"/>
    <xf numFmtId="0" fontId="2" fillId="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9171F-7849-42B2-8580-AAF00F0AD5F7}">
  <dimension ref="A1:AH948"/>
  <sheetViews>
    <sheetView tabSelected="1" zoomScale="47" zoomScaleNormal="80" workbookViewId="0">
      <selection activeCell="X16" sqref="X16"/>
    </sheetView>
  </sheetViews>
  <sheetFormatPr baseColWidth="10" defaultColWidth="11.41015625" defaultRowHeight="13.7" x14ac:dyDescent="0.4"/>
  <cols>
    <col min="1" max="12" width="11.41015625" style="6"/>
    <col min="13" max="13" width="19" style="6" bestFit="1" customWidth="1"/>
    <col min="14" max="18" width="11.41015625" style="6"/>
    <col min="19" max="19" width="18.703125" style="6" bestFit="1" customWidth="1"/>
    <col min="20" max="22" width="11.41015625" style="6"/>
    <col min="23" max="23" width="13.87890625" style="6" bestFit="1" customWidth="1"/>
    <col min="24" max="24" width="18.703125" style="6" bestFit="1" customWidth="1"/>
    <col min="25" max="16384" width="11.41015625" style="6"/>
  </cols>
  <sheetData>
    <row r="1" spans="1:34" s="2" customFormat="1" ht="17.7" x14ac:dyDescent="0.55000000000000004">
      <c r="A1" s="1" t="s">
        <v>0</v>
      </c>
      <c r="B1" s="1"/>
      <c r="C1" s="1"/>
      <c r="D1" s="1"/>
      <c r="E1" s="1"/>
      <c r="F1" s="1"/>
      <c r="G1" s="1"/>
      <c r="H1" s="1"/>
      <c r="I1" s="1"/>
    </row>
    <row r="2" spans="1:34" s="2" customFormat="1" ht="17.350000000000001" x14ac:dyDescent="0.5">
      <c r="L2" s="2" t="s">
        <v>1</v>
      </c>
      <c r="M2" s="2">
        <f>+I17*I3*((I15/100)^1.86)</f>
        <v>23.719421297306102</v>
      </c>
      <c r="S2" s="3" t="s">
        <v>2</v>
      </c>
      <c r="T2" s="3">
        <f>+SUM(T3:T6)</f>
        <v>2952.1836839685684</v>
      </c>
      <c r="W2" s="4" t="s">
        <v>3</v>
      </c>
      <c r="X2" s="4"/>
    </row>
    <row r="3" spans="1:34" ht="22.35" x14ac:dyDescent="0.55000000000000004">
      <c r="A3" s="5" t="s">
        <v>4</v>
      </c>
      <c r="I3" s="7">
        <v>12</v>
      </c>
      <c r="J3" s="2"/>
      <c r="K3" s="2"/>
      <c r="L3" s="2"/>
      <c r="M3" s="2"/>
      <c r="N3" s="2"/>
      <c r="O3" s="2"/>
      <c r="P3" s="2"/>
      <c r="Q3" s="2"/>
      <c r="R3" s="2"/>
      <c r="S3" s="8" t="s">
        <v>5</v>
      </c>
      <c r="T3" s="8">
        <f>+$M$2</f>
        <v>23.719421297306102</v>
      </c>
      <c r="U3" s="2"/>
      <c r="V3" s="2"/>
      <c r="W3" s="9" t="s">
        <v>6</v>
      </c>
      <c r="X3" s="9">
        <f>+(24.5*$I$15)/($I$8^2-$H$12^2)</f>
        <v>135.14328808446456</v>
      </c>
      <c r="Y3" s="2"/>
      <c r="Z3" s="2"/>
      <c r="AA3" s="2"/>
      <c r="AB3" s="2"/>
      <c r="AC3" s="2"/>
      <c r="AD3" s="2"/>
      <c r="AE3" s="2"/>
      <c r="AF3" s="2"/>
      <c r="AG3" s="2"/>
      <c r="AH3" s="2"/>
    </row>
    <row r="4" spans="1:34" ht="22.35" x14ac:dyDescent="0.55000000000000004">
      <c r="A4" s="5" t="s">
        <v>7</v>
      </c>
      <c r="H4" s="7"/>
      <c r="I4" s="7">
        <v>3.82</v>
      </c>
      <c r="J4" s="2"/>
      <c r="K4" s="2"/>
      <c r="L4" s="2" t="s">
        <v>8</v>
      </c>
      <c r="M4" s="2">
        <f>+M15+P15</f>
        <v>1028.5001721737979</v>
      </c>
      <c r="N4" s="2"/>
      <c r="O4" s="2"/>
      <c r="P4" s="2"/>
      <c r="Q4" s="2"/>
      <c r="R4" s="2"/>
      <c r="S4" s="8" t="s">
        <v>8</v>
      </c>
      <c r="T4" s="8">
        <f>+$M$4</f>
        <v>1028.5001721737979</v>
      </c>
      <c r="U4" s="2"/>
      <c r="V4" s="2"/>
      <c r="W4" s="9" t="s">
        <v>9</v>
      </c>
      <c r="X4" s="9">
        <f>+($I$15*$M$17)/1714</f>
        <v>375.74849580554229</v>
      </c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22.35" x14ac:dyDescent="0.55000000000000004">
      <c r="A5" s="5" t="s">
        <v>10</v>
      </c>
      <c r="H5" s="7"/>
      <c r="I5" s="7">
        <v>26</v>
      </c>
      <c r="J5" s="2"/>
      <c r="K5" s="2"/>
      <c r="L5" s="10" t="s">
        <v>11</v>
      </c>
      <c r="M5" s="10"/>
      <c r="N5" s="2"/>
      <c r="O5" s="11" t="s">
        <v>12</v>
      </c>
      <c r="P5" s="11"/>
      <c r="Q5" s="2"/>
      <c r="R5" s="2"/>
      <c r="S5" s="8" t="s">
        <v>13</v>
      </c>
      <c r="T5" s="8">
        <f>+$M$17</f>
        <v>1610.0823045267489</v>
      </c>
      <c r="U5" s="2"/>
      <c r="V5" s="2"/>
      <c r="W5" s="9" t="s">
        <v>14</v>
      </c>
      <c r="X5" s="9">
        <f>+($X$4*1.27)/($I$8^2)</f>
        <v>4.8935807945961347</v>
      </c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22.35" x14ac:dyDescent="0.55000000000000004">
      <c r="A6" s="5" t="s">
        <v>15</v>
      </c>
      <c r="H6" s="7"/>
      <c r="I6" s="7">
        <v>14</v>
      </c>
      <c r="J6" s="2"/>
      <c r="K6" s="2"/>
      <c r="L6" s="12" t="s">
        <v>16</v>
      </c>
      <c r="M6" s="12">
        <f>+(0.408*$I$15)/($I$12^2)</f>
        <v>8.9257508787926785</v>
      </c>
      <c r="N6" s="2"/>
      <c r="O6" s="13" t="s">
        <v>17</v>
      </c>
      <c r="P6" s="13">
        <f>+(0.408*$I$15)/($I$13^2)</f>
        <v>18.133333333333333</v>
      </c>
      <c r="Q6" s="2"/>
      <c r="R6" s="2"/>
      <c r="S6" s="8" t="s">
        <v>18</v>
      </c>
      <c r="T6" s="8">
        <f>+$M$20</f>
        <v>289.88178597071533</v>
      </c>
      <c r="U6" s="2"/>
      <c r="V6" s="2"/>
      <c r="W6" s="9" t="s">
        <v>19</v>
      </c>
      <c r="X6" s="9">
        <f>+($M$17/$I$16)*100</f>
        <v>54.579061170398269</v>
      </c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34" ht="22.35" x14ac:dyDescent="0.55000000000000004">
      <c r="A7" s="5" t="s">
        <v>20</v>
      </c>
      <c r="H7" s="7"/>
      <c r="I7" s="7">
        <v>8</v>
      </c>
      <c r="J7" s="2"/>
      <c r="K7" s="2"/>
      <c r="L7" s="12" t="s">
        <v>21</v>
      </c>
      <c r="M7" s="12">
        <f>3.32*LOG10($I$24/$I$23)</f>
        <v>0.72204669479016881</v>
      </c>
      <c r="N7" s="2"/>
      <c r="O7" s="13" t="s">
        <v>21</v>
      </c>
      <c r="P7" s="13">
        <f>3.32*LOG10($I$24/$I$23)</f>
        <v>0.72204669479016881</v>
      </c>
      <c r="Q7" s="2"/>
      <c r="R7" s="2"/>
      <c r="S7" s="2"/>
      <c r="T7" s="2"/>
      <c r="U7" s="2"/>
      <c r="V7" s="2"/>
      <c r="W7" s="9" t="s">
        <v>22</v>
      </c>
      <c r="X7" s="9">
        <f>+($I$16*$I$15)/1714</f>
        <v>688.44807467911323</v>
      </c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ht="22.35" x14ac:dyDescent="0.55000000000000004">
      <c r="A8" s="5" t="s">
        <v>23</v>
      </c>
      <c r="H8" s="7">
        <v>12</v>
      </c>
      <c r="I8" s="7">
        <v>9.875</v>
      </c>
      <c r="J8" s="2"/>
      <c r="K8" s="2"/>
      <c r="L8" s="12" t="s">
        <v>24</v>
      </c>
      <c r="M8" s="12">
        <f>+(5.11*$I$24)/(1022^$M$7)</f>
        <v>2.2646482874965388</v>
      </c>
      <c r="N8" s="2"/>
      <c r="O8" s="13" t="s">
        <v>24</v>
      </c>
      <c r="P8" s="13">
        <f>+(5.11*$I$24)/(1022^$M$7)</f>
        <v>2.2646482874965388</v>
      </c>
      <c r="Q8" s="2"/>
      <c r="R8" s="2"/>
      <c r="S8" s="2"/>
      <c r="T8" s="2"/>
      <c r="U8" s="2"/>
      <c r="V8" s="2"/>
      <c r="W8" s="9" t="s">
        <v>25</v>
      </c>
      <c r="X8" s="9">
        <f>+(417.2*$I$15)/$M$18</f>
        <v>386.2962962962963</v>
      </c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ht="22.35" x14ac:dyDescent="0.55000000000000004">
      <c r="A9" s="5" t="s">
        <v>26</v>
      </c>
      <c r="H9" s="7"/>
      <c r="I9" s="7">
        <v>3000</v>
      </c>
      <c r="J9" s="2"/>
      <c r="K9" s="2"/>
      <c r="L9" s="12" t="s">
        <v>27</v>
      </c>
      <c r="M9" s="12">
        <f>100*$M$8*(((96*$M$6)/$I$12)^($M$7-1))</f>
        <v>51.902237680811155</v>
      </c>
      <c r="N9" s="2"/>
      <c r="O9" s="13" t="s">
        <v>28</v>
      </c>
      <c r="P9" s="13">
        <f>100*$P$8*(((96*$P$6)/$I$13)^($P$7-1))</f>
        <v>38.622584406746419</v>
      </c>
      <c r="Q9" s="2"/>
      <c r="R9" s="2"/>
      <c r="S9" s="3" t="s">
        <v>29</v>
      </c>
      <c r="T9" s="3">
        <f>+($M$20/(0.052*$I$11))+$I$3</f>
        <v>12.484752150452701</v>
      </c>
      <c r="U9" s="2"/>
      <c r="V9" s="2"/>
      <c r="W9" s="9" t="s">
        <v>30</v>
      </c>
      <c r="X9" s="9">
        <f>+($I$3*$X$8*$I$15)/(1930)</f>
        <v>960.7369027058146</v>
      </c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22.35" x14ac:dyDescent="0.55000000000000004">
      <c r="A10" s="5" t="s">
        <v>31</v>
      </c>
      <c r="H10" s="7">
        <v>10.75</v>
      </c>
      <c r="I10" s="7">
        <v>9.9499999999999993</v>
      </c>
      <c r="J10" s="2"/>
      <c r="K10" s="2"/>
      <c r="L10" s="12" t="s">
        <v>32</v>
      </c>
      <c r="M10" s="12">
        <f>+((3*$M$7+1)/(4*$M$7))^$M$7</f>
        <v>1.0685950679322824</v>
      </c>
      <c r="N10" s="2"/>
      <c r="O10" s="13" t="s">
        <v>32</v>
      </c>
      <c r="P10" s="13">
        <f>+((3*$P$7+1)/(4*$P$7))^$P$7</f>
        <v>1.0685950679322824</v>
      </c>
      <c r="Q10" s="2"/>
      <c r="R10" s="2"/>
      <c r="S10" s="2"/>
      <c r="T10" s="2"/>
      <c r="U10" s="2"/>
      <c r="V10" s="2"/>
      <c r="W10" s="9" t="s">
        <v>33</v>
      </c>
      <c r="X10" s="9">
        <f>+($X$9*1.27)/($I$8^2)</f>
        <v>12.512208853056979</v>
      </c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22.35" x14ac:dyDescent="0.55000000000000004">
      <c r="A11" s="5" t="s">
        <v>34</v>
      </c>
      <c r="H11" s="7">
        <v>12000</v>
      </c>
      <c r="I11" s="7">
        <v>11500</v>
      </c>
      <c r="J11" s="2"/>
      <c r="K11" s="2"/>
      <c r="L11" s="12" t="s">
        <v>35</v>
      </c>
      <c r="M11" s="12">
        <f>+(928*$M$6*$I$12*$I$3)/($M$9*$M$10)</f>
        <v>7663.2400963445207</v>
      </c>
      <c r="N11" s="2"/>
      <c r="O11" s="13" t="s">
        <v>36</v>
      </c>
      <c r="P11" s="13">
        <f>+(928*$P$6*$I$13*$I$3)/($P$9*$P$10)</f>
        <v>14678.227872099014</v>
      </c>
      <c r="Q11" s="2"/>
      <c r="R11" s="2"/>
      <c r="S11" s="2"/>
      <c r="T11" s="2"/>
      <c r="U11" s="2"/>
      <c r="V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22.35" x14ac:dyDescent="0.55000000000000004">
      <c r="A12" s="5" t="s">
        <v>37</v>
      </c>
      <c r="H12" s="7">
        <v>5</v>
      </c>
      <c r="I12" s="7">
        <v>4.2759999999999998</v>
      </c>
      <c r="J12" s="2"/>
      <c r="K12" s="2"/>
      <c r="L12" s="12" t="s">
        <v>38</v>
      </c>
      <c r="M12" s="12">
        <f>3470-1370*$M$7</f>
        <v>2480.796028137469</v>
      </c>
      <c r="N12" s="2"/>
      <c r="O12" s="13" t="s">
        <v>38</v>
      </c>
      <c r="P12" s="13">
        <f>3470-1370*$M$7</f>
        <v>2480.796028137469</v>
      </c>
      <c r="Q12" s="2"/>
      <c r="R12" s="2"/>
      <c r="S12" s="2"/>
      <c r="T12" s="2"/>
      <c r="U12" s="2"/>
      <c r="V12" s="2"/>
      <c r="W12" s="6" t="s">
        <v>39</v>
      </c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ht="22.35" x14ac:dyDescent="0.55000000000000004">
      <c r="A13" s="5" t="s">
        <v>40</v>
      </c>
      <c r="H13" s="7">
        <v>8</v>
      </c>
      <c r="I13" s="7">
        <v>3</v>
      </c>
      <c r="J13" s="2"/>
      <c r="K13" s="2"/>
      <c r="L13" s="12" t="s">
        <v>41</v>
      </c>
      <c r="M13" s="12">
        <f>4270-1370*$M$7</f>
        <v>3280.796028137469</v>
      </c>
      <c r="N13" s="2"/>
      <c r="O13" s="13" t="s">
        <v>41</v>
      </c>
      <c r="P13" s="13">
        <f>4270-1370*$M$7</f>
        <v>3280.796028137469</v>
      </c>
      <c r="Q13" s="2"/>
      <c r="R13" s="2"/>
      <c r="S13" s="2"/>
      <c r="T13" s="2"/>
      <c r="U13" s="2"/>
      <c r="V13" s="2"/>
      <c r="W13" s="2" t="s">
        <v>6</v>
      </c>
      <c r="X13" s="2">
        <f>+(24.5*$I$15)/($I$8^2-$H$12^2)</f>
        <v>135.14328808446456</v>
      </c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ht="22.35" x14ac:dyDescent="0.55000000000000004">
      <c r="A14" s="5" t="s">
        <v>42</v>
      </c>
      <c r="H14" s="7"/>
      <c r="I14" s="7">
        <v>650</v>
      </c>
      <c r="J14" s="2"/>
      <c r="K14" s="2"/>
      <c r="L14" s="12" t="s">
        <v>43</v>
      </c>
      <c r="M14" s="12">
        <f>+((LOG10($M$7)+3.93)/50)/($M$11^((1.75-LOG10($M$7))/7))</f>
        <v>6.7595419473508592E-3</v>
      </c>
      <c r="N14" s="2"/>
      <c r="O14" s="13" t="s">
        <v>44</v>
      </c>
      <c r="P14" s="13">
        <f>+((LOG10($P$7)+3.93)/50)/($P$11^((1.75-LOG10($P$7))/7))</f>
        <v>5.6708595763238301E-3</v>
      </c>
      <c r="Q14" s="2"/>
      <c r="R14" s="2"/>
      <c r="S14" s="2"/>
      <c r="T14" s="2"/>
      <c r="U14" s="2"/>
      <c r="V14" s="2"/>
      <c r="W14" s="2" t="s">
        <v>45</v>
      </c>
      <c r="X14" s="2">
        <f>+$I$5/($I$3*$I$20)</f>
        <v>8.6666666666666661</v>
      </c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ht="22.35" x14ac:dyDescent="0.55000000000000004">
      <c r="A15" s="5" t="s">
        <v>46</v>
      </c>
      <c r="H15" s="7"/>
      <c r="I15" s="7">
        <v>400</v>
      </c>
      <c r="J15" s="2"/>
      <c r="K15" s="2"/>
      <c r="L15" s="12" t="s">
        <v>47</v>
      </c>
      <c r="M15" s="12">
        <f>+(($M$14*($M$6^2)*$I$3)/(25.8*$I$12))*($I$22-$I$14)</f>
        <v>840.58673983506753</v>
      </c>
      <c r="N15" s="2"/>
      <c r="O15" s="13" t="s">
        <v>48</v>
      </c>
      <c r="P15" s="13">
        <f>+(($P$14*($P$6^2)*$I$3)/(25.8*$I$13))*($I$14)</f>
        <v>187.91343233873033</v>
      </c>
      <c r="Q15" s="2"/>
      <c r="R15" s="2"/>
      <c r="S15" s="2"/>
      <c r="T15" s="2"/>
      <c r="U15" s="2"/>
      <c r="V15" s="2"/>
      <c r="W15" s="2" t="s">
        <v>49</v>
      </c>
      <c r="X15" s="2">
        <f>+((36800)/($X$14^2))*$I$20*(($I$19/$I$3)-1)+1</f>
        <v>103.07100591715977</v>
      </c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ht="22.35" x14ac:dyDescent="0.55000000000000004">
      <c r="A16" s="5" t="s">
        <v>50</v>
      </c>
      <c r="H16" s="7"/>
      <c r="I16" s="7">
        <v>2950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 t="s">
        <v>51</v>
      </c>
      <c r="X16" s="2">
        <f>0.45*$X$14*(SQRT($X$15)-1)</f>
        <v>35.694317774145318</v>
      </c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1:34" ht="22.35" x14ac:dyDescent="0.55000000000000004">
      <c r="A17" s="5" t="s">
        <v>52</v>
      </c>
      <c r="H17" s="7"/>
      <c r="I17" s="7">
        <v>0.15</v>
      </c>
      <c r="J17" s="2"/>
      <c r="K17" s="2"/>
      <c r="L17" s="2" t="s">
        <v>13</v>
      </c>
      <c r="M17" s="2">
        <f>+(156.5*($I$15^2)*I3)/($M$18^2)</f>
        <v>1610.0823045267489</v>
      </c>
      <c r="N17" s="2"/>
      <c r="O17" s="2"/>
      <c r="P17" s="2"/>
      <c r="Q17" s="2"/>
      <c r="R17" s="2"/>
      <c r="S17" s="2"/>
      <c r="T17" s="2"/>
      <c r="U17" s="2"/>
      <c r="V17" s="2"/>
      <c r="W17" s="2" t="s">
        <v>53</v>
      </c>
      <c r="X17" s="2">
        <f>+X13-X16</f>
        <v>99.44897031031924</v>
      </c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1:34" ht="22.35" x14ac:dyDescent="0.55000000000000004">
      <c r="A18" s="5" t="s">
        <v>54</v>
      </c>
      <c r="H18" s="7"/>
      <c r="I18" s="7">
        <v>50</v>
      </c>
      <c r="J18" s="2"/>
      <c r="K18" s="2"/>
      <c r="L18" s="12" t="s">
        <v>55</v>
      </c>
      <c r="M18" s="12">
        <f>+$H$8^2+$H$8^2+$H$8^2</f>
        <v>432</v>
      </c>
      <c r="N18" s="2"/>
      <c r="O18" s="2"/>
      <c r="P18" s="2"/>
      <c r="Q18" s="2"/>
      <c r="R18" s="2"/>
      <c r="S18" s="2"/>
      <c r="T18" s="2"/>
      <c r="U18" s="2"/>
      <c r="V18" s="2"/>
      <c r="W18" s="2" t="s">
        <v>56</v>
      </c>
      <c r="X18" s="2">
        <f>+$H$11/$X$17</f>
        <v>120.66489942083221</v>
      </c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1:34" ht="22.35" x14ac:dyDescent="0.55000000000000004">
      <c r="A19" s="5" t="s">
        <v>57</v>
      </c>
      <c r="H19" s="7"/>
      <c r="I19" s="7">
        <v>22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58</v>
      </c>
      <c r="X19" s="2">
        <f>+($X$17/$X$13)*100</f>
        <v>73.587798343461657</v>
      </c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1:34" ht="22.35" x14ac:dyDescent="0.55000000000000004">
      <c r="A20" s="5" t="s">
        <v>59</v>
      </c>
      <c r="H20" s="7"/>
      <c r="I20" s="7">
        <v>0.25</v>
      </c>
      <c r="J20" s="2"/>
      <c r="K20" s="2"/>
      <c r="L20" s="2" t="s">
        <v>18</v>
      </c>
      <c r="M20" s="2">
        <f>+$M$31+$P$31+$S$31</f>
        <v>289.88178597071533</v>
      </c>
      <c r="N20" s="2"/>
      <c r="O20" s="2"/>
      <c r="P20" s="2"/>
      <c r="Q20" s="2"/>
      <c r="R20" s="2"/>
      <c r="S20" s="2"/>
      <c r="T20" s="2"/>
      <c r="U20" s="2"/>
      <c r="V20" s="2"/>
      <c r="W20" s="2" t="s">
        <v>60</v>
      </c>
      <c r="X20" s="2">
        <f>+((($I$8^2)*$I$18)/(448.4*$I$15*($X$19/100)))*100</f>
        <v>3.6941353886201114</v>
      </c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1:34" ht="22.35" x14ac:dyDescent="0.55000000000000004">
      <c r="A21" s="5" t="s">
        <v>61</v>
      </c>
      <c r="H21" s="7"/>
      <c r="I21" s="7">
        <v>14</v>
      </c>
      <c r="J21" s="2"/>
      <c r="K21" s="2"/>
      <c r="L21" s="14" t="s">
        <v>62</v>
      </c>
      <c r="M21" s="14"/>
      <c r="N21" s="2"/>
      <c r="O21" s="15" t="s">
        <v>63</v>
      </c>
      <c r="P21" s="15"/>
      <c r="Q21" s="2"/>
      <c r="R21" s="15" t="s">
        <v>64</v>
      </c>
      <c r="S21" s="15"/>
      <c r="T21" s="2"/>
      <c r="U21" s="2"/>
      <c r="V21" s="2"/>
      <c r="W21" s="2" t="s">
        <v>65</v>
      </c>
      <c r="X21" s="2">
        <f>+$I$4*8.34*(X20/100)+($I$3*(1-($X$20/100)))</f>
        <v>12.733610958555289</v>
      </c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1:34" ht="22.35" x14ac:dyDescent="0.55000000000000004">
      <c r="A22" s="5" t="s">
        <v>66</v>
      </c>
      <c r="H22" s="7"/>
      <c r="I22" s="7">
        <f>+H11+I9</f>
        <v>15000</v>
      </c>
      <c r="J22" s="2"/>
      <c r="K22" s="2"/>
      <c r="L22" s="16" t="s">
        <v>67</v>
      </c>
      <c r="M22" s="16">
        <f>+(0.408*$I$15)/($I$10^2-$H$12^2)</f>
        <v>2.2053309009830753</v>
      </c>
      <c r="N22" s="2"/>
      <c r="O22" s="17" t="s">
        <v>68</v>
      </c>
      <c r="P22" s="17">
        <f>+(0.408*$I$15)/($I$8^2-$H$12^2)</f>
        <v>2.2505494505494505</v>
      </c>
      <c r="Q22" s="2"/>
      <c r="R22" s="17" t="s">
        <v>69</v>
      </c>
      <c r="S22" s="17">
        <f>+(0.408*$I$15)/($I$8^2-$H$13^2)</f>
        <v>4.8693706293706294</v>
      </c>
      <c r="T22" s="2"/>
      <c r="U22" s="2"/>
      <c r="V22" s="2"/>
      <c r="W22" s="2" t="s">
        <v>70</v>
      </c>
      <c r="X22" s="2">
        <f>3.32*LOG10($I$24/$I$23)</f>
        <v>0.72204669479016881</v>
      </c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1:34" ht="22.35" x14ac:dyDescent="0.55000000000000004">
      <c r="A23" s="5" t="s">
        <v>71</v>
      </c>
      <c r="H23" s="7"/>
      <c r="I23" s="7">
        <v>40</v>
      </c>
      <c r="J23" s="2"/>
      <c r="K23" s="2"/>
      <c r="L23" s="16" t="s">
        <v>72</v>
      </c>
      <c r="M23" s="16">
        <f>0.5*LOG10($I$23/$I$7)</f>
        <v>0.34948500216800943</v>
      </c>
      <c r="N23" s="2"/>
      <c r="O23" s="17" t="s">
        <v>72</v>
      </c>
      <c r="P23" s="17">
        <f>0.5*LOG10($I$23/$I$7)</f>
        <v>0.34948500216800943</v>
      </c>
      <c r="Q23" s="2"/>
      <c r="R23" s="17" t="s">
        <v>72</v>
      </c>
      <c r="S23" s="17">
        <f>0.5*LOG10($I$23/$I$7)</f>
        <v>0.34948500216800943</v>
      </c>
      <c r="T23" s="2"/>
      <c r="U23" s="2"/>
      <c r="V23" s="2"/>
      <c r="W23" s="2" t="s">
        <v>73</v>
      </c>
      <c r="X23" s="2">
        <f>+$I$23*(511^(1-$X$22))</f>
        <v>226.39901468491746</v>
      </c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1:34" ht="22.35" x14ac:dyDescent="0.55000000000000004">
      <c r="A24" s="5" t="s">
        <v>74</v>
      </c>
      <c r="H24" s="7"/>
      <c r="I24" s="7">
        <v>66</v>
      </c>
      <c r="J24" s="2"/>
      <c r="K24" s="2"/>
      <c r="L24" s="16" t="s">
        <v>75</v>
      </c>
      <c r="M24" s="16">
        <f>+(5.11*$I$23)/(511^$M$23)</f>
        <v>23.116836817147277</v>
      </c>
      <c r="N24" s="2"/>
      <c r="O24" s="17" t="s">
        <v>75</v>
      </c>
      <c r="P24" s="17">
        <f>+(5.11*$I$23)/(511^$M$23)</f>
        <v>23.116836817147277</v>
      </c>
      <c r="Q24" s="2"/>
      <c r="R24" s="17" t="s">
        <v>75</v>
      </c>
      <c r="S24" s="17">
        <f>+(5.11*$I$23)/(511^$M$23)</f>
        <v>23.116836817147277</v>
      </c>
      <c r="T24" s="2"/>
      <c r="U24" s="2"/>
      <c r="V24" s="2"/>
      <c r="W24" s="2" t="s">
        <v>76</v>
      </c>
      <c r="X24" s="2">
        <f>+($I$3*$X$23*$X$13)/(400000)</f>
        <v>0.91788921790808164</v>
      </c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1:34" ht="17.350000000000001" x14ac:dyDescent="0.5">
      <c r="J25" s="2"/>
      <c r="K25" s="2"/>
      <c r="L25" s="16" t="s">
        <v>77</v>
      </c>
      <c r="M25" s="16">
        <f>100*$M$24*(((144*$M$22)/($I$10-$H$12))^($M$23-1))</f>
        <v>154.27569119446829</v>
      </c>
      <c r="N25" s="2"/>
      <c r="O25" s="17" t="s">
        <v>78</v>
      </c>
      <c r="P25" s="17">
        <f>100*$P$24*(((144*$P$22)/($I$8-$H$12))^($P$23-1))</f>
        <v>150.74747693316496</v>
      </c>
      <c r="Q25" s="2"/>
      <c r="R25" s="17" t="s">
        <v>79</v>
      </c>
      <c r="S25" s="17">
        <f>100*$S$24*(((144*$S$22)/($I$8-$H$13))^($S$23-1))</f>
        <v>49.007355674882966</v>
      </c>
      <c r="T25" s="2"/>
      <c r="U25" s="2"/>
      <c r="V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1:34" ht="17.350000000000001" x14ac:dyDescent="0.5">
      <c r="J26" s="2"/>
      <c r="K26" s="2"/>
      <c r="L26" s="16" t="s">
        <v>45</v>
      </c>
      <c r="M26" s="16">
        <f>+((2*$M$23+1)/(3*$M$23))^$M$23</f>
        <v>1.1837625809669432</v>
      </c>
      <c r="N26" s="2"/>
      <c r="O26" s="17" t="s">
        <v>45</v>
      </c>
      <c r="P26" s="17">
        <f>+((2*$P$23+1)/(3*$P$23))^$P$23</f>
        <v>1.1837625809669432</v>
      </c>
      <c r="Q26" s="2"/>
      <c r="R26" s="17" t="s">
        <v>45</v>
      </c>
      <c r="S26" s="17">
        <f>+((2*$S$23+1)/(3*$S$23))^$S$23</f>
        <v>1.1837625809669432</v>
      </c>
      <c r="T26" s="2"/>
      <c r="U26" s="2"/>
      <c r="V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1:34" ht="17.350000000000001" x14ac:dyDescent="0.5">
      <c r="J27" s="2"/>
      <c r="K27" s="2"/>
      <c r="L27" s="16" t="s">
        <v>80</v>
      </c>
      <c r="M27" s="16">
        <f>+(928*$M$22*($I$10-$H$12)*$I$3)/($M$25*$M$26)</f>
        <v>665.65021327081013</v>
      </c>
      <c r="N27" s="2"/>
      <c r="O27" s="17" t="s">
        <v>81</v>
      </c>
      <c r="P27" s="17">
        <f>+(928*$P$22*($I$8-$H$12)*$I$3)/($P$25*$P$26)</f>
        <v>684.66439331980666</v>
      </c>
      <c r="Q27" s="2"/>
      <c r="R27" s="17" t="s">
        <v>82</v>
      </c>
      <c r="S27" s="17">
        <f>+(928*$S$22*($I$8-$H$13)*$I$3)/($S$25*$S$26)</f>
        <v>1752.5783760667184</v>
      </c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1:34" ht="17.350000000000001" x14ac:dyDescent="0.5">
      <c r="J28" s="2"/>
      <c r="K28" s="2"/>
      <c r="L28" s="16" t="s">
        <v>83</v>
      </c>
      <c r="M28" s="16">
        <f>3470-1370*$M$23</f>
        <v>2991.2055470298269</v>
      </c>
      <c r="N28" s="2"/>
      <c r="O28" s="17" t="s">
        <v>83</v>
      </c>
      <c r="P28" s="17">
        <f>3470-1370*$P$23</f>
        <v>2991.2055470298269</v>
      </c>
      <c r="Q28" s="2"/>
      <c r="R28" s="17" t="s">
        <v>83</v>
      </c>
      <c r="S28" s="17">
        <f>3470-1370*$S$23</f>
        <v>2991.2055470298269</v>
      </c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1:34" ht="17.350000000000001" x14ac:dyDescent="0.5">
      <c r="J29" s="2"/>
      <c r="K29" s="2"/>
      <c r="L29" s="16" t="s">
        <v>84</v>
      </c>
      <c r="M29" s="16">
        <f>4270-1370*$M$23</f>
        <v>3791.2055470298269</v>
      </c>
      <c r="N29" s="2"/>
      <c r="O29" s="17" t="s">
        <v>84</v>
      </c>
      <c r="P29" s="17">
        <f>4270-1370*$P$23</f>
        <v>3791.2055470298269</v>
      </c>
      <c r="Q29" s="2"/>
      <c r="R29" s="17" t="s">
        <v>84</v>
      </c>
      <c r="S29" s="17">
        <f>4270-1370*$S$23</f>
        <v>3791.2055470298269</v>
      </c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1:34" ht="17.350000000000001" x14ac:dyDescent="0.5">
      <c r="J30" s="2"/>
      <c r="K30" s="2"/>
      <c r="L30" s="16" t="s">
        <v>85</v>
      </c>
      <c r="M30" s="16">
        <f>24/$M$27</f>
        <v>3.6054972298545554E-2</v>
      </c>
      <c r="N30" s="2"/>
      <c r="O30" s="17" t="s">
        <v>86</v>
      </c>
      <c r="P30" s="17">
        <f>24/$P$27</f>
        <v>3.5053670432061743E-2</v>
      </c>
      <c r="Q30" s="2"/>
      <c r="R30" s="17" t="s">
        <v>87</v>
      </c>
      <c r="S30" s="17">
        <f>24/$S$27</f>
        <v>1.3694109392050579E-2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1:34" ht="17.350000000000001" x14ac:dyDescent="0.5">
      <c r="J31" s="2"/>
      <c r="K31" s="2"/>
      <c r="L31" s="16" t="s">
        <v>88</v>
      </c>
      <c r="M31" s="16">
        <f>+(($M$30*($M$22^2)*$I$3)/(25.8*($I$10-$H$12)))*(H11)</f>
        <v>197.71985307667288</v>
      </c>
      <c r="N31" s="2"/>
      <c r="O31" s="17" t="s">
        <v>89</v>
      </c>
      <c r="P31" s="17">
        <f>+(($P$30*($P$22^2)*$I$3)/(25.8*($I$8-$H$12)))*(I9-I14)</f>
        <v>39.807545619450607</v>
      </c>
      <c r="Q31" s="2"/>
      <c r="R31" s="17" t="s">
        <v>90</v>
      </c>
      <c r="S31" s="17">
        <f>+(($S$30*($S$22^2)*$I$3)/(25.8*($I$8-$H$13)))*(I14)</f>
        <v>52.354387274591836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1:34" ht="17.350000000000001" x14ac:dyDescent="0.5"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10:34" ht="17.350000000000001" x14ac:dyDescent="0.5"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0:34" ht="17.350000000000001" x14ac:dyDescent="0.5"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0:34" ht="17.350000000000001" x14ac:dyDescent="0.5"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0:34" ht="17.350000000000001" x14ac:dyDescent="0.5"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0:34" ht="17.350000000000001" x14ac:dyDescent="0.5"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0:34" ht="17.350000000000001" x14ac:dyDescent="0.5"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0:34" ht="17.350000000000001" x14ac:dyDescent="0.5"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0:34" ht="17.350000000000001" x14ac:dyDescent="0.5"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0:34" ht="17.350000000000001" x14ac:dyDescent="0.5"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0:34" ht="17.350000000000001" x14ac:dyDescent="0.5"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0:34" ht="17.350000000000001" x14ac:dyDescent="0.5"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0:34" ht="17.350000000000001" x14ac:dyDescent="0.5"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0:34" ht="17.350000000000001" x14ac:dyDescent="0.5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0:34" ht="17.350000000000001" x14ac:dyDescent="0.5"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0:34" ht="17.350000000000001" x14ac:dyDescent="0.5"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0:34" ht="17.350000000000001" x14ac:dyDescent="0.5"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0:34" ht="17.350000000000001" x14ac:dyDescent="0.5"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0:34" ht="17.350000000000001" x14ac:dyDescent="0.5"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0:34" ht="17.350000000000001" x14ac:dyDescent="0.5"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0:34" ht="17.350000000000001" x14ac:dyDescent="0.5"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0:34" ht="17.350000000000001" x14ac:dyDescent="0.5"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0:34" ht="17.350000000000001" x14ac:dyDescent="0.5"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0:34" ht="17.350000000000001" x14ac:dyDescent="0.5"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0:34" ht="17.350000000000001" x14ac:dyDescent="0.5"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0:34" ht="17.350000000000001" x14ac:dyDescent="0.5"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0:34" ht="17.350000000000001" x14ac:dyDescent="0.5"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0:34" ht="17.350000000000001" x14ac:dyDescent="0.5"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0:34" ht="17.350000000000001" x14ac:dyDescent="0.5"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0:34" ht="17.350000000000001" x14ac:dyDescent="0.5"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0:34" ht="17.350000000000001" x14ac:dyDescent="0.5"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0:34" ht="17.350000000000001" x14ac:dyDescent="0.5"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0:34" ht="17.350000000000001" x14ac:dyDescent="0.5"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0:34" ht="17.350000000000001" x14ac:dyDescent="0.5"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0:34" ht="17.350000000000001" x14ac:dyDescent="0.5"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0:34" ht="17.350000000000001" x14ac:dyDescent="0.5"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0:34" ht="17.350000000000001" x14ac:dyDescent="0.5"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0:34" ht="17.350000000000001" x14ac:dyDescent="0.5"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0:34" ht="17.350000000000001" x14ac:dyDescent="0.5"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0:34" ht="17.350000000000001" x14ac:dyDescent="0.5"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0:34" ht="17.350000000000001" x14ac:dyDescent="0.5"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0:34" ht="17.350000000000001" x14ac:dyDescent="0.5"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0:34" ht="17.350000000000001" x14ac:dyDescent="0.5"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0:34" ht="17.350000000000001" x14ac:dyDescent="0.5"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0:34" ht="17.350000000000001" x14ac:dyDescent="0.5"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0:34" ht="17.350000000000001" x14ac:dyDescent="0.5"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0:34" ht="17.350000000000001" x14ac:dyDescent="0.5"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0:34" ht="17.350000000000001" x14ac:dyDescent="0.5"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0:34" ht="17.350000000000001" x14ac:dyDescent="0.5"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0:34" ht="17.350000000000001" x14ac:dyDescent="0.5"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0:34" ht="17.350000000000001" x14ac:dyDescent="0.5"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0:34" ht="17.350000000000001" x14ac:dyDescent="0.5"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0:34" ht="17.350000000000001" x14ac:dyDescent="0.5"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0:34" ht="17.350000000000001" x14ac:dyDescent="0.5"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0:34" ht="17.350000000000001" x14ac:dyDescent="0.5"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0:34" ht="17.350000000000001" x14ac:dyDescent="0.5"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0:34" ht="17.350000000000001" x14ac:dyDescent="0.5"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0:34" ht="17.350000000000001" x14ac:dyDescent="0.5"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0:34" ht="17.350000000000001" x14ac:dyDescent="0.5"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0:34" ht="17.350000000000001" x14ac:dyDescent="0.5"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0:34" ht="17.350000000000001" x14ac:dyDescent="0.5"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0:34" ht="17.350000000000001" x14ac:dyDescent="0.5"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0:34" ht="17.350000000000001" x14ac:dyDescent="0.5"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0:34" ht="17.350000000000001" x14ac:dyDescent="0.5"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0:34" ht="17.350000000000001" x14ac:dyDescent="0.5"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0:34" ht="17.350000000000001" x14ac:dyDescent="0.5"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0:34" ht="17.350000000000001" x14ac:dyDescent="0.5"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0:34" ht="17.350000000000001" x14ac:dyDescent="0.5"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0:34" ht="17.350000000000001" x14ac:dyDescent="0.5"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0:34" ht="17.350000000000001" x14ac:dyDescent="0.5"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0:34" ht="17.350000000000001" x14ac:dyDescent="0.5"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0:34" ht="17.350000000000001" x14ac:dyDescent="0.5"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0:34" ht="17.350000000000001" x14ac:dyDescent="0.5"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0:34" ht="17.350000000000001" x14ac:dyDescent="0.5"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0:34" ht="17.350000000000001" x14ac:dyDescent="0.5"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0:34" ht="17.350000000000001" x14ac:dyDescent="0.5"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0:34" ht="17.350000000000001" x14ac:dyDescent="0.5"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0:34" ht="17.350000000000001" x14ac:dyDescent="0.5"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0:34" ht="17.350000000000001" x14ac:dyDescent="0.5"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0:34" ht="17.350000000000001" x14ac:dyDescent="0.5"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0:34" ht="17.350000000000001" x14ac:dyDescent="0.5"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0:34" ht="17.350000000000001" x14ac:dyDescent="0.5"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0:34" ht="17.350000000000001" x14ac:dyDescent="0.5"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0:34" ht="17.350000000000001" x14ac:dyDescent="0.5"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0:34" ht="17.350000000000001" x14ac:dyDescent="0.5"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0:34" ht="17.350000000000001" x14ac:dyDescent="0.5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0:34" ht="17.350000000000001" x14ac:dyDescent="0.5"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0:34" ht="17.350000000000001" x14ac:dyDescent="0.5"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0:34" ht="17.350000000000001" x14ac:dyDescent="0.5"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0:34" ht="17.350000000000001" x14ac:dyDescent="0.5"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0:34" ht="17.350000000000001" x14ac:dyDescent="0.5"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0:34" ht="17.350000000000001" x14ac:dyDescent="0.5"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0:34" ht="17.350000000000001" x14ac:dyDescent="0.5"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0:34" ht="17.350000000000001" x14ac:dyDescent="0.5"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0:34" ht="17.350000000000001" x14ac:dyDescent="0.5"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0:34" ht="17.350000000000001" x14ac:dyDescent="0.5"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0:34" ht="17.350000000000001" x14ac:dyDescent="0.5"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0:34" ht="17.350000000000001" x14ac:dyDescent="0.5"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0:34" ht="17.350000000000001" x14ac:dyDescent="0.5"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0:34" ht="17.350000000000001" x14ac:dyDescent="0.5"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0:34" ht="17.350000000000001" x14ac:dyDescent="0.5"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0:34" ht="17.350000000000001" x14ac:dyDescent="0.5"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0:34" ht="17.350000000000001" x14ac:dyDescent="0.5"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0:34" ht="17.350000000000001" x14ac:dyDescent="0.5"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0:34" ht="17.350000000000001" x14ac:dyDescent="0.5"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0:34" ht="17.350000000000001" x14ac:dyDescent="0.5"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0:34" ht="17.350000000000001" x14ac:dyDescent="0.5"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0:34" ht="17.350000000000001" x14ac:dyDescent="0.5"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0:34" ht="17.350000000000001" x14ac:dyDescent="0.5"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0:34" ht="17.350000000000001" x14ac:dyDescent="0.5"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0:34" ht="17.350000000000001" x14ac:dyDescent="0.5"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0:34" ht="17.350000000000001" x14ac:dyDescent="0.5"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0:34" ht="17.350000000000001" x14ac:dyDescent="0.5"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0:34" ht="17.350000000000001" x14ac:dyDescent="0.5"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0:34" ht="17.350000000000001" x14ac:dyDescent="0.5"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0:34" ht="17.350000000000001" x14ac:dyDescent="0.5"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0:34" ht="17.350000000000001" x14ac:dyDescent="0.5"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0:34" ht="17.350000000000001" x14ac:dyDescent="0.5"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0:34" ht="17.350000000000001" x14ac:dyDescent="0.5"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0:34" ht="17.350000000000001" x14ac:dyDescent="0.5"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0:34" ht="17.350000000000001" x14ac:dyDescent="0.5"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0:34" ht="17.350000000000001" x14ac:dyDescent="0.5"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0:34" ht="17.350000000000001" x14ac:dyDescent="0.5"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0:34" ht="17.350000000000001" x14ac:dyDescent="0.5"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0:34" ht="17.350000000000001" x14ac:dyDescent="0.5"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0:34" ht="17.350000000000001" x14ac:dyDescent="0.5"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0:34" ht="17.350000000000001" x14ac:dyDescent="0.5"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0:34" ht="17.350000000000001" x14ac:dyDescent="0.5"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0:34" ht="17.350000000000001" x14ac:dyDescent="0.5"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0:34" ht="17.350000000000001" x14ac:dyDescent="0.5"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0:34" ht="17.350000000000001" x14ac:dyDescent="0.5"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0:34" ht="17.350000000000001" x14ac:dyDescent="0.5"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0:34" ht="17.350000000000001" x14ac:dyDescent="0.5"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0:34" ht="17.350000000000001" x14ac:dyDescent="0.5"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0:34" ht="17.350000000000001" x14ac:dyDescent="0.5"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0:34" ht="17.350000000000001" x14ac:dyDescent="0.5"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0:34" ht="17.350000000000001" x14ac:dyDescent="0.5"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0:34" ht="17.350000000000001" x14ac:dyDescent="0.5"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0:34" ht="17.350000000000001" x14ac:dyDescent="0.5"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0:34" ht="17.350000000000001" x14ac:dyDescent="0.5"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0:34" ht="17.350000000000001" x14ac:dyDescent="0.5"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0:34" ht="17.350000000000001" x14ac:dyDescent="0.5"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0:34" ht="17.350000000000001" x14ac:dyDescent="0.5"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0:34" ht="17.350000000000001" x14ac:dyDescent="0.5"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0:34" ht="17.350000000000001" x14ac:dyDescent="0.5"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0:34" ht="17.350000000000001" x14ac:dyDescent="0.5"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0:34" ht="17.350000000000001" x14ac:dyDescent="0.5"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0:34" ht="17.350000000000001" x14ac:dyDescent="0.5"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0:34" ht="17.350000000000001" x14ac:dyDescent="0.5"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0:34" ht="17.350000000000001" x14ac:dyDescent="0.5"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0:34" ht="17.350000000000001" x14ac:dyDescent="0.5"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0:34" ht="17.350000000000001" x14ac:dyDescent="0.5"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0:34" ht="17.350000000000001" x14ac:dyDescent="0.5"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0:34" ht="17.350000000000001" x14ac:dyDescent="0.5"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0:34" ht="17.350000000000001" x14ac:dyDescent="0.5"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0:34" ht="17.350000000000001" x14ac:dyDescent="0.5"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0:34" ht="17.350000000000001" x14ac:dyDescent="0.5"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0:34" ht="17.350000000000001" x14ac:dyDescent="0.5"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0:34" ht="17.350000000000001" x14ac:dyDescent="0.5"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0:34" ht="17.350000000000001" x14ac:dyDescent="0.5"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0:34" ht="17.350000000000001" x14ac:dyDescent="0.5"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0:34" ht="17.350000000000001" x14ac:dyDescent="0.5"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0:34" ht="17.350000000000001" x14ac:dyDescent="0.5"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0:34" ht="17.350000000000001" x14ac:dyDescent="0.5"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0:34" ht="17.350000000000001" x14ac:dyDescent="0.5"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0:34" ht="17.350000000000001" x14ac:dyDescent="0.5"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0:34" ht="17.350000000000001" x14ac:dyDescent="0.5"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0:34" ht="17.350000000000001" x14ac:dyDescent="0.5"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0:34" ht="17.350000000000001" x14ac:dyDescent="0.5"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0:34" ht="17.350000000000001" x14ac:dyDescent="0.5"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0:34" ht="17.350000000000001" x14ac:dyDescent="0.5"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0:34" ht="17.350000000000001" x14ac:dyDescent="0.5"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0:34" ht="17.350000000000001" x14ac:dyDescent="0.5"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0:34" ht="17.350000000000001" x14ac:dyDescent="0.5"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0:34" ht="17.350000000000001" x14ac:dyDescent="0.5"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0:34" ht="17.350000000000001" x14ac:dyDescent="0.5"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0:34" ht="17.350000000000001" x14ac:dyDescent="0.5"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0:34" ht="17.350000000000001" x14ac:dyDescent="0.5"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0:34" ht="17.350000000000001" x14ac:dyDescent="0.5"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0:34" ht="17.350000000000001" x14ac:dyDescent="0.5"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0:34" ht="17.350000000000001" x14ac:dyDescent="0.5"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0:34" ht="17.350000000000001" x14ac:dyDescent="0.5"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0:34" ht="17.350000000000001" x14ac:dyDescent="0.5"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0:34" ht="17.350000000000001" x14ac:dyDescent="0.5"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0:34" ht="17.350000000000001" x14ac:dyDescent="0.5"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0:34" ht="17.350000000000001" x14ac:dyDescent="0.5"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0:34" ht="17.350000000000001" x14ac:dyDescent="0.5"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0:34" ht="17.350000000000001" x14ac:dyDescent="0.5"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0:34" ht="17.350000000000001" x14ac:dyDescent="0.5"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0:34" ht="17.350000000000001" x14ac:dyDescent="0.5"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0:34" ht="17.350000000000001" x14ac:dyDescent="0.5"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0:34" ht="17.350000000000001" x14ac:dyDescent="0.5"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0:34" ht="17.350000000000001" x14ac:dyDescent="0.5"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0:34" ht="17.350000000000001" x14ac:dyDescent="0.5"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0:34" ht="17.350000000000001" x14ac:dyDescent="0.5"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0:34" ht="17.350000000000001" x14ac:dyDescent="0.5"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0:34" ht="17.350000000000001" x14ac:dyDescent="0.5"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0:34" ht="17.350000000000001" x14ac:dyDescent="0.5"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0:34" ht="17.350000000000001" x14ac:dyDescent="0.5"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0:34" ht="17.350000000000001" x14ac:dyDescent="0.5"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0:34" ht="17.350000000000001" x14ac:dyDescent="0.5"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0:34" ht="17.350000000000001" x14ac:dyDescent="0.5"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0:34" ht="17.350000000000001" x14ac:dyDescent="0.5"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0:34" ht="17.350000000000001" x14ac:dyDescent="0.5"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0:34" ht="17.350000000000001" x14ac:dyDescent="0.5"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0:34" ht="17.350000000000001" x14ac:dyDescent="0.5"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0:34" ht="17.350000000000001" x14ac:dyDescent="0.5"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0:34" ht="17.350000000000001" x14ac:dyDescent="0.5"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0:34" ht="17.350000000000001" x14ac:dyDescent="0.5"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0:34" ht="17.350000000000001" x14ac:dyDescent="0.5"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0:34" ht="17.350000000000001" x14ac:dyDescent="0.5"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0:34" ht="17.350000000000001" x14ac:dyDescent="0.5"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0:34" ht="17.350000000000001" x14ac:dyDescent="0.5"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0:34" ht="17.350000000000001" x14ac:dyDescent="0.5"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0:34" ht="17.350000000000001" x14ac:dyDescent="0.5"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0:34" ht="17.350000000000001" x14ac:dyDescent="0.5"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0:34" ht="17.350000000000001" x14ac:dyDescent="0.5"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0:34" ht="17.350000000000001" x14ac:dyDescent="0.5"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0:34" ht="17.350000000000001" x14ac:dyDescent="0.5"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0:34" ht="17.350000000000001" x14ac:dyDescent="0.5"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0:34" ht="17.350000000000001" x14ac:dyDescent="0.5"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0:34" ht="17.350000000000001" x14ac:dyDescent="0.5"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0:34" ht="17.350000000000001" x14ac:dyDescent="0.5"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0:34" ht="17.350000000000001" x14ac:dyDescent="0.5"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0:34" ht="17.350000000000001" x14ac:dyDescent="0.5"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0:34" ht="17.350000000000001" x14ac:dyDescent="0.5"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0:34" ht="17.350000000000001" x14ac:dyDescent="0.5"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0:34" ht="17.350000000000001" x14ac:dyDescent="0.5"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0:34" ht="17.350000000000001" x14ac:dyDescent="0.5"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0:34" ht="17.350000000000001" x14ac:dyDescent="0.5"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0:34" ht="17.350000000000001" x14ac:dyDescent="0.5"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0:34" ht="17.350000000000001" x14ac:dyDescent="0.5"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0:34" ht="17.350000000000001" x14ac:dyDescent="0.5"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0:34" ht="17.350000000000001" x14ac:dyDescent="0.5"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0:34" ht="17.350000000000001" x14ac:dyDescent="0.5"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0:34" ht="17.350000000000001" x14ac:dyDescent="0.5"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0:34" ht="17.350000000000001" x14ac:dyDescent="0.5"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0:34" ht="17.350000000000001" x14ac:dyDescent="0.5"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0:34" ht="17.350000000000001" x14ac:dyDescent="0.5"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0:34" ht="17.350000000000001" x14ac:dyDescent="0.5"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0:34" ht="17.350000000000001" x14ac:dyDescent="0.5"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0:34" ht="17.350000000000001" x14ac:dyDescent="0.5"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0:34" ht="17.350000000000001" x14ac:dyDescent="0.5"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0:34" ht="17.350000000000001" x14ac:dyDescent="0.5"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0:34" ht="17.350000000000001" x14ac:dyDescent="0.5"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0:34" ht="17.350000000000001" x14ac:dyDescent="0.5"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0:34" ht="17.350000000000001" x14ac:dyDescent="0.5"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0:34" ht="17.350000000000001" x14ac:dyDescent="0.5"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0:34" ht="17.350000000000001" x14ac:dyDescent="0.5"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0:34" ht="17.350000000000001" x14ac:dyDescent="0.5"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0:34" ht="17.350000000000001" x14ac:dyDescent="0.5"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0:34" ht="17.350000000000001" x14ac:dyDescent="0.5"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0:34" ht="17.350000000000001" x14ac:dyDescent="0.5"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0:34" ht="17.350000000000001" x14ac:dyDescent="0.5"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0:34" ht="17.350000000000001" x14ac:dyDescent="0.5"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0:34" ht="17.350000000000001" x14ac:dyDescent="0.5"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0:34" ht="17.350000000000001" x14ac:dyDescent="0.5"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0:34" ht="17.350000000000001" x14ac:dyDescent="0.5"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0:34" ht="17.350000000000001" x14ac:dyDescent="0.5"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0:34" ht="17.350000000000001" x14ac:dyDescent="0.5"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0:34" ht="17.350000000000001" x14ac:dyDescent="0.5"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0:34" ht="17.350000000000001" x14ac:dyDescent="0.5"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0:34" ht="17.350000000000001" x14ac:dyDescent="0.5"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0:34" ht="17.350000000000001" x14ac:dyDescent="0.5"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0:34" ht="17.350000000000001" x14ac:dyDescent="0.5"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0:34" ht="17.350000000000001" x14ac:dyDescent="0.5"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0:34" ht="17.350000000000001" x14ac:dyDescent="0.5"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0:34" ht="17.350000000000001" x14ac:dyDescent="0.5"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0:34" ht="17.350000000000001" x14ac:dyDescent="0.5"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0:34" ht="17.350000000000001" x14ac:dyDescent="0.5"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0:34" ht="17.350000000000001" x14ac:dyDescent="0.5"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0:34" ht="17.350000000000001" x14ac:dyDescent="0.5"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0:34" ht="17.350000000000001" x14ac:dyDescent="0.5"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0:34" ht="17.350000000000001" x14ac:dyDescent="0.5"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0:34" ht="17.350000000000001" x14ac:dyDescent="0.5"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0:34" ht="17.350000000000001" x14ac:dyDescent="0.5"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0:34" ht="17.350000000000001" x14ac:dyDescent="0.5"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0:34" ht="17.350000000000001" x14ac:dyDescent="0.5"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0:34" ht="17.350000000000001" x14ac:dyDescent="0.5"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0:34" ht="17.350000000000001" x14ac:dyDescent="0.5"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0:34" ht="17.350000000000001" x14ac:dyDescent="0.5"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0:34" ht="17.350000000000001" x14ac:dyDescent="0.5"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0:34" ht="17.350000000000001" x14ac:dyDescent="0.5"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0:34" ht="17.350000000000001" x14ac:dyDescent="0.5"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0:34" ht="17.350000000000001" x14ac:dyDescent="0.5"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0:34" ht="17.350000000000001" x14ac:dyDescent="0.5"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0:34" ht="17.350000000000001" x14ac:dyDescent="0.5"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0:34" ht="17.350000000000001" x14ac:dyDescent="0.5"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0:34" ht="17.350000000000001" x14ac:dyDescent="0.5"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0:34" ht="17.350000000000001" x14ac:dyDescent="0.5"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0:34" ht="17.350000000000001" x14ac:dyDescent="0.5"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0:34" ht="17.350000000000001" x14ac:dyDescent="0.5"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0:34" ht="17.350000000000001" x14ac:dyDescent="0.5"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0:34" ht="17.350000000000001" x14ac:dyDescent="0.5"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0:34" ht="17.350000000000001" x14ac:dyDescent="0.5"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0:34" ht="17.350000000000001" x14ac:dyDescent="0.5"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0:34" ht="17.350000000000001" x14ac:dyDescent="0.5"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0:34" ht="17.350000000000001" x14ac:dyDescent="0.5"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0:34" ht="17.350000000000001" x14ac:dyDescent="0.5"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0:34" ht="17.350000000000001" x14ac:dyDescent="0.5"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0:34" ht="17.350000000000001" x14ac:dyDescent="0.5"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0:34" ht="17.350000000000001" x14ac:dyDescent="0.5"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0:34" ht="17.350000000000001" x14ac:dyDescent="0.5"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0:34" ht="17.350000000000001" x14ac:dyDescent="0.5"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0:34" ht="17.350000000000001" x14ac:dyDescent="0.5"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0:34" ht="17.350000000000001" x14ac:dyDescent="0.5"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0:34" ht="17.350000000000001" x14ac:dyDescent="0.5"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0:34" ht="17.350000000000001" x14ac:dyDescent="0.5"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0:34" ht="17.350000000000001" x14ac:dyDescent="0.5"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0:34" ht="17.350000000000001" x14ac:dyDescent="0.5"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0:34" ht="17.350000000000001" x14ac:dyDescent="0.5"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0:34" ht="17.350000000000001" x14ac:dyDescent="0.5"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0:34" ht="17.350000000000001" x14ac:dyDescent="0.5"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0:34" ht="17.350000000000001" x14ac:dyDescent="0.5"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0:34" ht="17.350000000000001" x14ac:dyDescent="0.5"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0:34" ht="17.350000000000001" x14ac:dyDescent="0.5"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0:34" ht="17.350000000000001" x14ac:dyDescent="0.5"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0:34" ht="17.350000000000001" x14ac:dyDescent="0.5"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0:34" ht="17.350000000000001" x14ac:dyDescent="0.5"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0:34" ht="17.350000000000001" x14ac:dyDescent="0.5"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0:34" ht="17.350000000000001" x14ac:dyDescent="0.5"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0:34" ht="17.350000000000001" x14ac:dyDescent="0.5"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0:34" ht="17.350000000000001" x14ac:dyDescent="0.5"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0:34" ht="17.350000000000001" x14ac:dyDescent="0.5"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0:34" ht="17.350000000000001" x14ac:dyDescent="0.5"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0:34" ht="17.350000000000001" x14ac:dyDescent="0.5"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0:34" ht="17.350000000000001" x14ac:dyDescent="0.5"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0:34" ht="17.350000000000001" x14ac:dyDescent="0.5"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0:34" ht="17.350000000000001" x14ac:dyDescent="0.5"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0:34" ht="17.350000000000001" x14ac:dyDescent="0.5"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0:34" ht="17.350000000000001" x14ac:dyDescent="0.5"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0:34" ht="17.350000000000001" x14ac:dyDescent="0.5"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0:34" ht="17.350000000000001" x14ac:dyDescent="0.5"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0:34" ht="17.350000000000001" x14ac:dyDescent="0.5"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0:34" ht="17.350000000000001" x14ac:dyDescent="0.5"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0:34" ht="17.350000000000001" x14ac:dyDescent="0.5"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0:34" ht="17.350000000000001" x14ac:dyDescent="0.5"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0:34" ht="17.350000000000001" x14ac:dyDescent="0.5"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0:34" ht="17.350000000000001" x14ac:dyDescent="0.5"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0:34" ht="17.350000000000001" x14ac:dyDescent="0.5"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0:34" ht="17.350000000000001" x14ac:dyDescent="0.5"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0:34" ht="17.350000000000001" x14ac:dyDescent="0.5"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0:34" ht="17.350000000000001" x14ac:dyDescent="0.5"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0:34" ht="17.350000000000001" x14ac:dyDescent="0.5"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0:34" ht="17.350000000000001" x14ac:dyDescent="0.5"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0:34" ht="17.350000000000001" x14ac:dyDescent="0.5"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0:34" ht="17.350000000000001" x14ac:dyDescent="0.5"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0:34" ht="17.350000000000001" x14ac:dyDescent="0.5"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0:34" ht="17.350000000000001" x14ac:dyDescent="0.5"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0:34" ht="17.350000000000001" x14ac:dyDescent="0.5"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0:34" ht="17.350000000000001" x14ac:dyDescent="0.5"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0:34" ht="17.350000000000001" x14ac:dyDescent="0.5"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0:34" ht="17.350000000000001" x14ac:dyDescent="0.5"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0:34" ht="17.350000000000001" x14ac:dyDescent="0.5"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0:34" ht="17.350000000000001" x14ac:dyDescent="0.5"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0:34" ht="17.350000000000001" x14ac:dyDescent="0.5"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0:34" ht="17.350000000000001" x14ac:dyDescent="0.5"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0:34" ht="17.350000000000001" x14ac:dyDescent="0.5"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0:34" ht="17.350000000000001" x14ac:dyDescent="0.5"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0:34" ht="17.350000000000001" x14ac:dyDescent="0.5"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0:34" ht="17.350000000000001" x14ac:dyDescent="0.5"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0:34" ht="17.350000000000001" x14ac:dyDescent="0.5"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0:34" ht="17.350000000000001" x14ac:dyDescent="0.5"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0:34" ht="17.350000000000001" x14ac:dyDescent="0.5"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0:34" ht="17.350000000000001" x14ac:dyDescent="0.5"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0:34" ht="17.350000000000001" x14ac:dyDescent="0.5"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0:34" ht="17.350000000000001" x14ac:dyDescent="0.5"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0:34" ht="17.350000000000001" x14ac:dyDescent="0.5"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0:34" ht="17.350000000000001" x14ac:dyDescent="0.5"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0:34" ht="17.350000000000001" x14ac:dyDescent="0.5"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0:34" ht="17.350000000000001" x14ac:dyDescent="0.5"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0:34" ht="17.350000000000001" x14ac:dyDescent="0.5"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0:34" ht="17.350000000000001" x14ac:dyDescent="0.5"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0:34" ht="17.350000000000001" x14ac:dyDescent="0.5"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0:34" ht="17.350000000000001" x14ac:dyDescent="0.5"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0:34" ht="17.350000000000001" x14ac:dyDescent="0.5"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0:34" ht="17.350000000000001" x14ac:dyDescent="0.5"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0:34" ht="17.350000000000001" x14ac:dyDescent="0.5"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0:34" ht="17.350000000000001" x14ac:dyDescent="0.5"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0:34" ht="17.350000000000001" x14ac:dyDescent="0.5"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0:34" ht="17.350000000000001" x14ac:dyDescent="0.5"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0:34" ht="17.350000000000001" x14ac:dyDescent="0.5"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0:34" ht="17.350000000000001" x14ac:dyDescent="0.5"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0:34" ht="17.350000000000001" x14ac:dyDescent="0.5"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0:34" ht="17.350000000000001" x14ac:dyDescent="0.5"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0:34" ht="17.350000000000001" x14ac:dyDescent="0.5"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0:34" ht="17.350000000000001" x14ac:dyDescent="0.5"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0:34" ht="17.350000000000001" x14ac:dyDescent="0.5"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0:34" ht="17.350000000000001" x14ac:dyDescent="0.5"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0:34" ht="17.350000000000001" x14ac:dyDescent="0.5"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0:34" ht="17.350000000000001" x14ac:dyDescent="0.5"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0:34" ht="17.350000000000001" x14ac:dyDescent="0.5"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0:34" ht="17.350000000000001" x14ac:dyDescent="0.5"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0:34" ht="17.350000000000001" x14ac:dyDescent="0.5"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0:34" ht="17.350000000000001" x14ac:dyDescent="0.5"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0:34" ht="17.350000000000001" x14ac:dyDescent="0.5"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0:34" ht="17.350000000000001" x14ac:dyDescent="0.5"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0:34" ht="17.350000000000001" x14ac:dyDescent="0.5"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0:34" ht="17.350000000000001" x14ac:dyDescent="0.5"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0:34" ht="17.350000000000001" x14ac:dyDescent="0.5"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0:34" ht="17.350000000000001" x14ac:dyDescent="0.5"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0:34" ht="17.350000000000001" x14ac:dyDescent="0.5"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0:34" ht="17.350000000000001" x14ac:dyDescent="0.5"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0:34" ht="17.350000000000001" x14ac:dyDescent="0.5"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0:34" ht="17.350000000000001" x14ac:dyDescent="0.5"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0:34" ht="17.350000000000001" x14ac:dyDescent="0.5"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0:34" ht="17.350000000000001" x14ac:dyDescent="0.5"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0:34" ht="17.350000000000001" x14ac:dyDescent="0.5"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0:34" ht="17.350000000000001" x14ac:dyDescent="0.5"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0:34" ht="17.350000000000001" x14ac:dyDescent="0.5"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0:34" ht="17.350000000000001" x14ac:dyDescent="0.5"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0:34" ht="17.350000000000001" x14ac:dyDescent="0.5"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0:34" ht="17.350000000000001" x14ac:dyDescent="0.5"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0:34" ht="17.350000000000001" x14ac:dyDescent="0.5"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0:34" ht="17.350000000000001" x14ac:dyDescent="0.5"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0:34" ht="17.350000000000001" x14ac:dyDescent="0.5"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0:34" ht="17.350000000000001" x14ac:dyDescent="0.5"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0:34" ht="17.350000000000001" x14ac:dyDescent="0.5"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0:34" ht="17.350000000000001" x14ac:dyDescent="0.5"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0:34" ht="17.350000000000001" x14ac:dyDescent="0.5"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0:34" ht="17.350000000000001" x14ac:dyDescent="0.5"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0:34" ht="17.350000000000001" x14ac:dyDescent="0.5"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0:34" ht="17.350000000000001" x14ac:dyDescent="0.5"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0:34" ht="17.350000000000001" x14ac:dyDescent="0.5"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0:34" ht="17.350000000000001" x14ac:dyDescent="0.5"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0:34" ht="17.350000000000001" x14ac:dyDescent="0.5"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0:34" ht="17.350000000000001" x14ac:dyDescent="0.5"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0:34" ht="17.350000000000001" x14ac:dyDescent="0.5"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0:34" ht="17.350000000000001" x14ac:dyDescent="0.5"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0:34" ht="17.350000000000001" x14ac:dyDescent="0.5"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0:34" ht="17.350000000000001" x14ac:dyDescent="0.5"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0:34" ht="17.350000000000001" x14ac:dyDescent="0.5"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0:34" ht="17.350000000000001" x14ac:dyDescent="0.5"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0:34" ht="17.350000000000001" x14ac:dyDescent="0.5"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0:34" ht="17.350000000000001" x14ac:dyDescent="0.5"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0:34" ht="17.350000000000001" x14ac:dyDescent="0.5"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0:34" ht="17.350000000000001" x14ac:dyDescent="0.5"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0:34" ht="17.350000000000001" x14ac:dyDescent="0.5"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0:34" ht="17.350000000000001" x14ac:dyDescent="0.5"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0:34" ht="17.350000000000001" x14ac:dyDescent="0.5"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0:34" ht="17.350000000000001" x14ac:dyDescent="0.5"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0:34" ht="17.350000000000001" x14ac:dyDescent="0.5"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0:34" ht="17.350000000000001" x14ac:dyDescent="0.5"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0:34" ht="17.350000000000001" x14ac:dyDescent="0.5"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0:34" ht="17.350000000000001" x14ac:dyDescent="0.5"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0:34" ht="17.350000000000001" x14ac:dyDescent="0.5"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0:34" ht="17.350000000000001" x14ac:dyDescent="0.5"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0:34" ht="17.350000000000001" x14ac:dyDescent="0.5"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0:34" ht="17.350000000000001" x14ac:dyDescent="0.5"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0:34" ht="17.350000000000001" x14ac:dyDescent="0.5"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0:34" ht="17.350000000000001" x14ac:dyDescent="0.5"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0:34" ht="17.350000000000001" x14ac:dyDescent="0.5"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0:34" ht="17.350000000000001" x14ac:dyDescent="0.5"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0:34" ht="17.350000000000001" x14ac:dyDescent="0.5"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0:34" ht="17.350000000000001" x14ac:dyDescent="0.5"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0:34" ht="17.350000000000001" x14ac:dyDescent="0.5"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0:34" ht="17.350000000000001" x14ac:dyDescent="0.5"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0:34" ht="17.350000000000001" x14ac:dyDescent="0.5"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0:34" ht="17.350000000000001" x14ac:dyDescent="0.5"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0:34" ht="17.350000000000001" x14ac:dyDescent="0.5"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0:34" ht="17.350000000000001" x14ac:dyDescent="0.5"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0:34" ht="17.350000000000001" x14ac:dyDescent="0.5"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0:34" ht="17.350000000000001" x14ac:dyDescent="0.5"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0:34" ht="17.350000000000001" x14ac:dyDescent="0.5"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0:34" ht="17.350000000000001" x14ac:dyDescent="0.5"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0:34" ht="17.350000000000001" x14ac:dyDescent="0.5"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0:34" ht="17.350000000000001" x14ac:dyDescent="0.5"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0:34" ht="17.350000000000001" x14ac:dyDescent="0.5"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0:34" ht="17.350000000000001" x14ac:dyDescent="0.5"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0:34" ht="17.350000000000001" x14ac:dyDescent="0.5"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0:34" ht="17.350000000000001" x14ac:dyDescent="0.5"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0:34" ht="17.350000000000001" x14ac:dyDescent="0.5"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0:34" ht="17.350000000000001" x14ac:dyDescent="0.5"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0:34" ht="17.350000000000001" x14ac:dyDescent="0.5"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0:34" ht="17.350000000000001" x14ac:dyDescent="0.5"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0:34" ht="17.350000000000001" x14ac:dyDescent="0.5"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0:34" ht="17.350000000000001" x14ac:dyDescent="0.5"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0:34" ht="17.350000000000001" x14ac:dyDescent="0.5"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0:34" ht="17.350000000000001" x14ac:dyDescent="0.5"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0:34" ht="17.350000000000001" x14ac:dyDescent="0.5"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0:34" ht="17.350000000000001" x14ac:dyDescent="0.5"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0:34" ht="17.350000000000001" x14ac:dyDescent="0.5"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0:34" ht="17.350000000000001" x14ac:dyDescent="0.5"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0:34" ht="17.350000000000001" x14ac:dyDescent="0.5"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0:34" ht="17.350000000000001" x14ac:dyDescent="0.5"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0:34" ht="17.350000000000001" x14ac:dyDescent="0.5"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0:34" ht="17.350000000000001" x14ac:dyDescent="0.5"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0:34" ht="17.350000000000001" x14ac:dyDescent="0.5"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0:34" ht="17.350000000000001" x14ac:dyDescent="0.5"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0:34" ht="17.350000000000001" x14ac:dyDescent="0.5"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0:34" ht="17.350000000000001" x14ac:dyDescent="0.5"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0:34" ht="17.350000000000001" x14ac:dyDescent="0.5"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0:34" ht="17.350000000000001" x14ac:dyDescent="0.5"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0:34" ht="17.350000000000001" x14ac:dyDescent="0.5"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0:34" ht="17.350000000000001" x14ac:dyDescent="0.5"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0:34" ht="17.350000000000001" x14ac:dyDescent="0.5"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0:34" ht="17.350000000000001" x14ac:dyDescent="0.5"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0:34" ht="17.350000000000001" x14ac:dyDescent="0.5"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0:34" ht="17.350000000000001" x14ac:dyDescent="0.5"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0:34" ht="17.350000000000001" x14ac:dyDescent="0.5"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0:34" ht="17.350000000000001" x14ac:dyDescent="0.5"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0:34" ht="17.350000000000001" x14ac:dyDescent="0.5"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0:34" ht="17.350000000000001" x14ac:dyDescent="0.5"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0:34" ht="17.350000000000001" x14ac:dyDescent="0.5"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0:34" ht="17.350000000000001" x14ac:dyDescent="0.5"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0:34" ht="17.350000000000001" x14ac:dyDescent="0.5"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0:34" ht="17.350000000000001" x14ac:dyDescent="0.5"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0:34" ht="17.350000000000001" x14ac:dyDescent="0.5"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0:34" ht="17.350000000000001" x14ac:dyDescent="0.5"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0:34" ht="17.350000000000001" x14ac:dyDescent="0.5"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0:34" ht="17.350000000000001" x14ac:dyDescent="0.5"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0:34" ht="17.350000000000001" x14ac:dyDescent="0.5"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0:34" ht="17.350000000000001" x14ac:dyDescent="0.5"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0:34" ht="17.350000000000001" x14ac:dyDescent="0.5"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0:34" ht="17.350000000000001" x14ac:dyDescent="0.5"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0:34" ht="17.350000000000001" x14ac:dyDescent="0.5"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0:34" ht="17.350000000000001" x14ac:dyDescent="0.5"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0:34" ht="17.350000000000001" x14ac:dyDescent="0.5"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0:34" ht="17.350000000000001" x14ac:dyDescent="0.5"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0:34" ht="17.350000000000001" x14ac:dyDescent="0.5"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0:34" ht="17.350000000000001" x14ac:dyDescent="0.5"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0:34" ht="17.350000000000001" x14ac:dyDescent="0.5"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0:34" ht="17.350000000000001" x14ac:dyDescent="0.5"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0:34" ht="17.350000000000001" x14ac:dyDescent="0.5"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0:34" ht="17.350000000000001" x14ac:dyDescent="0.5"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0:34" ht="17.350000000000001" x14ac:dyDescent="0.5"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0:34" ht="17.350000000000001" x14ac:dyDescent="0.5"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0:34" ht="17.350000000000001" x14ac:dyDescent="0.5"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0:34" ht="17.350000000000001" x14ac:dyDescent="0.5"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0:34" ht="17.350000000000001" x14ac:dyDescent="0.5"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0:34" ht="17.350000000000001" x14ac:dyDescent="0.5"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0:34" ht="17.350000000000001" x14ac:dyDescent="0.5"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0:34" ht="17.350000000000001" x14ac:dyDescent="0.5"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0:34" ht="17.350000000000001" x14ac:dyDescent="0.5"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0:34" ht="17.350000000000001" x14ac:dyDescent="0.5"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0:34" ht="17.350000000000001" x14ac:dyDescent="0.5"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0:34" ht="17.350000000000001" x14ac:dyDescent="0.5"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0:34" ht="17.350000000000001" x14ac:dyDescent="0.5"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0:34" ht="17.350000000000001" x14ac:dyDescent="0.5"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0:34" ht="17.350000000000001" x14ac:dyDescent="0.5"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0:34" ht="17.350000000000001" x14ac:dyDescent="0.5"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0:34" ht="17.350000000000001" x14ac:dyDescent="0.5"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0:34" ht="17.350000000000001" x14ac:dyDescent="0.5"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0:34" ht="17.350000000000001" x14ac:dyDescent="0.5"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0:34" ht="17.350000000000001" x14ac:dyDescent="0.5"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0:34" ht="17.350000000000001" x14ac:dyDescent="0.5"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0:34" ht="17.350000000000001" x14ac:dyDescent="0.5"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0:34" ht="17.350000000000001" x14ac:dyDescent="0.5"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0:34" ht="17.350000000000001" x14ac:dyDescent="0.5"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0:34" ht="17.350000000000001" x14ac:dyDescent="0.5"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0:34" ht="17.350000000000001" x14ac:dyDescent="0.5"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0:34" ht="17.350000000000001" x14ac:dyDescent="0.5"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0:34" ht="17.350000000000001" x14ac:dyDescent="0.5"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0:34" ht="17.350000000000001" x14ac:dyDescent="0.5"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0:34" ht="17.350000000000001" x14ac:dyDescent="0.5"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0:34" ht="17.350000000000001" x14ac:dyDescent="0.5"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0:34" ht="17.350000000000001" x14ac:dyDescent="0.5"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0:34" ht="17.350000000000001" x14ac:dyDescent="0.5"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0:34" ht="17.350000000000001" x14ac:dyDescent="0.5"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0:34" ht="17.350000000000001" x14ac:dyDescent="0.5"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0:34" ht="17.350000000000001" x14ac:dyDescent="0.5"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0:34" ht="17.350000000000001" x14ac:dyDescent="0.5"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0:34" ht="17.350000000000001" x14ac:dyDescent="0.5"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0:34" ht="17.350000000000001" x14ac:dyDescent="0.5"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0:34" ht="17.350000000000001" x14ac:dyDescent="0.5"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0:34" ht="17.350000000000001" x14ac:dyDescent="0.5"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0:34" ht="17.350000000000001" x14ac:dyDescent="0.5"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0:34" ht="17.350000000000001" x14ac:dyDescent="0.5"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0:34" ht="17.350000000000001" x14ac:dyDescent="0.5"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0:34" ht="17.350000000000001" x14ac:dyDescent="0.5"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0:34" ht="17.350000000000001" x14ac:dyDescent="0.5"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0:34" ht="17.350000000000001" x14ac:dyDescent="0.5"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0:34" ht="17.350000000000001" x14ac:dyDescent="0.5"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0:34" ht="17.350000000000001" x14ac:dyDescent="0.5"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0:34" ht="17.350000000000001" x14ac:dyDescent="0.5"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0:34" ht="17.350000000000001" x14ac:dyDescent="0.5"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0:34" ht="17.350000000000001" x14ac:dyDescent="0.5"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0:34" ht="17.350000000000001" x14ac:dyDescent="0.5"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0:34" ht="17.350000000000001" x14ac:dyDescent="0.5"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0:34" ht="17.350000000000001" x14ac:dyDescent="0.5"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0:34" ht="17.350000000000001" x14ac:dyDescent="0.5"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0:34" ht="17.350000000000001" x14ac:dyDescent="0.5"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0:34" ht="17.350000000000001" x14ac:dyDescent="0.5"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0:34" ht="17.350000000000001" x14ac:dyDescent="0.5"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0:34" ht="17.350000000000001" x14ac:dyDescent="0.5"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0:34" ht="17.350000000000001" x14ac:dyDescent="0.5"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0:34" ht="17.350000000000001" x14ac:dyDescent="0.5"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0:34" ht="17.350000000000001" x14ac:dyDescent="0.5"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0:34" ht="17.350000000000001" x14ac:dyDescent="0.5"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0:34" ht="17.350000000000001" x14ac:dyDescent="0.5"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0:34" ht="17.350000000000001" x14ac:dyDescent="0.5"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0:34" ht="17.350000000000001" x14ac:dyDescent="0.5"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0:34" ht="17.350000000000001" x14ac:dyDescent="0.5"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0:34" ht="17.350000000000001" x14ac:dyDescent="0.5"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0:34" ht="17.350000000000001" x14ac:dyDescent="0.5"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0:34" ht="17.350000000000001" x14ac:dyDescent="0.5"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0:34" ht="17.350000000000001" x14ac:dyDescent="0.5"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0:34" ht="17.350000000000001" x14ac:dyDescent="0.5"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0:34" ht="17.350000000000001" x14ac:dyDescent="0.5"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0:34" ht="17.350000000000001" x14ac:dyDescent="0.5"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0:34" ht="17.350000000000001" x14ac:dyDescent="0.5"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0:34" ht="17.350000000000001" x14ac:dyDescent="0.5"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0:34" ht="17.350000000000001" x14ac:dyDescent="0.5"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0:34" ht="17.350000000000001" x14ac:dyDescent="0.5"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0:34" ht="17.350000000000001" x14ac:dyDescent="0.5"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0:34" ht="17.350000000000001" x14ac:dyDescent="0.5"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0:34" ht="17.350000000000001" x14ac:dyDescent="0.5"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0:34" ht="17.350000000000001" x14ac:dyDescent="0.5"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0:34" ht="17.350000000000001" x14ac:dyDescent="0.5"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0:34" ht="17.350000000000001" x14ac:dyDescent="0.5"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0:34" ht="17.350000000000001" x14ac:dyDescent="0.5"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0:34" ht="17.350000000000001" x14ac:dyDescent="0.5"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0:34" ht="17.350000000000001" x14ac:dyDescent="0.5"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0:34" ht="17.350000000000001" x14ac:dyDescent="0.5"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0:34" ht="17.350000000000001" x14ac:dyDescent="0.5"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0:34" ht="17.350000000000001" x14ac:dyDescent="0.5"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0:34" ht="17.350000000000001" x14ac:dyDescent="0.5"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0:34" ht="17.350000000000001" x14ac:dyDescent="0.5"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0:34" ht="17.350000000000001" x14ac:dyDescent="0.5"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0:34" ht="17.350000000000001" x14ac:dyDescent="0.5"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0:34" ht="17.350000000000001" x14ac:dyDescent="0.5"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0:34" ht="17.350000000000001" x14ac:dyDescent="0.5"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0:34" ht="17.350000000000001" x14ac:dyDescent="0.5"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0:34" ht="17.350000000000001" x14ac:dyDescent="0.5"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0:34" ht="17.350000000000001" x14ac:dyDescent="0.5"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0:34" ht="17.350000000000001" x14ac:dyDescent="0.5"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0:34" ht="17.350000000000001" x14ac:dyDescent="0.5"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0:34" ht="17.350000000000001" x14ac:dyDescent="0.5"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0:34" ht="17.350000000000001" x14ac:dyDescent="0.5"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0:34" ht="17.350000000000001" x14ac:dyDescent="0.5"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0:34" ht="17.350000000000001" x14ac:dyDescent="0.5"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0:34" ht="17.350000000000001" x14ac:dyDescent="0.5"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0:34" ht="17.350000000000001" x14ac:dyDescent="0.5"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0:34" ht="17.350000000000001" x14ac:dyDescent="0.5"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0:34" ht="17.350000000000001" x14ac:dyDescent="0.5"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0:34" ht="17.350000000000001" x14ac:dyDescent="0.5"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0:34" ht="17.350000000000001" x14ac:dyDescent="0.5"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0:34" ht="17.350000000000001" x14ac:dyDescent="0.5"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0:34" ht="17.350000000000001" x14ac:dyDescent="0.5"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0:34" ht="17.350000000000001" x14ac:dyDescent="0.5"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0:34" ht="17.350000000000001" x14ac:dyDescent="0.5"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0:34" ht="17.350000000000001" x14ac:dyDescent="0.5"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0:34" ht="17.350000000000001" x14ac:dyDescent="0.5"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0:34" ht="17.350000000000001" x14ac:dyDescent="0.5"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0:34" ht="17.350000000000001" x14ac:dyDescent="0.5"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0:34" ht="17.350000000000001" x14ac:dyDescent="0.5"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0:34" ht="17.350000000000001" x14ac:dyDescent="0.5"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0:34" ht="17.350000000000001" x14ac:dyDescent="0.5"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0:34" ht="17.350000000000001" x14ac:dyDescent="0.5"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0:34" ht="17.350000000000001" x14ac:dyDescent="0.5"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0:34" ht="17.350000000000001" x14ac:dyDescent="0.5"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0:34" ht="17.350000000000001" x14ac:dyDescent="0.5"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0:34" ht="17.350000000000001" x14ac:dyDescent="0.5"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0:34" ht="17.350000000000001" x14ac:dyDescent="0.5"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0:34" ht="17.350000000000001" x14ac:dyDescent="0.5"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0:34" ht="17.350000000000001" x14ac:dyDescent="0.5"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0:34" ht="17.350000000000001" x14ac:dyDescent="0.5"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0:34" ht="17.350000000000001" x14ac:dyDescent="0.5"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0:34" ht="17.350000000000001" x14ac:dyDescent="0.5"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0:34" ht="17.350000000000001" x14ac:dyDescent="0.5"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0:34" ht="17.350000000000001" x14ac:dyDescent="0.5"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0:34" ht="17.350000000000001" x14ac:dyDescent="0.5"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0:34" ht="17.350000000000001" x14ac:dyDescent="0.5"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0:34" ht="17.350000000000001" x14ac:dyDescent="0.5"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0:34" ht="17.350000000000001" x14ac:dyDescent="0.5"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0:34" ht="17.350000000000001" x14ac:dyDescent="0.5"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0:34" ht="17.350000000000001" x14ac:dyDescent="0.5"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0:34" ht="17.350000000000001" x14ac:dyDescent="0.5"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0:34" ht="17.350000000000001" x14ac:dyDescent="0.5"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0:34" ht="17.350000000000001" x14ac:dyDescent="0.5"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0:34" ht="17.350000000000001" x14ac:dyDescent="0.5"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0:34" ht="17.350000000000001" x14ac:dyDescent="0.5"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0:34" ht="17.350000000000001" x14ac:dyDescent="0.5"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0:34" ht="17.350000000000001" x14ac:dyDescent="0.5"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0:34" ht="17.350000000000001" x14ac:dyDescent="0.5"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0:34" ht="17.350000000000001" x14ac:dyDescent="0.5"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0:34" ht="17.350000000000001" x14ac:dyDescent="0.5"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0:34" ht="17.350000000000001" x14ac:dyDescent="0.5"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0:34" ht="17.350000000000001" x14ac:dyDescent="0.5"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0:34" ht="17.350000000000001" x14ac:dyDescent="0.5"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0:34" ht="17.350000000000001" x14ac:dyDescent="0.5"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0:34" ht="17.350000000000001" x14ac:dyDescent="0.5"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0:34" ht="17.350000000000001" x14ac:dyDescent="0.5"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0:34" ht="17.350000000000001" x14ac:dyDescent="0.5"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0:34" ht="17.350000000000001" x14ac:dyDescent="0.5"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0:34" ht="17.350000000000001" x14ac:dyDescent="0.5"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0:34" ht="17.350000000000001" x14ac:dyDescent="0.5"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0:34" ht="17.350000000000001" x14ac:dyDescent="0.5"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0:34" ht="17.350000000000001" x14ac:dyDescent="0.5"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0:34" ht="17.350000000000001" x14ac:dyDescent="0.5"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0:34" ht="17.350000000000001" x14ac:dyDescent="0.5"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0:34" ht="17.350000000000001" x14ac:dyDescent="0.5"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0:34" ht="17.350000000000001" x14ac:dyDescent="0.5"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0:34" ht="17.350000000000001" x14ac:dyDescent="0.5"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0:34" ht="17.350000000000001" x14ac:dyDescent="0.5"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0:34" ht="17.350000000000001" x14ac:dyDescent="0.5"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0:34" ht="17.350000000000001" x14ac:dyDescent="0.5"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0:34" ht="17.350000000000001" x14ac:dyDescent="0.5"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0:34" ht="17.350000000000001" x14ac:dyDescent="0.5"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0:34" ht="17.350000000000001" x14ac:dyDescent="0.5"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0:34" ht="17.350000000000001" x14ac:dyDescent="0.5"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0:34" ht="17.350000000000001" x14ac:dyDescent="0.5"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0:34" ht="17.350000000000001" x14ac:dyDescent="0.5"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0:34" ht="17.350000000000001" x14ac:dyDescent="0.5"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0:34" ht="17.350000000000001" x14ac:dyDescent="0.5"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0:34" ht="17.350000000000001" x14ac:dyDescent="0.5"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0:34" ht="17.350000000000001" x14ac:dyDescent="0.5"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0:34" ht="17.350000000000001" x14ac:dyDescent="0.5"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0:34" ht="17.350000000000001" x14ac:dyDescent="0.5"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0:34" ht="17.350000000000001" x14ac:dyDescent="0.5"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0:34" ht="17.350000000000001" x14ac:dyDescent="0.5"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0:34" ht="17.350000000000001" x14ac:dyDescent="0.5"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0:34" ht="17.350000000000001" x14ac:dyDescent="0.5"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0:34" ht="17.350000000000001" x14ac:dyDescent="0.5"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0:34" ht="17.350000000000001" x14ac:dyDescent="0.5"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0:34" ht="17.350000000000001" x14ac:dyDescent="0.5"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0:34" ht="17.350000000000001" x14ac:dyDescent="0.5"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0:34" ht="17.350000000000001" x14ac:dyDescent="0.5"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0:34" ht="17.350000000000001" x14ac:dyDescent="0.5"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0:34" ht="17.350000000000001" x14ac:dyDescent="0.5"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0:34" ht="17.350000000000001" x14ac:dyDescent="0.5"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0:34" ht="17.350000000000001" x14ac:dyDescent="0.5"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0:34" ht="17.350000000000001" x14ac:dyDescent="0.5"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0:34" ht="17.350000000000001" x14ac:dyDescent="0.5"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0:34" ht="17.350000000000001" x14ac:dyDescent="0.5"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0:34" ht="17.350000000000001" x14ac:dyDescent="0.5"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0:34" ht="17.350000000000001" x14ac:dyDescent="0.5"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0:34" ht="17.350000000000001" x14ac:dyDescent="0.5"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0:34" ht="17.350000000000001" x14ac:dyDescent="0.5"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0:34" ht="17.350000000000001" x14ac:dyDescent="0.5"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0:34" ht="17.350000000000001" x14ac:dyDescent="0.5"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0:34" ht="17.350000000000001" x14ac:dyDescent="0.5"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0:34" ht="17.350000000000001" x14ac:dyDescent="0.5"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0:34" ht="17.350000000000001" x14ac:dyDescent="0.5"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0:34" ht="17.350000000000001" x14ac:dyDescent="0.5"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0:34" ht="17.350000000000001" x14ac:dyDescent="0.5"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0:34" ht="17.350000000000001" x14ac:dyDescent="0.5"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0:34" ht="17.350000000000001" x14ac:dyDescent="0.5"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0:34" ht="17.350000000000001" x14ac:dyDescent="0.5"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0:34" ht="17.350000000000001" x14ac:dyDescent="0.5"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0:34" ht="17.350000000000001" x14ac:dyDescent="0.5"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0:34" ht="17.350000000000001" x14ac:dyDescent="0.5"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0:34" ht="17.350000000000001" x14ac:dyDescent="0.5"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0:34" ht="17.350000000000001" x14ac:dyDescent="0.5"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0:34" ht="17.350000000000001" x14ac:dyDescent="0.5"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0:34" ht="17.350000000000001" x14ac:dyDescent="0.5"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0:34" ht="17.350000000000001" x14ac:dyDescent="0.5"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0:34" ht="17.350000000000001" x14ac:dyDescent="0.5"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0:34" ht="17.350000000000001" x14ac:dyDescent="0.5"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0:34" ht="17.350000000000001" x14ac:dyDescent="0.5"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0:34" ht="17.350000000000001" x14ac:dyDescent="0.5"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0:34" ht="17.350000000000001" x14ac:dyDescent="0.5"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0:34" ht="17.350000000000001" x14ac:dyDescent="0.5"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0:34" ht="17.350000000000001" x14ac:dyDescent="0.5"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0:34" ht="17.350000000000001" x14ac:dyDescent="0.5"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0:34" ht="17.350000000000001" x14ac:dyDescent="0.5"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0:34" ht="17.350000000000001" x14ac:dyDescent="0.5"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0:34" ht="17.350000000000001" x14ac:dyDescent="0.5"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0:34" ht="17.350000000000001" x14ac:dyDescent="0.5"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0:34" ht="17.350000000000001" x14ac:dyDescent="0.5"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0:34" ht="17.350000000000001" x14ac:dyDescent="0.5"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0:34" ht="17.350000000000001" x14ac:dyDescent="0.5"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0:34" ht="17.350000000000001" x14ac:dyDescent="0.5"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0:34" ht="17.350000000000001" x14ac:dyDescent="0.5"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0:34" ht="17.350000000000001" x14ac:dyDescent="0.5"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0:34" ht="17.350000000000001" x14ac:dyDescent="0.5"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0:34" ht="17.350000000000001" x14ac:dyDescent="0.5"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0:34" ht="17.350000000000001" x14ac:dyDescent="0.5"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0:34" ht="17.350000000000001" x14ac:dyDescent="0.5"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0:34" ht="17.350000000000001" x14ac:dyDescent="0.5"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0:34" ht="17.350000000000001" x14ac:dyDescent="0.5"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0:34" ht="17.350000000000001" x14ac:dyDescent="0.5"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0:34" ht="17.350000000000001" x14ac:dyDescent="0.5"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0:34" ht="17.350000000000001" x14ac:dyDescent="0.5"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0:34" ht="17.350000000000001" x14ac:dyDescent="0.5"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0:34" ht="17.350000000000001" x14ac:dyDescent="0.5"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0:34" ht="17.350000000000001" x14ac:dyDescent="0.5"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0:34" ht="17.350000000000001" x14ac:dyDescent="0.5"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0:34" ht="17.350000000000001" x14ac:dyDescent="0.5"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0:34" ht="17.350000000000001" x14ac:dyDescent="0.5"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0:34" ht="17.350000000000001" x14ac:dyDescent="0.5"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0:34" ht="17.350000000000001" x14ac:dyDescent="0.5"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0:34" ht="17.350000000000001" x14ac:dyDescent="0.5"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0:34" ht="17.350000000000001" x14ac:dyDescent="0.5"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0:34" ht="17.350000000000001" x14ac:dyDescent="0.5"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0:34" ht="17.350000000000001" x14ac:dyDescent="0.5"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0:34" ht="17.350000000000001" x14ac:dyDescent="0.5"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0:34" ht="17.350000000000001" x14ac:dyDescent="0.5"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0:34" ht="17.350000000000001" x14ac:dyDescent="0.5"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0:34" ht="17.350000000000001" x14ac:dyDescent="0.5"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0:34" ht="17.350000000000001" x14ac:dyDescent="0.5"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0:34" ht="17.350000000000001" x14ac:dyDescent="0.5"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0:34" ht="17.350000000000001" x14ac:dyDescent="0.5"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0:34" ht="17.350000000000001" x14ac:dyDescent="0.5"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0:34" ht="17.350000000000001" x14ac:dyDescent="0.5"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0:34" ht="17.350000000000001" x14ac:dyDescent="0.5"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0:34" ht="17.350000000000001" x14ac:dyDescent="0.5"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0:34" ht="17.350000000000001" x14ac:dyDescent="0.5"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0:34" ht="17.350000000000001" x14ac:dyDescent="0.5"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0:34" ht="17.350000000000001" x14ac:dyDescent="0.5"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0:34" ht="17.350000000000001" x14ac:dyDescent="0.5"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0:34" ht="17.350000000000001" x14ac:dyDescent="0.5"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0:34" ht="17.350000000000001" x14ac:dyDescent="0.5"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0:34" ht="17.350000000000001" x14ac:dyDescent="0.5"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0:34" ht="17.350000000000001" x14ac:dyDescent="0.5"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0:34" ht="17.350000000000001" x14ac:dyDescent="0.5"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0:34" ht="17.350000000000001" x14ac:dyDescent="0.5"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0:34" ht="17.350000000000001" x14ac:dyDescent="0.5"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0:34" ht="17.350000000000001" x14ac:dyDescent="0.5"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0:34" ht="17.350000000000001" x14ac:dyDescent="0.5"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0:34" ht="17.350000000000001" x14ac:dyDescent="0.5"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0:34" ht="17.350000000000001" x14ac:dyDescent="0.5"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0:34" ht="17.350000000000001" x14ac:dyDescent="0.5"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0:34" ht="17.350000000000001" x14ac:dyDescent="0.5"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0:34" ht="17.350000000000001" x14ac:dyDescent="0.5"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0:34" ht="17.350000000000001" x14ac:dyDescent="0.5"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0:34" ht="17.350000000000001" x14ac:dyDescent="0.5"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0:34" ht="17.350000000000001" x14ac:dyDescent="0.5"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0:34" ht="17.350000000000001" x14ac:dyDescent="0.5"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0:34" ht="17.350000000000001" x14ac:dyDescent="0.5"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0:34" ht="17.350000000000001" x14ac:dyDescent="0.5"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0:34" ht="17.350000000000001" x14ac:dyDescent="0.5"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0:34" ht="17.350000000000001" x14ac:dyDescent="0.5"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0:34" ht="17.350000000000001" x14ac:dyDescent="0.5"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0:34" ht="17.350000000000001" x14ac:dyDescent="0.5"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0:34" ht="17.350000000000001" x14ac:dyDescent="0.5"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0:34" ht="17.350000000000001" x14ac:dyDescent="0.5"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0:34" ht="17.350000000000001" x14ac:dyDescent="0.5"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0:34" ht="17.350000000000001" x14ac:dyDescent="0.5"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0:34" ht="17.350000000000001" x14ac:dyDescent="0.5"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0:34" ht="17.350000000000001" x14ac:dyDescent="0.5"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0:34" ht="17.350000000000001" x14ac:dyDescent="0.5"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0:34" ht="17.350000000000001" x14ac:dyDescent="0.5"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0:34" ht="17.350000000000001" x14ac:dyDescent="0.5"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0:34" ht="17.350000000000001" x14ac:dyDescent="0.5"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0:34" ht="17.350000000000001" x14ac:dyDescent="0.5"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0:34" ht="17.350000000000001" x14ac:dyDescent="0.5"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0:34" ht="17.350000000000001" x14ac:dyDescent="0.5"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0:34" ht="17.350000000000001" x14ac:dyDescent="0.5"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0:34" ht="17.350000000000001" x14ac:dyDescent="0.5"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0:34" ht="17.350000000000001" x14ac:dyDescent="0.5"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0:34" ht="17.350000000000001" x14ac:dyDescent="0.5"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0:34" ht="17.350000000000001" x14ac:dyDescent="0.5"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0:34" ht="17.350000000000001" x14ac:dyDescent="0.5"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0:34" ht="17.350000000000001" x14ac:dyDescent="0.5"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0:34" ht="17.350000000000001" x14ac:dyDescent="0.5"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0:34" ht="17.350000000000001" x14ac:dyDescent="0.5"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0:34" ht="17.350000000000001" x14ac:dyDescent="0.5"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0:34" ht="17.350000000000001" x14ac:dyDescent="0.5"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0:34" ht="17.350000000000001" x14ac:dyDescent="0.5"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0:34" ht="17.350000000000001" x14ac:dyDescent="0.5"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0:34" ht="17.350000000000001" x14ac:dyDescent="0.5"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0:34" ht="17.350000000000001" x14ac:dyDescent="0.5"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0:34" ht="17.350000000000001" x14ac:dyDescent="0.5"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0:34" ht="17.350000000000001" x14ac:dyDescent="0.5"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0:34" ht="17.350000000000001" x14ac:dyDescent="0.5"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0:34" ht="17.350000000000001" x14ac:dyDescent="0.5"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0:34" ht="17.350000000000001" x14ac:dyDescent="0.5"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0:34" ht="17.350000000000001" x14ac:dyDescent="0.5"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0:34" ht="17.350000000000001" x14ac:dyDescent="0.5"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0:34" ht="17.350000000000001" x14ac:dyDescent="0.5"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0:34" ht="17.350000000000001" x14ac:dyDescent="0.5"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0:34" ht="17.350000000000001" x14ac:dyDescent="0.5"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0:34" ht="17.350000000000001" x14ac:dyDescent="0.5"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0:34" ht="17.350000000000001" x14ac:dyDescent="0.5"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0:34" ht="17.350000000000001" x14ac:dyDescent="0.5"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0:34" ht="17.350000000000001" x14ac:dyDescent="0.5"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0:34" ht="17.350000000000001" x14ac:dyDescent="0.5"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0:34" ht="17.350000000000001" x14ac:dyDescent="0.5"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0:34" ht="17.350000000000001" x14ac:dyDescent="0.5"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0:34" ht="17.350000000000001" x14ac:dyDescent="0.5"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0:34" ht="17.350000000000001" x14ac:dyDescent="0.5"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0:34" ht="17.350000000000001" x14ac:dyDescent="0.5"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0:34" ht="17.350000000000001" x14ac:dyDescent="0.5"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0:34" ht="17.350000000000001" x14ac:dyDescent="0.5"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0:34" ht="17.350000000000001" x14ac:dyDescent="0.5"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0:34" ht="17.350000000000001" x14ac:dyDescent="0.5"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0:34" ht="17.350000000000001" x14ac:dyDescent="0.5"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0:34" ht="17.350000000000001" x14ac:dyDescent="0.5"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0:34" ht="17.350000000000001" x14ac:dyDescent="0.5"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0:34" ht="17.350000000000001" x14ac:dyDescent="0.5"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0:34" ht="17.350000000000001" x14ac:dyDescent="0.5"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0:34" ht="17.350000000000001" x14ac:dyDescent="0.5"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0:34" ht="17.350000000000001" x14ac:dyDescent="0.5"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0:34" ht="17.350000000000001" x14ac:dyDescent="0.5"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0:34" ht="17.350000000000001" x14ac:dyDescent="0.5"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0:34" ht="17.350000000000001" x14ac:dyDescent="0.5"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0:34" ht="17.350000000000001" x14ac:dyDescent="0.5"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0:34" ht="17.350000000000001" x14ac:dyDescent="0.5"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0:34" ht="17.350000000000001" x14ac:dyDescent="0.5"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0:34" ht="17.350000000000001" x14ac:dyDescent="0.5"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0:34" ht="17.350000000000001" x14ac:dyDescent="0.5"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0:34" ht="17.350000000000001" x14ac:dyDescent="0.5"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0:34" ht="17.350000000000001" x14ac:dyDescent="0.5"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0:34" ht="17.350000000000001" x14ac:dyDescent="0.5"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0:34" ht="17.350000000000001" x14ac:dyDescent="0.5"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0:34" ht="17.350000000000001" x14ac:dyDescent="0.5"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0:34" ht="17.350000000000001" x14ac:dyDescent="0.5"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0:34" ht="17.350000000000001" x14ac:dyDescent="0.5"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0:34" ht="17.350000000000001" x14ac:dyDescent="0.5"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0:34" ht="17.350000000000001" x14ac:dyDescent="0.5"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0:34" ht="17.350000000000001" x14ac:dyDescent="0.5"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0:34" ht="17.350000000000001" x14ac:dyDescent="0.5"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0:34" ht="17.350000000000001" x14ac:dyDescent="0.5"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0:34" ht="17.350000000000001" x14ac:dyDescent="0.5"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0:34" ht="17.350000000000001" x14ac:dyDescent="0.5"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0:34" ht="17.350000000000001" x14ac:dyDescent="0.5"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0:34" ht="17.350000000000001" x14ac:dyDescent="0.5"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0:34" ht="17.350000000000001" x14ac:dyDescent="0.5"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0:34" ht="17.350000000000001" x14ac:dyDescent="0.5"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0:34" ht="17.350000000000001" x14ac:dyDescent="0.5"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0:34" ht="17.350000000000001" x14ac:dyDescent="0.5"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0:34" ht="17.350000000000001" x14ac:dyDescent="0.5"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0:34" ht="17.350000000000001" x14ac:dyDescent="0.5"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0:34" ht="17.350000000000001" x14ac:dyDescent="0.5"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0:34" ht="17.350000000000001" x14ac:dyDescent="0.5"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0:34" ht="17.350000000000001" x14ac:dyDescent="0.5"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</sheetData>
  <mergeCells count="7">
    <mergeCell ref="A1:I1"/>
    <mergeCell ref="W2:X2"/>
    <mergeCell ref="L5:M5"/>
    <mergeCell ref="O5:P5"/>
    <mergeCell ref="L21:M21"/>
    <mergeCell ref="O21:P21"/>
    <mergeCell ref="R21:S2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Ejemplo 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Hernandez</dc:creator>
  <cp:lastModifiedBy>Antonio Hernandez</cp:lastModifiedBy>
  <dcterms:created xsi:type="dcterms:W3CDTF">2022-07-11T22:54:46Z</dcterms:created>
  <dcterms:modified xsi:type="dcterms:W3CDTF">2022-07-11T22:56:08Z</dcterms:modified>
</cp:coreProperties>
</file>