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35" windowWidth="15315" windowHeight="978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I2" i="1"/>
  <c r="K2" l="1"/>
  <c r="I9" s="1"/>
  <c r="L2"/>
  <c r="I11" s="1"/>
  <c r="M2"/>
  <c r="I12" s="1"/>
  <c r="I8"/>
  <c r="O2" l="1"/>
  <c r="I6" s="1"/>
  <c r="I5"/>
  <c r="G13"/>
  <c r="K7" l="1"/>
  <c r="N8" s="1"/>
  <c r="O8" s="1"/>
  <c r="P7" s="1"/>
  <c r="Q8" s="1"/>
  <c r="R8" s="1"/>
  <c r="S7" s="1"/>
  <c r="K6"/>
  <c r="O6" s="1"/>
  <c r="Q6" l="1"/>
  <c r="I18" s="1"/>
  <c r="J18" s="1"/>
  <c r="K18" s="1"/>
  <c r="L18" s="1"/>
  <c r="I17" l="1"/>
  <c r="J17" s="1"/>
  <c r="K17" s="1"/>
  <c r="L17" s="1"/>
</calcChain>
</file>

<file path=xl/sharedStrings.xml><?xml version="1.0" encoding="utf-8"?>
<sst xmlns="http://schemas.openxmlformats.org/spreadsheetml/2006/main" count="32" uniqueCount="31">
  <si>
    <t>divisor</t>
  </si>
  <si>
    <t>rate</t>
  </si>
  <si>
    <t>remainder</t>
  </si>
  <si>
    <t>floatRemainder</t>
  </si>
  <si>
    <t>Average Clocks</t>
  </si>
  <si>
    <t>RA Time</t>
  </si>
  <si>
    <t>Error (s)</t>
  </si>
  <si>
    <t>aVal</t>
  </si>
  <si>
    <t>bVal</t>
  </si>
  <si>
    <t>Scalar</t>
  </si>
  <si>
    <t>Error (%)</t>
  </si>
  <si>
    <t>IVal</t>
  </si>
  <si>
    <t>Clocks (10 Hz)</t>
  </si>
  <si>
    <t>Sidereal Day (s)</t>
  </si>
  <si>
    <t>Worm Teeth</t>
  </si>
  <si>
    <t>sVal</t>
  </si>
  <si>
    <t>Step Angle (deg)</t>
  </si>
  <si>
    <t>Overwrite Scalar</t>
  </si>
  <si>
    <t>Use to manually Set Scalar, or leave 0 to use default</t>
  </si>
  <si>
    <t>Change These To Suit Your Mount</t>
  </si>
  <si>
    <t>Do NOT Modify These.</t>
  </si>
  <si>
    <t xml:space="preserve"> 16,</t>
  </si>
  <si>
    <t>1281,</t>
  </si>
  <si>
    <t xml:space="preserve"> </t>
  </si>
  <si>
    <t>This is the initialise code for your mount:</t>
  </si>
  <si>
    <t>Version &gt; 4.0</t>
  </si>
  <si>
    <t>Version &lt; 4.0</t>
  </si>
  <si>
    <t>Software Type</t>
  </si>
  <si>
    <t>Total Gear Ratio</t>
  </si>
  <si>
    <t>Steps per rotation</t>
  </si>
  <si>
    <t>This can be used as an alternative to the "step angle" cell if you know the steps per rotation rather than the angle. (Note, the content of the Step Angle cell will be ignored if this is not 0)</t>
  </si>
</sst>
</file>

<file path=xl/styles.xml><?xml version="1.0" encoding="utf-8"?>
<styleSheet xmlns="http://schemas.openxmlformats.org/spreadsheetml/2006/main">
  <numFmts count="1">
    <numFmt numFmtId="164" formatCode="0.000000"/>
  </numFmts>
  <fonts count="8">
    <font>
      <sz val="11"/>
      <color theme="1"/>
      <name val="Calibri"/>
      <family val="2"/>
      <scheme val="minor"/>
    </font>
    <font>
      <sz val="11"/>
      <color rgb="FFFF0000"/>
      <name val="Calibri"/>
      <family val="2"/>
      <scheme val="minor"/>
    </font>
    <font>
      <b/>
      <sz val="11"/>
      <color theme="3"/>
      <name val="Calibri"/>
      <family val="2"/>
      <scheme val="minor"/>
    </font>
    <font>
      <b/>
      <sz val="11"/>
      <color theme="0"/>
      <name val="Calibri"/>
      <family val="2"/>
      <scheme val="minor"/>
    </font>
    <font>
      <sz val="11"/>
      <color theme="4" tint="-0.249977111117893"/>
      <name val="Calibri"/>
      <family val="2"/>
      <scheme val="minor"/>
    </font>
    <font>
      <b/>
      <sz val="11"/>
      <color theme="4" tint="-0.249977111117893"/>
      <name val="Calibri"/>
      <family val="2"/>
      <scheme val="minor"/>
    </font>
    <font>
      <b/>
      <sz val="11"/>
      <color rgb="FF00B050"/>
      <name val="Calibri"/>
      <family val="2"/>
      <scheme val="minor"/>
    </font>
    <font>
      <b/>
      <sz val="11"/>
      <color rgb="FF7030A0"/>
      <name val="Calibri"/>
      <family val="2"/>
      <scheme val="minor"/>
    </font>
  </fonts>
  <fills count="10">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00B050"/>
        <bgColor indexed="64"/>
      </patternFill>
    </fill>
    <fill>
      <patternFill patternType="solid">
        <fgColor theme="4" tint="0.79998168889431442"/>
        <bgColor theme="4" tint="0.79998168889431442"/>
      </patternFill>
    </fill>
    <fill>
      <patternFill patternType="solid">
        <fgColor theme="8" tint="0.79998168889431442"/>
        <bgColor indexed="64"/>
      </patternFill>
    </fill>
  </fills>
  <borders count="1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op>
      <bottom style="thin">
        <color theme="4"/>
      </bottom>
      <diagonal/>
    </border>
    <border>
      <left/>
      <right/>
      <top/>
      <bottom style="thin">
        <color theme="4"/>
      </bottom>
      <diagonal/>
    </border>
    <border>
      <left style="thin">
        <color theme="4" tint="-0.249977111117893"/>
      </left>
      <right style="thin">
        <color theme="4" tint="-0.249977111117893"/>
      </right>
      <top style="thin">
        <color theme="4"/>
      </top>
      <bottom style="thin">
        <color theme="4"/>
      </bottom>
      <diagonal/>
    </border>
    <border>
      <left style="thin">
        <color theme="4" tint="-0.249977111117893"/>
      </left>
      <right style="thin">
        <color theme="4" tint="-0.249977111117893"/>
      </right>
      <top/>
      <bottom/>
      <diagonal/>
    </border>
    <border>
      <left style="thin">
        <color theme="4" tint="-0.249977111117893"/>
      </left>
      <right style="thin">
        <color theme="4" tint="-0.249977111117893"/>
      </right>
      <top/>
      <bottom style="thin">
        <color theme="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0" fillId="4" borderId="0" xfId="0" applyFill="1" applyAlignment="1">
      <alignment horizontal="center"/>
    </xf>
    <xf numFmtId="0" fontId="0" fillId="0" borderId="0" xfId="0" applyAlignment="1">
      <alignment wrapText="1"/>
    </xf>
    <xf numFmtId="0" fontId="0" fillId="3" borderId="0" xfId="0" applyFill="1" applyAlignment="1">
      <alignment horizontal="center"/>
    </xf>
    <xf numFmtId="0" fontId="0" fillId="0" borderId="0" xfId="0" applyAlignment="1">
      <alignment horizontal="center"/>
    </xf>
    <xf numFmtId="0" fontId="0" fillId="0" borderId="0" xfId="0" applyNumberFormat="1"/>
    <xf numFmtId="0" fontId="0" fillId="5" borderId="0" xfId="0" applyNumberFormat="1" applyFill="1"/>
    <xf numFmtId="0" fontId="0" fillId="2" borderId="0" xfId="0" applyNumberFormat="1" applyFill="1"/>
    <xf numFmtId="164" fontId="0" fillId="0" borderId="0" xfId="0" applyNumberFormat="1"/>
    <xf numFmtId="0" fontId="0" fillId="0" borderId="0" xfId="0" applyAlignment="1"/>
    <xf numFmtId="0" fontId="0" fillId="6" borderId="0" xfId="0" applyFill="1" applyAlignment="1">
      <alignment horizontal="center"/>
    </xf>
    <xf numFmtId="0" fontId="0" fillId="6" borderId="0" xfId="0" applyFill="1" applyAlignment="1">
      <alignment horizontal="right"/>
    </xf>
    <xf numFmtId="0" fontId="0" fillId="6" borderId="0" xfId="0" applyFill="1"/>
    <xf numFmtId="0" fontId="1" fillId="6" borderId="0" xfId="0" applyFont="1" applyFill="1" applyAlignment="1">
      <alignment horizontal="center"/>
    </xf>
    <xf numFmtId="0" fontId="1" fillId="6" borderId="0" xfId="0" applyFont="1" applyFill="1" applyAlignment="1" applyProtection="1">
      <alignment horizontal="center"/>
    </xf>
    <xf numFmtId="0" fontId="7" fillId="6" borderId="1" xfId="0" applyFont="1" applyFill="1" applyBorder="1" applyAlignment="1">
      <alignment horizontal="center"/>
    </xf>
    <xf numFmtId="0" fontId="6" fillId="4" borderId="1" xfId="0" applyFont="1" applyFill="1" applyBorder="1" applyAlignment="1">
      <alignment horizontal="center"/>
    </xf>
    <xf numFmtId="0" fontId="6" fillId="4" borderId="2" xfId="0" applyFont="1" applyFill="1" applyBorder="1" applyAlignment="1">
      <alignment horizontal="center"/>
    </xf>
    <xf numFmtId="0" fontId="2" fillId="3" borderId="1" xfId="0" applyFont="1" applyFill="1" applyBorder="1" applyAlignment="1">
      <alignment horizontal="center"/>
    </xf>
    <xf numFmtId="0" fontId="0" fillId="0" borderId="0" xfId="0" applyAlignment="1">
      <alignment vertical="center"/>
    </xf>
    <xf numFmtId="0" fontId="5" fillId="0" borderId="9" xfId="0" applyFont="1" applyBorder="1"/>
    <xf numFmtId="0" fontId="4" fillId="0" borderId="10" xfId="0" applyFont="1" applyBorder="1" applyAlignment="1">
      <alignment horizontal="right"/>
    </xf>
    <xf numFmtId="0" fontId="4" fillId="8" borderId="0" xfId="0" applyFont="1" applyFill="1" applyBorder="1" applyAlignment="1">
      <alignment horizontal="right"/>
    </xf>
    <xf numFmtId="0" fontId="4" fillId="8" borderId="12" xfId="0" applyFont="1" applyFill="1" applyBorder="1" applyAlignment="1">
      <alignment horizontal="right"/>
    </xf>
    <xf numFmtId="0" fontId="4" fillId="0" borderId="13" xfId="0" applyFont="1" applyBorder="1" applyAlignment="1">
      <alignment horizontal="right"/>
    </xf>
    <xf numFmtId="0" fontId="5" fillId="0" borderId="11" xfId="0" applyFont="1" applyBorder="1" applyAlignment="1">
      <alignment horizontal="center"/>
    </xf>
    <xf numFmtId="0" fontId="6" fillId="4" borderId="15" xfId="0" applyFont="1" applyFill="1" applyBorder="1" applyAlignment="1">
      <alignment horizontal="center"/>
    </xf>
    <xf numFmtId="0" fontId="0" fillId="9" borderId="16" xfId="0" applyFill="1" applyBorder="1" applyAlignment="1">
      <alignment horizontal="center"/>
    </xf>
    <xf numFmtId="0" fontId="6" fillId="9" borderId="14" xfId="0" applyFont="1" applyFill="1" applyBorder="1" applyAlignment="1">
      <alignment horizontal="center"/>
    </xf>
    <xf numFmtId="0" fontId="3" fillId="7" borderId="4" xfId="0" applyFont="1" applyFill="1" applyBorder="1" applyAlignment="1">
      <alignment horizontal="center" vertical="center"/>
    </xf>
    <xf numFmtId="0" fontId="3" fillId="7" borderId="3"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8" xfId="0" applyFont="1" applyFill="1" applyBorder="1" applyAlignment="1">
      <alignment horizontal="center" vertical="center"/>
    </xf>
    <xf numFmtId="0" fontId="0" fillId="3" borderId="3" xfId="0" applyFill="1" applyBorder="1" applyAlignment="1">
      <alignment horizontal="center" vertical="center" wrapText="1"/>
    </xf>
    <xf numFmtId="0" fontId="0" fillId="3" borderId="0" xfId="0" applyFill="1" applyBorder="1" applyAlignment="1">
      <alignment horizontal="center" vertical="center" wrapText="1"/>
    </xf>
    <xf numFmtId="0" fontId="0" fillId="4" borderId="3" xfId="0" applyFill="1" applyBorder="1" applyAlignment="1">
      <alignment horizontal="center" vertical="center"/>
    </xf>
    <xf numFmtId="0" fontId="0" fillId="4" borderId="0" xfId="0" applyFill="1" applyBorder="1" applyAlignment="1">
      <alignment horizontal="center" vertical="center"/>
    </xf>
    <xf numFmtId="0" fontId="0" fillId="6" borderId="0" xfId="0" applyFill="1" applyAlignment="1">
      <alignment horizontal="center" vertical="center"/>
    </xf>
    <xf numFmtId="0" fontId="3" fillId="7" borderId="5" xfId="0" applyFont="1" applyFill="1" applyBorder="1" applyAlignment="1">
      <alignment vertical="center"/>
    </xf>
    <xf numFmtId="0" fontId="3" fillId="7" borderId="8" xfId="0" applyFont="1" applyFill="1" applyBorder="1" applyAlignment="1">
      <alignment vertical="center"/>
    </xf>
    <xf numFmtId="0" fontId="0" fillId="0" borderId="0" xfId="0" applyFill="1" applyBorder="1" applyAlignment="1">
      <alignment vertical="center" wrapText="1"/>
    </xf>
    <xf numFmtId="0" fontId="0" fillId="0" borderId="0" xfId="0" applyFill="1" applyBorder="1"/>
    <xf numFmtId="0" fontId="0" fillId="9" borderId="16" xfId="0" applyFill="1" applyBorder="1" applyAlignment="1">
      <alignment horizontal="center" vertical="center" wrapText="1"/>
    </xf>
    <xf numFmtId="0" fontId="0" fillId="9" borderId="17" xfId="0" applyFill="1" applyBorder="1" applyAlignment="1">
      <alignment horizontal="center" vertical="center" wrapText="1"/>
    </xf>
    <xf numFmtId="0" fontId="0" fillId="9" borderId="18" xfId="0" applyFill="1" applyBorder="1" applyAlignment="1">
      <alignment horizontal="center" vertical="center" wrapText="1"/>
    </xf>
  </cellXfs>
  <cellStyles count="1">
    <cellStyle name="Normal" xfId="0" builtinId="0"/>
  </cellStyles>
  <dxfs count="4">
    <dxf>
      <numFmt numFmtId="164" formatCode="0.000000"/>
    </dxf>
    <dxf>
      <numFmt numFmtId="0" formatCode="General"/>
    </dxf>
    <dxf>
      <numFmt numFmtId="0" formatCode="General"/>
    </dxf>
    <dxf>
      <alignment horizontal="center" vertical="bottom" textRotation="0" wrapText="0" indent="0" relativeIndent="255"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I16:L18" totalsRowShown="0" headerRowDxfId="3">
  <autoFilter ref="I16:L18">
    <filterColumn colId="3"/>
  </autoFilter>
  <tableColumns count="4">
    <tableColumn id="2" name="Average Clocks">
      <calculatedColumnFormula>Q5</calculatedColumnFormula>
    </tableColumn>
    <tableColumn id="3" name="RA Time" dataDxfId="2">
      <calculatedColumnFormula>$I$2*I17/($O$2*10)</calculatedColumnFormula>
    </tableColumn>
    <tableColumn id="4" name="Error (s)" dataDxfId="1">
      <calculatedColumnFormula>J17-$J$2</calculatedColumnFormula>
    </tableColumn>
    <tableColumn id="5" name="Error (%)" dataDxfId="0">
      <calculatedColumnFormula>100*K17/$J$2</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S23"/>
  <sheetViews>
    <sheetView tabSelected="1" workbookViewId="0">
      <selection activeCell="D2" sqref="D2"/>
    </sheetView>
  </sheetViews>
  <sheetFormatPr defaultRowHeight="15"/>
  <cols>
    <col min="1" max="1" width="0.85546875" customWidth="1"/>
    <col min="2" max="2" width="21.140625" customWidth="1"/>
    <col min="3" max="3" width="20" customWidth="1"/>
    <col min="4" max="4" width="16.7109375" customWidth="1"/>
    <col min="5" max="5" width="13.28515625" customWidth="1"/>
    <col min="6" max="6" width="0.85546875" customWidth="1"/>
    <col min="7" max="7" width="24.42578125" customWidth="1"/>
    <col min="8" max="8" width="0.85546875" customWidth="1"/>
    <col min="9" max="10" width="15.140625" customWidth="1"/>
    <col min="11" max="13" width="13.42578125" customWidth="1"/>
    <col min="14" max="14" width="6.28515625" customWidth="1"/>
    <col min="15" max="15" width="13" customWidth="1"/>
    <col min="16" max="16" width="1.28515625" customWidth="1"/>
    <col min="17" max="17" width="18.28515625" customWidth="1"/>
    <col min="18" max="18" width="16.42578125" customWidth="1"/>
    <col min="19" max="19" width="11.7109375" customWidth="1"/>
    <col min="20" max="20" width="10.7109375" customWidth="1"/>
    <col min="21" max="21" width="11.7109375" customWidth="1"/>
  </cols>
  <sheetData>
    <row r="1" spans="2:19" ht="15.75" thickBot="1">
      <c r="B1" s="27" t="s">
        <v>29</v>
      </c>
      <c r="C1" s="1" t="s">
        <v>16</v>
      </c>
      <c r="D1" s="1" t="s">
        <v>28</v>
      </c>
      <c r="E1" s="1" t="s">
        <v>14</v>
      </c>
      <c r="G1" s="3" t="s">
        <v>17</v>
      </c>
      <c r="I1" s="10" t="s">
        <v>7</v>
      </c>
      <c r="J1" s="11" t="s">
        <v>13</v>
      </c>
      <c r="K1" s="10" t="s">
        <v>8</v>
      </c>
      <c r="L1" s="10" t="s">
        <v>15</v>
      </c>
      <c r="M1" s="10" t="s">
        <v>9</v>
      </c>
      <c r="N1" s="11" t="s">
        <v>11</v>
      </c>
      <c r="O1" s="12" t="s">
        <v>12</v>
      </c>
    </row>
    <row r="2" spans="2:19" ht="15.75" thickBot="1">
      <c r="B2" s="28">
        <v>0</v>
      </c>
      <c r="C2" s="26">
        <v>1.8</v>
      </c>
      <c r="D2" s="16">
        <v>705</v>
      </c>
      <c r="E2" s="17">
        <v>144</v>
      </c>
      <c r="G2" s="18">
        <v>0</v>
      </c>
      <c r="I2" s="15">
        <f>D2*IF(B2=0,(360/C2),B2)*64</f>
        <v>9024000</v>
      </c>
      <c r="J2" s="13">
        <v>86164.090500000006</v>
      </c>
      <c r="K2" s="15">
        <f>ROUND(N2*I2/J2,0)</f>
        <v>64933</v>
      </c>
      <c r="L2" s="15">
        <f>ROUND(I2/E2,0)</f>
        <v>62667</v>
      </c>
      <c r="M2" s="15">
        <f>IF(G2=0,ROUNDUP(I2/10000000,0),G2)</f>
        <v>1</v>
      </c>
      <c r="N2" s="13">
        <v>620</v>
      </c>
      <c r="O2" s="14">
        <f>IF(K2&lt;160000,200000,1600000)</f>
        <v>200000</v>
      </c>
    </row>
    <row r="3" spans="2:19" ht="15" customHeight="1">
      <c r="B3" s="44" t="s">
        <v>30</v>
      </c>
      <c r="C3" s="37" t="s">
        <v>19</v>
      </c>
      <c r="D3" s="37"/>
      <c r="E3" s="37"/>
      <c r="G3" s="35" t="s">
        <v>18</v>
      </c>
      <c r="I3" s="39" t="s">
        <v>20</v>
      </c>
      <c r="J3" s="39"/>
      <c r="K3" s="39"/>
      <c r="L3" s="39"/>
      <c r="M3" s="39"/>
      <c r="N3" s="39"/>
      <c r="O3" s="39"/>
    </row>
    <row r="4" spans="2:19" ht="15.75" thickBot="1">
      <c r="B4" s="45"/>
      <c r="C4" s="38"/>
      <c r="D4" s="38"/>
      <c r="E4" s="38"/>
      <c r="G4" s="36"/>
      <c r="I4" s="39"/>
      <c r="J4" s="39"/>
      <c r="K4" s="39"/>
      <c r="L4" s="39"/>
      <c r="M4" s="39"/>
      <c r="N4" s="39"/>
      <c r="O4" s="39"/>
      <c r="P4" s="9"/>
      <c r="Q4" s="9"/>
      <c r="R4" s="9"/>
    </row>
    <row r="5" spans="2:19" ht="15.75" hidden="1" customHeight="1" thickBot="1">
      <c r="B5" s="45"/>
      <c r="I5">
        <f>K2</f>
        <v>64933</v>
      </c>
      <c r="J5" t="s">
        <v>0</v>
      </c>
    </row>
    <row r="6" spans="2:19" ht="15.75" hidden="1" customHeight="1" thickBot="1">
      <c r="B6" s="45"/>
      <c r="I6">
        <f>N2*O2</f>
        <v>124000000</v>
      </c>
      <c r="J6" t="s">
        <v>1</v>
      </c>
      <c r="K6">
        <f>ROUNDDOWN(I6/I5,0)</f>
        <v>1909</v>
      </c>
      <c r="O6">
        <f>K6*10</f>
        <v>19090</v>
      </c>
      <c r="Q6">
        <f>O6+P7</f>
        <v>19096</v>
      </c>
    </row>
    <row r="7" spans="2:19" ht="15.75" hidden="1" customHeight="1" thickBot="1">
      <c r="B7" s="45"/>
      <c r="I7" t="s">
        <v>22</v>
      </c>
      <c r="J7" t="s">
        <v>2</v>
      </c>
      <c r="K7">
        <f>MOD(I6, I5)</f>
        <v>42903</v>
      </c>
      <c r="P7">
        <f>ROUNDDOWN(O8,0)</f>
        <v>6</v>
      </c>
      <c r="S7">
        <f>ROUNDDOWN(R8,0)</f>
        <v>38</v>
      </c>
    </row>
    <row r="8" spans="2:19" ht="15.75" hidden="1" customHeight="1" thickBot="1">
      <c r="B8" s="45"/>
      <c r="I8" t="str">
        <f>CONCATENATE(" ",I2,",")</f>
        <v xml:space="preserve"> 9024000,</v>
      </c>
      <c r="J8" t="s">
        <v>3</v>
      </c>
      <c r="N8">
        <f>K7/I5</f>
        <v>0.66072721112531374</v>
      </c>
      <c r="O8">
        <f>N8*10</f>
        <v>6.6072721112531374</v>
      </c>
      <c r="Q8">
        <f>O8-P7</f>
        <v>0.6072721112531374</v>
      </c>
      <c r="R8">
        <f>Q8*64</f>
        <v>38.865415120200794</v>
      </c>
    </row>
    <row r="9" spans="2:19" ht="15.75" hidden="1" customHeight="1" thickBot="1">
      <c r="B9" s="45"/>
      <c r="I9" s="2" t="str">
        <f>CONCATENATE(" ",K2,",")</f>
        <v xml:space="preserve"> 64933,</v>
      </c>
    </row>
    <row r="10" spans="2:19" ht="15.75" hidden="1" customHeight="1" thickBot="1">
      <c r="B10" s="45"/>
      <c r="I10" s="2" t="s">
        <v>21</v>
      </c>
    </row>
    <row r="11" spans="2:19" ht="15.75" hidden="1" customHeight="1" thickBot="1">
      <c r="B11" s="45"/>
      <c r="I11" s="2" t="str">
        <f>CONCATENATE(" ",L2,",")</f>
        <v xml:space="preserve"> 62667,</v>
      </c>
    </row>
    <row r="12" spans="2:19" ht="15.75" hidden="1" customHeight="1" thickBot="1">
      <c r="B12" s="45"/>
      <c r="I12" s="2" t="str">
        <f>CONCATENATE(" ",M2,");")</f>
        <v xml:space="preserve"> 1);</v>
      </c>
    </row>
    <row r="13" spans="2:19" s="9" customFormat="1" ht="15" customHeight="1">
      <c r="B13" s="45"/>
      <c r="C13" s="30" t="s">
        <v>24</v>
      </c>
      <c r="D13" s="30"/>
      <c r="E13" s="31"/>
      <c r="F13" s="40"/>
      <c r="G13" s="29" t="str">
        <f>CONCATENATE("Synta synta(",I7,I8,I9,I10,I11,I12)</f>
        <v>Synta synta(1281, 9024000, 64933, 16, 62667, 1);</v>
      </c>
      <c r="H13" s="30"/>
      <c r="I13" s="30"/>
      <c r="J13" s="30"/>
      <c r="K13" s="30"/>
      <c r="L13" s="31"/>
      <c r="M13" s="19"/>
      <c r="N13" s="19"/>
      <c r="O13" s="19"/>
    </row>
    <row r="14" spans="2:19" ht="15.75" thickBot="1">
      <c r="B14" s="45"/>
      <c r="C14" s="33"/>
      <c r="D14" s="33"/>
      <c r="E14" s="34"/>
      <c r="F14" s="41"/>
      <c r="G14" s="32"/>
      <c r="H14" s="33"/>
      <c r="I14" s="33"/>
      <c r="J14" s="33"/>
      <c r="K14" s="33"/>
      <c r="L14" s="34"/>
      <c r="M14" s="19"/>
      <c r="N14" s="19"/>
      <c r="O14" s="19"/>
    </row>
    <row r="15" spans="2:19">
      <c r="B15" s="45"/>
      <c r="I15" s="2"/>
    </row>
    <row r="16" spans="2:19">
      <c r="B16" s="45"/>
      <c r="G16" s="25" t="s">
        <v>27</v>
      </c>
      <c r="H16" s="20" t="s">
        <v>23</v>
      </c>
      <c r="I16" s="4" t="s">
        <v>4</v>
      </c>
      <c r="J16" s="4" t="s">
        <v>5</v>
      </c>
      <c r="K16" s="4" t="s">
        <v>6</v>
      </c>
      <c r="L16" s="4" t="s">
        <v>10</v>
      </c>
    </row>
    <row r="17" spans="2:12">
      <c r="B17" s="45"/>
      <c r="G17" s="23" t="s">
        <v>25</v>
      </c>
      <c r="H17" s="22"/>
      <c r="I17">
        <f>(Q6*64 + S7)/64</f>
        <v>19096.59375</v>
      </c>
      <c r="J17" s="5">
        <f>$I$2*I17/($O$2*10)</f>
        <v>86163.831000000006</v>
      </c>
      <c r="K17" s="6">
        <f t="shared" ref="K17:K18" si="0">J17-$J$2</f>
        <v>-0.25950000000011642</v>
      </c>
      <c r="L17" s="8">
        <f t="shared" ref="L17:L18" si="1">100*K17/$J$2</f>
        <v>-3.0116954579833508E-4</v>
      </c>
    </row>
    <row r="18" spans="2:12">
      <c r="B18" s="45"/>
      <c r="G18" s="24" t="s">
        <v>26</v>
      </c>
      <c r="H18" s="21"/>
      <c r="I18">
        <f>Q6</f>
        <v>19096</v>
      </c>
      <c r="J18" s="5">
        <f>$I$2*I18/($O$2*10)</f>
        <v>86161.152000000002</v>
      </c>
      <c r="K18" s="7">
        <f t="shared" si="0"/>
        <v>-2.9385000000038417</v>
      </c>
      <c r="L18" s="8">
        <f t="shared" si="1"/>
        <v>-3.4103534116730933E-3</v>
      </c>
    </row>
    <row r="19" spans="2:12">
      <c r="B19" s="46"/>
    </row>
    <row r="20" spans="2:12">
      <c r="B20" s="42"/>
    </row>
    <row r="21" spans="2:12">
      <c r="B21" s="42"/>
    </row>
    <row r="22" spans="2:12">
      <c r="B22" s="42"/>
      <c r="L22" t="s">
        <v>23</v>
      </c>
    </row>
    <row r="23" spans="2:12">
      <c r="B23" s="43"/>
    </row>
  </sheetData>
  <mergeCells count="6">
    <mergeCell ref="G13:L14"/>
    <mergeCell ref="G3:G4"/>
    <mergeCell ref="C3:E4"/>
    <mergeCell ref="I3:O4"/>
    <mergeCell ref="C13:E14"/>
    <mergeCell ref="B3:B19"/>
  </mergeCell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Thomas</cp:lastModifiedBy>
  <dcterms:created xsi:type="dcterms:W3CDTF">2012-05-22T16:30:47Z</dcterms:created>
  <dcterms:modified xsi:type="dcterms:W3CDTF">2012-06-25T16:02:43Z</dcterms:modified>
</cp:coreProperties>
</file>