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15315" windowHeight="97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23" i="1"/>
  <c r="I29" s="1"/>
  <c r="I2"/>
  <c r="M2" l="1"/>
  <c r="I12" s="1"/>
  <c r="L23"/>
  <c r="I31" s="1"/>
  <c r="K23"/>
  <c r="K2"/>
  <c r="I9" s="1"/>
  <c r="L2"/>
  <c r="I11" s="1"/>
  <c r="I8"/>
  <c r="I30" l="1"/>
  <c r="G13" s="1"/>
  <c r="O23"/>
  <c r="O2"/>
  <c r="I6" s="1"/>
  <c r="I5"/>
  <c r="K7" l="1"/>
  <c r="N8" s="1"/>
  <c r="O8" s="1"/>
  <c r="P7" s="1"/>
  <c r="Q8" s="1"/>
  <c r="R8" s="1"/>
  <c r="S7" s="1"/>
  <c r="K6"/>
  <c r="O6" s="1"/>
  <c r="Q6" l="1"/>
  <c r="I18" s="1"/>
  <c r="J18" s="1"/>
  <c r="K18" s="1"/>
  <c r="L18" s="1"/>
  <c r="I17" l="1"/>
  <c r="J17" s="1"/>
  <c r="K17" s="1"/>
  <c r="L17" s="1"/>
</calcChain>
</file>

<file path=xl/sharedStrings.xml><?xml version="1.0" encoding="utf-8"?>
<sst xmlns="http://schemas.openxmlformats.org/spreadsheetml/2006/main" count="49" uniqueCount="37">
  <si>
    <t>divisor</t>
  </si>
  <si>
    <t>rate</t>
  </si>
  <si>
    <t>remainder</t>
  </si>
  <si>
    <t>floatRemainder</t>
  </si>
  <si>
    <t>Average Clocks</t>
  </si>
  <si>
    <t>RA Time</t>
  </si>
  <si>
    <t>Error (s)</t>
  </si>
  <si>
    <t>Scalar</t>
  </si>
  <si>
    <t>Error (%)</t>
  </si>
  <si>
    <t>IVal</t>
  </si>
  <si>
    <t>Clocks (10 Hz)</t>
  </si>
  <si>
    <t>Sidereal Day (s)</t>
  </si>
  <si>
    <t>Worm Teeth</t>
  </si>
  <si>
    <t>Step Angle (deg)</t>
  </si>
  <si>
    <t>Overwrite Scalar</t>
  </si>
  <si>
    <t>Use to manually Set Scalar, or leave 0 to use default</t>
  </si>
  <si>
    <t>Change These To Suit Your Mount</t>
  </si>
  <si>
    <t>Do NOT Modify These.</t>
  </si>
  <si>
    <t xml:space="preserve"> 16,</t>
  </si>
  <si>
    <t>1281,</t>
  </si>
  <si>
    <t xml:space="preserve"> </t>
  </si>
  <si>
    <t>This is the initialise code for your mount:</t>
  </si>
  <si>
    <t>Version &gt; 4.0</t>
  </si>
  <si>
    <t>Version &lt; 4.0</t>
  </si>
  <si>
    <t>Software Type</t>
  </si>
  <si>
    <t>Total Gear Ratio</t>
  </si>
  <si>
    <t>Steps per rotation</t>
  </si>
  <si>
    <t>This can be used as an alternative to the "step angle" cell if you know the steps per rotation rather than the angle. (Note, the content of the Step Angle cell will be ignored if this is not 0)</t>
  </si>
  <si>
    <t>aVal1</t>
  </si>
  <si>
    <t>aVal2</t>
  </si>
  <si>
    <t>bVal2</t>
  </si>
  <si>
    <t>bVal1</t>
  </si>
  <si>
    <t>sVal1</t>
  </si>
  <si>
    <t>sVal2</t>
  </si>
  <si>
    <t>Use Different Ratio?</t>
  </si>
  <si>
    <t>If your mount has a different gear ratio for each axis, then set this to a 1. Then set the RA axis values above, and DEC axis values below.</t>
  </si>
  <si>
    <t>Use the values below to set the DEC axis specific values only if your mount has a different ratio for each axis. If this is the case, also remember to set the "Use Different Ratio?" box to be a 1</t>
  </si>
</sst>
</file>

<file path=xl/styles.xml><?xml version="1.0" encoding="utf-8"?>
<styleSheet xmlns="http://schemas.openxmlformats.org/spreadsheetml/2006/main">
  <numFmts count="1">
    <numFmt numFmtId="164" formatCode="0.000000"/>
  </numFmts>
  <fonts count="9">
    <font>
      <sz val="11"/>
      <color theme="1"/>
      <name val="Calibri"/>
      <family val="2"/>
      <scheme val="minor"/>
    </font>
    <font>
      <sz val="11"/>
      <color rgb="FFFF0000"/>
      <name val="Calibri"/>
      <family val="2"/>
      <scheme val="minor"/>
    </font>
    <font>
      <b/>
      <sz val="11"/>
      <color theme="3"/>
      <name val="Calibri"/>
      <family val="2"/>
      <scheme val="minor"/>
    </font>
    <font>
      <b/>
      <sz val="11"/>
      <color theme="0"/>
      <name val="Calibri"/>
      <family val="2"/>
      <scheme val="minor"/>
    </font>
    <font>
      <sz val="11"/>
      <color theme="4" tint="-0.249977111117893"/>
      <name val="Calibri"/>
      <family val="2"/>
      <scheme val="minor"/>
    </font>
    <font>
      <b/>
      <sz val="11"/>
      <color theme="4" tint="-0.249977111117893"/>
      <name val="Calibri"/>
      <family val="2"/>
      <scheme val="minor"/>
    </font>
    <font>
      <b/>
      <sz val="11"/>
      <color rgb="FF00B050"/>
      <name val="Calibri"/>
      <family val="2"/>
      <scheme val="minor"/>
    </font>
    <font>
      <b/>
      <sz val="11"/>
      <color rgb="FF7030A0"/>
      <name val="Calibri"/>
      <family val="2"/>
      <scheme val="minor"/>
    </font>
    <font>
      <b/>
      <sz val="11"/>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8" tint="0.79998168889431442"/>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op>
      <bottom style="thin">
        <color theme="4"/>
      </bottom>
      <diagonal/>
    </border>
    <border>
      <left/>
      <right/>
      <top/>
      <bottom style="thin">
        <color theme="4"/>
      </bottom>
      <diagonal/>
    </border>
    <border>
      <left style="thin">
        <color theme="4" tint="-0.249977111117893"/>
      </left>
      <right style="thin">
        <color theme="4" tint="-0.249977111117893"/>
      </right>
      <top style="thin">
        <color theme="4"/>
      </top>
      <bottom style="thin">
        <color theme="4"/>
      </bottom>
      <diagonal/>
    </border>
    <border>
      <left style="thin">
        <color theme="4" tint="-0.249977111117893"/>
      </left>
      <right style="thin">
        <color theme="4" tint="-0.249977111117893"/>
      </right>
      <top/>
      <bottom/>
      <diagonal/>
    </border>
    <border>
      <left style="thin">
        <color theme="4" tint="-0.249977111117893"/>
      </left>
      <right style="thin">
        <color theme="4" tint="-0.249977111117893"/>
      </right>
      <top/>
      <bottom style="thin">
        <color theme="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top style="thin">
        <color indexed="64"/>
      </top>
      <bottom style="double">
        <color indexed="64"/>
      </bottom>
      <diagonal/>
    </border>
  </borders>
  <cellStyleXfs count="1">
    <xf numFmtId="0" fontId="0" fillId="0" borderId="0"/>
  </cellStyleXfs>
  <cellXfs count="71">
    <xf numFmtId="0" fontId="0" fillId="0" borderId="0" xfId="0"/>
    <xf numFmtId="0" fontId="0" fillId="4" borderId="0" xfId="0" applyFill="1" applyAlignment="1">
      <alignment horizontal="center"/>
    </xf>
    <xf numFmtId="0" fontId="0" fillId="0" borderId="0" xfId="0" applyAlignment="1">
      <alignment wrapText="1"/>
    </xf>
    <xf numFmtId="0" fontId="0" fillId="3" borderId="0" xfId="0" applyFill="1" applyAlignment="1">
      <alignment horizontal="center"/>
    </xf>
    <xf numFmtId="0" fontId="0" fillId="0" borderId="0" xfId="0" applyAlignment="1">
      <alignment horizontal="center"/>
    </xf>
    <xf numFmtId="0" fontId="0" fillId="0" borderId="0" xfId="0" applyNumberFormat="1"/>
    <xf numFmtId="0" fontId="0" fillId="5" borderId="0" xfId="0" applyNumberFormat="1" applyFill="1"/>
    <xf numFmtId="0" fontId="0" fillId="2" borderId="0" xfId="0" applyNumberFormat="1" applyFill="1"/>
    <xf numFmtId="164" fontId="0" fillId="0" borderId="0" xfId="0" applyNumberFormat="1"/>
    <xf numFmtId="0" fontId="0" fillId="0" borderId="0" xfId="0" applyAlignment="1"/>
    <xf numFmtId="0" fontId="0" fillId="6" borderId="0" xfId="0" applyFill="1" applyAlignment="1">
      <alignment horizontal="center"/>
    </xf>
    <xf numFmtId="0" fontId="0" fillId="6" borderId="0" xfId="0" applyFill="1" applyAlignment="1">
      <alignment horizontal="right"/>
    </xf>
    <xf numFmtId="0" fontId="0" fillId="6" borderId="0" xfId="0" applyFill="1"/>
    <xf numFmtId="0" fontId="1" fillId="6" borderId="0" xfId="0" applyFont="1" applyFill="1" applyAlignment="1">
      <alignment horizontal="center"/>
    </xf>
    <xf numFmtId="0" fontId="1" fillId="6" borderId="0" xfId="0" applyFont="1" applyFill="1" applyAlignment="1" applyProtection="1">
      <alignment horizontal="center"/>
    </xf>
    <xf numFmtId="0" fontId="7" fillId="6" borderId="1" xfId="0" applyFont="1" applyFill="1" applyBorder="1" applyAlignment="1">
      <alignment horizontal="center"/>
    </xf>
    <xf numFmtId="0" fontId="0" fillId="0" borderId="0" xfId="0" applyAlignment="1">
      <alignment vertical="center"/>
    </xf>
    <xf numFmtId="0" fontId="5" fillId="0" borderId="9" xfId="0" applyFont="1" applyBorder="1"/>
    <xf numFmtId="0" fontId="4" fillId="0" borderId="10" xfId="0" applyFont="1" applyBorder="1" applyAlignment="1">
      <alignment horizontal="right"/>
    </xf>
    <xf numFmtId="0" fontId="4" fillId="8" borderId="0" xfId="0" applyFont="1" applyFill="1" applyBorder="1" applyAlignment="1">
      <alignment horizontal="right"/>
    </xf>
    <xf numFmtId="0" fontId="4" fillId="8" borderId="12" xfId="0" applyFont="1" applyFill="1" applyBorder="1" applyAlignment="1">
      <alignment horizontal="right"/>
    </xf>
    <xf numFmtId="0" fontId="4" fillId="0" borderId="13" xfId="0" applyFont="1" applyBorder="1" applyAlignment="1">
      <alignment horizontal="right"/>
    </xf>
    <xf numFmtId="0" fontId="5" fillId="0" borderId="11" xfId="0" applyFont="1" applyBorder="1" applyAlignment="1">
      <alignment horizontal="center"/>
    </xf>
    <xf numFmtId="0" fontId="0" fillId="9" borderId="16" xfId="0" applyFill="1" applyBorder="1" applyAlignment="1">
      <alignment horizontal="center"/>
    </xf>
    <xf numFmtId="0" fontId="3" fillId="7" borderId="5" xfId="0" applyFont="1" applyFill="1" applyBorder="1" applyAlignment="1">
      <alignment vertical="center"/>
    </xf>
    <xf numFmtId="0" fontId="3" fillId="7" borderId="8" xfId="0" applyFont="1" applyFill="1" applyBorder="1" applyAlignment="1">
      <alignment vertical="center"/>
    </xf>
    <xf numFmtId="0" fontId="0" fillId="0" borderId="0" xfId="0" applyFill="1" applyBorder="1" applyAlignment="1">
      <alignment vertical="center" wrapText="1"/>
    </xf>
    <xf numFmtId="0" fontId="0" fillId="0" borderId="0" xfId="0" applyFill="1" applyBorder="1"/>
    <xf numFmtId="0" fontId="0" fillId="0" borderId="0" xfId="0" applyFill="1" applyBorder="1" applyAlignment="1">
      <alignment horizontal="center"/>
    </xf>
    <xf numFmtId="0" fontId="2" fillId="0" borderId="0" xfId="0" applyFont="1" applyFill="1" applyBorder="1" applyAlignment="1">
      <alignment horizontal="center"/>
    </xf>
    <xf numFmtId="0" fontId="7" fillId="6" borderId="19" xfId="0" applyFont="1" applyFill="1" applyBorder="1" applyAlignment="1">
      <alignment horizontal="center"/>
    </xf>
    <xf numFmtId="0" fontId="3" fillId="0" borderId="0" xfId="0" applyFont="1" applyFill="1" applyBorder="1" applyAlignment="1">
      <alignment vertical="center"/>
    </xf>
    <xf numFmtId="0" fontId="0" fillId="0" borderId="0" xfId="0" applyFill="1" applyBorder="1" applyAlignment="1">
      <alignment horizontal="center" vertical="center" wrapText="1"/>
    </xf>
    <xf numFmtId="0" fontId="0" fillId="9" borderId="17" xfId="0" applyFill="1" applyBorder="1" applyAlignment="1">
      <alignment horizontal="center"/>
    </xf>
    <xf numFmtId="0" fontId="5" fillId="0" borderId="0" xfId="0" applyFont="1" applyFill="1" applyBorder="1" applyAlignment="1">
      <alignment horizontal="center"/>
    </xf>
    <xf numFmtId="0" fontId="5" fillId="0" borderId="0" xfId="0" applyFont="1" applyFill="1" applyBorder="1"/>
    <xf numFmtId="0" fontId="4" fillId="0" borderId="0" xfId="0" applyFont="1" applyFill="1" applyBorder="1" applyAlignment="1">
      <alignment horizontal="right"/>
    </xf>
    <xf numFmtId="0" fontId="0" fillId="0" borderId="0" xfId="0" applyNumberFormat="1" applyFill="1" applyBorder="1"/>
    <xf numFmtId="164" fontId="0" fillId="0" borderId="0" xfId="0" applyNumberFormat="1" applyFill="1" applyBorder="1"/>
    <xf numFmtId="0" fontId="8" fillId="9" borderId="25"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Alignment="1">
      <alignment horizontal="center" vertical="center"/>
    </xf>
    <xf numFmtId="0" fontId="0" fillId="9" borderId="16" xfId="0" applyFill="1" applyBorder="1" applyAlignment="1">
      <alignment horizontal="center" vertical="center" wrapText="1"/>
    </xf>
    <xf numFmtId="0" fontId="0" fillId="9" borderId="17"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2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0" xfId="0" applyFill="1" applyBorder="1" applyAlignment="1">
      <alignment horizontal="center" vertical="center" wrapText="1"/>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0" fillId="4" borderId="22" xfId="0" applyFill="1" applyBorder="1" applyAlignment="1">
      <alignment horizontal="center"/>
    </xf>
    <xf numFmtId="0" fontId="0" fillId="4" borderId="24" xfId="0" applyFill="1" applyBorder="1" applyAlignment="1">
      <alignment horizontal="center"/>
    </xf>
    <xf numFmtId="0" fontId="0" fillId="4" borderId="20" xfId="0" applyFill="1" applyBorder="1" applyAlignment="1">
      <alignment horizontal="center" wrapText="1"/>
    </xf>
    <xf numFmtId="0" fontId="0" fillId="4" borderId="3" xfId="0" applyFill="1" applyBorder="1" applyAlignment="1">
      <alignment horizontal="center" wrapText="1"/>
    </xf>
    <xf numFmtId="0" fontId="0" fillId="4" borderId="21" xfId="0" applyFill="1" applyBorder="1" applyAlignment="1">
      <alignment horizontal="center" wrapText="1"/>
    </xf>
    <xf numFmtId="0" fontId="0" fillId="4" borderId="0" xfId="0" applyFill="1" applyBorder="1" applyAlignment="1">
      <alignment horizontal="center" wrapText="1"/>
    </xf>
    <xf numFmtId="0" fontId="6" fillId="9" borderId="14" xfId="0" applyFont="1" applyFill="1" applyBorder="1" applyAlignment="1" applyProtection="1">
      <alignment horizontal="center"/>
      <protection locked="0"/>
    </xf>
    <xf numFmtId="0" fontId="6" fillId="4" borderId="15" xfId="0" applyFont="1" applyFill="1" applyBorder="1" applyAlignment="1" applyProtection="1">
      <alignment horizontal="center"/>
      <protection locked="0"/>
    </xf>
    <xf numFmtId="0" fontId="6" fillId="4" borderId="1"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2" fillId="3" borderId="1" xfId="0" applyFont="1" applyFill="1" applyBorder="1" applyAlignment="1" applyProtection="1">
      <alignment horizontal="center"/>
      <protection locked="0"/>
    </xf>
    <xf numFmtId="0" fontId="6" fillId="4" borderId="23" xfId="0" applyFont="1" applyFill="1" applyBorder="1" applyAlignment="1" applyProtection="1">
      <alignment horizontal="center"/>
      <protection locked="0"/>
    </xf>
    <xf numFmtId="0" fontId="3" fillId="7" borderId="4" xfId="0" applyFont="1" applyFill="1" applyBorder="1" applyAlignment="1" applyProtection="1">
      <alignment horizontal="center" vertical="center"/>
      <protection locked="0"/>
    </xf>
    <xf numFmtId="0" fontId="3" fillId="7" borderId="3" xfId="0" applyFont="1" applyFill="1" applyBorder="1" applyAlignment="1" applyProtection="1">
      <alignment horizontal="center" vertical="center"/>
      <protection locked="0"/>
    </xf>
    <xf numFmtId="0" fontId="3" fillId="7" borderId="5" xfId="0" applyFont="1" applyFill="1" applyBorder="1" applyAlignment="1" applyProtection="1">
      <alignment horizontal="center" vertical="center"/>
      <protection locked="0"/>
    </xf>
    <xf numFmtId="0" fontId="3" fillId="7" borderId="6" xfId="0" applyFont="1" applyFill="1" applyBorder="1" applyAlignment="1" applyProtection="1">
      <alignment horizontal="center" vertical="center"/>
      <protection locked="0"/>
    </xf>
    <xf numFmtId="0" fontId="3" fillId="7" borderId="7" xfId="0" applyFont="1" applyFill="1" applyBorder="1" applyAlignment="1" applyProtection="1">
      <alignment horizontal="center" vertical="center"/>
      <protection locked="0"/>
    </xf>
    <xf numFmtId="0" fontId="3" fillId="7" borderId="8" xfId="0" applyFont="1" applyFill="1" applyBorder="1" applyAlignment="1" applyProtection="1">
      <alignment horizontal="center" vertical="center"/>
      <protection locked="0"/>
    </xf>
  </cellXfs>
  <cellStyles count="1">
    <cellStyle name="Normal" xfId="0" builtinId="0"/>
  </cellStyles>
  <dxfs count="4">
    <dxf>
      <numFmt numFmtId="164" formatCode="0.000000"/>
    </dxf>
    <dxf>
      <numFmt numFmtId="0" formatCode="General"/>
    </dxf>
    <dxf>
      <numFmt numFmtId="0" formatCode="General"/>
    </dxf>
    <dxf>
      <alignment horizontal="center" vertical="bottom" textRotation="0" wrapText="0"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I16:L18" totalsRowShown="0" headerRowDxfId="3">
  <autoFilter ref="I16:L18">
    <filterColumn colId="3"/>
  </autoFilter>
  <tableColumns count="4">
    <tableColumn id="2" name="Average Clocks">
      <calculatedColumnFormula>Q5</calculatedColumnFormula>
    </tableColumn>
    <tableColumn id="3" name="RA Time" dataDxfId="2">
      <calculatedColumnFormula>$I$2*I17/($O$2*10)</calculatedColumnFormula>
    </tableColumn>
    <tableColumn id="4" name="Error (s)" dataDxfId="1">
      <calculatedColumnFormula>J17-$J$2</calculatedColumnFormula>
    </tableColumn>
    <tableColumn id="5" name="Error (%)" dataDxfId="0">
      <calculatedColumnFormula>100*K17/$J$2</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48"/>
  <sheetViews>
    <sheetView tabSelected="1" workbookViewId="0">
      <selection activeCell="D2" sqref="D2"/>
    </sheetView>
  </sheetViews>
  <sheetFormatPr defaultRowHeight="15"/>
  <cols>
    <col min="1" max="1" width="0.85546875" customWidth="1"/>
    <col min="2" max="2" width="21.140625" customWidth="1"/>
    <col min="3" max="3" width="20" customWidth="1"/>
    <col min="4" max="4" width="16.7109375" customWidth="1"/>
    <col min="5" max="5" width="13.28515625" customWidth="1"/>
    <col min="6" max="6" width="0.85546875" customWidth="1"/>
    <col min="7" max="7" width="24.42578125" customWidth="1"/>
    <col min="8" max="8" width="0.85546875" customWidth="1"/>
    <col min="9" max="10" width="15.140625" customWidth="1"/>
    <col min="11" max="13" width="13.42578125" customWidth="1"/>
    <col min="14" max="14" width="6.28515625" customWidth="1"/>
    <col min="15" max="15" width="13" customWidth="1"/>
    <col min="16" max="16" width="1.28515625" customWidth="1"/>
    <col min="17" max="17" width="18.28515625" customWidth="1"/>
    <col min="18" max="18" width="16.42578125" customWidth="1"/>
    <col min="19" max="19" width="11.7109375" customWidth="1"/>
    <col min="20" max="20" width="10.7109375" customWidth="1"/>
    <col min="21" max="21" width="11.7109375" customWidth="1"/>
  </cols>
  <sheetData>
    <row r="1" spans="2:19" ht="15.75" thickBot="1">
      <c r="B1" s="23" t="s">
        <v>26</v>
      </c>
      <c r="C1" s="1" t="s">
        <v>13</v>
      </c>
      <c r="D1" s="1" t="s">
        <v>25</v>
      </c>
      <c r="E1" s="1" t="s">
        <v>12</v>
      </c>
      <c r="G1" s="3" t="s">
        <v>14</v>
      </c>
      <c r="I1" s="10" t="s">
        <v>28</v>
      </c>
      <c r="J1" s="11" t="s">
        <v>11</v>
      </c>
      <c r="K1" s="10" t="s">
        <v>31</v>
      </c>
      <c r="L1" s="10" t="s">
        <v>32</v>
      </c>
      <c r="M1" s="10" t="s">
        <v>7</v>
      </c>
      <c r="N1" s="11" t="s">
        <v>9</v>
      </c>
      <c r="O1" s="12" t="s">
        <v>10</v>
      </c>
    </row>
    <row r="2" spans="2:19" ht="15.75" thickBot="1">
      <c r="B2" s="59">
        <v>0</v>
      </c>
      <c r="C2" s="60">
        <v>1.8</v>
      </c>
      <c r="D2" s="61">
        <v>705</v>
      </c>
      <c r="E2" s="62">
        <v>144</v>
      </c>
      <c r="G2" s="63">
        <v>0</v>
      </c>
      <c r="I2" s="15">
        <f>ROUND(D2*IF(B2=0,(360/C2),B2)*64,0)</f>
        <v>9024000</v>
      </c>
      <c r="J2" s="13">
        <v>86164.090500000006</v>
      </c>
      <c r="K2" s="15">
        <f>ROUND(N2*I2/J2,0)</f>
        <v>64933</v>
      </c>
      <c r="L2" s="15">
        <f>ROUND(I2/E2,0)</f>
        <v>62667</v>
      </c>
      <c r="M2" s="15">
        <f>MAX(IF(G2=0,ROUNDUP(I2/10000000,0),IF(G2&lt;ROUNDUP(I2/10000000,0),ROUNDUP(I2/10000000,0),G2)),IF(G2=0,ROUNDUP(I23/10000000,0),IF(G2&lt;ROUNDUP(I23/10000000,0),ROUNDUP(I23/10000000,0),G2)))</f>
        <v>1</v>
      </c>
      <c r="N2" s="13">
        <v>620</v>
      </c>
      <c r="O2" s="14">
        <f>IF(K2&lt;160000,200000,1600000)</f>
        <v>200000</v>
      </c>
    </row>
    <row r="3" spans="2:19" ht="15" customHeight="1">
      <c r="B3" s="43" t="s">
        <v>27</v>
      </c>
      <c r="C3" s="40" t="s">
        <v>16</v>
      </c>
      <c r="D3" s="40"/>
      <c r="E3" s="40"/>
      <c r="G3" s="47" t="s">
        <v>15</v>
      </c>
      <c r="I3" s="42" t="s">
        <v>17</v>
      </c>
      <c r="J3" s="42"/>
      <c r="K3" s="42"/>
      <c r="L3" s="42"/>
      <c r="M3" s="42"/>
      <c r="N3" s="42"/>
      <c r="O3" s="42"/>
    </row>
    <row r="4" spans="2:19" ht="15.75" thickBot="1">
      <c r="B4" s="44"/>
      <c r="C4" s="41"/>
      <c r="D4" s="41"/>
      <c r="E4" s="41"/>
      <c r="G4" s="48"/>
      <c r="I4" s="42"/>
      <c r="J4" s="42"/>
      <c r="K4" s="42"/>
      <c r="L4" s="42"/>
      <c r="M4" s="42"/>
      <c r="N4" s="42"/>
      <c r="O4" s="42"/>
      <c r="P4" s="9"/>
      <c r="Q4" s="9"/>
      <c r="R4" s="9"/>
    </row>
    <row r="5" spans="2:19" ht="15.75" hidden="1" customHeight="1">
      <c r="B5" s="44"/>
      <c r="I5">
        <f>K2</f>
        <v>64933</v>
      </c>
      <c r="J5" t="s">
        <v>0</v>
      </c>
    </row>
    <row r="6" spans="2:19" ht="15.75" hidden="1" customHeight="1">
      <c r="B6" s="44"/>
      <c r="I6">
        <f>N2*O2</f>
        <v>124000000</v>
      </c>
      <c r="J6" t="s">
        <v>1</v>
      </c>
      <c r="K6">
        <f>ROUNDDOWN(I6/I5,0)</f>
        <v>1909</v>
      </c>
      <c r="O6">
        <f>K6*10</f>
        <v>19090</v>
      </c>
      <c r="Q6">
        <f>O6+P7</f>
        <v>19096</v>
      </c>
    </row>
    <row r="7" spans="2:19" ht="15.75" hidden="1" customHeight="1">
      <c r="B7" s="44"/>
      <c r="I7" t="s">
        <v>19</v>
      </c>
      <c r="J7" t="s">
        <v>2</v>
      </c>
      <c r="K7">
        <f>MOD(I6, I5)</f>
        <v>42903</v>
      </c>
      <c r="P7">
        <f>ROUNDDOWN(O8,0)</f>
        <v>6</v>
      </c>
      <c r="S7">
        <f>ROUNDDOWN(R8,0)</f>
        <v>38</v>
      </c>
    </row>
    <row r="8" spans="2:19" ht="15.75" hidden="1" customHeight="1">
      <c r="B8" s="44"/>
      <c r="I8" t="str">
        <f>CONCATENATE(" ",I2,",")</f>
        <v xml:space="preserve"> 9024000,</v>
      </c>
      <c r="J8" t="s">
        <v>3</v>
      </c>
      <c r="N8">
        <f>K7/I5</f>
        <v>0.66072721112531374</v>
      </c>
      <c r="O8">
        <f>N8*10</f>
        <v>6.6072721112531374</v>
      </c>
      <c r="Q8">
        <f>O8-P7</f>
        <v>0.6072721112531374</v>
      </c>
      <c r="R8">
        <f>Q8*64</f>
        <v>38.865415120200794</v>
      </c>
    </row>
    <row r="9" spans="2:19" ht="15.75" hidden="1" customHeight="1">
      <c r="B9" s="44"/>
      <c r="I9" s="2" t="str">
        <f>CONCATENATE(" ",K2,",")</f>
        <v xml:space="preserve"> 64933,</v>
      </c>
    </row>
    <row r="10" spans="2:19" ht="15.75" hidden="1" customHeight="1">
      <c r="B10" s="44"/>
      <c r="I10" s="2" t="s">
        <v>18</v>
      </c>
    </row>
    <row r="11" spans="2:19" ht="15.75" hidden="1" customHeight="1">
      <c r="B11" s="44"/>
      <c r="I11" s="2" t="str">
        <f>CONCATENATE(" ",L2,",")</f>
        <v xml:space="preserve"> 62667,</v>
      </c>
    </row>
    <row r="12" spans="2:19" ht="15.75" hidden="1" customHeight="1" thickBot="1">
      <c r="B12" s="44"/>
      <c r="I12" s="2" t="str">
        <f>CONCATENATE(" ",M2,");")</f>
        <v xml:space="preserve"> 1);</v>
      </c>
    </row>
    <row r="13" spans="2:19" s="9" customFormat="1" ht="15" customHeight="1">
      <c r="B13" s="44"/>
      <c r="C13" s="49" t="s">
        <v>21</v>
      </c>
      <c r="D13" s="49"/>
      <c r="E13" s="50"/>
      <c r="F13" s="24"/>
      <c r="G13" s="65" t="str">
        <f>IF(E16,CONCATENATE("Synta synta(",I7,I8,I29,I9,I30,I11,I31,I10,I12),CONCATENATE("Synta synta(",I7,I8,I9,I10,I11,I12))</f>
        <v>Synta synta(1281, 9024000, 64933, 16, 62667, 1);</v>
      </c>
      <c r="H13" s="66"/>
      <c r="I13" s="66"/>
      <c r="J13" s="66"/>
      <c r="K13" s="66"/>
      <c r="L13" s="66"/>
      <c r="M13" s="66"/>
      <c r="N13" s="66"/>
      <c r="O13" s="67"/>
    </row>
    <row r="14" spans="2:19" ht="15.75" thickBot="1">
      <c r="B14" s="44"/>
      <c r="C14" s="51"/>
      <c r="D14" s="51"/>
      <c r="E14" s="52"/>
      <c r="F14" s="25"/>
      <c r="G14" s="68"/>
      <c r="H14" s="69"/>
      <c r="I14" s="69"/>
      <c r="J14" s="69"/>
      <c r="K14" s="69"/>
      <c r="L14" s="69"/>
      <c r="M14" s="69"/>
      <c r="N14" s="69"/>
      <c r="O14" s="70"/>
    </row>
    <row r="15" spans="2:19" ht="15.75" thickBot="1">
      <c r="B15" s="44"/>
      <c r="I15" s="2"/>
    </row>
    <row r="16" spans="2:19" ht="15.75" thickBot="1">
      <c r="B16" s="44"/>
      <c r="C16" s="53" t="s">
        <v>34</v>
      </c>
      <c r="D16" s="54"/>
      <c r="E16" s="64">
        <v>0</v>
      </c>
      <c r="G16" s="22" t="s">
        <v>24</v>
      </c>
      <c r="H16" s="17" t="s">
        <v>20</v>
      </c>
      <c r="I16" s="4" t="s">
        <v>4</v>
      </c>
      <c r="J16" s="4" t="s">
        <v>5</v>
      </c>
      <c r="K16" s="4" t="s">
        <v>6</v>
      </c>
      <c r="L16" s="4" t="s">
        <v>8</v>
      </c>
    </row>
    <row r="17" spans="2:18">
      <c r="B17" s="46"/>
      <c r="C17" s="55" t="s">
        <v>35</v>
      </c>
      <c r="D17" s="56"/>
      <c r="E17" s="56"/>
      <c r="G17" s="20" t="s">
        <v>22</v>
      </c>
      <c r="H17" s="19"/>
      <c r="I17">
        <f>(Q6*64 + S7)/64</f>
        <v>19096.59375</v>
      </c>
      <c r="J17" s="5">
        <f>$I$2*I17/($O$2*10)</f>
        <v>86163.831000000006</v>
      </c>
      <c r="K17" s="6">
        <f t="shared" ref="K17:K18" si="0">J17-$J$2</f>
        <v>-0.25950000000011642</v>
      </c>
      <c r="L17" s="8">
        <f t="shared" ref="L17:L18" si="1">100*K17/$J$2</f>
        <v>-3.0116954579833508E-4</v>
      </c>
    </row>
    <row r="18" spans="2:18">
      <c r="B18" s="44"/>
      <c r="C18" s="57"/>
      <c r="D18" s="58"/>
      <c r="E18" s="58"/>
      <c r="G18" s="21" t="s">
        <v>23</v>
      </c>
      <c r="H18" s="18"/>
      <c r="I18">
        <f>Q6</f>
        <v>19096</v>
      </c>
      <c r="J18" s="5">
        <f>$I$2*I18/($O$2*10)</f>
        <v>86161.152000000002</v>
      </c>
      <c r="K18" s="7">
        <f t="shared" si="0"/>
        <v>-2.9385000000038417</v>
      </c>
      <c r="L18" s="8">
        <f t="shared" si="1"/>
        <v>-3.4103534116730933E-3</v>
      </c>
    </row>
    <row r="19" spans="2:18">
      <c r="B19" s="45"/>
      <c r="C19" s="57"/>
      <c r="D19" s="58"/>
      <c r="E19" s="58"/>
    </row>
    <row r="20" spans="2:18">
      <c r="B20" s="32"/>
      <c r="C20" s="32"/>
      <c r="D20" s="32"/>
      <c r="E20" s="32"/>
      <c r="F20" s="32"/>
      <c r="G20" s="32"/>
      <c r="H20" s="32"/>
      <c r="I20" s="32"/>
      <c r="J20" s="32"/>
      <c r="K20" s="32"/>
      <c r="L20" s="32"/>
      <c r="M20" s="32"/>
      <c r="N20" s="32"/>
      <c r="O20" s="32"/>
    </row>
    <row r="21" spans="2:18" ht="15.75" thickBot="1">
      <c r="B21" s="39" t="s">
        <v>36</v>
      </c>
      <c r="C21" s="39"/>
      <c r="D21" s="39"/>
      <c r="E21" s="39"/>
      <c r="F21" s="39"/>
      <c r="G21" s="39"/>
      <c r="H21" s="39"/>
      <c r="I21" s="39"/>
      <c r="J21" s="39"/>
      <c r="K21" s="39"/>
      <c r="L21" s="39"/>
      <c r="M21" s="39"/>
      <c r="N21" s="39"/>
      <c r="O21" s="39"/>
    </row>
    <row r="22" spans="2:18" ht="16.5" thickTop="1" thickBot="1">
      <c r="B22" s="33" t="s">
        <v>26</v>
      </c>
      <c r="C22" s="1" t="s">
        <v>13</v>
      </c>
      <c r="D22" s="1" t="s">
        <v>25</v>
      </c>
      <c r="E22" s="1" t="s">
        <v>12</v>
      </c>
      <c r="G22" s="28"/>
      <c r="I22" s="10" t="s">
        <v>29</v>
      </c>
      <c r="J22" s="11" t="s">
        <v>11</v>
      </c>
      <c r="K22" s="10" t="s">
        <v>30</v>
      </c>
      <c r="L22" s="10" t="s">
        <v>33</v>
      </c>
      <c r="M22" s="10"/>
      <c r="N22" s="11" t="s">
        <v>9</v>
      </c>
      <c r="O22" s="12" t="s">
        <v>10</v>
      </c>
    </row>
    <row r="23" spans="2:18" ht="15.75" thickBot="1">
      <c r="B23" s="59">
        <v>0</v>
      </c>
      <c r="C23" s="60">
        <v>1.8</v>
      </c>
      <c r="D23" s="61">
        <v>705</v>
      </c>
      <c r="E23" s="62">
        <v>144</v>
      </c>
      <c r="G23" s="29"/>
      <c r="I23" s="15">
        <f>ROUND(D23*IF(B23=0,(360/C23),B23)*64,0)</f>
        <v>9024000</v>
      </c>
      <c r="J23" s="13">
        <v>86164.090500000006</v>
      </c>
      <c r="K23" s="15">
        <f>ROUND(N23*I23/J23,0)</f>
        <v>64933</v>
      </c>
      <c r="L23" s="15">
        <f>ROUND(I23/E23,0)</f>
        <v>62667</v>
      </c>
      <c r="M23" s="30"/>
      <c r="N23" s="13">
        <v>620</v>
      </c>
      <c r="O23" s="14">
        <f>IF(K23&lt;160000,200000,1600000)</f>
        <v>200000</v>
      </c>
    </row>
    <row r="24" spans="2:18" ht="15" customHeight="1">
      <c r="B24" s="43" t="s">
        <v>27</v>
      </c>
      <c r="C24" s="40" t="s">
        <v>16</v>
      </c>
      <c r="D24" s="40"/>
      <c r="E24" s="40"/>
      <c r="G24" s="26"/>
      <c r="I24" s="42" t="s">
        <v>17</v>
      </c>
      <c r="J24" s="42"/>
      <c r="K24" s="42"/>
      <c r="L24" s="42"/>
      <c r="M24" s="42"/>
      <c r="N24" s="42"/>
      <c r="O24" s="42"/>
    </row>
    <row r="25" spans="2:18">
      <c r="B25" s="44"/>
      <c r="C25" s="41"/>
      <c r="D25" s="41"/>
      <c r="E25" s="41"/>
      <c r="G25" s="26"/>
      <c r="I25" s="42"/>
      <c r="J25" s="42"/>
      <c r="K25" s="42"/>
      <c r="L25" s="42"/>
      <c r="M25" s="42"/>
      <c r="N25" s="42"/>
      <c r="O25" s="42"/>
      <c r="P25" s="9"/>
      <c r="Q25" s="9"/>
    </row>
    <row r="26" spans="2:18" ht="15" hidden="1" customHeight="1">
      <c r="B26" s="44"/>
    </row>
    <row r="27" spans="2:18" ht="15" hidden="1" customHeight="1">
      <c r="B27" s="44"/>
    </row>
    <row r="28" spans="2:18" ht="15" hidden="1" customHeight="1">
      <c r="B28" s="44"/>
    </row>
    <row r="29" spans="2:18" ht="15" hidden="1" customHeight="1">
      <c r="B29" s="44"/>
      <c r="I29" t="str">
        <f>CONCATENATE(" ",I23,",")</f>
        <v xml:space="preserve"> 9024000,</v>
      </c>
      <c r="R29" t="s">
        <v>20</v>
      </c>
    </row>
    <row r="30" spans="2:18" ht="15" hidden="1" customHeight="1">
      <c r="B30" s="44"/>
      <c r="I30" s="2" t="str">
        <f>CONCATENATE(" ",K23,",")</f>
        <v xml:space="preserve"> 64933,</v>
      </c>
      <c r="J30" s="31"/>
      <c r="K30" s="31"/>
      <c r="L30" s="31"/>
      <c r="M30" s="16"/>
      <c r="N30" s="16"/>
      <c r="O30" s="16"/>
      <c r="P30" s="9"/>
      <c r="Q30" s="9"/>
    </row>
    <row r="31" spans="2:18" ht="15" hidden="1" customHeight="1">
      <c r="B31" s="44"/>
      <c r="I31" s="2" t="str">
        <f>CONCATENATE(" ",L23,",")</f>
        <v xml:space="preserve"> 62667,</v>
      </c>
      <c r="J31" s="31"/>
      <c r="K31" s="31"/>
      <c r="L31" s="31"/>
      <c r="M31" s="16"/>
      <c r="N31" s="16"/>
      <c r="O31" s="16"/>
    </row>
    <row r="32" spans="2:18" ht="15" hidden="1" customHeight="1">
      <c r="B32" s="44"/>
    </row>
    <row r="33" spans="1:15" ht="15" hidden="1" customHeight="1">
      <c r="B33" s="44"/>
      <c r="I33" s="2"/>
      <c r="J33" s="28"/>
      <c r="K33" s="28"/>
      <c r="L33" s="28"/>
      <c r="M33" s="27"/>
      <c r="N33" s="27"/>
      <c r="O33" s="27"/>
    </row>
    <row r="34" spans="1:15" ht="15" hidden="1" customHeight="1">
      <c r="A34" s="9"/>
      <c r="B34" s="44"/>
      <c r="C34" s="31"/>
      <c r="D34" s="31"/>
      <c r="E34" s="31"/>
      <c r="F34" s="31"/>
      <c r="G34" s="31"/>
      <c r="H34" s="31"/>
      <c r="I34" s="31"/>
      <c r="J34" s="37"/>
      <c r="K34" s="37"/>
      <c r="L34" s="38"/>
      <c r="M34" s="27"/>
      <c r="N34" s="27"/>
      <c r="O34" s="27"/>
    </row>
    <row r="35" spans="1:15" ht="15" hidden="1" customHeight="1">
      <c r="B35" s="44"/>
      <c r="C35" s="31"/>
      <c r="D35" s="31"/>
      <c r="E35" s="31"/>
      <c r="F35" s="31"/>
      <c r="G35" s="31"/>
      <c r="H35" s="31"/>
      <c r="I35" s="31"/>
      <c r="J35" s="37"/>
      <c r="K35" s="37"/>
      <c r="L35" s="38"/>
      <c r="M35" s="27"/>
      <c r="N35" s="27"/>
      <c r="O35" s="27"/>
    </row>
    <row r="36" spans="1:15" ht="15" hidden="1" customHeight="1">
      <c r="B36" s="44"/>
      <c r="I36" s="2"/>
      <c r="J36" s="27"/>
      <c r="K36" s="27"/>
      <c r="L36" s="27"/>
      <c r="M36" s="27"/>
      <c r="N36" s="27"/>
      <c r="O36" s="27"/>
    </row>
    <row r="37" spans="1:15" hidden="1">
      <c r="B37" s="44"/>
      <c r="G37" s="34"/>
      <c r="H37" s="35"/>
      <c r="I37" s="28"/>
      <c r="J37" s="27"/>
      <c r="K37" s="27"/>
      <c r="L37" s="27"/>
      <c r="M37" s="27"/>
      <c r="N37" s="27"/>
      <c r="O37" s="27"/>
    </row>
    <row r="38" spans="1:15">
      <c r="B38" s="44"/>
      <c r="G38" s="36"/>
      <c r="H38" s="36"/>
      <c r="I38" s="27"/>
      <c r="J38" s="27"/>
      <c r="K38" s="27"/>
      <c r="L38" s="27"/>
      <c r="M38" s="27"/>
      <c r="N38" s="27"/>
      <c r="O38" s="27"/>
    </row>
    <row r="39" spans="1:15">
      <c r="B39" s="44"/>
      <c r="G39" s="36"/>
      <c r="H39" s="36"/>
      <c r="I39" s="27"/>
      <c r="J39" s="27"/>
      <c r="K39" s="27"/>
      <c r="L39" s="27"/>
      <c r="M39" s="27"/>
      <c r="N39" s="27"/>
      <c r="O39" s="27"/>
    </row>
    <row r="40" spans="1:15">
      <c r="B40" s="44"/>
      <c r="G40" s="27"/>
      <c r="H40" s="27"/>
      <c r="I40" s="27"/>
      <c r="J40" s="27"/>
      <c r="K40" s="27"/>
      <c r="L40" s="27"/>
      <c r="M40" s="27"/>
      <c r="N40" s="27"/>
      <c r="O40" s="27"/>
    </row>
    <row r="41" spans="1:15">
      <c r="B41" s="44"/>
      <c r="G41" s="27"/>
      <c r="H41" s="27"/>
      <c r="I41" s="27"/>
    </row>
    <row r="42" spans="1:15">
      <c r="B42" s="44"/>
      <c r="G42" s="27"/>
      <c r="H42" s="27"/>
      <c r="I42" s="27"/>
    </row>
    <row r="43" spans="1:15">
      <c r="B43" s="44"/>
      <c r="G43" s="27"/>
      <c r="H43" s="27"/>
      <c r="I43" s="27"/>
    </row>
    <row r="44" spans="1:15">
      <c r="B44" s="45"/>
      <c r="G44" s="27"/>
      <c r="H44" s="27"/>
      <c r="I44" s="27"/>
    </row>
    <row r="48" spans="1:15">
      <c r="G48" t="s">
        <v>20</v>
      </c>
    </row>
  </sheetData>
  <sheetProtection password="F6F4" sheet="1" objects="1" scenarios="1" selectLockedCells="1"/>
  <mergeCells count="12">
    <mergeCell ref="B21:O21"/>
    <mergeCell ref="C24:E25"/>
    <mergeCell ref="I24:O25"/>
    <mergeCell ref="B24:B44"/>
    <mergeCell ref="B3:B19"/>
    <mergeCell ref="G3:G4"/>
    <mergeCell ref="C3:E4"/>
    <mergeCell ref="I3:O4"/>
    <mergeCell ref="C13:E14"/>
    <mergeCell ref="G13:O14"/>
    <mergeCell ref="C16:D16"/>
    <mergeCell ref="C17:E19"/>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election activeCell="E37" sqref="E3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2012-05-22T16:30:47Z</dcterms:created>
  <dcterms:modified xsi:type="dcterms:W3CDTF">2012-11-25T20:46:59Z</dcterms:modified>
</cp:coreProperties>
</file>