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 N\Desktop\"/>
    </mc:Choice>
  </mc:AlternateContent>
  <xr:revisionPtr revIDLastSave="0" documentId="13_ncr:1_{83E4B613-293E-446E-9C96-380881B38C1C}" xr6:coauthVersionLast="47" xr6:coauthVersionMax="47" xr10:uidLastSave="{00000000-0000-0000-0000-000000000000}"/>
  <bookViews>
    <workbookView xWindow="-110" yWindow="-110" windowWidth="25820" windowHeight="13900" activeTab="7" xr2:uid="{AD63A3F9-4927-47E3-BCE7-1201FC03ED92}"/>
  </bookViews>
  <sheets>
    <sheet name="Effort &amp; Cost" sheetId="8" r:id="rId1"/>
    <sheet name="Network" sheetId="14" r:id="rId2"/>
    <sheet name="PERT ALAP" sheetId="2" r:id="rId3"/>
    <sheet name="Piano SAL" sheetId="4" r:id="rId4"/>
    <sheet name="Risk Analysis" sheetId="11" r:id="rId5"/>
    <sheet name="Piano Risk" sheetId="10" r:id="rId6"/>
    <sheet name="EVM" sheetId="7" r:id="rId7"/>
    <sheet name="Dashboard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F22" i="7" l="1"/>
  <c r="BE22" i="7"/>
  <c r="AZ12" i="7"/>
  <c r="BA10" i="7"/>
  <c r="BA8" i="7"/>
  <c r="D25" i="2" l="1"/>
  <c r="D26" i="2" s="1"/>
  <c r="BF5" i="7" l="1"/>
  <c r="BA13" i="7"/>
  <c r="BA7" i="7"/>
  <c r="AY5" i="7"/>
  <c r="AZ5" i="7"/>
  <c r="BA5" i="7"/>
  <c r="AZ10" i="7" l="1"/>
  <c r="J20" i="7"/>
  <c r="J22" i="7" s="1"/>
  <c r="J17" i="7"/>
  <c r="J7" i="7"/>
  <c r="J20" i="10"/>
  <c r="J17" i="10"/>
  <c r="L7" i="11"/>
  <c r="J7" i="10"/>
  <c r="L6" i="11"/>
  <c r="L5" i="11"/>
  <c r="E6" i="11"/>
  <c r="F6" i="11" s="1"/>
  <c r="J6" i="11" s="1"/>
  <c r="E5" i="11"/>
  <c r="F5" i="11" s="1"/>
  <c r="J5" i="11" s="1"/>
  <c r="E4" i="11"/>
  <c r="F4" i="11" s="1"/>
  <c r="L4" i="11" s="1"/>
  <c r="I6" i="11"/>
  <c r="I5" i="11"/>
  <c r="I4" i="11"/>
  <c r="D23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D24" i="2"/>
  <c r="J4" i="11" l="1"/>
  <c r="D24" i="10"/>
  <c r="D28" i="10" s="1"/>
  <c r="AS22" i="10"/>
  <c r="J22" i="10"/>
  <c r="AR21" i="10"/>
  <c r="AQ21" i="10"/>
  <c r="AJ20" i="10"/>
  <c r="AI20" i="10"/>
  <c r="AH20" i="10"/>
  <c r="AP19" i="10"/>
  <c r="AO19" i="10"/>
  <c r="AP18" i="10"/>
  <c r="AP17" i="10"/>
  <c r="AO17" i="10"/>
  <c r="AN17" i="10"/>
  <c r="AM17" i="10"/>
  <c r="AL17" i="10"/>
  <c r="AK17" i="10"/>
  <c r="AJ17" i="10"/>
  <c r="AI17" i="10"/>
  <c r="AG16" i="10"/>
  <c r="AF16" i="10"/>
  <c r="AE16" i="10"/>
  <c r="AD16" i="10"/>
  <c r="AC16" i="10"/>
  <c r="AB16" i="10"/>
  <c r="AA16" i="10"/>
  <c r="Z16" i="10"/>
  <c r="Y16" i="10"/>
  <c r="X16" i="10"/>
  <c r="W16" i="10"/>
  <c r="AH15" i="10"/>
  <c r="AG15" i="10"/>
  <c r="AF15" i="10"/>
  <c r="AO14" i="10"/>
  <c r="AN14" i="10"/>
  <c r="AM14" i="10"/>
  <c r="AL14" i="10"/>
  <c r="AK14" i="10"/>
  <c r="AJ14" i="10"/>
  <c r="V13" i="10"/>
  <c r="U13" i="10"/>
  <c r="T13" i="10"/>
  <c r="S13" i="10"/>
  <c r="R13" i="10"/>
  <c r="Q12" i="10"/>
  <c r="AH11" i="10"/>
  <c r="AH10" i="10"/>
  <c r="AG10" i="10"/>
  <c r="AF10" i="10"/>
  <c r="AE10" i="10"/>
  <c r="AD10" i="10"/>
  <c r="AC10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AI9" i="10"/>
  <c r="AH9" i="10"/>
  <c r="AG9" i="10"/>
  <c r="AF9" i="10"/>
  <c r="AE9" i="10"/>
  <c r="AD9" i="10"/>
  <c r="AC9" i="10"/>
  <c r="AB9" i="10"/>
  <c r="AA9" i="10"/>
  <c r="Z9" i="10"/>
  <c r="Q8" i="10"/>
  <c r="P8" i="10"/>
  <c r="O8" i="10"/>
  <c r="N8" i="10"/>
  <c r="M8" i="10"/>
  <c r="L8" i="10"/>
  <c r="K8" i="10"/>
  <c r="M7" i="10"/>
  <c r="L7" i="10"/>
  <c r="K7" i="10"/>
  <c r="Y6" i="10"/>
  <c r="X6" i="10"/>
  <c r="W6" i="10"/>
  <c r="V6" i="10"/>
  <c r="U6" i="10"/>
  <c r="T6" i="10"/>
  <c r="S6" i="10"/>
  <c r="R6" i="10"/>
  <c r="Q6" i="10"/>
  <c r="D48" i="8"/>
  <c r="D47" i="8"/>
  <c r="M24" i="8"/>
  <c r="J24" i="8"/>
  <c r="I6" i="2"/>
  <c r="D25" i="10" l="1"/>
  <c r="D26" i="10"/>
  <c r="D27" i="10"/>
  <c r="BI5" i="7"/>
  <c r="BJ5" i="7" s="1"/>
  <c r="BG22" i="7"/>
  <c r="BB22" i="7"/>
  <c r="BD5" i="7"/>
  <c r="BE5" i="7" s="1"/>
  <c r="AW22" i="7"/>
  <c r="BI15" i="7"/>
  <c r="AH11" i="4"/>
  <c r="O10" i="4"/>
  <c r="P10" i="4"/>
  <c r="Q10" i="4"/>
  <c r="R10" i="4"/>
  <c r="S10" i="4"/>
  <c r="T10" i="4"/>
  <c r="U10" i="4"/>
  <c r="V10" i="4"/>
  <c r="W10" i="4"/>
  <c r="X10" i="4"/>
  <c r="Y10" i="4"/>
  <c r="Z10" i="4"/>
  <c r="AA10" i="4"/>
  <c r="AB10" i="4"/>
  <c r="AC10" i="4"/>
  <c r="AD10" i="4"/>
  <c r="AE10" i="4"/>
  <c r="AF10" i="4"/>
  <c r="AG10" i="4"/>
  <c r="AH10" i="4"/>
  <c r="N10" i="4"/>
  <c r="Z9" i="4"/>
  <c r="K8" i="4"/>
  <c r="K7" i="4"/>
  <c r="Q6" i="4"/>
  <c r="AH11" i="7"/>
  <c r="AS22" i="4"/>
  <c r="C5" i="7"/>
  <c r="D5" i="7"/>
  <c r="E5" i="7"/>
  <c r="F5" i="7"/>
  <c r="G5" i="7"/>
  <c r="H5" i="7"/>
  <c r="I5" i="7"/>
  <c r="C6" i="7"/>
  <c r="Q6" i="7" s="1"/>
  <c r="D6" i="7"/>
  <c r="E6" i="7"/>
  <c r="F6" i="7"/>
  <c r="G6" i="7"/>
  <c r="H6" i="7"/>
  <c r="I6" i="7"/>
  <c r="C7" i="7"/>
  <c r="M7" i="7" s="1"/>
  <c r="D7" i="7"/>
  <c r="E7" i="7"/>
  <c r="F7" i="7"/>
  <c r="G7" i="7"/>
  <c r="H7" i="7"/>
  <c r="I7" i="7"/>
  <c r="C8" i="7"/>
  <c r="N8" i="7" s="1"/>
  <c r="D8" i="7"/>
  <c r="E8" i="7"/>
  <c r="F8" i="7"/>
  <c r="G8" i="7"/>
  <c r="H8" i="7"/>
  <c r="I8" i="7"/>
  <c r="C9" i="7"/>
  <c r="AD9" i="7" s="1"/>
  <c r="D9" i="7"/>
  <c r="E9" i="7"/>
  <c r="F9" i="7"/>
  <c r="G9" i="7"/>
  <c r="H9" i="7"/>
  <c r="I9" i="7"/>
  <c r="C10" i="7"/>
  <c r="V10" i="7" s="1"/>
  <c r="D10" i="7"/>
  <c r="E10" i="7"/>
  <c r="F10" i="7"/>
  <c r="G10" i="7"/>
  <c r="H10" i="7"/>
  <c r="I10" i="7"/>
  <c r="C11" i="7"/>
  <c r="D11" i="7"/>
  <c r="E11" i="7"/>
  <c r="F11" i="7"/>
  <c r="G11" i="7"/>
  <c r="H11" i="7"/>
  <c r="I11" i="7"/>
  <c r="C12" i="7"/>
  <c r="Q12" i="7" s="1"/>
  <c r="D12" i="7"/>
  <c r="E12" i="7"/>
  <c r="F12" i="7"/>
  <c r="G12" i="7"/>
  <c r="H12" i="7"/>
  <c r="I12" i="7"/>
  <c r="C13" i="7"/>
  <c r="R13" i="7" s="1"/>
  <c r="D13" i="7"/>
  <c r="E13" i="7"/>
  <c r="F13" i="7"/>
  <c r="G13" i="7"/>
  <c r="H13" i="7"/>
  <c r="I13" i="7"/>
  <c r="C14" i="7"/>
  <c r="AM14" i="7" s="1"/>
  <c r="D14" i="7"/>
  <c r="E14" i="7"/>
  <c r="F14" i="7"/>
  <c r="G14" i="7"/>
  <c r="H14" i="7"/>
  <c r="I14" i="7"/>
  <c r="C15" i="7"/>
  <c r="AH15" i="7" s="1"/>
  <c r="D15" i="7"/>
  <c r="E15" i="7"/>
  <c r="F15" i="7"/>
  <c r="G15" i="7"/>
  <c r="H15" i="7"/>
  <c r="I15" i="7"/>
  <c r="C16" i="7"/>
  <c r="AG16" i="7" s="1"/>
  <c r="D16" i="7"/>
  <c r="E16" i="7"/>
  <c r="F16" i="7"/>
  <c r="G16" i="7"/>
  <c r="H16" i="7"/>
  <c r="I16" i="7"/>
  <c r="C17" i="7"/>
  <c r="AP17" i="7" s="1"/>
  <c r="D17" i="7"/>
  <c r="E17" i="7"/>
  <c r="F17" i="7"/>
  <c r="G17" i="7"/>
  <c r="H17" i="7"/>
  <c r="I17" i="7"/>
  <c r="C18" i="7"/>
  <c r="AP18" i="7" s="1"/>
  <c r="D18" i="7"/>
  <c r="E18" i="7"/>
  <c r="F18" i="7"/>
  <c r="G18" i="7"/>
  <c r="H18" i="7"/>
  <c r="I18" i="7"/>
  <c r="C19" i="7"/>
  <c r="AP19" i="7" s="1"/>
  <c r="D19" i="7"/>
  <c r="E19" i="7"/>
  <c r="F19" i="7"/>
  <c r="G19" i="7"/>
  <c r="H19" i="7"/>
  <c r="I19" i="7"/>
  <c r="C20" i="7"/>
  <c r="AJ20" i="7" s="1"/>
  <c r="D20" i="7"/>
  <c r="E20" i="7"/>
  <c r="F20" i="7"/>
  <c r="G20" i="7"/>
  <c r="H20" i="7"/>
  <c r="I20" i="7"/>
  <c r="C21" i="7"/>
  <c r="AR21" i="7" s="1"/>
  <c r="D21" i="7"/>
  <c r="E21" i="7"/>
  <c r="F21" i="7"/>
  <c r="G21" i="7"/>
  <c r="H21" i="7"/>
  <c r="I21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5" i="7"/>
  <c r="J22" i="4"/>
  <c r="S22" i="2"/>
  <c r="Y6" i="7" l="1"/>
  <c r="O8" i="7"/>
  <c r="AE9" i="7"/>
  <c r="S13" i="7"/>
  <c r="AN14" i="7"/>
  <c r="Z16" i="7"/>
  <c r="AI17" i="7"/>
  <c r="AC10" i="7"/>
  <c r="U10" i="7"/>
  <c r="R6" i="7"/>
  <c r="K7" i="7"/>
  <c r="P8" i="7"/>
  <c r="AF9" i="7"/>
  <c r="T13" i="7"/>
  <c r="AO14" i="7"/>
  <c r="AA16" i="7"/>
  <c r="AJ17" i="7"/>
  <c r="AO19" i="7"/>
  <c r="AB10" i="7"/>
  <c r="T10" i="7"/>
  <c r="S6" i="7"/>
  <c r="L7" i="7"/>
  <c r="Q8" i="7"/>
  <c r="AG9" i="7"/>
  <c r="U13" i="7"/>
  <c r="AF15" i="7"/>
  <c r="AB16" i="7"/>
  <c r="AK17" i="7"/>
  <c r="N10" i="7"/>
  <c r="AA10" i="7"/>
  <c r="S10" i="7"/>
  <c r="T6" i="7"/>
  <c r="Z9" i="7"/>
  <c r="AH9" i="7"/>
  <c r="V13" i="7"/>
  <c r="AG15" i="7"/>
  <c r="AC16" i="7"/>
  <c r="AL17" i="7"/>
  <c r="AH20" i="7"/>
  <c r="AH10" i="7"/>
  <c r="Z10" i="7"/>
  <c r="R10" i="7"/>
  <c r="U6" i="7"/>
  <c r="K8" i="7"/>
  <c r="AA9" i="7"/>
  <c r="AI9" i="7"/>
  <c r="AJ14" i="7"/>
  <c r="AD16" i="7"/>
  <c r="AM17" i="7"/>
  <c r="AI20" i="7"/>
  <c r="AG10" i="7"/>
  <c r="Y10" i="7"/>
  <c r="Q10" i="7"/>
  <c r="V6" i="7"/>
  <c r="L8" i="7"/>
  <c r="AB9" i="7"/>
  <c r="AK14" i="7"/>
  <c r="W16" i="7"/>
  <c r="AE16" i="7"/>
  <c r="AN17" i="7"/>
  <c r="AF10" i="7"/>
  <c r="X10" i="7"/>
  <c r="P10" i="7"/>
  <c r="W6" i="7"/>
  <c r="M8" i="7"/>
  <c r="AC9" i="7"/>
  <c r="AL14" i="7"/>
  <c r="X16" i="7"/>
  <c r="AF16" i="7"/>
  <c r="AO17" i="7"/>
  <c r="AQ21" i="7"/>
  <c r="AE10" i="7"/>
  <c r="W10" i="7"/>
  <c r="O10" i="7"/>
  <c r="X6" i="7"/>
  <c r="Y16" i="7"/>
  <c r="AD10" i="7"/>
  <c r="F25" i="10"/>
  <c r="F26" i="10" s="1"/>
  <c r="F27" i="10" s="1"/>
  <c r="F28" i="10" s="1"/>
  <c r="D29" i="10"/>
  <c r="BK5" i="7"/>
  <c r="M41" i="8"/>
  <c r="M25" i="8"/>
  <c r="M26" i="8"/>
  <c r="M27" i="8"/>
  <c r="M28" i="8"/>
  <c r="M29" i="8"/>
  <c r="M30" i="8"/>
  <c r="M31" i="8"/>
  <c r="M32" i="8"/>
  <c r="M33" i="8"/>
  <c r="M34" i="8"/>
  <c r="M35" i="8"/>
  <c r="M36" i="8"/>
  <c r="M37" i="8"/>
  <c r="M38" i="8"/>
  <c r="M39" i="8"/>
  <c r="M40" i="8"/>
  <c r="K41" i="8"/>
  <c r="L41" i="8"/>
  <c r="J41" i="8"/>
  <c r="F24" i="8"/>
  <c r="G24" i="8"/>
  <c r="H24" i="8"/>
  <c r="I24" i="8"/>
  <c r="F25" i="8"/>
  <c r="G25" i="8"/>
  <c r="H25" i="8"/>
  <c r="I25" i="8"/>
  <c r="F26" i="8"/>
  <c r="G26" i="8"/>
  <c r="H26" i="8"/>
  <c r="I26" i="8"/>
  <c r="F27" i="8"/>
  <c r="G27" i="8"/>
  <c r="H27" i="8"/>
  <c r="I27" i="8"/>
  <c r="F28" i="8"/>
  <c r="G28" i="8"/>
  <c r="H28" i="8"/>
  <c r="I28" i="8"/>
  <c r="F29" i="8"/>
  <c r="G29" i="8"/>
  <c r="H29" i="8"/>
  <c r="I29" i="8"/>
  <c r="F30" i="8"/>
  <c r="G30" i="8"/>
  <c r="H30" i="8"/>
  <c r="I30" i="8"/>
  <c r="F31" i="8"/>
  <c r="G31" i="8"/>
  <c r="H31" i="8"/>
  <c r="I31" i="8"/>
  <c r="F32" i="8"/>
  <c r="G32" i="8"/>
  <c r="I32" i="8"/>
  <c r="F33" i="8"/>
  <c r="G33" i="8"/>
  <c r="I33" i="8"/>
  <c r="F34" i="8"/>
  <c r="G34" i="8"/>
  <c r="I34" i="8"/>
  <c r="F35" i="8"/>
  <c r="G35" i="8"/>
  <c r="I35" i="8"/>
  <c r="F36" i="8"/>
  <c r="G36" i="8"/>
  <c r="I36" i="8"/>
  <c r="F37" i="8"/>
  <c r="G37" i="8"/>
  <c r="H37" i="8"/>
  <c r="I37" i="8"/>
  <c r="F38" i="8"/>
  <c r="G38" i="8"/>
  <c r="H38" i="8"/>
  <c r="I38" i="8"/>
  <c r="F39" i="8"/>
  <c r="G39" i="8"/>
  <c r="H39" i="8"/>
  <c r="I39" i="8"/>
  <c r="F40" i="8"/>
  <c r="G40" i="8"/>
  <c r="H40" i="8"/>
  <c r="I40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24" i="8"/>
  <c r="H33" i="8"/>
  <c r="H34" i="8"/>
  <c r="H35" i="8"/>
  <c r="H36" i="8"/>
  <c r="H32" i="8"/>
  <c r="Z6" i="2"/>
  <c r="AA6" i="2"/>
  <c r="AB6" i="2"/>
  <c r="AC6" i="2"/>
  <c r="AD6" i="2"/>
  <c r="AE6" i="2"/>
  <c r="AF6" i="2"/>
  <c r="AG6" i="2"/>
  <c r="AH6" i="2"/>
  <c r="T7" i="2"/>
  <c r="U7" i="2"/>
  <c r="V7" i="2"/>
  <c r="AA8" i="2"/>
  <c r="AB8" i="2"/>
  <c r="AC8" i="2"/>
  <c r="AD8" i="2"/>
  <c r="AE8" i="2"/>
  <c r="AF8" i="2"/>
  <c r="AG8" i="2"/>
  <c r="AI9" i="2"/>
  <c r="AJ9" i="2"/>
  <c r="AK9" i="2"/>
  <c r="AL9" i="2"/>
  <c r="AM9" i="2"/>
  <c r="AN9" i="2"/>
  <c r="AO9" i="2"/>
  <c r="AP9" i="2"/>
  <c r="AQ9" i="2"/>
  <c r="AR9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AJ10" i="2"/>
  <c r="AK10" i="2"/>
  <c r="AL10" i="2"/>
  <c r="AM10" i="2"/>
  <c r="AN10" i="2"/>
  <c r="AO10" i="2"/>
  <c r="AP10" i="2"/>
  <c r="AQ10" i="2"/>
  <c r="AQ11" i="2"/>
  <c r="AG12" i="2"/>
  <c r="AH13" i="2"/>
  <c r="AI13" i="2"/>
  <c r="AJ13" i="2"/>
  <c r="AK13" i="2"/>
  <c r="AL13" i="2"/>
  <c r="AS14" i="2"/>
  <c r="AT14" i="2"/>
  <c r="AU14" i="2"/>
  <c r="AV14" i="2"/>
  <c r="AW14" i="2"/>
  <c r="AX14" i="2"/>
  <c r="AO15" i="2"/>
  <c r="AP15" i="2"/>
  <c r="AQ15" i="2"/>
  <c r="AM16" i="2"/>
  <c r="AN16" i="2"/>
  <c r="AO16" i="2"/>
  <c r="AP16" i="2"/>
  <c r="AQ16" i="2"/>
  <c r="AR16" i="2"/>
  <c r="AS16" i="2"/>
  <c r="AT16" i="2"/>
  <c r="AU16" i="2"/>
  <c r="AV16" i="2"/>
  <c r="AW16" i="2"/>
  <c r="AR17" i="2"/>
  <c r="AS17" i="2"/>
  <c r="AT17" i="2"/>
  <c r="AU17" i="2"/>
  <c r="AV17" i="2"/>
  <c r="AW17" i="2"/>
  <c r="AX17" i="2"/>
  <c r="AY17" i="2"/>
  <c r="AY18" i="2"/>
  <c r="AX19" i="2"/>
  <c r="AY19" i="2"/>
  <c r="AY20" i="2"/>
  <c r="AZ20" i="2"/>
  <c r="BA20" i="2"/>
  <c r="AZ21" i="2"/>
  <c r="BA21" i="2"/>
  <c r="BA6" i="7" l="1"/>
  <c r="BF9" i="7"/>
  <c r="D49" i="8"/>
  <c r="D51" i="8" s="1"/>
  <c r="J30" i="8"/>
  <c r="J28" i="8"/>
  <c r="J38" i="8"/>
  <c r="J29" i="8"/>
  <c r="J31" i="8"/>
  <c r="J25" i="8"/>
  <c r="J36" i="8"/>
  <c r="J35" i="8"/>
  <c r="J27" i="8"/>
  <c r="J34" i="8"/>
  <c r="J26" i="8"/>
  <c r="J32" i="8"/>
  <c r="J33" i="8"/>
  <c r="J40" i="8"/>
  <c r="J39" i="8"/>
  <c r="J37" i="8"/>
  <c r="J5" i="2"/>
  <c r="U5" i="2" l="1"/>
  <c r="AC5" i="2"/>
  <c r="AK5" i="2"/>
  <c r="AS5" i="2"/>
  <c r="BA5" i="2"/>
  <c r="W5" i="2"/>
  <c r="AM5" i="2"/>
  <c r="AQ5" i="2"/>
  <c r="AJ5" i="2"/>
  <c r="V5" i="2"/>
  <c r="AD5" i="2"/>
  <c r="AL5" i="2"/>
  <c r="AT5" i="2"/>
  <c r="T5" i="2"/>
  <c r="AE5" i="2"/>
  <c r="AU5" i="2"/>
  <c r="AI5" i="2"/>
  <c r="AB5" i="2"/>
  <c r="AZ5" i="2"/>
  <c r="X5" i="2"/>
  <c r="AF5" i="2"/>
  <c r="AN5" i="2"/>
  <c r="AV5" i="2"/>
  <c r="AH5" i="2"/>
  <c r="AX5" i="2"/>
  <c r="AR5" i="2"/>
  <c r="Y5" i="2"/>
  <c r="AG5" i="2"/>
  <c r="AO5" i="2"/>
  <c r="AW5" i="2"/>
  <c r="Z5" i="2"/>
  <c r="AP5" i="2"/>
  <c r="AA5" i="2"/>
  <c r="AY5" i="2"/>
  <c r="D24" i="4"/>
  <c r="D24" i="7"/>
  <c r="D52" i="8"/>
  <c r="I11" i="2"/>
  <c r="I10" i="2"/>
  <c r="I12" i="2"/>
  <c r="I13" i="2"/>
  <c r="I14" i="2"/>
  <c r="I15" i="2"/>
  <c r="I16" i="2"/>
  <c r="I17" i="2"/>
  <c r="I18" i="2"/>
  <c r="I19" i="2"/>
  <c r="I20" i="2"/>
  <c r="I21" i="2"/>
  <c r="I7" i="2"/>
  <c r="I8" i="2"/>
  <c r="I9" i="2"/>
  <c r="AG5" i="10" l="1"/>
  <c r="AG22" i="10" s="1"/>
  <c r="AG5" i="7"/>
  <c r="AG22" i="7" s="1"/>
  <c r="AP22" i="2"/>
  <c r="AG5" i="4"/>
  <c r="AG22" i="4" s="1"/>
  <c r="Y5" i="10"/>
  <c r="Y22" i="10" s="1"/>
  <c r="Y5" i="7"/>
  <c r="Y22" i="7" s="1"/>
  <c r="AH22" i="2"/>
  <c r="Y5" i="4"/>
  <c r="Y22" i="4" s="1"/>
  <c r="AL5" i="10"/>
  <c r="AL22" i="10" s="1"/>
  <c r="AU22" i="2"/>
  <c r="AL5" i="4"/>
  <c r="AL22" i="4" s="1"/>
  <c r="AL5" i="7"/>
  <c r="AL22" i="7" s="1"/>
  <c r="AH5" i="10"/>
  <c r="AH22" i="10" s="1"/>
  <c r="AH5" i="7"/>
  <c r="AH22" i="7" s="1"/>
  <c r="AQ22" i="2"/>
  <c r="AH5" i="4"/>
  <c r="AH22" i="4" s="1"/>
  <c r="Q5" i="10"/>
  <c r="Q22" i="10" s="1"/>
  <c r="Q5" i="7"/>
  <c r="Q22" i="7" s="1"/>
  <c r="Z22" i="2"/>
  <c r="Q5" i="4"/>
  <c r="Q22" i="4" s="1"/>
  <c r="AM5" i="10"/>
  <c r="AM22" i="10" s="1"/>
  <c r="AV22" i="2"/>
  <c r="AM5" i="7"/>
  <c r="AM22" i="7" s="1"/>
  <c r="AM5" i="4"/>
  <c r="AM22" i="4" s="1"/>
  <c r="V5" i="10"/>
  <c r="V22" i="10" s="1"/>
  <c r="AE22" i="2"/>
  <c r="V5" i="7"/>
  <c r="V22" i="7" s="1"/>
  <c r="V5" i="4"/>
  <c r="V22" i="4" s="1"/>
  <c r="AD5" i="10"/>
  <c r="AD22" i="10" s="1"/>
  <c r="AM22" i="2"/>
  <c r="AD5" i="4"/>
  <c r="AD22" i="4" s="1"/>
  <c r="AD5" i="7"/>
  <c r="AD22" i="7" s="1"/>
  <c r="N5" i="10"/>
  <c r="N22" i="10" s="1"/>
  <c r="W22" i="2"/>
  <c r="N5" i="7"/>
  <c r="N22" i="7" s="1"/>
  <c r="N5" i="4"/>
  <c r="N22" i="4" s="1"/>
  <c r="AF5" i="10"/>
  <c r="AF22" i="10" s="1"/>
  <c r="AO22" i="2"/>
  <c r="AF5" i="7"/>
  <c r="AF22" i="7" s="1"/>
  <c r="AF5" i="4"/>
  <c r="AF22" i="4" s="1"/>
  <c r="W5" i="10"/>
  <c r="W22" i="10" s="1"/>
  <c r="AF22" i="2"/>
  <c r="W5" i="7"/>
  <c r="W22" i="7" s="1"/>
  <c r="W5" i="4"/>
  <c r="W22" i="4" s="1"/>
  <c r="AK5" i="10"/>
  <c r="AK22" i="10" s="1"/>
  <c r="AK5" i="4"/>
  <c r="AK22" i="4" s="1"/>
  <c r="AK5" i="7"/>
  <c r="AK22" i="7" s="1"/>
  <c r="AT22" i="2"/>
  <c r="AR5" i="10"/>
  <c r="AR22" i="10" s="1"/>
  <c r="AR5" i="7"/>
  <c r="AR22" i="7" s="1"/>
  <c r="AR5" i="4"/>
  <c r="AR22" i="4" s="1"/>
  <c r="BA22" i="2"/>
  <c r="X5" i="10"/>
  <c r="X22" i="10" s="1"/>
  <c r="AG22" i="2"/>
  <c r="X5" i="4"/>
  <c r="X22" i="4" s="1"/>
  <c r="X5" i="7"/>
  <c r="X22" i="7" s="1"/>
  <c r="O5" i="10"/>
  <c r="O22" i="10" s="1"/>
  <c r="X22" i="2"/>
  <c r="O5" i="4"/>
  <c r="O22" i="4" s="1"/>
  <c r="O5" i="7"/>
  <c r="O22" i="7" s="1"/>
  <c r="AC5" i="10"/>
  <c r="AC22" i="10" s="1"/>
  <c r="AC5" i="4"/>
  <c r="AC22" i="4" s="1"/>
  <c r="AL22" i="2"/>
  <c r="AC5" i="7"/>
  <c r="AC22" i="7" s="1"/>
  <c r="AJ5" i="10"/>
  <c r="AJ22" i="10" s="1"/>
  <c r="AJ5" i="7"/>
  <c r="AJ22" i="7" s="1"/>
  <c r="AS22" i="2"/>
  <c r="AJ5" i="4"/>
  <c r="AJ22" i="4" s="1"/>
  <c r="AN5" i="10"/>
  <c r="AN22" i="10" s="1"/>
  <c r="AW22" i="2"/>
  <c r="AN5" i="4"/>
  <c r="AN22" i="4" s="1"/>
  <c r="AN5" i="7"/>
  <c r="AN22" i="7" s="1"/>
  <c r="P5" i="10"/>
  <c r="P22" i="10" s="1"/>
  <c r="Y22" i="2"/>
  <c r="P5" i="4"/>
  <c r="P22" i="4" s="1"/>
  <c r="P5" i="7"/>
  <c r="P22" i="7" s="1"/>
  <c r="AQ5" i="10"/>
  <c r="AQ22" i="10" s="1"/>
  <c r="AQ5" i="4"/>
  <c r="AQ22" i="4" s="1"/>
  <c r="AQ5" i="7"/>
  <c r="AQ22" i="7" s="1"/>
  <c r="AZ22" i="2"/>
  <c r="U5" i="10"/>
  <c r="U22" i="10" s="1"/>
  <c r="U5" i="4"/>
  <c r="U22" i="4" s="1"/>
  <c r="AD22" i="2"/>
  <c r="U5" i="7"/>
  <c r="U22" i="7" s="1"/>
  <c r="AB5" i="10"/>
  <c r="AB22" i="10" s="1"/>
  <c r="AB5" i="7"/>
  <c r="AB22" i="7" s="1"/>
  <c r="AB5" i="4"/>
  <c r="AB22" i="4" s="1"/>
  <c r="AK22" i="2"/>
  <c r="AE5" i="10"/>
  <c r="AE22" i="10" s="1"/>
  <c r="AN22" i="2"/>
  <c r="AE5" i="4"/>
  <c r="AE22" i="4" s="1"/>
  <c r="AE5" i="7"/>
  <c r="AE22" i="7" s="1"/>
  <c r="AP5" i="10"/>
  <c r="AP22" i="10" s="1"/>
  <c r="AP5" i="7"/>
  <c r="AP22" i="7" s="1"/>
  <c r="AP5" i="4"/>
  <c r="AP22" i="4" s="1"/>
  <c r="AY22" i="2"/>
  <c r="AI5" i="10"/>
  <c r="AI22" i="10" s="1"/>
  <c r="AI5" i="4"/>
  <c r="AI22" i="4" s="1"/>
  <c r="AI5" i="7"/>
  <c r="AI22" i="7" s="1"/>
  <c r="AR22" i="2"/>
  <c r="S5" i="10"/>
  <c r="S22" i="10" s="1"/>
  <c r="S5" i="4"/>
  <c r="S22" i="4" s="1"/>
  <c r="S5" i="7"/>
  <c r="S22" i="7" s="1"/>
  <c r="AB22" i="2"/>
  <c r="M5" i="10"/>
  <c r="M22" i="10" s="1"/>
  <c r="M5" i="7"/>
  <c r="M22" i="7" s="1"/>
  <c r="M5" i="4"/>
  <c r="M22" i="4" s="1"/>
  <c r="V22" i="2"/>
  <c r="T5" i="10"/>
  <c r="T22" i="10" s="1"/>
  <c r="T5" i="7"/>
  <c r="T22" i="7" s="1"/>
  <c r="T5" i="4"/>
  <c r="T22" i="4" s="1"/>
  <c r="AC22" i="2"/>
  <c r="K5" i="10"/>
  <c r="K22" i="10" s="1"/>
  <c r="K23" i="10" s="1"/>
  <c r="K5" i="7"/>
  <c r="K22" i="7" s="1"/>
  <c r="K23" i="7" s="1"/>
  <c r="K5" i="4"/>
  <c r="K22" i="4" s="1"/>
  <c r="T22" i="2"/>
  <c r="T23" i="2" s="1"/>
  <c r="R5" i="10"/>
  <c r="R22" i="10" s="1"/>
  <c r="R5" i="7"/>
  <c r="R22" i="7" s="1"/>
  <c r="AA22" i="2"/>
  <c r="R5" i="4"/>
  <c r="R22" i="4" s="1"/>
  <c r="AO5" i="10"/>
  <c r="AO22" i="10" s="1"/>
  <c r="AO5" i="4"/>
  <c r="AO22" i="4" s="1"/>
  <c r="AO5" i="7"/>
  <c r="AO22" i="7" s="1"/>
  <c r="AX22" i="2"/>
  <c r="Z5" i="10"/>
  <c r="Z22" i="10" s="1"/>
  <c r="Z5" i="4"/>
  <c r="Z22" i="4" s="1"/>
  <c r="Z5" i="7"/>
  <c r="Z22" i="7" s="1"/>
  <c r="AI22" i="2"/>
  <c r="AA5" i="10"/>
  <c r="AA22" i="10" s="1"/>
  <c r="AA5" i="4"/>
  <c r="AA22" i="4" s="1"/>
  <c r="AA5" i="7"/>
  <c r="AA22" i="7" s="1"/>
  <c r="AJ22" i="2"/>
  <c r="L5" i="10"/>
  <c r="L22" i="10" s="1"/>
  <c r="L5" i="7"/>
  <c r="L22" i="7" s="1"/>
  <c r="L5" i="4"/>
  <c r="L22" i="4" s="1"/>
  <c r="U22" i="2"/>
  <c r="BA17" i="7"/>
  <c r="BI7" i="7"/>
  <c r="BK7" i="7" s="1"/>
  <c r="BI8" i="7"/>
  <c r="BJ8" i="7" s="1"/>
  <c r="BI9" i="7"/>
  <c r="BI10" i="7"/>
  <c r="BJ10" i="7" s="1"/>
  <c r="BI11" i="7"/>
  <c r="BK11" i="7" s="1"/>
  <c r="BI12" i="7"/>
  <c r="BK12" i="7" s="1"/>
  <c r="BI13" i="7"/>
  <c r="BK13" i="7" s="1"/>
  <c r="BI14" i="7"/>
  <c r="BK14" i="7" s="1"/>
  <c r="BK15" i="7"/>
  <c r="BI16" i="7"/>
  <c r="BK16" i="7" s="1"/>
  <c r="BI17" i="7"/>
  <c r="BK17" i="7" s="1"/>
  <c r="BI18" i="7"/>
  <c r="BJ18" i="7" s="1"/>
  <c r="BI19" i="7"/>
  <c r="BK19" i="7" s="1"/>
  <c r="BI20" i="7"/>
  <c r="BK20" i="7" s="1"/>
  <c r="BI21" i="7"/>
  <c r="BK21" i="7" s="1"/>
  <c r="BI6" i="7"/>
  <c r="BD7" i="7"/>
  <c r="BF7" i="7" s="1"/>
  <c r="BD8" i="7"/>
  <c r="BF8" i="7" s="1"/>
  <c r="BD9" i="7"/>
  <c r="BD10" i="7"/>
  <c r="BF10" i="7" s="1"/>
  <c r="BD11" i="7"/>
  <c r="BF11" i="7" s="1"/>
  <c r="BD12" i="7"/>
  <c r="BF12" i="7" s="1"/>
  <c r="BD13" i="7"/>
  <c r="BF13" i="7" s="1"/>
  <c r="BD14" i="7"/>
  <c r="BF14" i="7" s="1"/>
  <c r="BD15" i="7"/>
  <c r="BF15" i="7" s="1"/>
  <c r="BD16" i="7"/>
  <c r="BF16" i="7" s="1"/>
  <c r="BD17" i="7"/>
  <c r="BF17" i="7" s="1"/>
  <c r="BD18" i="7"/>
  <c r="BF18" i="7" s="1"/>
  <c r="BD19" i="7"/>
  <c r="BF19" i="7" s="1"/>
  <c r="BD20" i="7"/>
  <c r="BF20" i="7" s="1"/>
  <c r="BD21" i="7"/>
  <c r="BF21" i="7" s="1"/>
  <c r="BD6" i="7"/>
  <c r="AY7" i="7"/>
  <c r="AZ7" i="7" s="1"/>
  <c r="AY8" i="7"/>
  <c r="AY9" i="7"/>
  <c r="BA9" i="7" s="1"/>
  <c r="AY10" i="7"/>
  <c r="AY11" i="7"/>
  <c r="BA11" i="7" s="1"/>
  <c r="AY12" i="7"/>
  <c r="BA12" i="7" s="1"/>
  <c r="AY13" i="7"/>
  <c r="AY14" i="7"/>
  <c r="BA14" i="7" s="1"/>
  <c r="AY15" i="7"/>
  <c r="BA15" i="7" s="1"/>
  <c r="AY16" i="7"/>
  <c r="BA16" i="7" s="1"/>
  <c r="AY17" i="7"/>
  <c r="AY18" i="7"/>
  <c r="BA18" i="7" s="1"/>
  <c r="AY19" i="7"/>
  <c r="BA19" i="7" s="1"/>
  <c r="AY20" i="7"/>
  <c r="BA20" i="7" s="1"/>
  <c r="AY21" i="7"/>
  <c r="BA21" i="7" s="1"/>
  <c r="AY6" i="7"/>
  <c r="AZ6" i="7" s="1"/>
  <c r="AZ8" i="7" l="1"/>
  <c r="BK10" i="7"/>
  <c r="BE12" i="7"/>
  <c r="AY22" i="7"/>
  <c r="BF6" i="7"/>
  <c r="BD22" i="7"/>
  <c r="BK6" i="7"/>
  <c r="BI22" i="7"/>
  <c r="BJ22" i="7" s="1"/>
  <c r="BH24" i="7" s="1"/>
  <c r="U23" i="2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AR23" i="2" s="1"/>
  <c r="AS23" i="2" s="1"/>
  <c r="AT23" i="2" s="1"/>
  <c r="AU23" i="2" s="1"/>
  <c r="AV23" i="2" s="1"/>
  <c r="AW23" i="2" s="1"/>
  <c r="AX23" i="2" s="1"/>
  <c r="AY23" i="2" s="1"/>
  <c r="AZ23" i="2" s="1"/>
  <c r="BA23" i="2" s="1"/>
  <c r="L23" i="7"/>
  <c r="M23" i="7" s="1"/>
  <c r="N23" i="7" s="1"/>
  <c r="O23" i="7" s="1"/>
  <c r="P23" i="7" s="1"/>
  <c r="Q23" i="7" s="1"/>
  <c r="R23" i="7" s="1"/>
  <c r="S23" i="7" s="1"/>
  <c r="T23" i="7" s="1"/>
  <c r="U23" i="7" s="1"/>
  <c r="V23" i="7" s="1"/>
  <c r="L23" i="10"/>
  <c r="M23" i="10" s="1"/>
  <c r="N23" i="10" s="1"/>
  <c r="O23" i="10" s="1"/>
  <c r="P23" i="10" s="1"/>
  <c r="Q23" i="10" s="1"/>
  <c r="R23" i="10" s="1"/>
  <c r="S23" i="10" s="1"/>
  <c r="T23" i="10" s="1"/>
  <c r="U23" i="10" s="1"/>
  <c r="V23" i="10" s="1"/>
  <c r="W23" i="10" s="1"/>
  <c r="X23" i="10" s="1"/>
  <c r="Y23" i="10" s="1"/>
  <c r="Z23" i="10" s="1"/>
  <c r="AA23" i="10" s="1"/>
  <c r="AB23" i="10" s="1"/>
  <c r="AC23" i="10" s="1"/>
  <c r="AD23" i="10" s="1"/>
  <c r="AE23" i="10" s="1"/>
  <c r="AF23" i="10" s="1"/>
  <c r="AG23" i="10" s="1"/>
  <c r="AH23" i="10" s="1"/>
  <c r="AI23" i="10" s="1"/>
  <c r="AJ23" i="10" s="1"/>
  <c r="AK23" i="10" s="1"/>
  <c r="AL23" i="10" s="1"/>
  <c r="AM23" i="10" s="1"/>
  <c r="AN23" i="10" s="1"/>
  <c r="AO23" i="10" s="1"/>
  <c r="AP23" i="10" s="1"/>
  <c r="AQ23" i="10" s="1"/>
  <c r="AR23" i="10" s="1"/>
  <c r="BE15" i="7"/>
  <c r="BJ16" i="7"/>
  <c r="BJ17" i="7"/>
  <c r="BK18" i="7"/>
  <c r="BK9" i="7"/>
  <c r="BJ15" i="7"/>
  <c r="BJ7" i="7"/>
  <c r="BK8" i="7"/>
  <c r="BJ9" i="7"/>
  <c r="AZ13" i="7"/>
  <c r="BJ6" i="7"/>
  <c r="BJ14" i="7"/>
  <c r="BJ21" i="7"/>
  <c r="BJ13" i="7"/>
  <c r="BJ20" i="7"/>
  <c r="BJ12" i="7"/>
  <c r="BJ19" i="7"/>
  <c r="BJ11" i="7"/>
  <c r="BE10" i="7"/>
  <c r="BE16" i="7"/>
  <c r="BE9" i="7"/>
  <c r="BE7" i="7"/>
  <c r="D28" i="7"/>
  <c r="D27" i="7"/>
  <c r="D26" i="7"/>
  <c r="D25" i="7"/>
  <c r="F25" i="7" s="1"/>
  <c r="D28" i="4"/>
  <c r="D27" i="4"/>
  <c r="D26" i="4"/>
  <c r="D25" i="4"/>
  <c r="F25" i="4" s="1"/>
  <c r="AR21" i="4"/>
  <c r="AQ21" i="4"/>
  <c r="AR20" i="4"/>
  <c r="AQ20" i="4"/>
  <c r="AP20" i="4"/>
  <c r="AP19" i="4"/>
  <c r="AO19" i="4"/>
  <c r="AP18" i="4"/>
  <c r="AP17" i="4"/>
  <c r="AO17" i="4"/>
  <c r="AN17" i="4"/>
  <c r="AM17" i="4"/>
  <c r="AL17" i="4"/>
  <c r="AK17" i="4"/>
  <c r="AJ17" i="4"/>
  <c r="AI17" i="4"/>
  <c r="AG16" i="4"/>
  <c r="AF16" i="4"/>
  <c r="AE16" i="4"/>
  <c r="AD16" i="4"/>
  <c r="AC16" i="4"/>
  <c r="AB16" i="4"/>
  <c r="AA16" i="4"/>
  <c r="Z16" i="4"/>
  <c r="Y16" i="4"/>
  <c r="X16" i="4"/>
  <c r="W16" i="4"/>
  <c r="AH15" i="4"/>
  <c r="AG15" i="4"/>
  <c r="AF15" i="4"/>
  <c r="AO14" i="4"/>
  <c r="AN14" i="4"/>
  <c r="AM14" i="4"/>
  <c r="AL14" i="4"/>
  <c r="AK14" i="4"/>
  <c r="AJ14" i="4"/>
  <c r="V13" i="4"/>
  <c r="U13" i="4"/>
  <c r="T13" i="4"/>
  <c r="S13" i="4"/>
  <c r="R13" i="4"/>
  <c r="Q12" i="4"/>
  <c r="AI9" i="4"/>
  <c r="AH9" i="4"/>
  <c r="AG9" i="4"/>
  <c r="AF9" i="4"/>
  <c r="AE9" i="4"/>
  <c r="AD9" i="4"/>
  <c r="AC9" i="4"/>
  <c r="AB9" i="4"/>
  <c r="AA9" i="4"/>
  <c r="Q8" i="4"/>
  <c r="P8" i="4"/>
  <c r="O8" i="4"/>
  <c r="N8" i="4"/>
  <c r="M8" i="4"/>
  <c r="L8" i="4"/>
  <c r="M7" i="4"/>
  <c r="L7" i="4"/>
  <c r="K23" i="4"/>
  <c r="Y6" i="4"/>
  <c r="X6" i="4"/>
  <c r="W6" i="4"/>
  <c r="V6" i="4"/>
  <c r="U6" i="4"/>
  <c r="T6" i="4"/>
  <c r="S6" i="4"/>
  <c r="R6" i="4"/>
  <c r="AZ22" i="7" l="1"/>
  <c r="AX24" i="7" s="1"/>
  <c r="BA22" i="7"/>
  <c r="W23" i="7"/>
  <c r="X23" i="7" s="1"/>
  <c r="Y23" i="7" s="1"/>
  <c r="Z23" i="7" s="1"/>
  <c r="AA23" i="7" s="1"/>
  <c r="AB23" i="7" s="1"/>
  <c r="AC23" i="7" s="1"/>
  <c r="AD23" i="7" s="1"/>
  <c r="AE23" i="7" s="1"/>
  <c r="AF23" i="7" s="1"/>
  <c r="AG23" i="7" s="1"/>
  <c r="AH23" i="7" s="1"/>
  <c r="AI23" i="7" s="1"/>
  <c r="AJ23" i="7" s="1"/>
  <c r="AK23" i="7" s="1"/>
  <c r="AL23" i="7" s="1"/>
  <c r="AM23" i="7" s="1"/>
  <c r="AN23" i="7" s="1"/>
  <c r="AO23" i="7" s="1"/>
  <c r="AP23" i="7" s="1"/>
  <c r="AQ23" i="7" s="1"/>
  <c r="AR23" i="7" s="1"/>
  <c r="F26" i="4"/>
  <c r="F27" i="4" s="1"/>
  <c r="F28" i="4" s="1"/>
  <c r="L23" i="4"/>
  <c r="M23" i="4" s="1"/>
  <c r="N23" i="4" s="1"/>
  <c r="O23" i="4" s="1"/>
  <c r="P23" i="4" s="1"/>
  <c r="F26" i="7"/>
  <c r="F27" i="7" s="1"/>
  <c r="F28" i="7" s="1"/>
  <c r="D29" i="7"/>
  <c r="D29" i="4"/>
  <c r="Q23" i="4" l="1"/>
  <c r="R23" i="4" s="1"/>
  <c r="S23" i="4" s="1"/>
  <c r="T23" i="4" s="1"/>
  <c r="U23" i="4" s="1"/>
  <c r="V23" i="4" s="1"/>
  <c r="W23" i="4" s="1"/>
  <c r="X23" i="4" s="1"/>
  <c r="Y23" i="4" s="1"/>
  <c r="Z23" i="4" s="1"/>
  <c r="AA23" i="4" s="1"/>
  <c r="AB23" i="4" s="1"/>
  <c r="AC23" i="4" s="1"/>
  <c r="AD23" i="4" s="1"/>
  <c r="AE23" i="4" s="1"/>
  <c r="AF23" i="4" s="1"/>
  <c r="AG23" i="4" s="1"/>
  <c r="AH23" i="4" s="1"/>
  <c r="AI23" i="4" s="1"/>
  <c r="AJ23" i="4" s="1"/>
  <c r="AK23" i="4" s="1"/>
  <c r="AL23" i="4" s="1"/>
  <c r="AM23" i="4" s="1"/>
  <c r="AN23" i="4" s="1"/>
  <c r="AO23" i="4" s="1"/>
  <c r="AP23" i="4" s="1"/>
  <c r="AQ23" i="4" s="1"/>
  <c r="AR23" i="4" s="1"/>
  <c r="BE8" i="7"/>
  <c r="BE13" i="7"/>
  <c r="BE6" i="7"/>
  <c r="BE11" i="7"/>
  <c r="BK22" i="7" l="1"/>
  <c r="BC24" i="7"/>
</calcChain>
</file>

<file path=xl/sharedStrings.xml><?xml version="1.0" encoding="utf-8"?>
<sst xmlns="http://schemas.openxmlformats.org/spreadsheetml/2006/main" count="430" uniqueCount="147">
  <si>
    <t>Durata</t>
  </si>
  <si>
    <t>Predec.</t>
  </si>
  <si>
    <t>Dmi</t>
  </si>
  <si>
    <t>Dmf</t>
  </si>
  <si>
    <t>DMi</t>
  </si>
  <si>
    <t>DMf</t>
  </si>
  <si>
    <t>RT</t>
  </si>
  <si>
    <t>A</t>
  </si>
  <si>
    <t>-</t>
  </si>
  <si>
    <t>B</t>
  </si>
  <si>
    <t>D</t>
  </si>
  <si>
    <t>H</t>
  </si>
  <si>
    <t>C,G</t>
  </si>
  <si>
    <t>I</t>
  </si>
  <si>
    <t>M</t>
  </si>
  <si>
    <t>E,F,L</t>
  </si>
  <si>
    <t>O,N,P</t>
  </si>
  <si>
    <t>Task</t>
  </si>
  <si>
    <t>Costo</t>
  </si>
  <si>
    <t>Anticip</t>
  </si>
  <si>
    <t xml:space="preserve">Fatturato </t>
  </si>
  <si>
    <t>I SAL</t>
  </si>
  <si>
    <t>II SAL</t>
  </si>
  <si>
    <t>Chiusura</t>
  </si>
  <si>
    <t>Fine H</t>
  </si>
  <si>
    <t>Fine M</t>
  </si>
  <si>
    <t>Actual</t>
  </si>
  <si>
    <t>% avan.</t>
  </si>
  <si>
    <t>EV</t>
  </si>
  <si>
    <t>CPI</t>
  </si>
  <si>
    <t>SPI</t>
  </si>
  <si>
    <t xml:space="preserve">            -   € </t>
  </si>
  <si>
    <t xml:space="preserve">              -   € </t>
  </si>
  <si>
    <t>AC</t>
  </si>
  <si>
    <t>PV</t>
  </si>
  <si>
    <t>Content design</t>
  </si>
  <si>
    <t>Client - server design</t>
  </si>
  <si>
    <t>Client sw vendor selection</t>
  </si>
  <si>
    <t>DB Design</t>
  </si>
  <si>
    <t>SW technical design</t>
  </si>
  <si>
    <t>Vendor negotiation</t>
  </si>
  <si>
    <t>Client development</t>
  </si>
  <si>
    <t>DB development</t>
  </si>
  <si>
    <t>SW internal development</t>
  </si>
  <si>
    <t xml:space="preserve">Client configuration  </t>
  </si>
  <si>
    <t>DB robustness test</t>
  </si>
  <si>
    <t>Customer test</t>
  </si>
  <si>
    <t>Client final version release</t>
  </si>
  <si>
    <t>Customer version release</t>
  </si>
  <si>
    <t>Final robustness test</t>
  </si>
  <si>
    <t>Client functionalities design</t>
  </si>
  <si>
    <t>Attesa</t>
  </si>
  <si>
    <t>Ottimistica</t>
  </si>
  <si>
    <t>Media</t>
  </si>
  <si>
    <t>Pessimistica</t>
  </si>
  <si>
    <t>Task Name</t>
  </si>
  <si>
    <t>Task code</t>
  </si>
  <si>
    <t>1.2</t>
  </si>
  <si>
    <t>1.3</t>
  </si>
  <si>
    <t>2.2</t>
  </si>
  <si>
    <t>4.2</t>
  </si>
  <si>
    <t>1.4</t>
  </si>
  <si>
    <t>1.5</t>
  </si>
  <si>
    <t>1.1</t>
  </si>
  <si>
    <t>2.1</t>
  </si>
  <si>
    <t>3.1</t>
  </si>
  <si>
    <t>3.2</t>
  </si>
  <si>
    <t>3.3</t>
  </si>
  <si>
    <t>3.4</t>
  </si>
  <si>
    <t>3.5</t>
  </si>
  <si>
    <t>4.1</t>
  </si>
  <si>
    <t>4.3</t>
  </si>
  <si>
    <t>4.4</t>
  </si>
  <si>
    <t>Project Management</t>
  </si>
  <si>
    <t>0.1</t>
  </si>
  <si>
    <t>WP0</t>
  </si>
  <si>
    <t>WP1</t>
  </si>
  <si>
    <t>WP2</t>
  </si>
  <si>
    <t>WP3</t>
  </si>
  <si>
    <t>WP4</t>
  </si>
  <si>
    <t>1.3, 2.2</t>
  </si>
  <si>
    <t>2.1, 1.5, 3.3</t>
  </si>
  <si>
    <t>3.5, 4.1, 4.2</t>
  </si>
  <si>
    <t>Durate</t>
  </si>
  <si>
    <t xml:space="preserve">PM Team </t>
  </si>
  <si>
    <t>Design Team</t>
  </si>
  <si>
    <t xml:space="preserve">Development Team </t>
  </si>
  <si>
    <t>Purchasing Team</t>
  </si>
  <si>
    <t xml:space="preserve">Test Team </t>
  </si>
  <si>
    <t>Costo medio personale</t>
  </si>
  <si>
    <t>Costi trasferta</t>
  </si>
  <si>
    <t>Costi acquisto</t>
  </si>
  <si>
    <t>Costi personale</t>
  </si>
  <si>
    <t>Costi totali</t>
  </si>
  <si>
    <t>Budget</t>
  </si>
  <si>
    <t>Management Reserve</t>
  </si>
  <si>
    <t>Offerta</t>
  </si>
  <si>
    <t>Margine</t>
  </si>
  <si>
    <t>Anticipo</t>
  </si>
  <si>
    <t>Fine 3.1</t>
  </si>
  <si>
    <t>Fine 3.4</t>
  </si>
  <si>
    <t>TN1 (12 settimane)</t>
  </si>
  <si>
    <t>TN2  (24 settimane)</t>
  </si>
  <si>
    <t>Final  (34 settimane)</t>
  </si>
  <si>
    <t>Impatto</t>
  </si>
  <si>
    <t>Probabilità</t>
  </si>
  <si>
    <t>Costo mitigazione</t>
  </si>
  <si>
    <t>Effetto mitigazione</t>
  </si>
  <si>
    <t>Aumento durata di 3 settimane</t>
  </si>
  <si>
    <t>Nuova probabilità accadimento rischio = 40%</t>
  </si>
  <si>
    <t>3.5.</t>
  </si>
  <si>
    <t>Nuova probabilità accadimento rischio = 0%</t>
  </si>
  <si>
    <t>Nuova probabilità accadimento rischio = 20%</t>
  </si>
  <si>
    <t>penale</t>
  </si>
  <si>
    <t>Differenza</t>
  </si>
  <si>
    <t>Durata promessa al cliente</t>
  </si>
  <si>
    <t>Probabilità completamento in tempo</t>
  </si>
  <si>
    <t>V</t>
  </si>
  <si>
    <t>σ</t>
  </si>
  <si>
    <t>Tempo atteso</t>
  </si>
  <si>
    <t>Z</t>
  </si>
  <si>
    <t>No</t>
  </si>
  <si>
    <t>Mitigazione?</t>
  </si>
  <si>
    <t>Sì</t>
  </si>
  <si>
    <t>Contingency reserve</t>
  </si>
  <si>
    <t>Budget per risk</t>
  </si>
  <si>
    <t>EAC</t>
  </si>
  <si>
    <t>&gt;</t>
  </si>
  <si>
    <t>&lt;</t>
  </si>
  <si>
    <t>Aumento durata di 1 settimane</t>
  </si>
  <si>
    <t>Contingency reserve con mitigazione</t>
  </si>
  <si>
    <t>4.3 (3)</t>
  </si>
  <si>
    <t>3.4 (11)</t>
  </si>
  <si>
    <t>4.2 (2)</t>
  </si>
  <si>
    <t>3.1 (5)</t>
  </si>
  <si>
    <t>1.3 (7)</t>
  </si>
  <si>
    <t>3.3 (3)</t>
  </si>
  <si>
    <t>2.2 (1)</t>
  </si>
  <si>
    <t>2.1 (1)</t>
  </si>
  <si>
    <t>1.2 (3)</t>
  </si>
  <si>
    <t>4.4 (2)</t>
  </si>
  <si>
    <t>3.5 (8)</t>
  </si>
  <si>
    <t>1.5 (21)</t>
  </si>
  <si>
    <t>1.1 (9)</t>
  </si>
  <si>
    <t>4.1 (1)</t>
  </si>
  <si>
    <t>3.2 (6)</t>
  </si>
  <si>
    <t>1.4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</si>
</sst>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#,##0\ &quot;€&quot;;[Red]\-#,##0\ &quot;€&quot;"/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_-* #,##0\ [$€-410]_-;\-* #,##0\ [$€-410]_-;_-* &quot;-&quot;??\ [$€-410]_-;_-@_-"/>
    <numFmt numFmtId="165" formatCode="0.0%"/>
    <numFmt numFmtId="166" formatCode="_-* #,##0\ &quot;€&quot;_-;\-* #,##0\ &quot;€&quot;_-;_-* &quot;-&quot;??\ &quot;€&quot;_-;_-@_-"/>
    <numFmt numFmtId="167" formatCode="#,##0.0\ &quot;€&quot;;[Red]\-#,##0.0\ &quot;€&quot;"/>
  </numFmts>
  <fonts count="1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rgb="FF000000"/>
      <name val="Arial"/>
      <family val="2"/>
    </font>
    <font>
      <sz val="11"/>
      <color theme="1"/>
      <name val="Calibri"/>
      <scheme val="minor"/>
    </font>
    <font>
      <sz val="11"/>
      <color theme="1"/>
      <name val="Arial"/>
    </font>
    <font>
      <sz val="11"/>
      <name val="Calibri"/>
    </font>
  </fonts>
  <fills count="2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C2FF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" fillId="0" borderId="0"/>
  </cellStyleXfs>
  <cellXfs count="17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3" xfId="0" applyFont="1" applyFill="1" applyBorder="1"/>
    <xf numFmtId="164" fontId="0" fillId="0" borderId="0" xfId="0" applyNumberFormat="1" applyBorder="1" applyAlignment="1">
      <alignment horizontal="center"/>
    </xf>
    <xf numFmtId="164" fontId="4" fillId="0" borderId="3" xfId="0" applyNumberFormat="1" applyFont="1" applyFill="1" applyBorder="1"/>
    <xf numFmtId="0" fontId="4" fillId="0" borderId="0" xfId="0" applyFont="1"/>
    <xf numFmtId="164" fontId="5" fillId="2" borderId="6" xfId="0" applyNumberFormat="1" applyFont="1" applyFill="1" applyBorder="1"/>
    <xf numFmtId="0" fontId="4" fillId="0" borderId="4" xfId="0" applyFont="1" applyFill="1" applyBorder="1"/>
    <xf numFmtId="164" fontId="4" fillId="0" borderId="2" xfId="0" applyNumberFormat="1" applyFont="1" applyFill="1" applyBorder="1"/>
    <xf numFmtId="164" fontId="4" fillId="0" borderId="1" xfId="0" applyNumberFormat="1" applyFont="1" applyBorder="1"/>
    <xf numFmtId="164" fontId="4" fillId="0" borderId="2" xfId="0" applyNumberFormat="1" applyFont="1" applyBorder="1"/>
    <xf numFmtId="164" fontId="4" fillId="0" borderId="5" xfId="0" applyNumberFormat="1" applyFont="1" applyBorder="1"/>
    <xf numFmtId="164" fontId="5" fillId="2" borderId="0" xfId="0" applyNumberFormat="1" applyFont="1" applyFill="1" applyBorder="1"/>
    <xf numFmtId="164" fontId="4" fillId="0" borderId="4" xfId="0" applyNumberFormat="1" applyFont="1" applyFill="1" applyBorder="1"/>
    <xf numFmtId="164" fontId="4" fillId="0" borderId="3" xfId="0" applyNumberFormat="1" applyFont="1" applyBorder="1"/>
    <xf numFmtId="164" fontId="4" fillId="0" borderId="4" xfId="0" applyNumberFormat="1" applyFont="1" applyBorder="1"/>
    <xf numFmtId="164" fontId="4" fillId="0" borderId="9" xfId="0" applyNumberFormat="1" applyFont="1" applyBorder="1"/>
    <xf numFmtId="164" fontId="4" fillId="0" borderId="6" xfId="0" applyNumberFormat="1" applyFont="1" applyBorder="1"/>
    <xf numFmtId="164" fontId="4" fillId="0" borderId="7" xfId="0" applyNumberFormat="1" applyFont="1" applyBorder="1"/>
    <xf numFmtId="164" fontId="0" fillId="0" borderId="0" xfId="0" applyNumberFormat="1"/>
    <xf numFmtId="164" fontId="3" fillId="0" borderId="0" xfId="0" applyNumberFormat="1" applyFont="1"/>
    <xf numFmtId="9" fontId="0" fillId="0" borderId="0" xfId="1" applyFont="1"/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horizontal="right"/>
    </xf>
    <xf numFmtId="0" fontId="2" fillId="0" borderId="0" xfId="0" applyFont="1"/>
    <xf numFmtId="164" fontId="6" fillId="0" borderId="0" xfId="0" applyNumberFormat="1" applyFont="1"/>
    <xf numFmtId="164" fontId="4" fillId="0" borderId="10" xfId="0" applyNumberFormat="1" applyFont="1" applyBorder="1"/>
    <xf numFmtId="164" fontId="4" fillId="0" borderId="11" xfId="0" applyNumberFormat="1" applyFont="1" applyBorder="1"/>
    <xf numFmtId="164" fontId="0" fillId="0" borderId="1" xfId="0" applyNumberFormat="1" applyBorder="1" applyAlignment="1">
      <alignment horizontal="center"/>
    </xf>
    <xf numFmtId="0" fontId="7" fillId="5" borderId="17" xfId="0" applyFont="1" applyFill="1" applyBorder="1" applyAlignment="1">
      <alignment horizontal="center" vertical="center" readingOrder="1"/>
    </xf>
    <xf numFmtId="0" fontId="7" fillId="6" borderId="17" xfId="0" applyFont="1" applyFill="1" applyBorder="1" applyAlignment="1">
      <alignment horizontal="center" vertical="center" readingOrder="1"/>
    </xf>
    <xf numFmtId="0" fontId="7" fillId="7" borderId="18" xfId="0" applyFont="1" applyFill="1" applyBorder="1" applyAlignment="1">
      <alignment horizontal="center" vertical="center" readingOrder="1"/>
    </xf>
    <xf numFmtId="6" fontId="7" fillId="0" borderId="19" xfId="0" applyNumberFormat="1" applyFont="1" applyBorder="1" applyAlignment="1">
      <alignment horizontal="right" vertical="center" readingOrder="1"/>
    </xf>
    <xf numFmtId="9" fontId="7" fillId="0" borderId="20" xfId="0" applyNumberFormat="1" applyFont="1" applyBorder="1" applyAlignment="1">
      <alignment horizontal="right" vertical="center" readingOrder="1"/>
    </xf>
    <xf numFmtId="9" fontId="7" fillId="0" borderId="20" xfId="1" applyFont="1" applyBorder="1" applyAlignment="1">
      <alignment horizontal="right" vertical="center" readingOrder="1"/>
    </xf>
    <xf numFmtId="0" fontId="7" fillId="0" borderId="19" xfId="0" applyFont="1" applyBorder="1" applyAlignment="1">
      <alignment horizontal="right" vertical="center" readingOrder="1"/>
    </xf>
    <xf numFmtId="0" fontId="7" fillId="0" borderId="21" xfId="0" applyFont="1" applyBorder="1" applyAlignment="1">
      <alignment horizontal="right" vertical="center" readingOrder="1"/>
    </xf>
    <xf numFmtId="9" fontId="7" fillId="0" borderId="22" xfId="0" applyNumberFormat="1" applyFont="1" applyBorder="1" applyAlignment="1">
      <alignment horizontal="right" vertical="center" readingOrder="1"/>
    </xf>
    <xf numFmtId="6" fontId="7" fillId="0" borderId="23" xfId="0" applyNumberFormat="1" applyFont="1" applyBorder="1" applyAlignment="1">
      <alignment horizontal="right" vertical="center" readingOrder="1"/>
    </xf>
    <xf numFmtId="0" fontId="9" fillId="0" borderId="24" xfId="0" applyFont="1" applyBorder="1" applyAlignment="1">
      <alignment horizontal="right" vertical="center"/>
    </xf>
    <xf numFmtId="6" fontId="7" fillId="0" borderId="27" xfId="0" applyNumberFormat="1" applyFont="1" applyBorder="1" applyAlignment="1">
      <alignment horizontal="right" vertical="center" readingOrder="1"/>
    </xf>
    <xf numFmtId="0" fontId="7" fillId="4" borderId="15" xfId="0" applyFont="1" applyFill="1" applyBorder="1" applyAlignment="1">
      <alignment horizontal="center" vertical="center" readingOrder="1"/>
    </xf>
    <xf numFmtId="0" fontId="7" fillId="4" borderId="16" xfId="0" applyFont="1" applyFill="1" applyBorder="1" applyAlignment="1">
      <alignment horizontal="center" vertical="center" readingOrder="1"/>
    </xf>
    <xf numFmtId="0" fontId="7" fillId="5" borderId="18" xfId="0" applyFont="1" applyFill="1" applyBorder="1" applyAlignment="1">
      <alignment horizontal="center" vertical="center" readingOrder="1"/>
    </xf>
    <xf numFmtId="0" fontId="7" fillId="5" borderId="16" xfId="0" applyFont="1" applyFill="1" applyBorder="1" applyAlignment="1">
      <alignment horizontal="center" vertical="center" readingOrder="1"/>
    </xf>
    <xf numFmtId="0" fontId="7" fillId="6" borderId="18" xfId="0" applyFont="1" applyFill="1" applyBorder="1" applyAlignment="1">
      <alignment horizontal="center" vertical="center" readingOrder="1"/>
    </xf>
    <xf numFmtId="0" fontId="7" fillId="6" borderId="16" xfId="0" applyFont="1" applyFill="1" applyBorder="1" applyAlignment="1">
      <alignment horizontal="center" vertical="center" readingOrder="1"/>
    </xf>
    <xf numFmtId="0" fontId="7" fillId="7" borderId="16" xfId="0" applyFont="1" applyFill="1" applyBorder="1" applyAlignment="1">
      <alignment horizontal="center" vertical="center" readingOrder="1"/>
    </xf>
    <xf numFmtId="9" fontId="8" fillId="0" borderId="1" xfId="1" applyFont="1" applyBorder="1"/>
    <xf numFmtId="9" fontId="8" fillId="0" borderId="20" xfId="1" applyFont="1" applyBorder="1"/>
    <xf numFmtId="9" fontId="8" fillId="0" borderId="8" xfId="1" applyFont="1" applyBorder="1"/>
    <xf numFmtId="165" fontId="9" fillId="8" borderId="25" xfId="1" applyNumberFormat="1" applyFont="1" applyFill="1" applyBorder="1" applyAlignment="1">
      <alignment horizontal="right" vertical="center"/>
    </xf>
    <xf numFmtId="165" fontId="8" fillId="8" borderId="26" xfId="1" applyNumberFormat="1" applyFont="1" applyFill="1" applyBorder="1" applyAlignment="1">
      <alignment vertical="center"/>
    </xf>
    <xf numFmtId="165" fontId="9" fillId="9" borderId="25" xfId="1" applyNumberFormat="1" applyFont="1" applyFill="1" applyBorder="1" applyAlignment="1">
      <alignment horizontal="right" vertical="center"/>
    </xf>
    <xf numFmtId="165" fontId="9" fillId="9" borderId="26" xfId="1" applyNumberFormat="1" applyFont="1" applyFill="1" applyBorder="1" applyAlignment="1">
      <alignment horizontal="right" vertical="center"/>
    </xf>
    <xf numFmtId="10" fontId="8" fillId="10" borderId="25" xfId="1" applyNumberFormat="1" applyFont="1" applyFill="1" applyBorder="1" applyAlignment="1">
      <alignment vertical="center"/>
    </xf>
    <xf numFmtId="10" fontId="8" fillId="10" borderId="26" xfId="1" applyNumberFormat="1" applyFont="1" applyFill="1" applyBorder="1" applyAlignment="1">
      <alignment vertical="center"/>
    </xf>
    <xf numFmtId="166" fontId="8" fillId="0" borderId="4" xfId="0" applyNumberFormat="1" applyFont="1" applyBorder="1"/>
    <xf numFmtId="166" fontId="8" fillId="0" borderId="7" xfId="0" applyNumberFormat="1" applyFont="1" applyBorder="1"/>
    <xf numFmtId="166" fontId="8" fillId="8" borderId="23" xfId="0" applyNumberFormat="1" applyFont="1" applyFill="1" applyBorder="1" applyAlignment="1">
      <alignment vertical="center"/>
    </xf>
    <xf numFmtId="166" fontId="7" fillId="0" borderId="4" xfId="2" applyNumberFormat="1" applyFont="1" applyBorder="1" applyAlignment="1">
      <alignment horizontal="right" vertical="center" readingOrder="1"/>
    </xf>
    <xf numFmtId="166" fontId="8" fillId="9" borderId="23" xfId="0" applyNumberFormat="1" applyFont="1" applyFill="1" applyBorder="1" applyAlignment="1">
      <alignment vertical="center"/>
    </xf>
    <xf numFmtId="166" fontId="7" fillId="0" borderId="19" xfId="2" applyNumberFormat="1" applyFont="1" applyBorder="1" applyAlignment="1">
      <alignment horizontal="right" vertical="center" readingOrder="1"/>
    </xf>
    <xf numFmtId="166" fontId="7" fillId="0" borderId="21" xfId="2" applyNumberFormat="1" applyFont="1" applyBorder="1" applyAlignment="1">
      <alignment horizontal="right" vertical="center" readingOrder="1"/>
    </xf>
    <xf numFmtId="166" fontId="7" fillId="0" borderId="27" xfId="0" applyNumberFormat="1" applyFont="1" applyBorder="1" applyAlignment="1">
      <alignment horizontal="right" vertical="center" readingOrder="1"/>
    </xf>
    <xf numFmtId="166" fontId="8" fillId="0" borderId="1" xfId="0" applyNumberFormat="1" applyFont="1" applyBorder="1"/>
    <xf numFmtId="0" fontId="2" fillId="0" borderId="0" xfId="0" applyFont="1" applyAlignment="1">
      <alignment horizontal="center" vertical="center"/>
    </xf>
    <xf numFmtId="0" fontId="4" fillId="0" borderId="0" xfId="0" applyFont="1" applyBorder="1"/>
    <xf numFmtId="0" fontId="0" fillId="0" borderId="0" xfId="0" applyBorder="1"/>
    <xf numFmtId="164" fontId="4" fillId="0" borderId="0" xfId="0" applyNumberFormat="1" applyFont="1" applyFill="1" applyBorder="1"/>
    <xf numFmtId="0" fontId="4" fillId="0" borderId="10" xfId="0" applyFont="1" applyFill="1" applyBorder="1"/>
    <xf numFmtId="0" fontId="4" fillId="0" borderId="11" xfId="0" applyFont="1" applyFill="1" applyBorder="1"/>
    <xf numFmtId="0" fontId="0" fillId="0" borderId="2" xfId="0" applyBorder="1"/>
    <xf numFmtId="0" fontId="0" fillId="11" borderId="1" xfId="0" applyFill="1" applyBorder="1" applyAlignment="1">
      <alignment horizontal="center"/>
    </xf>
    <xf numFmtId="0" fontId="11" fillId="0" borderId="0" xfId="0" applyFont="1" applyAlignment="1">
      <alignment horizontal="center" vertical="center"/>
    </xf>
    <xf numFmtId="164" fontId="4" fillId="0" borderId="9" xfId="0" applyNumberFormat="1" applyFont="1" applyFill="1" applyBorder="1"/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0" fillId="12" borderId="0" xfId="0" applyFill="1"/>
    <xf numFmtId="0" fontId="2" fillId="12" borderId="0" xfId="0" applyFont="1" applyFill="1"/>
    <xf numFmtId="0" fontId="2" fillId="12" borderId="0" xfId="0" applyFont="1" applyFill="1" applyAlignment="1">
      <alignment horizontal="right"/>
    </xf>
    <xf numFmtId="0" fontId="2" fillId="12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0" fillId="12" borderId="1" xfId="0" applyFill="1" applyBorder="1" applyAlignment="1">
      <alignment horizontal="right"/>
    </xf>
    <xf numFmtId="0" fontId="0" fillId="12" borderId="1" xfId="0" applyFill="1" applyBorder="1" applyAlignment="1">
      <alignment horizontal="center"/>
    </xf>
    <xf numFmtId="0" fontId="0" fillId="12" borderId="1" xfId="0" applyFill="1" applyBorder="1" applyAlignment="1">
      <alignment horizontal="right" vertical="center"/>
    </xf>
    <xf numFmtId="0" fontId="0" fillId="12" borderId="1" xfId="0" applyFill="1" applyBorder="1" applyAlignment="1">
      <alignment horizontal="center" vertical="center"/>
    </xf>
    <xf numFmtId="0" fontId="0" fillId="0" borderId="1" xfId="0" applyBorder="1"/>
    <xf numFmtId="6" fontId="0" fillId="0" borderId="0" xfId="0" applyNumberFormat="1"/>
    <xf numFmtId="6" fontId="0" fillId="12" borderId="1" xfId="0" applyNumberFormat="1" applyFill="1" applyBorder="1" applyAlignment="1">
      <alignment horizontal="center"/>
    </xf>
    <xf numFmtId="6" fontId="0" fillId="0" borderId="1" xfId="0" applyNumberFormat="1" applyBorder="1"/>
    <xf numFmtId="0" fontId="0" fillId="11" borderId="1" xfId="0" applyFill="1" applyBorder="1" applyAlignment="1">
      <alignment horizontal="right" vertical="center"/>
    </xf>
    <xf numFmtId="0" fontId="0" fillId="11" borderId="1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/>
    </xf>
    <xf numFmtId="0" fontId="0" fillId="13" borderId="1" xfId="0" applyFill="1" applyBorder="1" applyAlignment="1">
      <alignment horizontal="right"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164" fontId="0" fillId="0" borderId="2" xfId="0" applyNumberFormat="1" applyBorder="1"/>
    <xf numFmtId="164" fontId="0" fillId="0" borderId="1" xfId="0" applyNumberFormat="1" applyBorder="1"/>
    <xf numFmtId="164" fontId="0" fillId="0" borderId="0" xfId="0" applyNumberFormat="1" applyAlignment="1">
      <alignment horizontal="center" vertical="center" textRotation="180"/>
    </xf>
    <xf numFmtId="0" fontId="0" fillId="14" borderId="0" xfId="0" applyFill="1" applyAlignment="1">
      <alignment horizontal="center" vertical="center"/>
    </xf>
    <xf numFmtId="0" fontId="0" fillId="14" borderId="0" xfId="0" applyFill="1"/>
    <xf numFmtId="0" fontId="4" fillId="14" borderId="3" xfId="0" applyFont="1" applyFill="1" applyBorder="1"/>
    <xf numFmtId="0" fontId="4" fillId="14" borderId="0" xfId="0" applyFont="1" applyFill="1"/>
    <xf numFmtId="164" fontId="4" fillId="14" borderId="3" xfId="0" applyNumberFormat="1" applyFont="1" applyFill="1" applyBorder="1"/>
    <xf numFmtId="164" fontId="5" fillId="14" borderId="6" xfId="0" applyNumberFormat="1" applyFont="1" applyFill="1" applyBorder="1"/>
    <xf numFmtId="164" fontId="4" fillId="14" borderId="4" xfId="0" applyNumberFormat="1" applyFont="1" applyFill="1" applyBorder="1"/>
    <xf numFmtId="164" fontId="0" fillId="14" borderId="1" xfId="0" applyNumberFormat="1" applyFill="1" applyBorder="1"/>
    <xf numFmtId="166" fontId="7" fillId="10" borderId="23" xfId="0" applyNumberFormat="1" applyFont="1" applyFill="1" applyBorder="1" applyAlignment="1">
      <alignment horizontal="right" vertical="center" readingOrder="1"/>
    </xf>
    <xf numFmtId="0" fontId="0" fillId="0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6" fontId="0" fillId="15" borderId="0" xfId="0" applyNumberFormat="1" applyFill="1"/>
    <xf numFmtId="6" fontId="2" fillId="15" borderId="0" xfId="0" applyNumberFormat="1" applyFont="1" applyFill="1"/>
    <xf numFmtId="6" fontId="0" fillId="16" borderId="0" xfId="0" applyNumberFormat="1" applyFill="1"/>
    <xf numFmtId="0" fontId="3" fillId="0" borderId="0" xfId="0" applyFont="1" applyFill="1" applyBorder="1" applyAlignment="1">
      <alignment horizontal="center" vertical="center" wrapText="1"/>
    </xf>
    <xf numFmtId="164" fontId="0" fillId="16" borderId="1" xfId="0" applyNumberForma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9" fontId="3" fillId="0" borderId="1" xfId="0" applyNumberFormat="1" applyFont="1" applyBorder="1" applyAlignment="1">
      <alignment horizontal="center" vertical="center" wrapText="1"/>
    </xf>
    <xf numFmtId="8" fontId="3" fillId="0" borderId="1" xfId="0" applyNumberFormat="1" applyFont="1" applyBorder="1" applyAlignment="1">
      <alignment horizontal="center" vertical="center" wrapText="1"/>
    </xf>
    <xf numFmtId="0" fontId="0" fillId="18" borderId="1" xfId="0" applyFill="1" applyBorder="1" applyAlignment="1">
      <alignment horizontal="center"/>
    </xf>
    <xf numFmtId="0" fontId="0" fillId="12" borderId="0" xfId="0" applyFill="1" applyBorder="1" applyAlignment="1">
      <alignment horizontal="right" vertical="center"/>
    </xf>
    <xf numFmtId="10" fontId="2" fillId="0" borderId="0" xfId="0" applyNumberFormat="1" applyFont="1"/>
    <xf numFmtId="0" fontId="0" fillId="0" borderId="3" xfId="0" applyBorder="1"/>
    <xf numFmtId="0" fontId="0" fillId="0" borderId="4" xfId="0" applyBorder="1"/>
    <xf numFmtId="6" fontId="3" fillId="19" borderId="1" xfId="0" applyNumberFormat="1" applyFont="1" applyFill="1" applyBorder="1" applyAlignment="1">
      <alignment horizontal="center" vertical="center"/>
    </xf>
    <xf numFmtId="6" fontId="3" fillId="20" borderId="1" xfId="0" applyNumberFormat="1" applyFont="1" applyFill="1" applyBorder="1" applyAlignment="1">
      <alignment horizontal="center" vertical="center"/>
    </xf>
    <xf numFmtId="0" fontId="12" fillId="17" borderId="1" xfId="0" applyFont="1" applyFill="1" applyBorder="1" applyAlignment="1">
      <alignment horizontal="center" vertical="center" wrapText="1"/>
    </xf>
    <xf numFmtId="6" fontId="3" fillId="0" borderId="0" xfId="0" applyNumberFormat="1" applyFont="1"/>
    <xf numFmtId="8" fontId="3" fillId="0" borderId="0" xfId="0" applyNumberFormat="1" applyFont="1" applyAlignment="1">
      <alignment horizontal="center"/>
    </xf>
    <xf numFmtId="0" fontId="13" fillId="0" borderId="0" xfId="0" applyFont="1" applyFill="1" applyBorder="1" applyAlignment="1">
      <alignment horizontal="right" vertical="center" readingOrder="1"/>
    </xf>
    <xf numFmtId="167" fontId="2" fillId="0" borderId="0" xfId="0" applyNumberFormat="1" applyFont="1"/>
    <xf numFmtId="0" fontId="0" fillId="12" borderId="0" xfId="0" applyFill="1" applyAlignment="1">
      <alignment horizontal="right"/>
    </xf>
    <xf numFmtId="0" fontId="0" fillId="12" borderId="15" xfId="0" applyFill="1" applyBorder="1"/>
    <xf numFmtId="0" fontId="0" fillId="12" borderId="18" xfId="0" applyFill="1" applyBorder="1"/>
    <xf numFmtId="0" fontId="0" fillId="12" borderId="16" xfId="0" applyFill="1" applyBorder="1"/>
    <xf numFmtId="0" fontId="0" fillId="12" borderId="19" xfId="0" applyFill="1" applyBorder="1"/>
    <xf numFmtId="0" fontId="0" fillId="12" borderId="1" xfId="0" applyFill="1" applyBorder="1"/>
    <xf numFmtId="0" fontId="0" fillId="12" borderId="20" xfId="0" applyFill="1" applyBorder="1"/>
    <xf numFmtId="0" fontId="0" fillId="12" borderId="0" xfId="0" applyFill="1" applyAlignment="1">
      <alignment horizontal="center" vertical="center"/>
    </xf>
    <xf numFmtId="0" fontId="0" fillId="12" borderId="21" xfId="0" applyFill="1" applyBorder="1"/>
    <xf numFmtId="0" fontId="0" fillId="12" borderId="31" xfId="0" applyFill="1" applyBorder="1"/>
    <xf numFmtId="0" fontId="0" fillId="12" borderId="22" xfId="0" applyFill="1" applyBorder="1"/>
    <xf numFmtId="164" fontId="5" fillId="2" borderId="2" xfId="0" applyNumberFormat="1" applyFont="1" applyFill="1" applyBorder="1"/>
    <xf numFmtId="164" fontId="5" fillId="14" borderId="4" xfId="0" applyNumberFormat="1" applyFont="1" applyFill="1" applyBorder="1"/>
    <xf numFmtId="164" fontId="4" fillId="14" borderId="2" xfId="0" applyNumberFormat="1" applyFont="1" applyFill="1" applyBorder="1"/>
    <xf numFmtId="2" fontId="0" fillId="0" borderId="1" xfId="0" applyNumberFormat="1" applyBorder="1" applyAlignment="1">
      <alignment horizontal="center"/>
    </xf>
    <xf numFmtId="2" fontId="0" fillId="18" borderId="1" xfId="0" applyNumberFormat="1" applyFill="1" applyBorder="1" applyAlignment="1">
      <alignment horizontal="center"/>
    </xf>
    <xf numFmtId="2" fontId="0" fillId="13" borderId="1" xfId="0" applyNumberFormat="1" applyFill="1" applyBorder="1" applyAlignment="1">
      <alignment horizontal="center"/>
    </xf>
    <xf numFmtId="0" fontId="2" fillId="12" borderId="1" xfId="0" applyFont="1" applyFill="1" applyBorder="1" applyAlignment="1">
      <alignment horizontal="center" vertical="center"/>
    </xf>
    <xf numFmtId="0" fontId="2" fillId="12" borderId="2" xfId="0" applyFont="1" applyFill="1" applyBorder="1" applyAlignment="1">
      <alignment horizontal="center"/>
    </xf>
    <xf numFmtId="0" fontId="2" fillId="12" borderId="3" xfId="0" applyFont="1" applyFill="1" applyBorder="1" applyAlignment="1">
      <alignment horizontal="center"/>
    </xf>
    <xf numFmtId="0" fontId="2" fillId="12" borderId="4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 vertical="center" readingOrder="1"/>
    </xf>
    <xf numFmtId="0" fontId="7" fillId="3" borderId="29" xfId="0" applyFont="1" applyFill="1" applyBorder="1" applyAlignment="1">
      <alignment horizontal="center" vertical="center" readingOrder="1"/>
    </xf>
    <xf numFmtId="0" fontId="7" fillId="3" borderId="30" xfId="0" applyFont="1" applyFill="1" applyBorder="1" applyAlignment="1">
      <alignment horizontal="center" vertical="center" readingOrder="1"/>
    </xf>
    <xf numFmtId="0" fontId="7" fillId="3" borderId="12" xfId="0" applyFont="1" applyFill="1" applyBorder="1" applyAlignment="1">
      <alignment horizontal="center" vertical="center" readingOrder="1"/>
    </xf>
    <xf numFmtId="0" fontId="7" fillId="3" borderId="13" xfId="0" applyFont="1" applyFill="1" applyBorder="1" applyAlignment="1">
      <alignment horizontal="center" vertical="center" readingOrder="1"/>
    </xf>
    <xf numFmtId="0" fontId="7" fillId="3" borderId="14" xfId="0" applyFont="1" applyFill="1" applyBorder="1" applyAlignment="1">
      <alignment horizontal="center" vertical="center" readingOrder="1"/>
    </xf>
    <xf numFmtId="0" fontId="0" fillId="12" borderId="0" xfId="0" applyFill="1" applyAlignment="1">
      <alignment horizontal="center"/>
    </xf>
    <xf numFmtId="0" fontId="0" fillId="12" borderId="32" xfId="0" applyFill="1" applyBorder="1" applyAlignment="1">
      <alignment horizontal="center"/>
    </xf>
    <xf numFmtId="0" fontId="14" fillId="0" borderId="0" xfId="3"/>
    <xf numFmtId="0" fontId="15" fillId="0" borderId="33" xfId="3" applyFont="1" applyBorder="1" applyAlignment="1">
      <alignment horizontal="center" vertical="center"/>
    </xf>
    <xf numFmtId="0" fontId="16" fillId="0" borderId="34" xfId="3" applyFont="1" applyBorder="1"/>
    <xf numFmtId="0" fontId="16" fillId="0" borderId="35" xfId="3" applyFont="1" applyBorder="1"/>
    <xf numFmtId="0" fontId="16" fillId="0" borderId="36" xfId="3" applyFont="1" applyBorder="1"/>
    <xf numFmtId="0" fontId="15" fillId="21" borderId="37" xfId="3" applyFont="1" applyFill="1" applyBorder="1" applyAlignment="1">
      <alignment horizontal="center" vertical="center"/>
    </xf>
    <xf numFmtId="0" fontId="15" fillId="0" borderId="0" xfId="3" applyFont="1" applyAlignment="1">
      <alignment horizontal="center" vertical="center"/>
    </xf>
    <xf numFmtId="0" fontId="15" fillId="22" borderId="37" xfId="3" applyFont="1" applyFill="1" applyBorder="1" applyAlignment="1">
      <alignment horizontal="center" vertical="center"/>
    </xf>
  </cellXfs>
  <cellStyles count="4">
    <cellStyle name="Normale" xfId="0" builtinId="0"/>
    <cellStyle name="Normale 2" xfId="3" xr:uid="{A60E1556-A5F4-49FA-A82A-A2E6817F3CCE}"/>
    <cellStyle name="Percentuale" xfId="1" builtinId="5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Baseline (ALAP)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'PERT ALAP'!$T$23:$BA$23</c:f>
              <c:numCache>
                <c:formatCode>_-* #,##0\ [$€-410]_-;\-* #,##0\ [$€-410]_-;_-* "-"??\ [$€-410]_-;_-@_-</c:formatCode>
                <c:ptCount val="34"/>
                <c:pt idx="0">
                  <c:v>3294.1176470588234</c:v>
                </c:pt>
                <c:pt idx="1">
                  <c:v>6588.2352941176468</c:v>
                </c:pt>
                <c:pt idx="2">
                  <c:v>9882.3529411764703</c:v>
                </c:pt>
                <c:pt idx="3">
                  <c:v>15176.470588235294</c:v>
                </c:pt>
                <c:pt idx="4">
                  <c:v>20470.588235294119</c:v>
                </c:pt>
                <c:pt idx="5">
                  <c:v>25764.705882352944</c:v>
                </c:pt>
                <c:pt idx="6">
                  <c:v>31392.156862745102</c:v>
                </c:pt>
                <c:pt idx="7">
                  <c:v>38019.607843137259</c:v>
                </c:pt>
                <c:pt idx="8">
                  <c:v>44647.058823529413</c:v>
                </c:pt>
                <c:pt idx="9">
                  <c:v>51274.509803921566</c:v>
                </c:pt>
                <c:pt idx="10">
                  <c:v>57901.96078431372</c:v>
                </c:pt>
                <c:pt idx="11">
                  <c:v>64529.411764705874</c:v>
                </c:pt>
                <c:pt idx="12">
                  <c:v>71156.862745098028</c:v>
                </c:pt>
                <c:pt idx="13">
                  <c:v>128784.31372549018</c:v>
                </c:pt>
                <c:pt idx="14">
                  <c:v>137411.76470588235</c:v>
                </c:pt>
                <c:pt idx="15">
                  <c:v>146705.88235294117</c:v>
                </c:pt>
                <c:pt idx="16">
                  <c:v>156000</c:v>
                </c:pt>
                <c:pt idx="17">
                  <c:v>165294.11764705883</c:v>
                </c:pt>
                <c:pt idx="18">
                  <c:v>174588.23529411765</c:v>
                </c:pt>
                <c:pt idx="19">
                  <c:v>183882.35294117648</c:v>
                </c:pt>
                <c:pt idx="20">
                  <c:v>193176.4705882353</c:v>
                </c:pt>
                <c:pt idx="21">
                  <c:v>205470.58823529413</c:v>
                </c:pt>
                <c:pt idx="22">
                  <c:v>217764.70588235295</c:v>
                </c:pt>
                <c:pt idx="23">
                  <c:v>236058.82352941178</c:v>
                </c:pt>
                <c:pt idx="24">
                  <c:v>245352.9411764706</c:v>
                </c:pt>
                <c:pt idx="25">
                  <c:v>256647.05882352943</c:v>
                </c:pt>
                <c:pt idx="26">
                  <c:v>267941.17647058825</c:v>
                </c:pt>
                <c:pt idx="27">
                  <c:v>279235.29411764705</c:v>
                </c:pt>
                <c:pt idx="28">
                  <c:v>290529.41176470584</c:v>
                </c:pt>
                <c:pt idx="29">
                  <c:v>301823.52941176464</c:v>
                </c:pt>
                <c:pt idx="30">
                  <c:v>312117.64705882344</c:v>
                </c:pt>
                <c:pt idx="31">
                  <c:v>325078.43137254892</c:v>
                </c:pt>
                <c:pt idx="32">
                  <c:v>333039.2156862744</c:v>
                </c:pt>
                <c:pt idx="33">
                  <c:v>340999.99999999988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13-4F54-AB7D-8EED3949B1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1614431"/>
        <c:axId val="1771243487"/>
      </c:lineChart>
      <c:catAx>
        <c:axId val="1721614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243487"/>
        <c:crosses val="autoZero"/>
        <c:auto val="1"/>
        <c:lblAlgn val="ctr"/>
        <c:lblOffset val="100"/>
        <c:noMultiLvlLbl val="0"/>
      </c:catAx>
      <c:valAx>
        <c:axId val="177124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[$€-410]_-;\-* #,##0\ [$€-410]_-;_-* &quot;-&quot;??\ [$€-410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21614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Baseline</a:t>
            </a:r>
            <a:r>
              <a:rPr lang="it-IT" baseline="0"/>
              <a:t> di costo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'Piano SAL'!$K$23:$AR$23</c:f>
              <c:numCache>
                <c:formatCode>_-* #,##0\ [$€-410]_-;\-* #,##0\ [$€-410]_-;_-* "-"??\ [$€-410]_-;_-@_-</c:formatCode>
                <c:ptCount val="34"/>
                <c:pt idx="0">
                  <c:v>4294.1176470588234</c:v>
                </c:pt>
                <c:pt idx="1">
                  <c:v>8588.2352941176468</c:v>
                </c:pt>
                <c:pt idx="2">
                  <c:v>12882.35294117647</c:v>
                </c:pt>
                <c:pt idx="3">
                  <c:v>19176.470588235294</c:v>
                </c:pt>
                <c:pt idx="4">
                  <c:v>25470.588235294119</c:v>
                </c:pt>
                <c:pt idx="5">
                  <c:v>31764.705882352944</c:v>
                </c:pt>
                <c:pt idx="6">
                  <c:v>89392.156862745091</c:v>
                </c:pt>
                <c:pt idx="7">
                  <c:v>98019.607843137244</c:v>
                </c:pt>
                <c:pt idx="8">
                  <c:v>106647.0588235294</c:v>
                </c:pt>
                <c:pt idx="9">
                  <c:v>115274.50980392155</c:v>
                </c:pt>
                <c:pt idx="10">
                  <c:v>123901.96078431371</c:v>
                </c:pt>
                <c:pt idx="11">
                  <c:v>132529.41176470587</c:v>
                </c:pt>
                <c:pt idx="12">
                  <c:v>141156.86274509804</c:v>
                </c:pt>
                <c:pt idx="13">
                  <c:v>149784.31372549021</c:v>
                </c:pt>
                <c:pt idx="14">
                  <c:v>158411.76470588238</c:v>
                </c:pt>
                <c:pt idx="15">
                  <c:v>167705.8823529412</c:v>
                </c:pt>
                <c:pt idx="16">
                  <c:v>177000.00000000003</c:v>
                </c:pt>
                <c:pt idx="17">
                  <c:v>186294.11764705885</c:v>
                </c:pt>
                <c:pt idx="18">
                  <c:v>195588.23529411768</c:v>
                </c:pt>
                <c:pt idx="19">
                  <c:v>204882.3529411765</c:v>
                </c:pt>
                <c:pt idx="20">
                  <c:v>214176.47058823533</c:v>
                </c:pt>
                <c:pt idx="21">
                  <c:v>226470.58823529416</c:v>
                </c:pt>
                <c:pt idx="22">
                  <c:v>238764.70588235298</c:v>
                </c:pt>
                <c:pt idx="23">
                  <c:v>254058.82352941181</c:v>
                </c:pt>
                <c:pt idx="24">
                  <c:v>260352.94117647063</c:v>
                </c:pt>
                <c:pt idx="25">
                  <c:v>268647.05882352946</c:v>
                </c:pt>
                <c:pt idx="26">
                  <c:v>276941.17647058825</c:v>
                </c:pt>
                <c:pt idx="27">
                  <c:v>285235.29411764705</c:v>
                </c:pt>
                <c:pt idx="28">
                  <c:v>293529.41176470584</c:v>
                </c:pt>
                <c:pt idx="29">
                  <c:v>301823.52941176464</c:v>
                </c:pt>
                <c:pt idx="30">
                  <c:v>312117.64705882344</c:v>
                </c:pt>
                <c:pt idx="31">
                  <c:v>325078.43137254892</c:v>
                </c:pt>
                <c:pt idx="32">
                  <c:v>333039.2156862744</c:v>
                </c:pt>
                <c:pt idx="33">
                  <c:v>340999.99999999988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8C-46D3-AC14-512AD67AB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1614431"/>
        <c:axId val="1771243487"/>
      </c:lineChart>
      <c:catAx>
        <c:axId val="1721614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243487"/>
        <c:crosses val="autoZero"/>
        <c:auto val="1"/>
        <c:lblAlgn val="ctr"/>
        <c:lblOffset val="100"/>
        <c:noMultiLvlLbl val="0"/>
      </c:catAx>
      <c:valAx>
        <c:axId val="177124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[$€-410]_-;\-* #,##0\ [$€-410]_-;_-* &quot;-&quot;??\ [$€-410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21614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Baseline</a:t>
            </a:r>
            <a:r>
              <a:rPr lang="it-IT" baseline="0"/>
              <a:t> di costo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'Piano Risk'!$K$23:$AR$23</c:f>
              <c:numCache>
                <c:formatCode>_-* #,##0\ [$€-410]_-;\-* #,##0\ [$€-410]_-;_-* "-"??\ [$€-410]_-;_-@_-</c:formatCode>
                <c:ptCount val="34"/>
                <c:pt idx="0">
                  <c:v>5960.7843137254895</c:v>
                </c:pt>
                <c:pt idx="1">
                  <c:v>11921.568627450979</c:v>
                </c:pt>
                <c:pt idx="2">
                  <c:v>17882.352941176468</c:v>
                </c:pt>
                <c:pt idx="3">
                  <c:v>24176.470588235294</c:v>
                </c:pt>
                <c:pt idx="4">
                  <c:v>30470.588235294119</c:v>
                </c:pt>
                <c:pt idx="5">
                  <c:v>36764.705882352944</c:v>
                </c:pt>
                <c:pt idx="6">
                  <c:v>94392.156862745091</c:v>
                </c:pt>
                <c:pt idx="7">
                  <c:v>103019.60784313724</c:v>
                </c:pt>
                <c:pt idx="8">
                  <c:v>111647.0588235294</c:v>
                </c:pt>
                <c:pt idx="9">
                  <c:v>120274.50980392155</c:v>
                </c:pt>
                <c:pt idx="10">
                  <c:v>128901.96078431371</c:v>
                </c:pt>
                <c:pt idx="11">
                  <c:v>137529.41176470587</c:v>
                </c:pt>
                <c:pt idx="12">
                  <c:v>146156.86274509804</c:v>
                </c:pt>
                <c:pt idx="13">
                  <c:v>154784.31372549021</c:v>
                </c:pt>
                <c:pt idx="14">
                  <c:v>163411.76470588238</c:v>
                </c:pt>
                <c:pt idx="15">
                  <c:v>172705.8823529412</c:v>
                </c:pt>
                <c:pt idx="16">
                  <c:v>182000.00000000003</c:v>
                </c:pt>
                <c:pt idx="17">
                  <c:v>191294.11764705885</c:v>
                </c:pt>
                <c:pt idx="18">
                  <c:v>200588.23529411768</c:v>
                </c:pt>
                <c:pt idx="19">
                  <c:v>209882.3529411765</c:v>
                </c:pt>
                <c:pt idx="20">
                  <c:v>219176.47058823533</c:v>
                </c:pt>
                <c:pt idx="21">
                  <c:v>231470.58823529416</c:v>
                </c:pt>
                <c:pt idx="22">
                  <c:v>243764.70588235298</c:v>
                </c:pt>
                <c:pt idx="23">
                  <c:v>264725.49019607849</c:v>
                </c:pt>
                <c:pt idx="24">
                  <c:v>277186.27450980397</c:v>
                </c:pt>
                <c:pt idx="25">
                  <c:v>291647.05882352946</c:v>
                </c:pt>
                <c:pt idx="26">
                  <c:v>300441.17647058825</c:v>
                </c:pt>
                <c:pt idx="27">
                  <c:v>309235.29411764705</c:v>
                </c:pt>
                <c:pt idx="28">
                  <c:v>318029.41176470584</c:v>
                </c:pt>
                <c:pt idx="29">
                  <c:v>326823.52941176464</c:v>
                </c:pt>
                <c:pt idx="30">
                  <c:v>337617.64705882344</c:v>
                </c:pt>
                <c:pt idx="31">
                  <c:v>347411.76470588223</c:v>
                </c:pt>
                <c:pt idx="32">
                  <c:v>351705.88235294103</c:v>
                </c:pt>
                <c:pt idx="33">
                  <c:v>355999.99999999983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FA-4F3F-A70D-DDB9075B4E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1614431"/>
        <c:axId val="1771243487"/>
      </c:lineChart>
      <c:catAx>
        <c:axId val="1721614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243487"/>
        <c:crosses val="autoZero"/>
        <c:auto val="1"/>
        <c:lblAlgn val="ctr"/>
        <c:lblOffset val="100"/>
        <c:noMultiLvlLbl val="0"/>
      </c:catAx>
      <c:valAx>
        <c:axId val="177124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[$€-410]_-;\-* #,##0\ [$€-410]_-;_-* &quot;-&quot;??\ [$€-410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21614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EVM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EVM!$K$23:$AR$23</c:f>
              <c:numCache>
                <c:formatCode>_-* #,##0\ [$€-410]_-;\-* #,##0\ [$€-410]_-;_-* "-"??\ [$€-410]_-;_-@_-</c:formatCode>
                <c:ptCount val="34"/>
                <c:pt idx="0">
                  <c:v>5960.7843137254895</c:v>
                </c:pt>
                <c:pt idx="1">
                  <c:v>11921.568627450979</c:v>
                </c:pt>
                <c:pt idx="2">
                  <c:v>17882.352941176468</c:v>
                </c:pt>
                <c:pt idx="3">
                  <c:v>24176.470588235294</c:v>
                </c:pt>
                <c:pt idx="4">
                  <c:v>30470.588235294119</c:v>
                </c:pt>
                <c:pt idx="5">
                  <c:v>36764.705882352944</c:v>
                </c:pt>
                <c:pt idx="6">
                  <c:v>94392.156862745091</c:v>
                </c:pt>
                <c:pt idx="7">
                  <c:v>103019.60784313724</c:v>
                </c:pt>
                <c:pt idx="8">
                  <c:v>111647.0588235294</c:v>
                </c:pt>
                <c:pt idx="9">
                  <c:v>120274.50980392155</c:v>
                </c:pt>
                <c:pt idx="10">
                  <c:v>128901.96078431371</c:v>
                </c:pt>
                <c:pt idx="11">
                  <c:v>137529.41176470587</c:v>
                </c:pt>
                <c:pt idx="12">
                  <c:v>146156.86274509804</c:v>
                </c:pt>
                <c:pt idx="13">
                  <c:v>154784.31372549021</c:v>
                </c:pt>
                <c:pt idx="14">
                  <c:v>163411.76470588238</c:v>
                </c:pt>
                <c:pt idx="15">
                  <c:v>172705.8823529412</c:v>
                </c:pt>
                <c:pt idx="16">
                  <c:v>182000.00000000003</c:v>
                </c:pt>
                <c:pt idx="17">
                  <c:v>191294.11764705885</c:v>
                </c:pt>
                <c:pt idx="18">
                  <c:v>200588.23529411768</c:v>
                </c:pt>
                <c:pt idx="19">
                  <c:v>209882.3529411765</c:v>
                </c:pt>
                <c:pt idx="20">
                  <c:v>219176.47058823533</c:v>
                </c:pt>
                <c:pt idx="21">
                  <c:v>231470.58823529416</c:v>
                </c:pt>
                <c:pt idx="22">
                  <c:v>243764.70588235298</c:v>
                </c:pt>
                <c:pt idx="23">
                  <c:v>264725.49019607849</c:v>
                </c:pt>
                <c:pt idx="24">
                  <c:v>277186.27450980397</c:v>
                </c:pt>
                <c:pt idx="25">
                  <c:v>291647.05882352946</c:v>
                </c:pt>
                <c:pt idx="26">
                  <c:v>300441.17647058825</c:v>
                </c:pt>
                <c:pt idx="27">
                  <c:v>309235.29411764705</c:v>
                </c:pt>
                <c:pt idx="28">
                  <c:v>318029.41176470584</c:v>
                </c:pt>
                <c:pt idx="29">
                  <c:v>326823.52941176464</c:v>
                </c:pt>
                <c:pt idx="30">
                  <c:v>337617.64705882344</c:v>
                </c:pt>
                <c:pt idx="31">
                  <c:v>347411.76470588223</c:v>
                </c:pt>
                <c:pt idx="32">
                  <c:v>351705.88235294103</c:v>
                </c:pt>
                <c:pt idx="33">
                  <c:v>355999.99999999983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AA-4DBE-8494-6FBCEF3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21614431"/>
        <c:axId val="1771243487"/>
      </c:lineChart>
      <c:catAx>
        <c:axId val="1721614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71243487"/>
        <c:crosses val="autoZero"/>
        <c:auto val="1"/>
        <c:lblAlgn val="ctr"/>
        <c:lblOffset val="100"/>
        <c:noMultiLvlLbl val="0"/>
      </c:catAx>
      <c:valAx>
        <c:axId val="177124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[$€-410]_-;\-* #,##0\ [$€-410]_-;_-* &quot;-&quot;??\ [$€-410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7216144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57150</xdr:colOff>
      <xdr:row>4</xdr:row>
      <xdr:rowOff>133350</xdr:rowOff>
    </xdr:from>
    <xdr:ext cx="523875" cy="619125"/>
    <xdr:grpSp>
      <xdr:nvGrpSpPr>
        <xdr:cNvPr id="2" name="Shape 2">
          <a:extLst>
            <a:ext uri="{FF2B5EF4-FFF2-40B4-BE49-F238E27FC236}">
              <a16:creationId xmlns:a16="http://schemas.microsoft.com/office/drawing/2014/main" id="{FD187448-66D5-4EF9-9FE0-116B197602CE}"/>
            </a:ext>
          </a:extLst>
        </xdr:cNvPr>
        <xdr:cNvGrpSpPr/>
      </xdr:nvGrpSpPr>
      <xdr:grpSpPr>
        <a:xfrm>
          <a:off x="2495550" y="844550"/>
          <a:ext cx="523875" cy="619125"/>
          <a:chOff x="5093588" y="3484725"/>
          <a:chExt cx="504825" cy="590550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id="{6454DA7E-B034-7477-FFEE-3242101D8D53}"/>
              </a:ext>
            </a:extLst>
          </xdr:cNvPr>
          <xdr:cNvCxnSpPr/>
        </xdr:nvCxnSpPr>
        <xdr:spPr>
          <a:xfrm rot="10800000" flipH="1">
            <a:off x="5093588" y="3484725"/>
            <a:ext cx="504825" cy="590550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7</xdr:col>
      <xdr:colOff>85725</xdr:colOff>
      <xdr:row>4</xdr:row>
      <xdr:rowOff>152400</xdr:rowOff>
    </xdr:from>
    <xdr:ext cx="542925" cy="38100"/>
    <xdr:grpSp>
      <xdr:nvGrpSpPr>
        <xdr:cNvPr id="4" name="Shape 2">
          <a:extLst>
            <a:ext uri="{FF2B5EF4-FFF2-40B4-BE49-F238E27FC236}">
              <a16:creationId xmlns:a16="http://schemas.microsoft.com/office/drawing/2014/main" id="{2F40C096-F00A-4479-A31D-67A8D39A5138}"/>
            </a:ext>
          </a:extLst>
        </xdr:cNvPr>
        <xdr:cNvGrpSpPr/>
      </xdr:nvGrpSpPr>
      <xdr:grpSpPr>
        <a:xfrm>
          <a:off x="4352925" y="863600"/>
          <a:ext cx="542925" cy="38100"/>
          <a:chOff x="5074538" y="3780000"/>
          <a:chExt cx="542925" cy="0"/>
        </a:xfrm>
      </xdr:grpSpPr>
      <xdr:cxnSp macro="">
        <xdr:nvCxnSpPr>
          <xdr:cNvPr id="5" name="Shape 4">
            <a:extLst>
              <a:ext uri="{FF2B5EF4-FFF2-40B4-BE49-F238E27FC236}">
                <a16:creationId xmlns:a16="http://schemas.microsoft.com/office/drawing/2014/main" id="{E129C050-2A2F-84C7-7BF4-191DD852203D}"/>
              </a:ext>
            </a:extLst>
          </xdr:cNvPr>
          <xdr:cNvCxnSpPr/>
        </xdr:nvCxnSpPr>
        <xdr:spPr>
          <a:xfrm>
            <a:off x="5074538" y="3780000"/>
            <a:ext cx="542925" cy="0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10</xdr:col>
      <xdr:colOff>76200</xdr:colOff>
      <xdr:row>4</xdr:row>
      <xdr:rowOff>152400</xdr:rowOff>
    </xdr:from>
    <xdr:ext cx="542925" cy="38100"/>
    <xdr:grpSp>
      <xdr:nvGrpSpPr>
        <xdr:cNvPr id="6" name="Shape 2">
          <a:extLst>
            <a:ext uri="{FF2B5EF4-FFF2-40B4-BE49-F238E27FC236}">
              <a16:creationId xmlns:a16="http://schemas.microsoft.com/office/drawing/2014/main" id="{0EC59138-98ED-4CC3-AF12-F4E989F5F528}"/>
            </a:ext>
          </a:extLst>
        </xdr:cNvPr>
        <xdr:cNvGrpSpPr/>
      </xdr:nvGrpSpPr>
      <xdr:grpSpPr>
        <a:xfrm>
          <a:off x="6172200" y="863600"/>
          <a:ext cx="542925" cy="38100"/>
          <a:chOff x="5074538" y="3780000"/>
          <a:chExt cx="542925" cy="0"/>
        </a:xfrm>
      </xdr:grpSpPr>
      <xdr:cxnSp macro="">
        <xdr:nvCxnSpPr>
          <xdr:cNvPr id="7" name="Shape 5">
            <a:extLst>
              <a:ext uri="{FF2B5EF4-FFF2-40B4-BE49-F238E27FC236}">
                <a16:creationId xmlns:a16="http://schemas.microsoft.com/office/drawing/2014/main" id="{C13DD7FC-765D-0599-49F9-D4567FFB6DFB}"/>
              </a:ext>
            </a:extLst>
          </xdr:cNvPr>
          <xdr:cNvCxnSpPr/>
        </xdr:nvCxnSpPr>
        <xdr:spPr>
          <a:xfrm>
            <a:off x="5074538" y="3780000"/>
            <a:ext cx="542925" cy="0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28575</xdr:colOff>
      <xdr:row>11</xdr:row>
      <xdr:rowOff>152400</xdr:rowOff>
    </xdr:from>
    <xdr:ext cx="1171575" cy="742950"/>
    <xdr:grpSp>
      <xdr:nvGrpSpPr>
        <xdr:cNvPr id="8" name="Shape 2">
          <a:extLst>
            <a:ext uri="{FF2B5EF4-FFF2-40B4-BE49-F238E27FC236}">
              <a16:creationId xmlns:a16="http://schemas.microsoft.com/office/drawing/2014/main" id="{A38A3626-4A3D-450E-9B28-CD977918399E}"/>
            </a:ext>
          </a:extLst>
        </xdr:cNvPr>
        <xdr:cNvGrpSpPr/>
      </xdr:nvGrpSpPr>
      <xdr:grpSpPr>
        <a:xfrm>
          <a:off x="2466975" y="2108200"/>
          <a:ext cx="1171575" cy="742950"/>
          <a:chOff x="4769738" y="3418050"/>
          <a:chExt cx="1152525" cy="723900"/>
        </a:xfrm>
      </xdr:grpSpPr>
      <xdr:cxnSp macro="">
        <xdr:nvCxnSpPr>
          <xdr:cNvPr id="9" name="Shape 6">
            <a:extLst>
              <a:ext uri="{FF2B5EF4-FFF2-40B4-BE49-F238E27FC236}">
                <a16:creationId xmlns:a16="http://schemas.microsoft.com/office/drawing/2014/main" id="{510B2944-A01C-E8C8-0D8B-3CAE3B3DC8E5}"/>
              </a:ext>
            </a:extLst>
          </xdr:cNvPr>
          <xdr:cNvCxnSpPr/>
        </xdr:nvCxnSpPr>
        <xdr:spPr>
          <a:xfrm rot="10800000" flipH="1">
            <a:off x="4769738" y="3418050"/>
            <a:ext cx="1152525" cy="723900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66675</xdr:colOff>
      <xdr:row>16</xdr:row>
      <xdr:rowOff>38100</xdr:rowOff>
    </xdr:from>
    <xdr:ext cx="1181100" cy="171450"/>
    <xdr:grpSp>
      <xdr:nvGrpSpPr>
        <xdr:cNvPr id="10" name="Shape 2">
          <a:extLst>
            <a:ext uri="{FF2B5EF4-FFF2-40B4-BE49-F238E27FC236}">
              <a16:creationId xmlns:a16="http://schemas.microsoft.com/office/drawing/2014/main" id="{53AADF74-AFF7-4735-AB00-B7E25F337499}"/>
            </a:ext>
          </a:extLst>
        </xdr:cNvPr>
        <xdr:cNvGrpSpPr/>
      </xdr:nvGrpSpPr>
      <xdr:grpSpPr>
        <a:xfrm>
          <a:off x="2505075" y="2882900"/>
          <a:ext cx="1181100" cy="171450"/>
          <a:chOff x="4764975" y="3708563"/>
          <a:chExt cx="1162050" cy="142875"/>
        </a:xfrm>
      </xdr:grpSpPr>
      <xdr:cxnSp macro="">
        <xdr:nvCxnSpPr>
          <xdr:cNvPr id="11" name="Shape 7">
            <a:extLst>
              <a:ext uri="{FF2B5EF4-FFF2-40B4-BE49-F238E27FC236}">
                <a16:creationId xmlns:a16="http://schemas.microsoft.com/office/drawing/2014/main" id="{34B88EA2-F3DE-EC84-8318-43D74637FF84}"/>
              </a:ext>
            </a:extLst>
          </xdr:cNvPr>
          <xdr:cNvCxnSpPr/>
        </xdr:nvCxnSpPr>
        <xdr:spPr>
          <a:xfrm>
            <a:off x="4764975" y="3708563"/>
            <a:ext cx="1162050" cy="142875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47625</xdr:colOff>
      <xdr:row>16</xdr:row>
      <xdr:rowOff>85725</xdr:rowOff>
    </xdr:from>
    <xdr:ext cx="1190625" cy="1009650"/>
    <xdr:grpSp>
      <xdr:nvGrpSpPr>
        <xdr:cNvPr id="12" name="Shape 2">
          <a:extLst>
            <a:ext uri="{FF2B5EF4-FFF2-40B4-BE49-F238E27FC236}">
              <a16:creationId xmlns:a16="http://schemas.microsoft.com/office/drawing/2014/main" id="{7B70A842-5FA4-40F6-ADE2-B3843A990DA1}"/>
            </a:ext>
          </a:extLst>
        </xdr:cNvPr>
        <xdr:cNvGrpSpPr/>
      </xdr:nvGrpSpPr>
      <xdr:grpSpPr>
        <a:xfrm>
          <a:off x="2486025" y="2930525"/>
          <a:ext cx="1190625" cy="1009650"/>
          <a:chOff x="4760213" y="3289463"/>
          <a:chExt cx="1171575" cy="981075"/>
        </a:xfrm>
      </xdr:grpSpPr>
      <xdr:cxnSp macro="">
        <xdr:nvCxnSpPr>
          <xdr:cNvPr id="13" name="Shape 8">
            <a:extLst>
              <a:ext uri="{FF2B5EF4-FFF2-40B4-BE49-F238E27FC236}">
                <a16:creationId xmlns:a16="http://schemas.microsoft.com/office/drawing/2014/main" id="{E45B15ED-C8E5-5CC6-3C8E-4BFC160C78DF}"/>
              </a:ext>
            </a:extLst>
          </xdr:cNvPr>
          <xdr:cNvCxnSpPr/>
        </xdr:nvCxnSpPr>
        <xdr:spPr>
          <a:xfrm>
            <a:off x="4760213" y="3289463"/>
            <a:ext cx="1171575" cy="981075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4</xdr:col>
      <xdr:colOff>76200</xdr:colOff>
      <xdr:row>27</xdr:row>
      <xdr:rowOff>0</xdr:rowOff>
    </xdr:from>
    <xdr:ext cx="3448050" cy="200025"/>
    <xdr:grpSp>
      <xdr:nvGrpSpPr>
        <xdr:cNvPr id="14" name="Shape 2">
          <a:extLst>
            <a:ext uri="{FF2B5EF4-FFF2-40B4-BE49-F238E27FC236}">
              <a16:creationId xmlns:a16="http://schemas.microsoft.com/office/drawing/2014/main" id="{61AB46C1-EAE7-4557-BBC4-A0198AD6BD13}"/>
            </a:ext>
          </a:extLst>
        </xdr:cNvPr>
        <xdr:cNvGrpSpPr/>
      </xdr:nvGrpSpPr>
      <xdr:grpSpPr>
        <a:xfrm>
          <a:off x="2514600" y="4800600"/>
          <a:ext cx="3448050" cy="200025"/>
          <a:chOff x="3631500" y="3689513"/>
          <a:chExt cx="3429000" cy="180975"/>
        </a:xfrm>
      </xdr:grpSpPr>
      <xdr:cxnSp macro="">
        <xdr:nvCxnSpPr>
          <xdr:cNvPr id="15" name="Shape 9">
            <a:extLst>
              <a:ext uri="{FF2B5EF4-FFF2-40B4-BE49-F238E27FC236}">
                <a16:creationId xmlns:a16="http://schemas.microsoft.com/office/drawing/2014/main" id="{A243D6AA-0C55-22B4-7612-CBE1DC0AB629}"/>
              </a:ext>
            </a:extLst>
          </xdr:cNvPr>
          <xdr:cNvCxnSpPr/>
        </xdr:nvCxnSpPr>
        <xdr:spPr>
          <a:xfrm>
            <a:off x="3631500" y="3689513"/>
            <a:ext cx="3429000" cy="180975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9525</xdr:colOff>
      <xdr:row>21</xdr:row>
      <xdr:rowOff>152400</xdr:rowOff>
    </xdr:from>
    <xdr:ext cx="1190625" cy="1009650"/>
    <xdr:grpSp>
      <xdr:nvGrpSpPr>
        <xdr:cNvPr id="16" name="Shape 2">
          <a:extLst>
            <a:ext uri="{FF2B5EF4-FFF2-40B4-BE49-F238E27FC236}">
              <a16:creationId xmlns:a16="http://schemas.microsoft.com/office/drawing/2014/main" id="{81FBA62E-9206-4BEE-9D4A-C1CCE652F921}"/>
            </a:ext>
          </a:extLst>
        </xdr:cNvPr>
        <xdr:cNvGrpSpPr/>
      </xdr:nvGrpSpPr>
      <xdr:grpSpPr>
        <a:xfrm>
          <a:off x="4886325" y="3886200"/>
          <a:ext cx="1190625" cy="1009650"/>
          <a:chOff x="4760213" y="3289463"/>
          <a:chExt cx="1171575" cy="981075"/>
        </a:xfrm>
      </xdr:grpSpPr>
      <xdr:cxnSp macro="">
        <xdr:nvCxnSpPr>
          <xdr:cNvPr id="17" name="Shape 10">
            <a:extLst>
              <a:ext uri="{FF2B5EF4-FFF2-40B4-BE49-F238E27FC236}">
                <a16:creationId xmlns:a16="http://schemas.microsoft.com/office/drawing/2014/main" id="{BEE49C59-222B-ECA7-1CE3-2C3832AB8882}"/>
              </a:ext>
            </a:extLst>
          </xdr:cNvPr>
          <xdr:cNvCxnSpPr/>
        </xdr:nvCxnSpPr>
        <xdr:spPr>
          <a:xfrm>
            <a:off x="4760213" y="3289463"/>
            <a:ext cx="1171575" cy="981075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76200</xdr:colOff>
      <xdr:row>28</xdr:row>
      <xdr:rowOff>0</xdr:rowOff>
    </xdr:from>
    <xdr:ext cx="1114425" cy="742950"/>
    <xdr:grpSp>
      <xdr:nvGrpSpPr>
        <xdr:cNvPr id="18" name="Shape 2">
          <a:extLst>
            <a:ext uri="{FF2B5EF4-FFF2-40B4-BE49-F238E27FC236}">
              <a16:creationId xmlns:a16="http://schemas.microsoft.com/office/drawing/2014/main" id="{97F60E0E-9381-4865-AD2E-7C10182B9702}"/>
            </a:ext>
          </a:extLst>
        </xdr:cNvPr>
        <xdr:cNvGrpSpPr/>
      </xdr:nvGrpSpPr>
      <xdr:grpSpPr>
        <a:xfrm>
          <a:off x="7391400" y="4978400"/>
          <a:ext cx="1114425" cy="742950"/>
          <a:chOff x="4798313" y="3418050"/>
          <a:chExt cx="1095375" cy="723900"/>
        </a:xfrm>
      </xdr:grpSpPr>
      <xdr:cxnSp macro="">
        <xdr:nvCxnSpPr>
          <xdr:cNvPr id="19" name="Shape 11">
            <a:extLst>
              <a:ext uri="{FF2B5EF4-FFF2-40B4-BE49-F238E27FC236}">
                <a16:creationId xmlns:a16="http://schemas.microsoft.com/office/drawing/2014/main" id="{AB18CF1E-3CAD-3D04-1FA5-6166A6BE4191}"/>
              </a:ext>
            </a:extLst>
          </xdr:cNvPr>
          <xdr:cNvCxnSpPr/>
        </xdr:nvCxnSpPr>
        <xdr:spPr>
          <a:xfrm>
            <a:off x="4798313" y="3418050"/>
            <a:ext cx="1095375" cy="723900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57150</xdr:colOff>
      <xdr:row>11</xdr:row>
      <xdr:rowOff>168275</xdr:rowOff>
    </xdr:from>
    <xdr:ext cx="3457575" cy="390525"/>
    <xdr:grpSp>
      <xdr:nvGrpSpPr>
        <xdr:cNvPr id="20" name="Shape 2">
          <a:extLst>
            <a:ext uri="{FF2B5EF4-FFF2-40B4-BE49-F238E27FC236}">
              <a16:creationId xmlns:a16="http://schemas.microsoft.com/office/drawing/2014/main" id="{D5ADB29F-A839-4485-A7E6-F27222999AC5}"/>
            </a:ext>
          </a:extLst>
        </xdr:cNvPr>
        <xdr:cNvGrpSpPr/>
      </xdr:nvGrpSpPr>
      <xdr:grpSpPr>
        <a:xfrm>
          <a:off x="4933950" y="2124075"/>
          <a:ext cx="3457575" cy="390525"/>
          <a:chOff x="3626738" y="3594263"/>
          <a:chExt cx="3438525" cy="371475"/>
        </a:xfrm>
      </xdr:grpSpPr>
      <xdr:cxnSp macro="">
        <xdr:nvCxnSpPr>
          <xdr:cNvPr id="21" name="Shape 12">
            <a:extLst>
              <a:ext uri="{FF2B5EF4-FFF2-40B4-BE49-F238E27FC236}">
                <a16:creationId xmlns:a16="http://schemas.microsoft.com/office/drawing/2014/main" id="{7079441C-B9F3-85AD-F121-4A3B99125923}"/>
              </a:ext>
            </a:extLst>
          </xdr:cNvPr>
          <xdr:cNvCxnSpPr/>
        </xdr:nvCxnSpPr>
        <xdr:spPr>
          <a:xfrm>
            <a:off x="3626738" y="3594263"/>
            <a:ext cx="3438525" cy="371475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8</xdr:col>
      <xdr:colOff>28575</xdr:colOff>
      <xdr:row>14</xdr:row>
      <xdr:rowOff>142875</xdr:rowOff>
    </xdr:from>
    <xdr:ext cx="3467100" cy="390525"/>
    <xdr:grpSp>
      <xdr:nvGrpSpPr>
        <xdr:cNvPr id="22" name="Shape 2">
          <a:extLst>
            <a:ext uri="{FF2B5EF4-FFF2-40B4-BE49-F238E27FC236}">
              <a16:creationId xmlns:a16="http://schemas.microsoft.com/office/drawing/2014/main" id="{3DF22FF3-D04C-48A7-88CF-21568EAB4200}"/>
            </a:ext>
          </a:extLst>
        </xdr:cNvPr>
        <xdr:cNvGrpSpPr/>
      </xdr:nvGrpSpPr>
      <xdr:grpSpPr>
        <a:xfrm>
          <a:off x="4905375" y="2632075"/>
          <a:ext cx="3467100" cy="390525"/>
          <a:chOff x="3621975" y="3594263"/>
          <a:chExt cx="3448050" cy="371475"/>
        </a:xfrm>
      </xdr:grpSpPr>
      <xdr:cxnSp macro="">
        <xdr:nvCxnSpPr>
          <xdr:cNvPr id="23" name="Shape 13">
            <a:extLst>
              <a:ext uri="{FF2B5EF4-FFF2-40B4-BE49-F238E27FC236}">
                <a16:creationId xmlns:a16="http://schemas.microsoft.com/office/drawing/2014/main" id="{E2AD4031-A59A-0F60-934F-F381407B176E}"/>
              </a:ext>
            </a:extLst>
          </xdr:cNvPr>
          <xdr:cNvCxnSpPr/>
        </xdr:nvCxnSpPr>
        <xdr:spPr>
          <a:xfrm rot="10800000" flipH="1">
            <a:off x="3621975" y="3594263"/>
            <a:ext cx="3448050" cy="371475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14</xdr:col>
      <xdr:colOff>606425</xdr:colOff>
      <xdr:row>16</xdr:row>
      <xdr:rowOff>47625</xdr:rowOff>
    </xdr:from>
    <xdr:ext cx="28575" cy="1352550"/>
    <xdr:grpSp>
      <xdr:nvGrpSpPr>
        <xdr:cNvPr id="24" name="Shape 2">
          <a:extLst>
            <a:ext uri="{FF2B5EF4-FFF2-40B4-BE49-F238E27FC236}">
              <a16:creationId xmlns:a16="http://schemas.microsoft.com/office/drawing/2014/main" id="{B0860D2F-64ED-414B-9BBC-254532667522}"/>
            </a:ext>
          </a:extLst>
        </xdr:cNvPr>
        <xdr:cNvGrpSpPr/>
      </xdr:nvGrpSpPr>
      <xdr:grpSpPr>
        <a:xfrm>
          <a:off x="9140825" y="2892425"/>
          <a:ext cx="28575" cy="1352550"/>
          <a:chOff x="5341238" y="3103725"/>
          <a:chExt cx="9525" cy="1352550"/>
        </a:xfrm>
      </xdr:grpSpPr>
      <xdr:cxnSp macro="">
        <xdr:nvCxnSpPr>
          <xdr:cNvPr id="25" name="Shape 14">
            <a:extLst>
              <a:ext uri="{FF2B5EF4-FFF2-40B4-BE49-F238E27FC236}">
                <a16:creationId xmlns:a16="http://schemas.microsoft.com/office/drawing/2014/main" id="{B98713B7-4BBE-A69A-B3AA-0673AF338C3C}"/>
              </a:ext>
            </a:extLst>
          </xdr:cNvPr>
          <xdr:cNvCxnSpPr/>
        </xdr:nvCxnSpPr>
        <xdr:spPr>
          <a:xfrm rot="10800000" flipH="1">
            <a:off x="5341238" y="3103725"/>
            <a:ext cx="9525" cy="1352550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12</xdr:col>
      <xdr:colOff>57150</xdr:colOff>
      <xdr:row>25</xdr:row>
      <xdr:rowOff>152400</xdr:rowOff>
    </xdr:from>
    <xdr:ext cx="1171575" cy="342900"/>
    <xdr:grpSp>
      <xdr:nvGrpSpPr>
        <xdr:cNvPr id="26" name="Shape 2">
          <a:extLst>
            <a:ext uri="{FF2B5EF4-FFF2-40B4-BE49-F238E27FC236}">
              <a16:creationId xmlns:a16="http://schemas.microsoft.com/office/drawing/2014/main" id="{E66C44FF-B613-4D81-B15A-28690021206F}"/>
            </a:ext>
          </a:extLst>
        </xdr:cNvPr>
        <xdr:cNvGrpSpPr/>
      </xdr:nvGrpSpPr>
      <xdr:grpSpPr>
        <a:xfrm>
          <a:off x="7372350" y="4597400"/>
          <a:ext cx="1171575" cy="342900"/>
          <a:chOff x="4769738" y="3622838"/>
          <a:chExt cx="1152525" cy="314325"/>
        </a:xfrm>
      </xdr:grpSpPr>
      <xdr:cxnSp macro="">
        <xdr:nvCxnSpPr>
          <xdr:cNvPr id="27" name="Shape 15">
            <a:extLst>
              <a:ext uri="{FF2B5EF4-FFF2-40B4-BE49-F238E27FC236}">
                <a16:creationId xmlns:a16="http://schemas.microsoft.com/office/drawing/2014/main" id="{7957A81B-A90A-C03B-7194-400C9DC7B74C}"/>
              </a:ext>
            </a:extLst>
          </xdr:cNvPr>
          <xdr:cNvCxnSpPr/>
        </xdr:nvCxnSpPr>
        <xdr:spPr>
          <a:xfrm rot="10800000" flipH="1">
            <a:off x="4769738" y="3622838"/>
            <a:ext cx="1152525" cy="314325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13</xdr:col>
      <xdr:colOff>85725</xdr:colOff>
      <xdr:row>4</xdr:row>
      <xdr:rowOff>142875</xdr:rowOff>
    </xdr:from>
    <xdr:ext cx="2819400" cy="1476375"/>
    <xdr:grpSp>
      <xdr:nvGrpSpPr>
        <xdr:cNvPr id="28" name="Shape 2">
          <a:extLst>
            <a:ext uri="{FF2B5EF4-FFF2-40B4-BE49-F238E27FC236}">
              <a16:creationId xmlns:a16="http://schemas.microsoft.com/office/drawing/2014/main" id="{630F6359-FC20-42E0-AADF-A9E8F07DF94E}"/>
            </a:ext>
          </a:extLst>
        </xdr:cNvPr>
        <xdr:cNvGrpSpPr/>
      </xdr:nvGrpSpPr>
      <xdr:grpSpPr>
        <a:xfrm>
          <a:off x="8010525" y="854075"/>
          <a:ext cx="2819400" cy="1476375"/>
          <a:chOff x="3945825" y="3051338"/>
          <a:chExt cx="2800350" cy="1457325"/>
        </a:xfrm>
      </xdr:grpSpPr>
      <xdr:cxnSp macro="">
        <xdr:nvCxnSpPr>
          <xdr:cNvPr id="29" name="Shape 16">
            <a:extLst>
              <a:ext uri="{FF2B5EF4-FFF2-40B4-BE49-F238E27FC236}">
                <a16:creationId xmlns:a16="http://schemas.microsoft.com/office/drawing/2014/main" id="{57FC9F1B-87CF-B98E-C576-442AEC074EE5}"/>
              </a:ext>
            </a:extLst>
          </xdr:cNvPr>
          <xdr:cNvCxnSpPr/>
        </xdr:nvCxnSpPr>
        <xdr:spPr>
          <a:xfrm>
            <a:off x="3945825" y="3051338"/>
            <a:ext cx="2800350" cy="1457325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16</xdr:col>
      <xdr:colOff>95250</xdr:colOff>
      <xdr:row>13</xdr:row>
      <xdr:rowOff>158750</xdr:rowOff>
    </xdr:from>
    <xdr:ext cx="1047750" cy="38100"/>
    <xdr:grpSp>
      <xdr:nvGrpSpPr>
        <xdr:cNvPr id="30" name="Shape 2">
          <a:extLst>
            <a:ext uri="{FF2B5EF4-FFF2-40B4-BE49-F238E27FC236}">
              <a16:creationId xmlns:a16="http://schemas.microsoft.com/office/drawing/2014/main" id="{5CC4161A-4218-43B7-A757-C9FE2222CDBC}"/>
            </a:ext>
          </a:extLst>
        </xdr:cNvPr>
        <xdr:cNvGrpSpPr/>
      </xdr:nvGrpSpPr>
      <xdr:grpSpPr>
        <a:xfrm>
          <a:off x="9848850" y="2470150"/>
          <a:ext cx="1047750" cy="38100"/>
          <a:chOff x="4822125" y="3780000"/>
          <a:chExt cx="1047750" cy="0"/>
        </a:xfrm>
      </xdr:grpSpPr>
      <xdr:cxnSp macro="">
        <xdr:nvCxnSpPr>
          <xdr:cNvPr id="31" name="Shape 17">
            <a:extLst>
              <a:ext uri="{FF2B5EF4-FFF2-40B4-BE49-F238E27FC236}">
                <a16:creationId xmlns:a16="http://schemas.microsoft.com/office/drawing/2014/main" id="{D298C6AE-4A68-452A-3624-3EB01AE783CB}"/>
              </a:ext>
            </a:extLst>
          </xdr:cNvPr>
          <xdr:cNvCxnSpPr/>
        </xdr:nvCxnSpPr>
        <xdr:spPr>
          <a:xfrm>
            <a:off x="4822125" y="3780000"/>
            <a:ext cx="1047750" cy="0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18</xdr:col>
      <xdr:colOff>606425</xdr:colOff>
      <xdr:row>16</xdr:row>
      <xdr:rowOff>66675</xdr:rowOff>
    </xdr:from>
    <xdr:ext cx="28575" cy="1990725"/>
    <xdr:grpSp>
      <xdr:nvGrpSpPr>
        <xdr:cNvPr id="32" name="Shape 2">
          <a:extLst>
            <a:ext uri="{FF2B5EF4-FFF2-40B4-BE49-F238E27FC236}">
              <a16:creationId xmlns:a16="http://schemas.microsoft.com/office/drawing/2014/main" id="{D71D5229-34C3-48E3-A219-D3A33F06DFD8}"/>
            </a:ext>
          </a:extLst>
        </xdr:cNvPr>
        <xdr:cNvGrpSpPr/>
      </xdr:nvGrpSpPr>
      <xdr:grpSpPr>
        <a:xfrm>
          <a:off x="11579225" y="2911475"/>
          <a:ext cx="28575" cy="1990725"/>
          <a:chOff x="5341238" y="2784638"/>
          <a:chExt cx="9525" cy="1990725"/>
        </a:xfrm>
      </xdr:grpSpPr>
      <xdr:cxnSp macro="">
        <xdr:nvCxnSpPr>
          <xdr:cNvPr id="33" name="Shape 18">
            <a:extLst>
              <a:ext uri="{FF2B5EF4-FFF2-40B4-BE49-F238E27FC236}">
                <a16:creationId xmlns:a16="http://schemas.microsoft.com/office/drawing/2014/main" id="{FA4B627D-2511-18A3-C616-11F2D83E6DF1}"/>
              </a:ext>
            </a:extLst>
          </xdr:cNvPr>
          <xdr:cNvCxnSpPr/>
        </xdr:nvCxnSpPr>
        <xdr:spPr>
          <a:xfrm rot="10800000" flipH="1">
            <a:off x="5341238" y="2784638"/>
            <a:ext cx="9525" cy="1990725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16</xdr:col>
      <xdr:colOff>38100</xdr:colOff>
      <xdr:row>30</xdr:row>
      <xdr:rowOff>0</xdr:rowOff>
    </xdr:from>
    <xdr:ext cx="1171575" cy="333375"/>
    <xdr:grpSp>
      <xdr:nvGrpSpPr>
        <xdr:cNvPr id="34" name="Shape 2">
          <a:extLst>
            <a:ext uri="{FF2B5EF4-FFF2-40B4-BE49-F238E27FC236}">
              <a16:creationId xmlns:a16="http://schemas.microsoft.com/office/drawing/2014/main" id="{E1556D09-2F53-451D-BAB8-64E88119443B}"/>
            </a:ext>
          </a:extLst>
        </xdr:cNvPr>
        <xdr:cNvGrpSpPr/>
      </xdr:nvGrpSpPr>
      <xdr:grpSpPr>
        <a:xfrm>
          <a:off x="9791700" y="5334000"/>
          <a:ext cx="1171575" cy="333375"/>
          <a:chOff x="4769738" y="3622838"/>
          <a:chExt cx="1152525" cy="314325"/>
        </a:xfrm>
      </xdr:grpSpPr>
      <xdr:cxnSp macro="">
        <xdr:nvCxnSpPr>
          <xdr:cNvPr id="35" name="Shape 19">
            <a:extLst>
              <a:ext uri="{FF2B5EF4-FFF2-40B4-BE49-F238E27FC236}">
                <a16:creationId xmlns:a16="http://schemas.microsoft.com/office/drawing/2014/main" id="{B0F30E60-21FB-B14A-2E91-E51976B9D5DD}"/>
              </a:ext>
            </a:extLst>
          </xdr:cNvPr>
          <xdr:cNvCxnSpPr/>
        </xdr:nvCxnSpPr>
        <xdr:spPr>
          <a:xfrm rot="10800000" flipH="1">
            <a:off x="4769738" y="3622838"/>
            <a:ext cx="1152525" cy="314325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  <xdr:oneCellAnchor>
    <xdr:from>
      <xdr:col>16</xdr:col>
      <xdr:colOff>38100</xdr:colOff>
      <xdr:row>32</xdr:row>
      <xdr:rowOff>28575</xdr:rowOff>
    </xdr:from>
    <xdr:ext cx="1133475" cy="523875"/>
    <xdr:grpSp>
      <xdr:nvGrpSpPr>
        <xdr:cNvPr id="36" name="Shape 2">
          <a:extLst>
            <a:ext uri="{FF2B5EF4-FFF2-40B4-BE49-F238E27FC236}">
              <a16:creationId xmlns:a16="http://schemas.microsoft.com/office/drawing/2014/main" id="{1859E9D6-9631-4C00-9AF8-88F613F0FBD6}"/>
            </a:ext>
          </a:extLst>
        </xdr:cNvPr>
        <xdr:cNvGrpSpPr/>
      </xdr:nvGrpSpPr>
      <xdr:grpSpPr>
        <a:xfrm>
          <a:off x="9791700" y="5718175"/>
          <a:ext cx="1133475" cy="523875"/>
          <a:chOff x="4788788" y="3532350"/>
          <a:chExt cx="1114425" cy="495300"/>
        </a:xfrm>
      </xdr:grpSpPr>
      <xdr:cxnSp macro="">
        <xdr:nvCxnSpPr>
          <xdr:cNvPr id="37" name="Shape 20">
            <a:extLst>
              <a:ext uri="{FF2B5EF4-FFF2-40B4-BE49-F238E27FC236}">
                <a16:creationId xmlns:a16="http://schemas.microsoft.com/office/drawing/2014/main" id="{B8EB5159-63CF-0637-97DE-76530101753A}"/>
              </a:ext>
            </a:extLst>
          </xdr:cNvPr>
          <xdr:cNvCxnSpPr/>
        </xdr:nvCxnSpPr>
        <xdr:spPr>
          <a:xfrm>
            <a:off x="4788788" y="3532350"/>
            <a:ext cx="1114425" cy="495300"/>
          </a:xfrm>
          <a:prstGeom prst="straightConnector1">
            <a:avLst/>
          </a:prstGeom>
          <a:noFill/>
          <a:ln w="28575" cap="flat" cmpd="sng">
            <a:solidFill>
              <a:srgbClr val="000000"/>
            </a:solidFill>
            <a:prstDash val="solid"/>
            <a:miter lim="800000"/>
            <a:headEnd type="none" w="sm" len="sm"/>
            <a:tailEnd type="triangle" w="med" len="med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27</xdr:row>
      <xdr:rowOff>4760</xdr:rowOff>
    </xdr:from>
    <xdr:to>
      <xdr:col>54</xdr:col>
      <xdr:colOff>142875</xdr:colOff>
      <xdr:row>44</xdr:row>
      <xdr:rowOff>171449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40186CD-676D-468C-92E3-AACF89F59C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27</xdr:row>
      <xdr:rowOff>4760</xdr:rowOff>
    </xdr:from>
    <xdr:to>
      <xdr:col>45</xdr:col>
      <xdr:colOff>142875</xdr:colOff>
      <xdr:row>44</xdr:row>
      <xdr:rowOff>171449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5D167562-2F62-4BF0-A453-7466A8005E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12</xdr:row>
      <xdr:rowOff>0</xdr:rowOff>
    </xdr:from>
    <xdr:to>
      <xdr:col>22</xdr:col>
      <xdr:colOff>9525</xdr:colOff>
      <xdr:row>41</xdr:row>
      <xdr:rowOff>104775</xdr:rowOff>
    </xdr:to>
    <xdr:cxnSp macro="">
      <xdr:nvCxnSpPr>
        <xdr:cNvPr id="4" name="Connettore diritto 3">
          <a:extLst>
            <a:ext uri="{FF2B5EF4-FFF2-40B4-BE49-F238E27FC236}">
              <a16:creationId xmlns:a16="http://schemas.microsoft.com/office/drawing/2014/main" id="{D1BE2636-B98D-4DE6-8981-6AA677871004}"/>
            </a:ext>
          </a:extLst>
        </xdr:cNvPr>
        <xdr:cNvCxnSpPr/>
      </xdr:nvCxnSpPr>
      <xdr:spPr>
        <a:xfrm>
          <a:off x="8415618" y="2095500"/>
          <a:ext cx="9525" cy="562927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174812</xdr:colOff>
      <xdr:row>15</xdr:row>
      <xdr:rowOff>29136</xdr:rowOff>
    </xdr:from>
    <xdr:to>
      <xdr:col>33</xdr:col>
      <xdr:colOff>19050</xdr:colOff>
      <xdr:row>37</xdr:row>
      <xdr:rowOff>123825</xdr:rowOff>
    </xdr:to>
    <xdr:cxnSp macro="">
      <xdr:nvCxnSpPr>
        <xdr:cNvPr id="5" name="Connettore diritto 4">
          <a:extLst>
            <a:ext uri="{FF2B5EF4-FFF2-40B4-BE49-F238E27FC236}">
              <a16:creationId xmlns:a16="http://schemas.microsoft.com/office/drawing/2014/main" id="{9370DE33-D84F-4CCC-8A1C-0A03A4FEB316}"/>
            </a:ext>
          </a:extLst>
        </xdr:cNvPr>
        <xdr:cNvCxnSpPr/>
      </xdr:nvCxnSpPr>
      <xdr:spPr>
        <a:xfrm>
          <a:off x="10383371" y="2696136"/>
          <a:ext cx="23532" cy="428568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100853</xdr:colOff>
      <xdr:row>20</xdr:row>
      <xdr:rowOff>1756</xdr:rowOff>
    </xdr:from>
    <xdr:to>
      <xdr:col>44</xdr:col>
      <xdr:colOff>101153</xdr:colOff>
      <xdr:row>34</xdr:row>
      <xdr:rowOff>44824</xdr:rowOff>
    </xdr:to>
    <xdr:cxnSp macro="">
      <xdr:nvCxnSpPr>
        <xdr:cNvPr id="6" name="Connettore diritto 5">
          <a:extLst>
            <a:ext uri="{FF2B5EF4-FFF2-40B4-BE49-F238E27FC236}">
              <a16:creationId xmlns:a16="http://schemas.microsoft.com/office/drawing/2014/main" id="{E683B974-C781-43E3-9473-D5F214B84D0F}"/>
            </a:ext>
          </a:extLst>
        </xdr:cNvPr>
        <xdr:cNvCxnSpPr/>
      </xdr:nvCxnSpPr>
      <xdr:spPr>
        <a:xfrm flipH="1">
          <a:off x="12460941" y="3621256"/>
          <a:ext cx="300" cy="2710068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37</xdr:row>
      <xdr:rowOff>123825</xdr:rowOff>
    </xdr:from>
    <xdr:to>
      <xdr:col>33</xdr:col>
      <xdr:colOff>9525</xdr:colOff>
      <xdr:row>37</xdr:row>
      <xdr:rowOff>133350</xdr:rowOff>
    </xdr:to>
    <xdr:cxnSp macro="">
      <xdr:nvCxnSpPr>
        <xdr:cNvPr id="7" name="Connettore diritto 6">
          <a:extLst>
            <a:ext uri="{FF2B5EF4-FFF2-40B4-BE49-F238E27FC236}">
              <a16:creationId xmlns:a16="http://schemas.microsoft.com/office/drawing/2014/main" id="{968A1A3C-6BE9-40D4-B6A6-64A6BE00D97C}"/>
            </a:ext>
          </a:extLst>
        </xdr:cNvPr>
        <xdr:cNvCxnSpPr/>
      </xdr:nvCxnSpPr>
      <xdr:spPr>
        <a:xfrm flipH="1">
          <a:off x="8434668" y="6981825"/>
          <a:ext cx="1962710" cy="9525"/>
        </a:xfrm>
        <a:prstGeom prst="line">
          <a:avLst/>
        </a:prstGeom>
        <a:ln w="15875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20732</xdr:colOff>
      <xdr:row>41</xdr:row>
      <xdr:rowOff>77322</xdr:rowOff>
    </xdr:from>
    <xdr:to>
      <xdr:col>22</xdr:col>
      <xdr:colOff>24848</xdr:colOff>
      <xdr:row>41</xdr:row>
      <xdr:rowOff>82826</xdr:rowOff>
    </xdr:to>
    <xdr:cxnSp macro="">
      <xdr:nvCxnSpPr>
        <xdr:cNvPr id="14" name="Connettore diritto 13">
          <a:extLst>
            <a:ext uri="{FF2B5EF4-FFF2-40B4-BE49-F238E27FC236}">
              <a16:creationId xmlns:a16="http://schemas.microsoft.com/office/drawing/2014/main" id="{A168D3A5-3078-41A7-AD94-9AE9F0EE56D6}"/>
            </a:ext>
          </a:extLst>
        </xdr:cNvPr>
        <xdr:cNvCxnSpPr/>
      </xdr:nvCxnSpPr>
      <xdr:spPr>
        <a:xfrm flipH="1" flipV="1">
          <a:off x="6284820" y="7697322"/>
          <a:ext cx="2155646" cy="5504"/>
        </a:xfrm>
        <a:prstGeom prst="line">
          <a:avLst/>
        </a:prstGeom>
        <a:ln w="15875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6627</xdr:colOff>
      <xdr:row>34</xdr:row>
      <xdr:rowOff>57978</xdr:rowOff>
    </xdr:from>
    <xdr:to>
      <xdr:col>44</xdr:col>
      <xdr:colOff>107674</xdr:colOff>
      <xdr:row>34</xdr:row>
      <xdr:rowOff>67089</xdr:rowOff>
    </xdr:to>
    <xdr:cxnSp macro="">
      <xdr:nvCxnSpPr>
        <xdr:cNvPr id="19" name="Connettore diritto 18">
          <a:extLst>
            <a:ext uri="{FF2B5EF4-FFF2-40B4-BE49-F238E27FC236}">
              <a16:creationId xmlns:a16="http://schemas.microsoft.com/office/drawing/2014/main" id="{F6FF1672-8632-402D-BC96-7881AFA120AE}"/>
            </a:ext>
          </a:extLst>
        </xdr:cNvPr>
        <xdr:cNvCxnSpPr/>
      </xdr:nvCxnSpPr>
      <xdr:spPr>
        <a:xfrm flipH="1">
          <a:off x="10394480" y="6344478"/>
          <a:ext cx="2073282" cy="9111"/>
        </a:xfrm>
        <a:prstGeom prst="line">
          <a:avLst/>
        </a:prstGeom>
        <a:ln w="15875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8283</xdr:colOff>
      <xdr:row>37</xdr:row>
      <xdr:rowOff>140804</xdr:rowOff>
    </xdr:from>
    <xdr:to>
      <xdr:col>22</xdr:col>
      <xdr:colOff>11597</xdr:colOff>
      <xdr:row>41</xdr:row>
      <xdr:rowOff>36443</xdr:rowOff>
    </xdr:to>
    <xdr:cxnSp macro="">
      <xdr:nvCxnSpPr>
        <xdr:cNvPr id="25" name="Connettore diritto 24">
          <a:extLst>
            <a:ext uri="{FF2B5EF4-FFF2-40B4-BE49-F238E27FC236}">
              <a16:creationId xmlns:a16="http://schemas.microsoft.com/office/drawing/2014/main" id="{134AC57D-07A2-4FDD-9975-D0A288101FBC}"/>
            </a:ext>
          </a:extLst>
        </xdr:cNvPr>
        <xdr:cNvCxnSpPr/>
      </xdr:nvCxnSpPr>
      <xdr:spPr>
        <a:xfrm flipH="1" flipV="1">
          <a:off x="8423901" y="6998804"/>
          <a:ext cx="3314" cy="657639"/>
        </a:xfrm>
        <a:prstGeom prst="line">
          <a:avLst/>
        </a:prstGeom>
        <a:ln w="15875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16955</xdr:colOff>
      <xdr:row>34</xdr:row>
      <xdr:rowOff>53008</xdr:rowOff>
    </xdr:from>
    <xdr:to>
      <xdr:col>33</xdr:col>
      <xdr:colOff>20269</xdr:colOff>
      <xdr:row>37</xdr:row>
      <xdr:rowOff>139147</xdr:rowOff>
    </xdr:to>
    <xdr:cxnSp macro="">
      <xdr:nvCxnSpPr>
        <xdr:cNvPr id="28" name="Connettore diritto 27">
          <a:extLst>
            <a:ext uri="{FF2B5EF4-FFF2-40B4-BE49-F238E27FC236}">
              <a16:creationId xmlns:a16="http://schemas.microsoft.com/office/drawing/2014/main" id="{336BB607-D8C2-4DFB-8172-D14C7794F8DF}"/>
            </a:ext>
          </a:extLst>
        </xdr:cNvPr>
        <xdr:cNvCxnSpPr/>
      </xdr:nvCxnSpPr>
      <xdr:spPr>
        <a:xfrm flipH="1" flipV="1">
          <a:off x="10404808" y="6339508"/>
          <a:ext cx="3314" cy="657639"/>
        </a:xfrm>
        <a:prstGeom prst="line">
          <a:avLst/>
        </a:prstGeom>
        <a:ln w="15875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99391</xdr:colOff>
      <xdr:row>28</xdr:row>
      <xdr:rowOff>165652</xdr:rowOff>
    </xdr:from>
    <xdr:to>
      <xdr:col>44</xdr:col>
      <xdr:colOff>101049</xdr:colOff>
      <xdr:row>34</xdr:row>
      <xdr:rowOff>59635</xdr:rowOff>
    </xdr:to>
    <xdr:cxnSp macro="">
      <xdr:nvCxnSpPr>
        <xdr:cNvPr id="29" name="Connettore diritto 28">
          <a:extLst>
            <a:ext uri="{FF2B5EF4-FFF2-40B4-BE49-F238E27FC236}">
              <a16:creationId xmlns:a16="http://schemas.microsoft.com/office/drawing/2014/main" id="{93C0470B-7C8D-427A-BFF4-4640F0C636E2}"/>
            </a:ext>
          </a:extLst>
        </xdr:cNvPr>
        <xdr:cNvCxnSpPr/>
      </xdr:nvCxnSpPr>
      <xdr:spPr>
        <a:xfrm flipH="1" flipV="1">
          <a:off x="12459479" y="5309152"/>
          <a:ext cx="1658" cy="1036983"/>
        </a:xfrm>
        <a:prstGeom prst="line">
          <a:avLst/>
        </a:prstGeom>
        <a:ln w="15875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27</xdr:row>
      <xdr:rowOff>4760</xdr:rowOff>
    </xdr:from>
    <xdr:to>
      <xdr:col>45</xdr:col>
      <xdr:colOff>142875</xdr:colOff>
      <xdr:row>44</xdr:row>
      <xdr:rowOff>171449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22BD5A4-8229-401E-A35C-788530316E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12</xdr:row>
      <xdr:rowOff>0</xdr:rowOff>
    </xdr:from>
    <xdr:to>
      <xdr:col>22</xdr:col>
      <xdr:colOff>9525</xdr:colOff>
      <xdr:row>41</xdr:row>
      <xdr:rowOff>104775</xdr:rowOff>
    </xdr:to>
    <xdr:cxnSp macro="">
      <xdr:nvCxnSpPr>
        <xdr:cNvPr id="3" name="Connettore diritto 2">
          <a:extLst>
            <a:ext uri="{FF2B5EF4-FFF2-40B4-BE49-F238E27FC236}">
              <a16:creationId xmlns:a16="http://schemas.microsoft.com/office/drawing/2014/main" id="{C51452A5-1171-49A6-B52E-8A9F12469383}"/>
            </a:ext>
          </a:extLst>
        </xdr:cNvPr>
        <xdr:cNvCxnSpPr/>
      </xdr:nvCxnSpPr>
      <xdr:spPr>
        <a:xfrm>
          <a:off x="8997950" y="2209800"/>
          <a:ext cx="9525" cy="544512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174812</xdr:colOff>
      <xdr:row>15</xdr:row>
      <xdr:rowOff>29136</xdr:rowOff>
    </xdr:from>
    <xdr:to>
      <xdr:col>33</xdr:col>
      <xdr:colOff>19050</xdr:colOff>
      <xdr:row>37</xdr:row>
      <xdr:rowOff>123825</xdr:rowOff>
    </xdr:to>
    <xdr:cxnSp macro="">
      <xdr:nvCxnSpPr>
        <xdr:cNvPr id="4" name="Connettore diritto 3">
          <a:extLst>
            <a:ext uri="{FF2B5EF4-FFF2-40B4-BE49-F238E27FC236}">
              <a16:creationId xmlns:a16="http://schemas.microsoft.com/office/drawing/2014/main" id="{EDEAD136-900E-4FD0-83FE-283170A5B391}"/>
            </a:ext>
          </a:extLst>
        </xdr:cNvPr>
        <xdr:cNvCxnSpPr/>
      </xdr:nvCxnSpPr>
      <xdr:spPr>
        <a:xfrm>
          <a:off x="11077762" y="2791386"/>
          <a:ext cx="34738" cy="414598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100853</xdr:colOff>
      <xdr:row>20</xdr:row>
      <xdr:rowOff>1756</xdr:rowOff>
    </xdr:from>
    <xdr:to>
      <xdr:col>44</xdr:col>
      <xdr:colOff>101153</xdr:colOff>
      <xdr:row>34</xdr:row>
      <xdr:rowOff>44824</xdr:rowOff>
    </xdr:to>
    <xdr:cxnSp macro="">
      <xdr:nvCxnSpPr>
        <xdr:cNvPr id="5" name="Connettore diritto 4">
          <a:extLst>
            <a:ext uri="{FF2B5EF4-FFF2-40B4-BE49-F238E27FC236}">
              <a16:creationId xmlns:a16="http://schemas.microsoft.com/office/drawing/2014/main" id="{4CA29764-EDA0-48E6-8D4C-42D61822E341}"/>
            </a:ext>
          </a:extLst>
        </xdr:cNvPr>
        <xdr:cNvCxnSpPr/>
      </xdr:nvCxnSpPr>
      <xdr:spPr>
        <a:xfrm flipH="1">
          <a:off x="13289803" y="3684756"/>
          <a:ext cx="300" cy="2621168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37</xdr:row>
      <xdr:rowOff>123825</xdr:rowOff>
    </xdr:from>
    <xdr:to>
      <xdr:col>33</xdr:col>
      <xdr:colOff>9525</xdr:colOff>
      <xdr:row>37</xdr:row>
      <xdr:rowOff>133350</xdr:rowOff>
    </xdr:to>
    <xdr:cxnSp macro="">
      <xdr:nvCxnSpPr>
        <xdr:cNvPr id="6" name="Connettore diritto 5">
          <a:extLst>
            <a:ext uri="{FF2B5EF4-FFF2-40B4-BE49-F238E27FC236}">
              <a16:creationId xmlns:a16="http://schemas.microsoft.com/office/drawing/2014/main" id="{8CC6D6BD-035C-4A01-B66D-41069B8A824D}"/>
            </a:ext>
          </a:extLst>
        </xdr:cNvPr>
        <xdr:cNvCxnSpPr/>
      </xdr:nvCxnSpPr>
      <xdr:spPr>
        <a:xfrm flipH="1">
          <a:off x="9017000" y="6937375"/>
          <a:ext cx="2085975" cy="9525"/>
        </a:xfrm>
        <a:prstGeom prst="line">
          <a:avLst/>
        </a:prstGeom>
        <a:ln w="15875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20732</xdr:colOff>
      <xdr:row>41</xdr:row>
      <xdr:rowOff>77322</xdr:rowOff>
    </xdr:from>
    <xdr:to>
      <xdr:col>22</xdr:col>
      <xdr:colOff>24848</xdr:colOff>
      <xdr:row>41</xdr:row>
      <xdr:rowOff>82826</xdr:rowOff>
    </xdr:to>
    <xdr:cxnSp macro="">
      <xdr:nvCxnSpPr>
        <xdr:cNvPr id="7" name="Connettore diritto 6">
          <a:extLst>
            <a:ext uri="{FF2B5EF4-FFF2-40B4-BE49-F238E27FC236}">
              <a16:creationId xmlns:a16="http://schemas.microsoft.com/office/drawing/2014/main" id="{450B79E2-0389-4629-81A8-754E50AB4572}"/>
            </a:ext>
          </a:extLst>
        </xdr:cNvPr>
        <xdr:cNvCxnSpPr/>
      </xdr:nvCxnSpPr>
      <xdr:spPr>
        <a:xfrm flipH="1" flipV="1">
          <a:off x="6732682" y="7627472"/>
          <a:ext cx="2290116" cy="5504"/>
        </a:xfrm>
        <a:prstGeom prst="line">
          <a:avLst/>
        </a:prstGeom>
        <a:ln w="15875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6627</xdr:colOff>
      <xdr:row>34</xdr:row>
      <xdr:rowOff>57978</xdr:rowOff>
    </xdr:from>
    <xdr:to>
      <xdr:col>44</xdr:col>
      <xdr:colOff>107674</xdr:colOff>
      <xdr:row>34</xdr:row>
      <xdr:rowOff>67089</xdr:rowOff>
    </xdr:to>
    <xdr:cxnSp macro="">
      <xdr:nvCxnSpPr>
        <xdr:cNvPr id="8" name="Connettore diritto 7">
          <a:extLst>
            <a:ext uri="{FF2B5EF4-FFF2-40B4-BE49-F238E27FC236}">
              <a16:creationId xmlns:a16="http://schemas.microsoft.com/office/drawing/2014/main" id="{2E76A8AD-DB26-4759-9470-16174048632B}"/>
            </a:ext>
          </a:extLst>
        </xdr:cNvPr>
        <xdr:cNvCxnSpPr/>
      </xdr:nvCxnSpPr>
      <xdr:spPr>
        <a:xfrm flipH="1">
          <a:off x="11100077" y="6319078"/>
          <a:ext cx="2196547" cy="9111"/>
        </a:xfrm>
        <a:prstGeom prst="line">
          <a:avLst/>
        </a:prstGeom>
        <a:ln w="15875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8283</xdr:colOff>
      <xdr:row>37</xdr:row>
      <xdr:rowOff>140804</xdr:rowOff>
    </xdr:from>
    <xdr:to>
      <xdr:col>22</xdr:col>
      <xdr:colOff>11597</xdr:colOff>
      <xdr:row>41</xdr:row>
      <xdr:rowOff>36443</xdr:rowOff>
    </xdr:to>
    <xdr:cxnSp macro="">
      <xdr:nvCxnSpPr>
        <xdr:cNvPr id="9" name="Connettore diritto 8">
          <a:extLst>
            <a:ext uri="{FF2B5EF4-FFF2-40B4-BE49-F238E27FC236}">
              <a16:creationId xmlns:a16="http://schemas.microsoft.com/office/drawing/2014/main" id="{1D261EFA-55A6-4275-90F8-D4BD4223020C}"/>
            </a:ext>
          </a:extLst>
        </xdr:cNvPr>
        <xdr:cNvCxnSpPr/>
      </xdr:nvCxnSpPr>
      <xdr:spPr>
        <a:xfrm flipH="1" flipV="1">
          <a:off x="9006233" y="6954354"/>
          <a:ext cx="3314" cy="632239"/>
        </a:xfrm>
        <a:prstGeom prst="line">
          <a:avLst/>
        </a:prstGeom>
        <a:ln w="15875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16955</xdr:colOff>
      <xdr:row>34</xdr:row>
      <xdr:rowOff>53008</xdr:rowOff>
    </xdr:from>
    <xdr:to>
      <xdr:col>33</xdr:col>
      <xdr:colOff>20269</xdr:colOff>
      <xdr:row>37</xdr:row>
      <xdr:rowOff>139147</xdr:rowOff>
    </xdr:to>
    <xdr:cxnSp macro="">
      <xdr:nvCxnSpPr>
        <xdr:cNvPr id="10" name="Connettore diritto 9">
          <a:extLst>
            <a:ext uri="{FF2B5EF4-FFF2-40B4-BE49-F238E27FC236}">
              <a16:creationId xmlns:a16="http://schemas.microsoft.com/office/drawing/2014/main" id="{84EB62A9-9734-43FA-BDB2-EBDED5A091AB}"/>
            </a:ext>
          </a:extLst>
        </xdr:cNvPr>
        <xdr:cNvCxnSpPr/>
      </xdr:nvCxnSpPr>
      <xdr:spPr>
        <a:xfrm flipH="1" flipV="1">
          <a:off x="11110405" y="6314108"/>
          <a:ext cx="3314" cy="638589"/>
        </a:xfrm>
        <a:prstGeom prst="line">
          <a:avLst/>
        </a:prstGeom>
        <a:ln w="15875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99391</xdr:colOff>
      <xdr:row>28</xdr:row>
      <xdr:rowOff>165652</xdr:rowOff>
    </xdr:from>
    <xdr:to>
      <xdr:col>44</xdr:col>
      <xdr:colOff>101049</xdr:colOff>
      <xdr:row>34</xdr:row>
      <xdr:rowOff>59635</xdr:rowOff>
    </xdr:to>
    <xdr:cxnSp macro="">
      <xdr:nvCxnSpPr>
        <xdr:cNvPr id="11" name="Connettore diritto 10">
          <a:extLst>
            <a:ext uri="{FF2B5EF4-FFF2-40B4-BE49-F238E27FC236}">
              <a16:creationId xmlns:a16="http://schemas.microsoft.com/office/drawing/2014/main" id="{A8A8DC09-CD0A-44E9-9B24-1D5ACEC34835}"/>
            </a:ext>
          </a:extLst>
        </xdr:cNvPr>
        <xdr:cNvCxnSpPr/>
      </xdr:nvCxnSpPr>
      <xdr:spPr>
        <a:xfrm flipH="1" flipV="1">
          <a:off x="13288341" y="5321852"/>
          <a:ext cx="1658" cy="998883"/>
        </a:xfrm>
        <a:prstGeom prst="line">
          <a:avLst/>
        </a:prstGeom>
        <a:ln w="15875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104775</xdr:colOff>
      <xdr:row>27</xdr:row>
      <xdr:rowOff>4760</xdr:rowOff>
    </xdr:from>
    <xdr:to>
      <xdr:col>45</xdr:col>
      <xdr:colOff>142875</xdr:colOff>
      <xdr:row>44</xdr:row>
      <xdr:rowOff>171449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64F82B1B-14BA-4160-8720-98B9C58966F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0</xdr:colOff>
      <xdr:row>12</xdr:row>
      <xdr:rowOff>0</xdr:rowOff>
    </xdr:from>
    <xdr:to>
      <xdr:col>22</xdr:col>
      <xdr:colOff>9525</xdr:colOff>
      <xdr:row>41</xdr:row>
      <xdr:rowOff>104775</xdr:rowOff>
    </xdr:to>
    <xdr:cxnSp macro="">
      <xdr:nvCxnSpPr>
        <xdr:cNvPr id="3" name="Connettore diritto 2">
          <a:extLst>
            <a:ext uri="{FF2B5EF4-FFF2-40B4-BE49-F238E27FC236}">
              <a16:creationId xmlns:a16="http://schemas.microsoft.com/office/drawing/2014/main" id="{FC1BEFAD-3D0E-4123-A6C6-09017EC7C0A3}"/>
            </a:ext>
          </a:extLst>
        </xdr:cNvPr>
        <xdr:cNvCxnSpPr/>
      </xdr:nvCxnSpPr>
      <xdr:spPr>
        <a:xfrm>
          <a:off x="8477250" y="2095500"/>
          <a:ext cx="9525" cy="5629275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174812</xdr:colOff>
      <xdr:row>15</xdr:row>
      <xdr:rowOff>29136</xdr:rowOff>
    </xdr:from>
    <xdr:to>
      <xdr:col>33</xdr:col>
      <xdr:colOff>19050</xdr:colOff>
      <xdr:row>37</xdr:row>
      <xdr:rowOff>123825</xdr:rowOff>
    </xdr:to>
    <xdr:cxnSp macro="">
      <xdr:nvCxnSpPr>
        <xdr:cNvPr id="4" name="Connettore diritto 3">
          <a:extLst>
            <a:ext uri="{FF2B5EF4-FFF2-40B4-BE49-F238E27FC236}">
              <a16:creationId xmlns:a16="http://schemas.microsoft.com/office/drawing/2014/main" id="{19F5A822-241B-4F2C-A3E4-B6A7839A00A4}"/>
            </a:ext>
          </a:extLst>
        </xdr:cNvPr>
        <xdr:cNvCxnSpPr/>
      </xdr:nvCxnSpPr>
      <xdr:spPr>
        <a:xfrm>
          <a:off x="10461812" y="2905686"/>
          <a:ext cx="25213" cy="5438214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76200</xdr:colOff>
      <xdr:row>20</xdr:row>
      <xdr:rowOff>47625</xdr:rowOff>
    </xdr:from>
    <xdr:to>
      <xdr:col>44</xdr:col>
      <xdr:colOff>100853</xdr:colOff>
      <xdr:row>34</xdr:row>
      <xdr:rowOff>44824</xdr:rowOff>
    </xdr:to>
    <xdr:cxnSp macro="">
      <xdr:nvCxnSpPr>
        <xdr:cNvPr id="5" name="Connettore diritto 4">
          <a:extLst>
            <a:ext uri="{FF2B5EF4-FFF2-40B4-BE49-F238E27FC236}">
              <a16:creationId xmlns:a16="http://schemas.microsoft.com/office/drawing/2014/main" id="{5FF048DC-2431-4681-A019-0938364836CD}"/>
            </a:ext>
          </a:extLst>
        </xdr:cNvPr>
        <xdr:cNvCxnSpPr/>
      </xdr:nvCxnSpPr>
      <xdr:spPr>
        <a:xfrm>
          <a:off x="12534900" y="3667125"/>
          <a:ext cx="24653" cy="2664199"/>
        </a:xfrm>
        <a:prstGeom prst="line">
          <a:avLst/>
        </a:prstGeom>
        <a:ln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37</xdr:row>
      <xdr:rowOff>123825</xdr:rowOff>
    </xdr:from>
    <xdr:to>
      <xdr:col>33</xdr:col>
      <xdr:colOff>9525</xdr:colOff>
      <xdr:row>37</xdr:row>
      <xdr:rowOff>133350</xdr:rowOff>
    </xdr:to>
    <xdr:cxnSp macro="">
      <xdr:nvCxnSpPr>
        <xdr:cNvPr id="6" name="Connettore diritto 5">
          <a:extLst>
            <a:ext uri="{FF2B5EF4-FFF2-40B4-BE49-F238E27FC236}">
              <a16:creationId xmlns:a16="http://schemas.microsoft.com/office/drawing/2014/main" id="{F1D8EB4E-6B14-4933-A51E-7E54CB3FF4A3}"/>
            </a:ext>
          </a:extLst>
        </xdr:cNvPr>
        <xdr:cNvCxnSpPr/>
      </xdr:nvCxnSpPr>
      <xdr:spPr>
        <a:xfrm flipH="1">
          <a:off x="8496300" y="6981825"/>
          <a:ext cx="1981200" cy="9525"/>
        </a:xfrm>
        <a:prstGeom prst="line">
          <a:avLst/>
        </a:prstGeom>
        <a:ln w="15875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20732</xdr:colOff>
      <xdr:row>41</xdr:row>
      <xdr:rowOff>77322</xdr:rowOff>
    </xdr:from>
    <xdr:to>
      <xdr:col>22</xdr:col>
      <xdr:colOff>24848</xdr:colOff>
      <xdr:row>41</xdr:row>
      <xdr:rowOff>82826</xdr:rowOff>
    </xdr:to>
    <xdr:cxnSp macro="">
      <xdr:nvCxnSpPr>
        <xdr:cNvPr id="7" name="Connettore diritto 6">
          <a:extLst>
            <a:ext uri="{FF2B5EF4-FFF2-40B4-BE49-F238E27FC236}">
              <a16:creationId xmlns:a16="http://schemas.microsoft.com/office/drawing/2014/main" id="{692421FE-ADF3-42CD-8ED8-50F632AD5737}"/>
            </a:ext>
          </a:extLst>
        </xdr:cNvPr>
        <xdr:cNvCxnSpPr/>
      </xdr:nvCxnSpPr>
      <xdr:spPr>
        <a:xfrm flipH="1" flipV="1">
          <a:off x="6326282" y="7697322"/>
          <a:ext cx="2175816" cy="5504"/>
        </a:xfrm>
        <a:prstGeom prst="line">
          <a:avLst/>
        </a:prstGeom>
        <a:ln w="15875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6627</xdr:colOff>
      <xdr:row>34</xdr:row>
      <xdr:rowOff>57978</xdr:rowOff>
    </xdr:from>
    <xdr:to>
      <xdr:col>44</xdr:col>
      <xdr:colOff>107674</xdr:colOff>
      <xdr:row>34</xdr:row>
      <xdr:rowOff>67089</xdr:rowOff>
    </xdr:to>
    <xdr:cxnSp macro="">
      <xdr:nvCxnSpPr>
        <xdr:cNvPr id="8" name="Connettore diritto 7">
          <a:extLst>
            <a:ext uri="{FF2B5EF4-FFF2-40B4-BE49-F238E27FC236}">
              <a16:creationId xmlns:a16="http://schemas.microsoft.com/office/drawing/2014/main" id="{4CDC3EAB-FC1F-4256-821F-B2F0D4FEE416}"/>
            </a:ext>
          </a:extLst>
        </xdr:cNvPr>
        <xdr:cNvCxnSpPr/>
      </xdr:nvCxnSpPr>
      <xdr:spPr>
        <a:xfrm flipH="1">
          <a:off x="10474602" y="6344478"/>
          <a:ext cx="2091772" cy="9111"/>
        </a:xfrm>
        <a:prstGeom prst="line">
          <a:avLst/>
        </a:prstGeom>
        <a:ln w="15875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8283</xdr:colOff>
      <xdr:row>37</xdr:row>
      <xdr:rowOff>140804</xdr:rowOff>
    </xdr:from>
    <xdr:to>
      <xdr:col>22</xdr:col>
      <xdr:colOff>11597</xdr:colOff>
      <xdr:row>41</xdr:row>
      <xdr:rowOff>36443</xdr:rowOff>
    </xdr:to>
    <xdr:cxnSp macro="">
      <xdr:nvCxnSpPr>
        <xdr:cNvPr id="9" name="Connettore diritto 8">
          <a:extLst>
            <a:ext uri="{FF2B5EF4-FFF2-40B4-BE49-F238E27FC236}">
              <a16:creationId xmlns:a16="http://schemas.microsoft.com/office/drawing/2014/main" id="{41526CF2-B3A1-493B-95B1-1DEF7A08A281}"/>
            </a:ext>
          </a:extLst>
        </xdr:cNvPr>
        <xdr:cNvCxnSpPr/>
      </xdr:nvCxnSpPr>
      <xdr:spPr>
        <a:xfrm flipH="1" flipV="1">
          <a:off x="8485533" y="6998804"/>
          <a:ext cx="3314" cy="657639"/>
        </a:xfrm>
        <a:prstGeom prst="line">
          <a:avLst/>
        </a:prstGeom>
        <a:ln w="15875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16955</xdr:colOff>
      <xdr:row>34</xdr:row>
      <xdr:rowOff>53008</xdr:rowOff>
    </xdr:from>
    <xdr:to>
      <xdr:col>33</xdr:col>
      <xdr:colOff>20269</xdr:colOff>
      <xdr:row>37</xdr:row>
      <xdr:rowOff>139147</xdr:rowOff>
    </xdr:to>
    <xdr:cxnSp macro="">
      <xdr:nvCxnSpPr>
        <xdr:cNvPr id="10" name="Connettore diritto 9">
          <a:extLst>
            <a:ext uri="{FF2B5EF4-FFF2-40B4-BE49-F238E27FC236}">
              <a16:creationId xmlns:a16="http://schemas.microsoft.com/office/drawing/2014/main" id="{54C1ED53-DDE2-4051-8F7A-B4AF817A6ADD}"/>
            </a:ext>
          </a:extLst>
        </xdr:cNvPr>
        <xdr:cNvCxnSpPr/>
      </xdr:nvCxnSpPr>
      <xdr:spPr>
        <a:xfrm flipH="1" flipV="1">
          <a:off x="10484930" y="6339508"/>
          <a:ext cx="3314" cy="657639"/>
        </a:xfrm>
        <a:prstGeom prst="line">
          <a:avLst/>
        </a:prstGeom>
        <a:ln w="15875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99391</xdr:colOff>
      <xdr:row>28</xdr:row>
      <xdr:rowOff>165652</xdr:rowOff>
    </xdr:from>
    <xdr:to>
      <xdr:col>44</xdr:col>
      <xdr:colOff>101049</xdr:colOff>
      <xdr:row>34</xdr:row>
      <xdr:rowOff>59635</xdr:rowOff>
    </xdr:to>
    <xdr:cxnSp macro="">
      <xdr:nvCxnSpPr>
        <xdr:cNvPr id="11" name="Connettore diritto 10">
          <a:extLst>
            <a:ext uri="{FF2B5EF4-FFF2-40B4-BE49-F238E27FC236}">
              <a16:creationId xmlns:a16="http://schemas.microsoft.com/office/drawing/2014/main" id="{24589706-0C6E-4C18-AC51-36A24A49787D}"/>
            </a:ext>
          </a:extLst>
        </xdr:cNvPr>
        <xdr:cNvCxnSpPr/>
      </xdr:nvCxnSpPr>
      <xdr:spPr>
        <a:xfrm flipH="1" flipV="1">
          <a:off x="12558091" y="5309152"/>
          <a:ext cx="1658" cy="1036983"/>
        </a:xfrm>
        <a:prstGeom prst="line">
          <a:avLst/>
        </a:prstGeom>
        <a:ln w="15875">
          <a:solidFill>
            <a:srgbClr val="00B050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644071</xdr:colOff>
      <xdr:row>46</xdr:row>
      <xdr:rowOff>19050</xdr:rowOff>
    </xdr:from>
    <xdr:to>
      <xdr:col>9</xdr:col>
      <xdr:colOff>789214</xdr:colOff>
      <xdr:row>46</xdr:row>
      <xdr:rowOff>164193</xdr:rowOff>
    </xdr:to>
    <xdr:sp macro="" textlink="">
      <xdr:nvSpPr>
        <xdr:cNvPr id="12" name="Ovale 11">
          <a:extLst>
            <a:ext uri="{FF2B5EF4-FFF2-40B4-BE49-F238E27FC236}">
              <a16:creationId xmlns:a16="http://schemas.microsoft.com/office/drawing/2014/main" id="{F712D9CF-77E2-4C2F-A7DA-E9825087BF04}"/>
            </a:ext>
          </a:extLst>
        </xdr:cNvPr>
        <xdr:cNvSpPr/>
      </xdr:nvSpPr>
      <xdr:spPr>
        <a:xfrm>
          <a:off x="6181271" y="8331200"/>
          <a:ext cx="145143" cy="145143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644071</xdr:colOff>
      <xdr:row>47</xdr:row>
      <xdr:rowOff>31750</xdr:rowOff>
    </xdr:from>
    <xdr:to>
      <xdr:col>9</xdr:col>
      <xdr:colOff>789214</xdr:colOff>
      <xdr:row>47</xdr:row>
      <xdr:rowOff>176893</xdr:rowOff>
    </xdr:to>
    <xdr:sp macro="" textlink="">
      <xdr:nvSpPr>
        <xdr:cNvPr id="13" name="Ovale 12">
          <a:extLst>
            <a:ext uri="{FF2B5EF4-FFF2-40B4-BE49-F238E27FC236}">
              <a16:creationId xmlns:a16="http://schemas.microsoft.com/office/drawing/2014/main" id="{67179ABC-7EF3-49F3-9300-CB9178893DA2}"/>
            </a:ext>
          </a:extLst>
        </xdr:cNvPr>
        <xdr:cNvSpPr/>
      </xdr:nvSpPr>
      <xdr:spPr>
        <a:xfrm>
          <a:off x="6181271" y="8528050"/>
          <a:ext cx="145143" cy="14514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9</xdr:col>
      <xdr:colOff>637721</xdr:colOff>
      <xdr:row>48</xdr:row>
      <xdr:rowOff>31750</xdr:rowOff>
    </xdr:from>
    <xdr:to>
      <xdr:col>9</xdr:col>
      <xdr:colOff>782864</xdr:colOff>
      <xdr:row>48</xdr:row>
      <xdr:rowOff>176893</xdr:rowOff>
    </xdr:to>
    <xdr:sp macro="" textlink="">
      <xdr:nvSpPr>
        <xdr:cNvPr id="14" name="Ovale 13">
          <a:extLst>
            <a:ext uri="{FF2B5EF4-FFF2-40B4-BE49-F238E27FC236}">
              <a16:creationId xmlns:a16="http://schemas.microsoft.com/office/drawing/2014/main" id="{A00236E8-B739-4D58-BBC4-A2AFBFFD2099}"/>
            </a:ext>
          </a:extLst>
        </xdr:cNvPr>
        <xdr:cNvSpPr/>
      </xdr:nvSpPr>
      <xdr:spPr>
        <a:xfrm>
          <a:off x="6174921" y="8712200"/>
          <a:ext cx="145143" cy="14514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21</xdr:col>
      <xdr:colOff>117021</xdr:colOff>
      <xdr:row>39</xdr:row>
      <xdr:rowOff>146050</xdr:rowOff>
    </xdr:from>
    <xdr:to>
      <xdr:col>22</xdr:col>
      <xdr:colOff>71664</xdr:colOff>
      <xdr:row>40</xdr:row>
      <xdr:rowOff>107043</xdr:rowOff>
    </xdr:to>
    <xdr:sp macro="" textlink="">
      <xdr:nvSpPr>
        <xdr:cNvPr id="15" name="Ovale 14">
          <a:extLst>
            <a:ext uri="{FF2B5EF4-FFF2-40B4-BE49-F238E27FC236}">
              <a16:creationId xmlns:a16="http://schemas.microsoft.com/office/drawing/2014/main" id="{598D2063-433D-4D91-AAC1-F073F75539DB}"/>
            </a:ext>
          </a:extLst>
        </xdr:cNvPr>
        <xdr:cNvSpPr/>
      </xdr:nvSpPr>
      <xdr:spPr>
        <a:xfrm>
          <a:off x="8587921" y="7169150"/>
          <a:ext cx="145143" cy="14514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33</xdr:col>
      <xdr:colOff>19050</xdr:colOff>
      <xdr:row>33</xdr:row>
      <xdr:rowOff>156482</xdr:rowOff>
    </xdr:from>
    <xdr:to>
      <xdr:col>33</xdr:col>
      <xdr:colOff>155121</xdr:colOff>
      <xdr:row>34</xdr:row>
      <xdr:rowOff>117475</xdr:rowOff>
    </xdr:to>
    <xdr:sp macro="" textlink="">
      <xdr:nvSpPr>
        <xdr:cNvPr id="16" name="Ovale 15">
          <a:extLst>
            <a:ext uri="{FF2B5EF4-FFF2-40B4-BE49-F238E27FC236}">
              <a16:creationId xmlns:a16="http://schemas.microsoft.com/office/drawing/2014/main" id="{AB7918A4-5371-4FCF-9927-AFF1D3F98697}"/>
            </a:ext>
          </a:extLst>
        </xdr:cNvPr>
        <xdr:cNvSpPr/>
      </xdr:nvSpPr>
      <xdr:spPr>
        <a:xfrm>
          <a:off x="10478407" y="7613196"/>
          <a:ext cx="136071" cy="15149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44</xdr:col>
      <xdr:colOff>34471</xdr:colOff>
      <xdr:row>30</xdr:row>
      <xdr:rowOff>88153</xdr:rowOff>
    </xdr:from>
    <xdr:to>
      <xdr:col>45</xdr:col>
      <xdr:colOff>320</xdr:colOff>
      <xdr:row>31</xdr:row>
      <xdr:rowOff>49146</xdr:rowOff>
    </xdr:to>
    <xdr:sp macro="" textlink="">
      <xdr:nvSpPr>
        <xdr:cNvPr id="17" name="Ovale 16">
          <a:extLst>
            <a:ext uri="{FF2B5EF4-FFF2-40B4-BE49-F238E27FC236}">
              <a16:creationId xmlns:a16="http://schemas.microsoft.com/office/drawing/2014/main" id="{66E8DDE3-71AA-481F-AE08-A8390EECC65A}"/>
            </a:ext>
          </a:extLst>
        </xdr:cNvPr>
        <xdr:cNvSpPr/>
      </xdr:nvSpPr>
      <xdr:spPr>
        <a:xfrm>
          <a:off x="12394559" y="6979771"/>
          <a:ext cx="145143" cy="15149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21</xdr:col>
      <xdr:colOff>117021</xdr:colOff>
      <xdr:row>40</xdr:row>
      <xdr:rowOff>40821</xdr:rowOff>
    </xdr:from>
    <xdr:to>
      <xdr:col>22</xdr:col>
      <xdr:colOff>71664</xdr:colOff>
      <xdr:row>41</xdr:row>
      <xdr:rowOff>1814</xdr:rowOff>
    </xdr:to>
    <xdr:sp macro="" textlink="">
      <xdr:nvSpPr>
        <xdr:cNvPr id="18" name="Ovale 17">
          <a:extLst>
            <a:ext uri="{FF2B5EF4-FFF2-40B4-BE49-F238E27FC236}">
              <a16:creationId xmlns:a16="http://schemas.microsoft.com/office/drawing/2014/main" id="{8E277D9A-3185-4816-989F-2FAEE43DD34A}"/>
            </a:ext>
          </a:extLst>
        </xdr:cNvPr>
        <xdr:cNvSpPr/>
      </xdr:nvSpPr>
      <xdr:spPr>
        <a:xfrm>
          <a:off x="8571592" y="8078107"/>
          <a:ext cx="145143" cy="142421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33</xdr:col>
      <xdr:colOff>27667</xdr:colOff>
      <xdr:row>34</xdr:row>
      <xdr:rowOff>66671</xdr:rowOff>
    </xdr:from>
    <xdr:to>
      <xdr:col>33</xdr:col>
      <xdr:colOff>163738</xdr:colOff>
      <xdr:row>35</xdr:row>
      <xdr:rowOff>30385</xdr:rowOff>
    </xdr:to>
    <xdr:sp macro="" textlink="">
      <xdr:nvSpPr>
        <xdr:cNvPr id="20" name="Ovale 19">
          <a:extLst>
            <a:ext uri="{FF2B5EF4-FFF2-40B4-BE49-F238E27FC236}">
              <a16:creationId xmlns:a16="http://schemas.microsoft.com/office/drawing/2014/main" id="{B2F64FD0-0F17-4629-85CD-4D3705479EAF}"/>
            </a:ext>
          </a:extLst>
        </xdr:cNvPr>
        <xdr:cNvSpPr/>
      </xdr:nvSpPr>
      <xdr:spPr>
        <a:xfrm>
          <a:off x="10487024" y="7713885"/>
          <a:ext cx="136071" cy="154214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44</xdr:col>
      <xdr:colOff>40821</xdr:colOff>
      <xdr:row>30</xdr:row>
      <xdr:rowOff>149730</xdr:rowOff>
    </xdr:from>
    <xdr:to>
      <xdr:col>44</xdr:col>
      <xdr:colOff>179614</xdr:colOff>
      <xdr:row>31</xdr:row>
      <xdr:rowOff>107548</xdr:rowOff>
    </xdr:to>
    <xdr:sp macro="" textlink="">
      <xdr:nvSpPr>
        <xdr:cNvPr id="21" name="Ovale 20">
          <a:extLst>
            <a:ext uri="{FF2B5EF4-FFF2-40B4-BE49-F238E27FC236}">
              <a16:creationId xmlns:a16="http://schemas.microsoft.com/office/drawing/2014/main" id="{F6DDFC2C-D076-4EF4-8044-04F9F1C69E11}"/>
            </a:ext>
          </a:extLst>
        </xdr:cNvPr>
        <xdr:cNvSpPr/>
      </xdr:nvSpPr>
      <xdr:spPr>
        <a:xfrm>
          <a:off x="12495892" y="7034944"/>
          <a:ext cx="138793" cy="148318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21</xdr:col>
      <xdr:colOff>115208</xdr:colOff>
      <xdr:row>39</xdr:row>
      <xdr:rowOff>39914</xdr:rowOff>
    </xdr:from>
    <xdr:to>
      <xdr:col>22</xdr:col>
      <xdr:colOff>69851</xdr:colOff>
      <xdr:row>40</xdr:row>
      <xdr:rowOff>3628</xdr:rowOff>
    </xdr:to>
    <xdr:sp macro="" textlink="">
      <xdr:nvSpPr>
        <xdr:cNvPr id="22" name="Ovale 21">
          <a:extLst>
            <a:ext uri="{FF2B5EF4-FFF2-40B4-BE49-F238E27FC236}">
              <a16:creationId xmlns:a16="http://schemas.microsoft.com/office/drawing/2014/main" id="{96F56D67-6FCE-4E7A-8657-41A1B6AD33B6}"/>
            </a:ext>
          </a:extLst>
        </xdr:cNvPr>
        <xdr:cNvSpPr/>
      </xdr:nvSpPr>
      <xdr:spPr>
        <a:xfrm>
          <a:off x="8569779" y="7895771"/>
          <a:ext cx="145143" cy="14514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33</xdr:col>
      <xdr:colOff>34926</xdr:colOff>
      <xdr:row>34</xdr:row>
      <xdr:rowOff>85270</xdr:rowOff>
    </xdr:from>
    <xdr:to>
      <xdr:col>33</xdr:col>
      <xdr:colOff>167822</xdr:colOff>
      <xdr:row>35</xdr:row>
      <xdr:rowOff>48985</xdr:rowOff>
    </xdr:to>
    <xdr:sp macro="" textlink="">
      <xdr:nvSpPr>
        <xdr:cNvPr id="23" name="Ovale 22">
          <a:extLst>
            <a:ext uri="{FF2B5EF4-FFF2-40B4-BE49-F238E27FC236}">
              <a16:creationId xmlns:a16="http://schemas.microsoft.com/office/drawing/2014/main" id="{4D537E80-78A5-4190-B887-BC53AEAA34F5}"/>
            </a:ext>
          </a:extLst>
        </xdr:cNvPr>
        <xdr:cNvSpPr/>
      </xdr:nvSpPr>
      <xdr:spPr>
        <a:xfrm>
          <a:off x="10494283" y="7732484"/>
          <a:ext cx="132896" cy="15421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44</xdr:col>
      <xdr:colOff>33564</xdr:colOff>
      <xdr:row>30</xdr:row>
      <xdr:rowOff>86339</xdr:rowOff>
    </xdr:from>
    <xdr:to>
      <xdr:col>44</xdr:col>
      <xdr:colOff>178707</xdr:colOff>
      <xdr:row>31</xdr:row>
      <xdr:rowOff>50053</xdr:rowOff>
    </xdr:to>
    <xdr:sp macro="" textlink="">
      <xdr:nvSpPr>
        <xdr:cNvPr id="24" name="Ovale 23">
          <a:extLst>
            <a:ext uri="{FF2B5EF4-FFF2-40B4-BE49-F238E27FC236}">
              <a16:creationId xmlns:a16="http://schemas.microsoft.com/office/drawing/2014/main" id="{76AC415E-FD96-4D5C-A90E-D49D9F6653B5}"/>
            </a:ext>
          </a:extLst>
        </xdr:cNvPr>
        <xdr:cNvSpPr/>
      </xdr:nvSpPr>
      <xdr:spPr>
        <a:xfrm>
          <a:off x="12393652" y="6977957"/>
          <a:ext cx="145143" cy="154214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it-IT" sz="1100"/>
        </a:p>
      </xdr:txBody>
    </xdr:sp>
    <xdr:clientData/>
  </xdr:twoCellAnchor>
  <xdr:twoCellAnchor>
    <xdr:from>
      <xdr:col>10</xdr:col>
      <xdr:colOff>59764</xdr:colOff>
      <xdr:row>39</xdr:row>
      <xdr:rowOff>117021</xdr:rowOff>
    </xdr:from>
    <xdr:to>
      <xdr:col>21</xdr:col>
      <xdr:colOff>115208</xdr:colOff>
      <xdr:row>43</xdr:row>
      <xdr:rowOff>36233</xdr:rowOff>
    </xdr:to>
    <xdr:cxnSp macro="">
      <xdr:nvCxnSpPr>
        <xdr:cNvPr id="25" name="Connettore diritto 24">
          <a:extLst>
            <a:ext uri="{FF2B5EF4-FFF2-40B4-BE49-F238E27FC236}">
              <a16:creationId xmlns:a16="http://schemas.microsoft.com/office/drawing/2014/main" id="{0B097B93-604E-401C-979D-0559D0911AE6}"/>
            </a:ext>
          </a:extLst>
        </xdr:cNvPr>
        <xdr:cNvCxnSpPr>
          <a:endCxn id="22" idx="2"/>
        </xdr:cNvCxnSpPr>
      </xdr:nvCxnSpPr>
      <xdr:spPr>
        <a:xfrm flipV="1">
          <a:off x="6346264" y="8716735"/>
          <a:ext cx="2051158" cy="68121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21103</xdr:colOff>
      <xdr:row>34</xdr:row>
      <xdr:rowOff>133857</xdr:rowOff>
    </xdr:from>
    <xdr:to>
      <xdr:col>33</xdr:col>
      <xdr:colOff>149679</xdr:colOff>
      <xdr:row>39</xdr:row>
      <xdr:rowOff>107257</xdr:rowOff>
    </xdr:to>
    <xdr:cxnSp macro="">
      <xdr:nvCxnSpPr>
        <xdr:cNvPr id="26" name="Connettore diritto 25">
          <a:extLst>
            <a:ext uri="{FF2B5EF4-FFF2-40B4-BE49-F238E27FC236}">
              <a16:creationId xmlns:a16="http://schemas.microsoft.com/office/drawing/2014/main" id="{62F64BF9-57EC-44F6-80D9-2FA21478CAE1}"/>
            </a:ext>
          </a:extLst>
        </xdr:cNvPr>
        <xdr:cNvCxnSpPr/>
      </xdr:nvCxnSpPr>
      <xdr:spPr>
        <a:xfrm flipV="1">
          <a:off x="8484746" y="7781071"/>
          <a:ext cx="2124290" cy="9259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148360</xdr:colOff>
      <xdr:row>31</xdr:row>
      <xdr:rowOff>9780</xdr:rowOff>
    </xdr:from>
    <xdr:to>
      <xdr:col>44</xdr:col>
      <xdr:colOff>85675</xdr:colOff>
      <xdr:row>34</xdr:row>
      <xdr:rowOff>111029</xdr:rowOff>
    </xdr:to>
    <xdr:cxnSp macro="">
      <xdr:nvCxnSpPr>
        <xdr:cNvPr id="28" name="Connettore diritto 27">
          <a:extLst>
            <a:ext uri="{FF2B5EF4-FFF2-40B4-BE49-F238E27FC236}">
              <a16:creationId xmlns:a16="http://schemas.microsoft.com/office/drawing/2014/main" id="{4B45178F-1A20-4578-9683-8AEA5B976CCD}"/>
            </a:ext>
          </a:extLst>
        </xdr:cNvPr>
        <xdr:cNvCxnSpPr>
          <a:stCxn id="23" idx="7"/>
        </xdr:cNvCxnSpPr>
      </xdr:nvCxnSpPr>
      <xdr:spPr>
        <a:xfrm flipV="1">
          <a:off x="10607717" y="7085494"/>
          <a:ext cx="1933029" cy="6727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8</xdr:row>
      <xdr:rowOff>76200</xdr:rowOff>
    </xdr:from>
    <xdr:to>
      <xdr:col>6</xdr:col>
      <xdr:colOff>295275</xdr:colOff>
      <xdr:row>9</xdr:row>
      <xdr:rowOff>133350</xdr:rowOff>
    </xdr:to>
    <xdr:sp macro="" textlink="">
      <xdr:nvSpPr>
        <xdr:cNvPr id="2" name="Ovale 1">
          <a:extLst>
            <a:ext uri="{FF2B5EF4-FFF2-40B4-BE49-F238E27FC236}">
              <a16:creationId xmlns:a16="http://schemas.microsoft.com/office/drawing/2014/main" id="{C53B385F-CFA0-499F-8A07-1504BEC1D568}"/>
            </a:ext>
          </a:extLst>
        </xdr:cNvPr>
        <xdr:cNvSpPr/>
      </xdr:nvSpPr>
      <xdr:spPr>
        <a:xfrm>
          <a:off x="2171700" y="1619250"/>
          <a:ext cx="304800" cy="24765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it-IT" sz="800">
              <a:solidFill>
                <a:sysClr val="windowText" lastClr="000000"/>
              </a:solidFill>
            </a:rPr>
            <a:t>0.1</a:t>
          </a:r>
        </a:p>
      </xdr:txBody>
    </xdr:sp>
    <xdr:clientData/>
  </xdr:twoCellAnchor>
  <xdr:twoCellAnchor>
    <xdr:from>
      <xdr:col>8</xdr:col>
      <xdr:colOff>142875</xdr:colOff>
      <xdr:row>7</xdr:row>
      <xdr:rowOff>85725</xdr:rowOff>
    </xdr:from>
    <xdr:to>
      <xdr:col>9</xdr:col>
      <xdr:colOff>133350</xdr:colOff>
      <xdr:row>8</xdr:row>
      <xdr:rowOff>133350</xdr:rowOff>
    </xdr:to>
    <xdr:sp macro="" textlink="">
      <xdr:nvSpPr>
        <xdr:cNvPr id="3" name="Ovale 2">
          <a:extLst>
            <a:ext uri="{FF2B5EF4-FFF2-40B4-BE49-F238E27FC236}">
              <a16:creationId xmlns:a16="http://schemas.microsoft.com/office/drawing/2014/main" id="{BC33FD60-5736-498D-AF6F-BBC16EECA5ED}"/>
            </a:ext>
          </a:extLst>
        </xdr:cNvPr>
        <xdr:cNvSpPr/>
      </xdr:nvSpPr>
      <xdr:spPr>
        <a:xfrm>
          <a:off x="2952750" y="1428750"/>
          <a:ext cx="304800" cy="24765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it-IT" sz="800">
              <a:solidFill>
                <a:sysClr val="windowText" lastClr="000000"/>
              </a:solidFill>
            </a:rPr>
            <a:t>1.1</a:t>
          </a:r>
        </a:p>
      </xdr:txBody>
    </xdr:sp>
    <xdr:clientData/>
  </xdr:twoCellAnchor>
  <xdr:twoCellAnchor>
    <xdr:from>
      <xdr:col>6</xdr:col>
      <xdr:colOff>171450</xdr:colOff>
      <xdr:row>6</xdr:row>
      <xdr:rowOff>142875</xdr:rowOff>
    </xdr:from>
    <xdr:to>
      <xdr:col>7</xdr:col>
      <xdr:colOff>161925</xdr:colOff>
      <xdr:row>8</xdr:row>
      <xdr:rowOff>0</xdr:rowOff>
    </xdr:to>
    <xdr:sp macro="" textlink="">
      <xdr:nvSpPr>
        <xdr:cNvPr id="4" name="Ovale 3">
          <a:extLst>
            <a:ext uri="{FF2B5EF4-FFF2-40B4-BE49-F238E27FC236}">
              <a16:creationId xmlns:a16="http://schemas.microsoft.com/office/drawing/2014/main" id="{155D8542-DB2A-41D0-8A43-99E0EF11F719}"/>
            </a:ext>
          </a:extLst>
        </xdr:cNvPr>
        <xdr:cNvSpPr/>
      </xdr:nvSpPr>
      <xdr:spPr>
        <a:xfrm>
          <a:off x="2352675" y="1295400"/>
          <a:ext cx="304800" cy="24765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it-IT" sz="800">
              <a:solidFill>
                <a:sysClr val="windowText" lastClr="000000"/>
              </a:solidFill>
            </a:rPr>
            <a:t>1.2</a:t>
          </a:r>
        </a:p>
      </xdr:txBody>
    </xdr:sp>
    <xdr:clientData/>
  </xdr:twoCellAnchor>
  <xdr:twoCellAnchor>
    <xdr:from>
      <xdr:col>6</xdr:col>
      <xdr:colOff>171450</xdr:colOff>
      <xdr:row>8</xdr:row>
      <xdr:rowOff>38100</xdr:rowOff>
    </xdr:from>
    <xdr:to>
      <xdr:col>7</xdr:col>
      <xdr:colOff>161925</xdr:colOff>
      <xdr:row>9</xdr:row>
      <xdr:rowOff>95250</xdr:rowOff>
    </xdr:to>
    <xdr:sp macro="" textlink="">
      <xdr:nvSpPr>
        <xdr:cNvPr id="5" name="Ovale 4">
          <a:extLst>
            <a:ext uri="{FF2B5EF4-FFF2-40B4-BE49-F238E27FC236}">
              <a16:creationId xmlns:a16="http://schemas.microsoft.com/office/drawing/2014/main" id="{4CD90817-21CB-4BE5-A971-01F9BF74C85F}"/>
            </a:ext>
          </a:extLst>
        </xdr:cNvPr>
        <xdr:cNvSpPr/>
      </xdr:nvSpPr>
      <xdr:spPr>
        <a:xfrm>
          <a:off x="2352675" y="1581150"/>
          <a:ext cx="304800" cy="24765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it-IT" sz="800">
              <a:solidFill>
                <a:sysClr val="windowText" lastClr="000000"/>
              </a:solidFill>
            </a:rPr>
            <a:t>1.3</a:t>
          </a:r>
        </a:p>
      </xdr:txBody>
    </xdr:sp>
    <xdr:clientData/>
  </xdr:twoCellAnchor>
  <xdr:twoCellAnchor>
    <xdr:from>
      <xdr:col>9</xdr:col>
      <xdr:colOff>161925</xdr:colOff>
      <xdr:row>4</xdr:row>
      <xdr:rowOff>66675</xdr:rowOff>
    </xdr:from>
    <xdr:to>
      <xdr:col>10</xdr:col>
      <xdr:colOff>152400</xdr:colOff>
      <xdr:row>5</xdr:row>
      <xdr:rowOff>123825</xdr:rowOff>
    </xdr:to>
    <xdr:sp macro="" textlink="">
      <xdr:nvSpPr>
        <xdr:cNvPr id="6" name="Ovale 5">
          <a:extLst>
            <a:ext uri="{FF2B5EF4-FFF2-40B4-BE49-F238E27FC236}">
              <a16:creationId xmlns:a16="http://schemas.microsoft.com/office/drawing/2014/main" id="{C7DE7BE8-6AF6-49F5-BB0C-87CBC6D7167A}"/>
            </a:ext>
          </a:extLst>
        </xdr:cNvPr>
        <xdr:cNvSpPr/>
      </xdr:nvSpPr>
      <xdr:spPr>
        <a:xfrm>
          <a:off x="3286125" y="838200"/>
          <a:ext cx="304800" cy="24765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it-IT" sz="800">
              <a:solidFill>
                <a:sysClr val="windowText" lastClr="000000"/>
              </a:solidFill>
            </a:rPr>
            <a:t>1.5</a:t>
          </a:r>
        </a:p>
      </xdr:txBody>
    </xdr:sp>
    <xdr:clientData/>
  </xdr:twoCellAnchor>
  <xdr:twoCellAnchor>
    <xdr:from>
      <xdr:col>7</xdr:col>
      <xdr:colOff>85725</xdr:colOff>
      <xdr:row>6</xdr:row>
      <xdr:rowOff>114300</xdr:rowOff>
    </xdr:from>
    <xdr:to>
      <xdr:col>8</xdr:col>
      <xdr:colOff>76200</xdr:colOff>
      <xdr:row>7</xdr:row>
      <xdr:rowOff>171450</xdr:rowOff>
    </xdr:to>
    <xdr:sp macro="" textlink="">
      <xdr:nvSpPr>
        <xdr:cNvPr id="8" name="Ovale 7">
          <a:extLst>
            <a:ext uri="{FF2B5EF4-FFF2-40B4-BE49-F238E27FC236}">
              <a16:creationId xmlns:a16="http://schemas.microsoft.com/office/drawing/2014/main" id="{4C323075-DF75-46E4-BA45-528D6C321783}"/>
            </a:ext>
          </a:extLst>
        </xdr:cNvPr>
        <xdr:cNvSpPr/>
      </xdr:nvSpPr>
      <xdr:spPr>
        <a:xfrm>
          <a:off x="2581275" y="1266825"/>
          <a:ext cx="304800" cy="247650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it-IT" sz="800">
              <a:solidFill>
                <a:sysClr val="windowText" lastClr="000000"/>
              </a:solidFill>
            </a:rPr>
            <a:t>Proj</a:t>
          </a:r>
        </a:p>
      </xdr:txBody>
    </xdr:sp>
    <xdr:clientData/>
  </xdr:twoCellAnchor>
  <xdr:twoCellAnchor>
    <xdr:from>
      <xdr:col>6</xdr:col>
      <xdr:colOff>47625</xdr:colOff>
      <xdr:row>7</xdr:row>
      <xdr:rowOff>66675</xdr:rowOff>
    </xdr:from>
    <xdr:to>
      <xdr:col>7</xdr:col>
      <xdr:colOff>38100</xdr:colOff>
      <xdr:row>8</xdr:row>
      <xdr:rowOff>114300</xdr:rowOff>
    </xdr:to>
    <xdr:sp macro="" textlink="">
      <xdr:nvSpPr>
        <xdr:cNvPr id="7" name="Ovale 6">
          <a:extLst>
            <a:ext uri="{FF2B5EF4-FFF2-40B4-BE49-F238E27FC236}">
              <a16:creationId xmlns:a16="http://schemas.microsoft.com/office/drawing/2014/main" id="{78B51AF5-E723-4053-B1A4-AAAECA7B7DB2}"/>
            </a:ext>
          </a:extLst>
        </xdr:cNvPr>
        <xdr:cNvSpPr/>
      </xdr:nvSpPr>
      <xdr:spPr>
        <a:xfrm>
          <a:off x="2228850" y="1409700"/>
          <a:ext cx="304800" cy="24765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it-IT" sz="800">
              <a:solidFill>
                <a:sysClr val="windowText" lastClr="000000"/>
              </a:solidFill>
            </a:rPr>
            <a:t>3.1</a:t>
          </a:r>
        </a:p>
      </xdr:txBody>
    </xdr:sp>
    <xdr:clientData/>
  </xdr:twoCellAnchor>
  <xdr:twoCellAnchor>
    <xdr:from>
      <xdr:col>6</xdr:col>
      <xdr:colOff>257175</xdr:colOff>
      <xdr:row>7</xdr:row>
      <xdr:rowOff>76200</xdr:rowOff>
    </xdr:from>
    <xdr:to>
      <xdr:col>7</xdr:col>
      <xdr:colOff>247650</xdr:colOff>
      <xdr:row>8</xdr:row>
      <xdr:rowOff>123825</xdr:rowOff>
    </xdr:to>
    <xdr:sp macro="" textlink="">
      <xdr:nvSpPr>
        <xdr:cNvPr id="9" name="Ovale 8">
          <a:extLst>
            <a:ext uri="{FF2B5EF4-FFF2-40B4-BE49-F238E27FC236}">
              <a16:creationId xmlns:a16="http://schemas.microsoft.com/office/drawing/2014/main" id="{FE321576-2DB4-42D0-A0AB-141B31C16C2F}"/>
            </a:ext>
          </a:extLst>
        </xdr:cNvPr>
        <xdr:cNvSpPr/>
      </xdr:nvSpPr>
      <xdr:spPr>
        <a:xfrm>
          <a:off x="2438400" y="1419225"/>
          <a:ext cx="304800" cy="247650"/>
        </a:xfrm>
        <a:prstGeom prst="ellipse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 anchorCtr="0"/>
        <a:lstStyle/>
        <a:p>
          <a:pPr algn="ctr"/>
          <a:r>
            <a:rPr lang="it-IT" sz="800">
              <a:solidFill>
                <a:sysClr val="windowText" lastClr="000000"/>
              </a:solidFill>
            </a:rPr>
            <a:t>2.2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EB26-33CB-460A-A7B5-F8303CEF4625}">
  <dimension ref="B3:M52"/>
  <sheetViews>
    <sheetView zoomScaleNormal="100" workbookViewId="0">
      <selection activeCell="L13" sqref="L13"/>
    </sheetView>
  </sheetViews>
  <sheetFormatPr defaultRowHeight="14.5"/>
  <cols>
    <col min="3" max="3" width="27.453125" customWidth="1"/>
    <col min="4" max="4" width="11.1796875" customWidth="1"/>
    <col min="5" max="5" width="12.26953125" bestFit="1" customWidth="1"/>
    <col min="6" max="6" width="16" bestFit="1" customWidth="1"/>
    <col min="7" max="8" width="19.1796875" bestFit="1" customWidth="1"/>
    <col min="9" max="9" width="10.453125" bestFit="1" customWidth="1"/>
    <col min="10" max="10" width="14.81640625" bestFit="1" customWidth="1"/>
    <col min="11" max="11" width="13.54296875" bestFit="1" customWidth="1"/>
    <col min="12" max="12" width="13.453125" bestFit="1" customWidth="1"/>
    <col min="13" max="13" width="9.81640625" bestFit="1" customWidth="1"/>
  </cols>
  <sheetData>
    <row r="3" spans="2:9">
      <c r="B3" s="80"/>
      <c r="C3" s="82" t="s">
        <v>55</v>
      </c>
      <c r="D3" s="83" t="s">
        <v>56</v>
      </c>
      <c r="E3" s="83" t="s">
        <v>84</v>
      </c>
      <c r="F3" s="83" t="s">
        <v>85</v>
      </c>
      <c r="G3" s="83" t="s">
        <v>87</v>
      </c>
      <c r="H3" s="83" t="s">
        <v>86</v>
      </c>
      <c r="I3" s="83" t="s">
        <v>88</v>
      </c>
    </row>
    <row r="4" spans="2:9">
      <c r="B4" s="84" t="s">
        <v>75</v>
      </c>
      <c r="C4" s="85" t="s">
        <v>73</v>
      </c>
      <c r="D4" s="86" t="s">
        <v>74</v>
      </c>
      <c r="E4" s="86">
        <v>68</v>
      </c>
      <c r="F4" s="78"/>
      <c r="G4" s="78"/>
      <c r="H4" s="78"/>
      <c r="I4" s="78"/>
    </row>
    <row r="5" spans="2:9">
      <c r="B5" s="152" t="s">
        <v>76</v>
      </c>
      <c r="C5" s="87" t="s">
        <v>35</v>
      </c>
      <c r="D5" s="88" t="s">
        <v>63</v>
      </c>
      <c r="E5" s="86"/>
      <c r="F5" s="86">
        <v>3</v>
      </c>
      <c r="G5" s="78"/>
      <c r="H5" s="86"/>
      <c r="I5" s="78"/>
    </row>
    <row r="6" spans="2:9">
      <c r="B6" s="152"/>
      <c r="C6" s="87" t="s">
        <v>50</v>
      </c>
      <c r="D6" s="88" t="s">
        <v>57</v>
      </c>
      <c r="E6" s="86"/>
      <c r="F6" s="86">
        <v>3</v>
      </c>
      <c r="G6" s="78"/>
      <c r="H6" s="86"/>
      <c r="I6" s="78"/>
    </row>
    <row r="7" spans="2:9">
      <c r="B7" s="152"/>
      <c r="C7" s="87" t="s">
        <v>36</v>
      </c>
      <c r="D7" s="88" t="s">
        <v>58</v>
      </c>
      <c r="E7" s="86"/>
      <c r="F7" s="86">
        <v>7</v>
      </c>
      <c r="G7" s="78"/>
      <c r="H7" s="86"/>
      <c r="I7" s="78"/>
    </row>
    <row r="8" spans="2:9">
      <c r="B8" s="152"/>
      <c r="C8" s="87" t="s">
        <v>38</v>
      </c>
      <c r="D8" s="88" t="s">
        <v>61</v>
      </c>
      <c r="E8" s="86"/>
      <c r="F8" s="86">
        <v>10</v>
      </c>
      <c r="G8" s="78"/>
      <c r="H8" s="86"/>
      <c r="I8" s="78"/>
    </row>
    <row r="9" spans="2:9">
      <c r="B9" s="152"/>
      <c r="C9" s="87" t="s">
        <v>39</v>
      </c>
      <c r="D9" s="88" t="s">
        <v>62</v>
      </c>
      <c r="E9" s="86"/>
      <c r="F9" s="86">
        <v>63</v>
      </c>
      <c r="G9" s="78"/>
      <c r="H9" s="86"/>
      <c r="I9" s="78"/>
    </row>
    <row r="10" spans="2:9">
      <c r="B10" s="152" t="s">
        <v>77</v>
      </c>
      <c r="C10" s="87" t="s">
        <v>37</v>
      </c>
      <c r="D10" s="88" t="s">
        <v>64</v>
      </c>
      <c r="E10" s="86"/>
      <c r="F10" s="86"/>
      <c r="G10" s="78">
        <v>1</v>
      </c>
      <c r="H10" s="86"/>
      <c r="I10" s="78"/>
    </row>
    <row r="11" spans="2:9">
      <c r="B11" s="152"/>
      <c r="C11" s="87" t="s">
        <v>40</v>
      </c>
      <c r="D11" s="88" t="s">
        <v>59</v>
      </c>
      <c r="E11" s="86"/>
      <c r="F11" s="86"/>
      <c r="G11" s="78">
        <v>1</v>
      </c>
      <c r="H11" s="86"/>
      <c r="I11" s="78"/>
    </row>
    <row r="12" spans="2:9">
      <c r="B12" s="152" t="s">
        <v>78</v>
      </c>
      <c r="C12" s="87" t="s">
        <v>41</v>
      </c>
      <c r="D12" s="88" t="s">
        <v>65</v>
      </c>
      <c r="E12" s="86"/>
      <c r="F12" s="86"/>
      <c r="G12" s="89"/>
      <c r="H12" s="78">
        <v>15</v>
      </c>
      <c r="I12" s="78"/>
    </row>
    <row r="13" spans="2:9">
      <c r="B13" s="152"/>
      <c r="C13" s="87" t="s">
        <v>42</v>
      </c>
      <c r="D13" s="88" t="s">
        <v>66</v>
      </c>
      <c r="E13" s="86"/>
      <c r="F13" s="86"/>
      <c r="G13" s="89"/>
      <c r="H13" s="78">
        <v>18</v>
      </c>
      <c r="I13" s="78"/>
    </row>
    <row r="14" spans="2:9">
      <c r="B14" s="152"/>
      <c r="C14" s="87" t="s">
        <v>44</v>
      </c>
      <c r="D14" s="88" t="s">
        <v>67</v>
      </c>
      <c r="E14" s="86"/>
      <c r="F14" s="86"/>
      <c r="G14" s="89"/>
      <c r="H14" s="78">
        <v>9</v>
      </c>
      <c r="I14" s="78"/>
    </row>
    <row r="15" spans="2:9">
      <c r="B15" s="152"/>
      <c r="C15" s="87" t="s">
        <v>43</v>
      </c>
      <c r="D15" s="88" t="s">
        <v>68</v>
      </c>
      <c r="E15" s="86"/>
      <c r="F15" s="86"/>
      <c r="G15" s="89"/>
      <c r="H15" s="78">
        <v>33</v>
      </c>
      <c r="I15" s="78"/>
    </row>
    <row r="16" spans="2:9">
      <c r="B16" s="152"/>
      <c r="C16" s="87" t="s">
        <v>47</v>
      </c>
      <c r="D16" s="88" t="s">
        <v>69</v>
      </c>
      <c r="E16" s="86"/>
      <c r="F16" s="86"/>
      <c r="G16" s="89"/>
      <c r="H16" s="78">
        <v>24</v>
      </c>
      <c r="I16" s="78"/>
    </row>
    <row r="17" spans="2:13">
      <c r="B17" s="152" t="s">
        <v>79</v>
      </c>
      <c r="C17" s="87" t="s">
        <v>45</v>
      </c>
      <c r="D17" s="88" t="s">
        <v>70</v>
      </c>
      <c r="E17" s="86"/>
      <c r="F17" s="86"/>
      <c r="G17" s="78"/>
      <c r="H17" s="86"/>
      <c r="I17" s="78">
        <v>2</v>
      </c>
    </row>
    <row r="18" spans="2:13">
      <c r="B18" s="152"/>
      <c r="C18" s="87" t="s">
        <v>48</v>
      </c>
      <c r="D18" s="88" t="s">
        <v>60</v>
      </c>
      <c r="E18" s="86"/>
      <c r="F18" s="86"/>
      <c r="G18" s="78"/>
      <c r="H18" s="86"/>
      <c r="I18" s="78">
        <v>4</v>
      </c>
    </row>
    <row r="19" spans="2:13">
      <c r="B19" s="152"/>
      <c r="C19" s="87" t="s">
        <v>46</v>
      </c>
      <c r="D19" s="88" t="s">
        <v>71</v>
      </c>
      <c r="E19" s="86"/>
      <c r="F19" s="86"/>
      <c r="G19" s="78"/>
      <c r="H19" s="86"/>
      <c r="I19" s="78">
        <v>6</v>
      </c>
    </row>
    <row r="20" spans="2:13">
      <c r="B20" s="152"/>
      <c r="C20" s="87" t="s">
        <v>49</v>
      </c>
      <c r="D20" s="88" t="s">
        <v>72</v>
      </c>
      <c r="E20" s="86"/>
      <c r="F20" s="86"/>
      <c r="G20" s="78"/>
      <c r="H20" s="86"/>
      <c r="I20" s="78">
        <v>4</v>
      </c>
    </row>
    <row r="21" spans="2:13">
      <c r="J21" s="21"/>
    </row>
    <row r="23" spans="2:13">
      <c r="B23" s="80"/>
      <c r="C23" s="82" t="s">
        <v>55</v>
      </c>
      <c r="D23" s="83" t="s">
        <v>56</v>
      </c>
      <c r="E23" s="83" t="s">
        <v>84</v>
      </c>
      <c r="F23" s="83" t="s">
        <v>85</v>
      </c>
      <c r="G23" s="83" t="s">
        <v>87</v>
      </c>
      <c r="H23" s="83" t="s">
        <v>86</v>
      </c>
      <c r="I23" s="83" t="s">
        <v>88</v>
      </c>
      <c r="J23" s="83" t="s">
        <v>92</v>
      </c>
      <c r="K23" s="83" t="s">
        <v>90</v>
      </c>
      <c r="L23" s="83" t="s">
        <v>91</v>
      </c>
      <c r="M23" s="83" t="s">
        <v>93</v>
      </c>
    </row>
    <row r="24" spans="2:13">
      <c r="B24" s="84" t="s">
        <v>75</v>
      </c>
      <c r="C24" s="85" t="s">
        <v>73</v>
      </c>
      <c r="D24" s="86" t="s">
        <v>74</v>
      </c>
      <c r="E24" s="91">
        <f t="shared" ref="E24:E38" si="0">E4*$D$44</f>
        <v>68000</v>
      </c>
      <c r="F24" s="91">
        <f t="shared" ref="F24:I24" si="1">F4*$D$44</f>
        <v>0</v>
      </c>
      <c r="G24" s="91">
        <f t="shared" si="1"/>
        <v>0</v>
      </c>
      <c r="H24" s="91">
        <f t="shared" si="1"/>
        <v>0</v>
      </c>
      <c r="I24" s="91">
        <f t="shared" si="1"/>
        <v>0</v>
      </c>
      <c r="J24" s="92">
        <f>SUM(E24:I24)</f>
        <v>68000</v>
      </c>
      <c r="K24" s="92">
        <v>10000</v>
      </c>
      <c r="L24" s="92"/>
      <c r="M24" s="92">
        <f>J24+K24+L24</f>
        <v>78000</v>
      </c>
    </row>
    <row r="25" spans="2:13">
      <c r="B25" s="152" t="s">
        <v>76</v>
      </c>
      <c r="C25" s="87" t="s">
        <v>35</v>
      </c>
      <c r="D25" s="88" t="s">
        <v>63</v>
      </c>
      <c r="E25" s="91">
        <f t="shared" si="0"/>
        <v>0</v>
      </c>
      <c r="F25" s="91">
        <f t="shared" ref="F25:I38" si="2">F5*$D$44</f>
        <v>3000</v>
      </c>
      <c r="G25" s="91">
        <f t="shared" si="2"/>
        <v>0</v>
      </c>
      <c r="H25" s="91">
        <f t="shared" si="2"/>
        <v>0</v>
      </c>
      <c r="I25" s="91">
        <f t="shared" si="2"/>
        <v>0</v>
      </c>
      <c r="J25" s="92">
        <f t="shared" ref="J25:J40" si="3">SUM(E25:I25)</f>
        <v>3000</v>
      </c>
      <c r="K25" s="92"/>
      <c r="L25" s="92"/>
      <c r="M25" s="92">
        <f t="shared" ref="M25:M40" si="4">J25+K25+L25</f>
        <v>3000</v>
      </c>
    </row>
    <row r="26" spans="2:13">
      <c r="B26" s="152"/>
      <c r="C26" s="87" t="s">
        <v>50</v>
      </c>
      <c r="D26" s="88" t="s">
        <v>57</v>
      </c>
      <c r="E26" s="91">
        <f t="shared" si="0"/>
        <v>0</v>
      </c>
      <c r="F26" s="91">
        <f t="shared" si="2"/>
        <v>3000</v>
      </c>
      <c r="G26" s="91">
        <f t="shared" si="2"/>
        <v>0</v>
      </c>
      <c r="H26" s="91">
        <f t="shared" si="2"/>
        <v>0</v>
      </c>
      <c r="I26" s="91">
        <f t="shared" si="2"/>
        <v>0</v>
      </c>
      <c r="J26" s="92">
        <f t="shared" si="3"/>
        <v>3000</v>
      </c>
      <c r="K26" s="92"/>
      <c r="L26" s="92"/>
      <c r="M26" s="92">
        <f t="shared" si="4"/>
        <v>3000</v>
      </c>
    </row>
    <row r="27" spans="2:13">
      <c r="B27" s="152"/>
      <c r="C27" s="87" t="s">
        <v>36</v>
      </c>
      <c r="D27" s="88" t="s">
        <v>58</v>
      </c>
      <c r="E27" s="91">
        <f t="shared" si="0"/>
        <v>0</v>
      </c>
      <c r="F27" s="91">
        <f t="shared" si="2"/>
        <v>7000</v>
      </c>
      <c r="G27" s="91">
        <f t="shared" si="2"/>
        <v>0</v>
      </c>
      <c r="H27" s="91">
        <f t="shared" si="2"/>
        <v>0</v>
      </c>
      <c r="I27" s="91">
        <f t="shared" si="2"/>
        <v>0</v>
      </c>
      <c r="J27" s="92">
        <f t="shared" si="3"/>
        <v>7000</v>
      </c>
      <c r="K27" s="92"/>
      <c r="L27" s="92"/>
      <c r="M27" s="92">
        <f t="shared" si="4"/>
        <v>7000</v>
      </c>
    </row>
    <row r="28" spans="2:13">
      <c r="B28" s="152"/>
      <c r="C28" s="87" t="s">
        <v>38</v>
      </c>
      <c r="D28" s="88" t="s">
        <v>61</v>
      </c>
      <c r="E28" s="91">
        <f t="shared" si="0"/>
        <v>0</v>
      </c>
      <c r="F28" s="91">
        <f t="shared" si="2"/>
        <v>10000</v>
      </c>
      <c r="G28" s="91">
        <f t="shared" si="2"/>
        <v>0</v>
      </c>
      <c r="H28" s="91">
        <f t="shared" si="2"/>
        <v>0</v>
      </c>
      <c r="I28" s="91">
        <f t="shared" si="2"/>
        <v>0</v>
      </c>
      <c r="J28" s="92">
        <f t="shared" si="3"/>
        <v>10000</v>
      </c>
      <c r="K28" s="92"/>
      <c r="L28" s="92"/>
      <c r="M28" s="92">
        <f t="shared" si="4"/>
        <v>10000</v>
      </c>
    </row>
    <row r="29" spans="2:13">
      <c r="B29" s="152"/>
      <c r="C29" s="87" t="s">
        <v>39</v>
      </c>
      <c r="D29" s="88" t="s">
        <v>62</v>
      </c>
      <c r="E29" s="91">
        <f t="shared" si="0"/>
        <v>0</v>
      </c>
      <c r="F29" s="91">
        <f t="shared" si="2"/>
        <v>63000</v>
      </c>
      <c r="G29" s="91">
        <f t="shared" si="2"/>
        <v>0</v>
      </c>
      <c r="H29" s="91">
        <f t="shared" si="2"/>
        <v>0</v>
      </c>
      <c r="I29" s="91">
        <f t="shared" si="2"/>
        <v>0</v>
      </c>
      <c r="J29" s="92">
        <f t="shared" si="3"/>
        <v>63000</v>
      </c>
      <c r="K29" s="92"/>
      <c r="L29" s="92"/>
      <c r="M29" s="92">
        <f t="shared" si="4"/>
        <v>63000</v>
      </c>
    </row>
    <row r="30" spans="2:13">
      <c r="B30" s="152" t="s">
        <v>77</v>
      </c>
      <c r="C30" s="87" t="s">
        <v>37</v>
      </c>
      <c r="D30" s="88" t="s">
        <v>64</v>
      </c>
      <c r="E30" s="91">
        <f t="shared" si="0"/>
        <v>0</v>
      </c>
      <c r="F30" s="91">
        <f t="shared" si="2"/>
        <v>0</v>
      </c>
      <c r="G30" s="91">
        <f t="shared" si="2"/>
        <v>1000</v>
      </c>
      <c r="H30" s="91">
        <f t="shared" si="2"/>
        <v>0</v>
      </c>
      <c r="I30" s="91">
        <f t="shared" si="2"/>
        <v>0</v>
      </c>
      <c r="J30" s="92">
        <f t="shared" si="3"/>
        <v>1000</v>
      </c>
      <c r="K30" s="92">
        <v>5000</v>
      </c>
      <c r="L30" s="92"/>
      <c r="M30" s="92">
        <f t="shared" si="4"/>
        <v>6000</v>
      </c>
    </row>
    <row r="31" spans="2:13">
      <c r="B31" s="152"/>
      <c r="C31" s="87" t="s">
        <v>40</v>
      </c>
      <c r="D31" s="88" t="s">
        <v>59</v>
      </c>
      <c r="E31" s="91">
        <f t="shared" si="0"/>
        <v>0</v>
      </c>
      <c r="F31" s="91">
        <f t="shared" si="2"/>
        <v>0</v>
      </c>
      <c r="G31" s="91">
        <f t="shared" si="2"/>
        <v>1000</v>
      </c>
      <c r="H31" s="91">
        <f t="shared" si="2"/>
        <v>0</v>
      </c>
      <c r="I31" s="91">
        <f t="shared" si="2"/>
        <v>0</v>
      </c>
      <c r="J31" s="92">
        <f t="shared" si="3"/>
        <v>1000</v>
      </c>
      <c r="K31" s="92"/>
      <c r="L31" s="92">
        <v>50000</v>
      </c>
      <c r="M31" s="92">
        <f t="shared" si="4"/>
        <v>51000</v>
      </c>
    </row>
    <row r="32" spans="2:13">
      <c r="B32" s="152" t="s">
        <v>78</v>
      </c>
      <c r="C32" s="87" t="s">
        <v>41</v>
      </c>
      <c r="D32" s="88" t="s">
        <v>65</v>
      </c>
      <c r="E32" s="91">
        <f t="shared" si="0"/>
        <v>0</v>
      </c>
      <c r="F32" s="91">
        <f t="shared" si="2"/>
        <v>0</v>
      </c>
      <c r="G32" s="91">
        <f t="shared" si="2"/>
        <v>0</v>
      </c>
      <c r="H32" s="91">
        <f t="shared" si="2"/>
        <v>15000</v>
      </c>
      <c r="I32" s="91">
        <f t="shared" si="2"/>
        <v>0</v>
      </c>
      <c r="J32" s="92">
        <f t="shared" si="3"/>
        <v>15000</v>
      </c>
      <c r="K32" s="92"/>
      <c r="L32" s="92"/>
      <c r="M32" s="92">
        <f t="shared" si="4"/>
        <v>15000</v>
      </c>
    </row>
    <row r="33" spans="2:13">
      <c r="B33" s="152"/>
      <c r="C33" s="87" t="s">
        <v>42</v>
      </c>
      <c r="D33" s="88" t="s">
        <v>66</v>
      </c>
      <c r="E33" s="91">
        <f t="shared" si="0"/>
        <v>0</v>
      </c>
      <c r="F33" s="91">
        <f t="shared" si="2"/>
        <v>0</v>
      </c>
      <c r="G33" s="91">
        <f t="shared" si="2"/>
        <v>0</v>
      </c>
      <c r="H33" s="91">
        <f t="shared" si="2"/>
        <v>18000</v>
      </c>
      <c r="I33" s="91">
        <f t="shared" si="2"/>
        <v>0</v>
      </c>
      <c r="J33" s="92">
        <f t="shared" si="3"/>
        <v>18000</v>
      </c>
      <c r="K33" s="92"/>
      <c r="L33" s="92"/>
      <c r="M33" s="92">
        <f t="shared" si="4"/>
        <v>18000</v>
      </c>
    </row>
    <row r="34" spans="2:13">
      <c r="B34" s="152"/>
      <c r="C34" s="87" t="s">
        <v>44</v>
      </c>
      <c r="D34" s="88" t="s">
        <v>67</v>
      </c>
      <c r="E34" s="91">
        <f t="shared" si="0"/>
        <v>0</v>
      </c>
      <c r="F34" s="91">
        <f t="shared" si="2"/>
        <v>0</v>
      </c>
      <c r="G34" s="91">
        <f t="shared" si="2"/>
        <v>0</v>
      </c>
      <c r="H34" s="91">
        <f t="shared" si="2"/>
        <v>9000</v>
      </c>
      <c r="I34" s="91">
        <f t="shared" si="2"/>
        <v>0</v>
      </c>
      <c r="J34" s="92">
        <f t="shared" si="3"/>
        <v>9000</v>
      </c>
      <c r="K34" s="92"/>
      <c r="L34" s="92"/>
      <c r="M34" s="92">
        <f t="shared" si="4"/>
        <v>9000</v>
      </c>
    </row>
    <row r="35" spans="2:13">
      <c r="B35" s="152"/>
      <c r="C35" s="87" t="s">
        <v>43</v>
      </c>
      <c r="D35" s="88" t="s">
        <v>68</v>
      </c>
      <c r="E35" s="91">
        <f t="shared" si="0"/>
        <v>0</v>
      </c>
      <c r="F35" s="91">
        <f t="shared" si="2"/>
        <v>0</v>
      </c>
      <c r="G35" s="91">
        <f t="shared" si="2"/>
        <v>0</v>
      </c>
      <c r="H35" s="91">
        <f t="shared" si="2"/>
        <v>33000</v>
      </c>
      <c r="I35" s="91">
        <f t="shared" si="2"/>
        <v>0</v>
      </c>
      <c r="J35" s="92">
        <f t="shared" si="3"/>
        <v>33000</v>
      </c>
      <c r="K35" s="92"/>
      <c r="L35" s="92"/>
      <c r="M35" s="92">
        <f t="shared" si="4"/>
        <v>33000</v>
      </c>
    </row>
    <row r="36" spans="2:13">
      <c r="B36" s="152"/>
      <c r="C36" s="87" t="s">
        <v>47</v>
      </c>
      <c r="D36" s="88" t="s">
        <v>69</v>
      </c>
      <c r="E36" s="91">
        <f t="shared" si="0"/>
        <v>0</v>
      </c>
      <c r="F36" s="91">
        <f t="shared" si="2"/>
        <v>0</v>
      </c>
      <c r="G36" s="91">
        <f t="shared" si="2"/>
        <v>0</v>
      </c>
      <c r="H36" s="91">
        <f t="shared" si="2"/>
        <v>24000</v>
      </c>
      <c r="I36" s="91">
        <f t="shared" si="2"/>
        <v>0</v>
      </c>
      <c r="J36" s="92">
        <f t="shared" si="3"/>
        <v>24000</v>
      </c>
      <c r="K36" s="92"/>
      <c r="L36" s="92"/>
      <c r="M36" s="92">
        <f t="shared" si="4"/>
        <v>24000</v>
      </c>
    </row>
    <row r="37" spans="2:13">
      <c r="B37" s="152" t="s">
        <v>79</v>
      </c>
      <c r="C37" s="87" t="s">
        <v>45</v>
      </c>
      <c r="D37" s="88" t="s">
        <v>70</v>
      </c>
      <c r="E37" s="91">
        <f t="shared" si="0"/>
        <v>0</v>
      </c>
      <c r="F37" s="91">
        <f t="shared" si="2"/>
        <v>0</v>
      </c>
      <c r="G37" s="91">
        <f t="shared" si="2"/>
        <v>0</v>
      </c>
      <c r="H37" s="91">
        <f t="shared" si="2"/>
        <v>0</v>
      </c>
      <c r="I37" s="91">
        <f t="shared" si="2"/>
        <v>2000</v>
      </c>
      <c r="J37" s="92">
        <f t="shared" si="3"/>
        <v>2000</v>
      </c>
      <c r="K37" s="92"/>
      <c r="L37" s="92"/>
      <c r="M37" s="92">
        <f t="shared" si="4"/>
        <v>2000</v>
      </c>
    </row>
    <row r="38" spans="2:13">
      <c r="B38" s="152"/>
      <c r="C38" s="87" t="s">
        <v>48</v>
      </c>
      <c r="D38" s="88" t="s">
        <v>60</v>
      </c>
      <c r="E38" s="91">
        <f t="shared" si="0"/>
        <v>0</v>
      </c>
      <c r="F38" s="91">
        <f t="shared" si="2"/>
        <v>0</v>
      </c>
      <c r="G38" s="91">
        <f t="shared" si="2"/>
        <v>0</v>
      </c>
      <c r="H38" s="91">
        <f t="shared" si="2"/>
        <v>0</v>
      </c>
      <c r="I38" s="91">
        <f t="shared" si="2"/>
        <v>4000</v>
      </c>
      <c r="J38" s="92">
        <f t="shared" si="3"/>
        <v>4000</v>
      </c>
      <c r="K38" s="92"/>
      <c r="L38" s="92"/>
      <c r="M38" s="92">
        <f t="shared" si="4"/>
        <v>4000</v>
      </c>
    </row>
    <row r="39" spans="2:13">
      <c r="B39" s="152"/>
      <c r="C39" s="87" t="s">
        <v>46</v>
      </c>
      <c r="D39" s="88" t="s">
        <v>71</v>
      </c>
      <c r="E39" s="91">
        <f t="shared" ref="E39:I40" si="5">E19*$D$44</f>
        <v>0</v>
      </c>
      <c r="F39" s="91">
        <f t="shared" si="5"/>
        <v>0</v>
      </c>
      <c r="G39" s="91">
        <f t="shared" si="5"/>
        <v>0</v>
      </c>
      <c r="H39" s="91">
        <f t="shared" si="5"/>
        <v>0</v>
      </c>
      <c r="I39" s="91">
        <f t="shared" si="5"/>
        <v>6000</v>
      </c>
      <c r="J39" s="92">
        <f t="shared" si="3"/>
        <v>6000</v>
      </c>
      <c r="K39" s="92">
        <v>5000</v>
      </c>
      <c r="L39" s="92"/>
      <c r="M39" s="92">
        <f t="shared" si="4"/>
        <v>11000</v>
      </c>
    </row>
    <row r="40" spans="2:13">
      <c r="B40" s="152"/>
      <c r="C40" s="87" t="s">
        <v>49</v>
      </c>
      <c r="D40" s="88" t="s">
        <v>72</v>
      </c>
      <c r="E40" s="91">
        <f t="shared" si="5"/>
        <v>0</v>
      </c>
      <c r="F40" s="91">
        <f t="shared" si="5"/>
        <v>0</v>
      </c>
      <c r="G40" s="91">
        <f t="shared" si="5"/>
        <v>0</v>
      </c>
      <c r="H40" s="91">
        <f t="shared" si="5"/>
        <v>0</v>
      </c>
      <c r="I40" s="91">
        <f t="shared" si="5"/>
        <v>4000</v>
      </c>
      <c r="J40" s="92">
        <f t="shared" si="3"/>
        <v>4000</v>
      </c>
      <c r="K40" s="92"/>
      <c r="L40" s="92"/>
      <c r="M40" s="92">
        <f t="shared" si="4"/>
        <v>4000</v>
      </c>
    </row>
    <row r="41" spans="2:13">
      <c r="I41" s="90"/>
      <c r="J41" s="114">
        <f>SUM(J24:J40)</f>
        <v>271000</v>
      </c>
      <c r="K41" s="114">
        <f t="shared" ref="K41:M41" si="6">SUM(K24:K40)</f>
        <v>20000</v>
      </c>
      <c r="L41" s="114">
        <f t="shared" si="6"/>
        <v>50000</v>
      </c>
      <c r="M41" s="115">
        <f t="shared" si="6"/>
        <v>341000</v>
      </c>
    </row>
    <row r="44" spans="2:13">
      <c r="C44" t="s">
        <v>89</v>
      </c>
      <c r="D44" s="90">
        <v>1000</v>
      </c>
    </row>
    <row r="47" spans="2:13">
      <c r="C47" t="s">
        <v>93</v>
      </c>
      <c r="D47" s="90">
        <f>M41</f>
        <v>341000</v>
      </c>
    </row>
    <row r="48" spans="2:13">
      <c r="C48" t="s">
        <v>95</v>
      </c>
      <c r="D48" s="90">
        <f>D47*0.03</f>
        <v>10230</v>
      </c>
    </row>
    <row r="49" spans="3:6">
      <c r="C49" t="s">
        <v>94</v>
      </c>
      <c r="D49" s="116">
        <f>D47+D48</f>
        <v>351230</v>
      </c>
    </row>
    <row r="51" spans="3:6">
      <c r="C51" t="s">
        <v>96</v>
      </c>
      <c r="D51" s="90">
        <f>D49/0.85</f>
        <v>413211.76470588235</v>
      </c>
      <c r="F51" s="90"/>
    </row>
    <row r="52" spans="3:6">
      <c r="C52" t="s">
        <v>97</v>
      </c>
      <c r="D52" s="90">
        <f>D51-D49</f>
        <v>61981.76470588235</v>
      </c>
    </row>
  </sheetData>
  <mergeCells count="8">
    <mergeCell ref="B30:B31"/>
    <mergeCell ref="B32:B36"/>
    <mergeCell ref="B37:B40"/>
    <mergeCell ref="B5:B9"/>
    <mergeCell ref="B10:B11"/>
    <mergeCell ref="B12:B16"/>
    <mergeCell ref="B17:B20"/>
    <mergeCell ref="B25:B29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FF12-DE00-46B8-8282-BB2E3EE3E134}">
  <dimension ref="C1:W1000"/>
  <sheetViews>
    <sheetView workbookViewId="0"/>
  </sheetViews>
  <sheetFormatPr defaultColWidth="14.453125" defaultRowHeight="15" customHeight="1"/>
  <cols>
    <col min="1" max="26" width="8.7265625" style="164" customWidth="1"/>
    <col min="27" max="16384" width="14.453125" style="164"/>
  </cols>
  <sheetData>
    <row r="1" spans="3:23" ht="14.25" customHeight="1"/>
    <row r="2" spans="3:23" ht="14.25" customHeight="1"/>
    <row r="3" spans="3:23" ht="14.25" customHeight="1"/>
    <row r="4" spans="3:23" ht="14.25" customHeight="1">
      <c r="F4" s="165">
        <v>15</v>
      </c>
      <c r="G4" s="165">
        <v>25</v>
      </c>
      <c r="I4" s="165">
        <v>25</v>
      </c>
      <c r="J4" s="165">
        <v>31</v>
      </c>
      <c r="L4" s="165">
        <v>31</v>
      </c>
      <c r="M4" s="165">
        <v>32</v>
      </c>
    </row>
    <row r="5" spans="3:23" ht="14.25" customHeight="1">
      <c r="F5" s="169" t="s">
        <v>146</v>
      </c>
      <c r="G5" s="168"/>
      <c r="I5" s="169" t="s">
        <v>145</v>
      </c>
      <c r="J5" s="168"/>
      <c r="L5" s="169" t="s">
        <v>144</v>
      </c>
      <c r="M5" s="168"/>
    </row>
    <row r="6" spans="3:23" ht="14.25" customHeight="1">
      <c r="F6" s="167"/>
      <c r="G6" s="166"/>
      <c r="I6" s="167"/>
      <c r="J6" s="166"/>
      <c r="L6" s="167"/>
      <c r="M6" s="166"/>
    </row>
    <row r="7" spans="3:23" ht="14.25" customHeight="1">
      <c r="C7" s="165">
        <v>6</v>
      </c>
      <c r="D7" s="165">
        <v>15</v>
      </c>
      <c r="E7" s="170"/>
      <c r="F7" s="165">
        <v>9</v>
      </c>
      <c r="G7" s="165">
        <v>19</v>
      </c>
      <c r="H7" s="170"/>
      <c r="I7" s="165">
        <v>19</v>
      </c>
      <c r="J7" s="165">
        <v>25</v>
      </c>
      <c r="K7" s="170"/>
      <c r="L7" s="165">
        <v>25</v>
      </c>
      <c r="M7" s="165">
        <v>26</v>
      </c>
      <c r="N7" s="170"/>
      <c r="O7" s="170"/>
      <c r="R7" s="170"/>
      <c r="U7" s="170"/>
    </row>
    <row r="8" spans="3:23" ht="14.25" customHeight="1">
      <c r="C8" s="169" t="s">
        <v>143</v>
      </c>
      <c r="D8" s="168"/>
      <c r="E8" s="170"/>
      <c r="F8" s="170"/>
      <c r="G8" s="170"/>
      <c r="H8" s="170"/>
      <c r="I8" s="170"/>
      <c r="J8" s="170"/>
      <c r="K8" s="170"/>
      <c r="L8" s="170"/>
      <c r="M8" s="170"/>
      <c r="N8" s="170"/>
      <c r="O8" s="170"/>
      <c r="R8" s="170"/>
      <c r="U8" s="170"/>
    </row>
    <row r="9" spans="3:23" ht="14.25" customHeight="1">
      <c r="C9" s="167"/>
      <c r="D9" s="166"/>
      <c r="E9" s="170"/>
      <c r="F9" s="170"/>
      <c r="G9" s="170"/>
      <c r="H9" s="170"/>
      <c r="I9" s="170"/>
      <c r="J9" s="170"/>
      <c r="K9" s="170"/>
      <c r="L9" s="170"/>
      <c r="M9" s="170"/>
      <c r="N9" s="170"/>
      <c r="O9" s="170"/>
      <c r="R9" s="170"/>
      <c r="U9" s="170"/>
    </row>
    <row r="10" spans="3:23" ht="14.25" customHeight="1">
      <c r="C10" s="165">
        <v>0</v>
      </c>
      <c r="D10" s="165">
        <v>9</v>
      </c>
      <c r="E10" s="170"/>
      <c r="F10" s="170"/>
      <c r="G10" s="170"/>
      <c r="H10" s="170"/>
      <c r="I10" s="170"/>
      <c r="J10" s="170"/>
      <c r="K10" s="170"/>
      <c r="L10" s="170"/>
      <c r="M10" s="170"/>
      <c r="N10" s="170"/>
      <c r="O10" s="170"/>
      <c r="R10" s="170"/>
      <c r="U10" s="170"/>
    </row>
    <row r="11" spans="3:23" ht="14.25" customHeight="1">
      <c r="C11" s="170"/>
      <c r="D11" s="170"/>
      <c r="E11" s="170"/>
      <c r="F11" s="170"/>
      <c r="G11" s="165">
        <v>3</v>
      </c>
      <c r="H11" s="165">
        <v>24</v>
      </c>
      <c r="I11" s="170"/>
      <c r="J11" s="170"/>
      <c r="K11" s="170"/>
      <c r="L11" s="170"/>
      <c r="M11" s="170"/>
      <c r="N11" s="170"/>
      <c r="O11" s="170"/>
      <c r="P11" s="170"/>
      <c r="Q11" s="170"/>
      <c r="R11" s="170"/>
      <c r="S11" s="170"/>
      <c r="T11" s="170"/>
      <c r="U11" s="170"/>
      <c r="V11" s="170"/>
      <c r="W11" s="170"/>
    </row>
    <row r="12" spans="3:23" ht="14.25" customHeight="1">
      <c r="C12" s="170"/>
      <c r="D12" s="170"/>
      <c r="E12" s="170"/>
      <c r="F12" s="170"/>
      <c r="G12" s="171" t="s">
        <v>142</v>
      </c>
      <c r="H12" s="168"/>
      <c r="I12" s="170"/>
      <c r="J12" s="170"/>
      <c r="K12" s="170"/>
      <c r="L12" s="170"/>
      <c r="M12" s="170"/>
      <c r="N12" s="170"/>
      <c r="O12" s="170"/>
      <c r="P12" s="170"/>
      <c r="Q12" s="170"/>
      <c r="R12" s="170"/>
      <c r="S12" s="170"/>
      <c r="T12" s="170"/>
      <c r="U12" s="170"/>
      <c r="V12" s="170"/>
      <c r="W12" s="170"/>
    </row>
    <row r="13" spans="3:23" ht="14.25" customHeight="1">
      <c r="C13" s="170"/>
      <c r="D13" s="170"/>
      <c r="E13" s="170"/>
      <c r="F13" s="170"/>
      <c r="G13" s="167"/>
      <c r="H13" s="166"/>
      <c r="I13" s="170"/>
      <c r="J13" s="170"/>
      <c r="K13" s="170"/>
      <c r="L13" s="170"/>
      <c r="M13" s="170"/>
      <c r="N13" s="170"/>
      <c r="O13" s="165">
        <v>24</v>
      </c>
      <c r="P13" s="165">
        <v>32</v>
      </c>
      <c r="Q13" s="170"/>
      <c r="R13" s="170"/>
      <c r="S13" s="165">
        <v>32</v>
      </c>
      <c r="T13" s="165">
        <v>34</v>
      </c>
      <c r="U13" s="170"/>
      <c r="V13" s="170"/>
      <c r="W13" s="170"/>
    </row>
    <row r="14" spans="3:23" ht="14.25" customHeight="1">
      <c r="C14" s="170"/>
      <c r="D14" s="170"/>
      <c r="E14" s="170"/>
      <c r="F14" s="170"/>
      <c r="G14" s="165">
        <v>3</v>
      </c>
      <c r="H14" s="165">
        <v>24</v>
      </c>
      <c r="I14" s="170"/>
      <c r="J14" s="170"/>
      <c r="K14" s="170"/>
      <c r="L14" s="170"/>
      <c r="M14" s="170"/>
      <c r="N14" s="170"/>
      <c r="O14" s="171" t="s">
        <v>141</v>
      </c>
      <c r="P14" s="168"/>
      <c r="Q14" s="170"/>
      <c r="R14" s="170"/>
      <c r="S14" s="171" t="s">
        <v>140</v>
      </c>
      <c r="T14" s="168"/>
      <c r="U14" s="170"/>
      <c r="V14" s="170"/>
      <c r="W14" s="170"/>
    </row>
    <row r="15" spans="3:23" ht="14.25" customHeight="1">
      <c r="C15" s="165">
        <v>0</v>
      </c>
      <c r="D15" s="165">
        <v>3</v>
      </c>
      <c r="E15" s="170"/>
      <c r="F15" s="170"/>
      <c r="G15" s="170"/>
      <c r="H15" s="170"/>
      <c r="I15" s="170"/>
      <c r="J15" s="170"/>
      <c r="K15" s="170"/>
      <c r="L15" s="170"/>
      <c r="M15" s="170"/>
      <c r="N15" s="170"/>
      <c r="O15" s="167"/>
      <c r="P15" s="166"/>
      <c r="R15" s="170"/>
      <c r="S15" s="167"/>
      <c r="T15" s="166"/>
      <c r="U15" s="170"/>
    </row>
    <row r="16" spans="3:23" ht="14.25" customHeight="1">
      <c r="C16" s="171" t="s">
        <v>139</v>
      </c>
      <c r="D16" s="168"/>
      <c r="E16" s="170"/>
      <c r="F16" s="170"/>
      <c r="G16" s="165">
        <v>23</v>
      </c>
      <c r="H16" s="165">
        <v>24</v>
      </c>
      <c r="I16" s="170"/>
      <c r="J16" s="170"/>
      <c r="K16" s="170"/>
      <c r="L16" s="170"/>
      <c r="M16" s="170"/>
      <c r="N16" s="170"/>
      <c r="O16" s="165">
        <v>24</v>
      </c>
      <c r="P16" s="165">
        <v>32</v>
      </c>
      <c r="R16" s="170"/>
      <c r="S16" s="165">
        <v>32</v>
      </c>
      <c r="T16" s="165">
        <v>34</v>
      </c>
      <c r="U16" s="170"/>
    </row>
    <row r="17" spans="3:23" ht="14.25" customHeight="1">
      <c r="C17" s="167"/>
      <c r="D17" s="166"/>
      <c r="E17" s="170"/>
      <c r="F17" s="170"/>
      <c r="G17" s="169" t="s">
        <v>138</v>
      </c>
      <c r="H17" s="168"/>
      <c r="I17" s="170"/>
      <c r="J17" s="170"/>
      <c r="K17" s="170"/>
      <c r="L17" s="170"/>
      <c r="M17" s="170"/>
      <c r="N17" s="170"/>
      <c r="O17" s="170"/>
      <c r="R17" s="170"/>
      <c r="U17" s="170"/>
    </row>
    <row r="18" spans="3:23" ht="14.25" customHeight="1">
      <c r="C18" s="165">
        <v>0</v>
      </c>
      <c r="D18" s="165">
        <v>3</v>
      </c>
      <c r="E18" s="170"/>
      <c r="F18" s="170"/>
      <c r="G18" s="167"/>
      <c r="H18" s="166"/>
      <c r="I18" s="170"/>
      <c r="J18" s="170"/>
      <c r="K18" s="170"/>
      <c r="L18" s="170"/>
      <c r="M18" s="170"/>
      <c r="N18" s="170"/>
      <c r="O18" s="170"/>
      <c r="R18" s="170"/>
      <c r="U18" s="170"/>
    </row>
    <row r="19" spans="3:23" ht="14.25" customHeight="1">
      <c r="C19" s="170"/>
      <c r="D19" s="170"/>
      <c r="E19" s="170"/>
      <c r="F19" s="170"/>
      <c r="G19" s="165">
        <v>3</v>
      </c>
      <c r="H19" s="165">
        <v>4</v>
      </c>
      <c r="I19" s="170"/>
      <c r="J19" s="170"/>
      <c r="K19" s="170"/>
      <c r="L19" s="170"/>
      <c r="M19" s="170"/>
      <c r="N19" s="170"/>
      <c r="O19" s="170"/>
      <c r="P19" s="170"/>
      <c r="Q19" s="170"/>
      <c r="R19" s="170"/>
      <c r="S19" s="170"/>
      <c r="T19" s="170"/>
      <c r="U19" s="170"/>
      <c r="V19" s="170"/>
      <c r="W19" s="170"/>
    </row>
    <row r="20" spans="3:23" ht="14.25" customHeight="1">
      <c r="C20" s="170"/>
      <c r="D20" s="170"/>
      <c r="E20" s="170"/>
      <c r="F20" s="170"/>
      <c r="G20" s="170"/>
      <c r="H20" s="170"/>
      <c r="I20" s="170"/>
      <c r="J20" s="170"/>
      <c r="K20" s="170"/>
      <c r="L20" s="170"/>
      <c r="M20" s="170"/>
      <c r="N20" s="170"/>
      <c r="O20" s="170"/>
      <c r="P20" s="170"/>
      <c r="Q20" s="170"/>
      <c r="R20" s="170"/>
      <c r="S20" s="170"/>
      <c r="T20" s="170"/>
      <c r="U20" s="170"/>
      <c r="V20" s="170"/>
      <c r="W20" s="170"/>
    </row>
    <row r="21" spans="3:23" ht="14.25" customHeight="1">
      <c r="C21" s="170"/>
      <c r="D21" s="170"/>
      <c r="E21" s="170"/>
      <c r="F21" s="170"/>
      <c r="G21" s="165">
        <v>13</v>
      </c>
      <c r="H21" s="165">
        <v>14</v>
      </c>
      <c r="I21" s="170"/>
      <c r="J21" s="170"/>
      <c r="K21" s="170"/>
      <c r="L21" s="170"/>
      <c r="M21" s="170"/>
      <c r="N21" s="170"/>
      <c r="O21" s="170"/>
      <c r="P21" s="170"/>
      <c r="Q21" s="170"/>
      <c r="R21" s="170"/>
      <c r="S21" s="170"/>
      <c r="T21" s="170"/>
      <c r="U21" s="170"/>
      <c r="V21" s="170"/>
      <c r="W21" s="170"/>
    </row>
    <row r="22" spans="3:23" ht="14.25" customHeight="1">
      <c r="C22" s="170"/>
      <c r="D22" s="170"/>
      <c r="E22" s="170"/>
      <c r="F22" s="170"/>
      <c r="G22" s="169" t="s">
        <v>137</v>
      </c>
      <c r="H22" s="168"/>
      <c r="I22" s="170"/>
      <c r="J22" s="170"/>
      <c r="K22" s="170"/>
      <c r="L22" s="170"/>
      <c r="O22" s="170"/>
      <c r="P22" s="170"/>
      <c r="Q22" s="170"/>
      <c r="R22" s="170"/>
      <c r="S22" s="170"/>
      <c r="T22" s="170"/>
      <c r="U22" s="170"/>
      <c r="V22" s="170"/>
      <c r="W22" s="170"/>
    </row>
    <row r="23" spans="3:23" ht="14.25" customHeight="1">
      <c r="C23" s="170"/>
      <c r="D23" s="170"/>
      <c r="E23" s="170"/>
      <c r="F23" s="170"/>
      <c r="G23" s="167"/>
      <c r="H23" s="166"/>
      <c r="I23" s="170"/>
      <c r="J23" s="170"/>
      <c r="K23" s="170"/>
      <c r="L23" s="170"/>
      <c r="O23" s="170"/>
      <c r="U23" s="170"/>
    </row>
    <row r="24" spans="3:23" ht="14.25" customHeight="1">
      <c r="C24" s="170"/>
      <c r="D24" s="170"/>
      <c r="E24" s="170"/>
      <c r="F24" s="170"/>
      <c r="G24" s="165">
        <v>3</v>
      </c>
      <c r="H24" s="165">
        <v>4</v>
      </c>
      <c r="I24" s="170"/>
      <c r="J24" s="170"/>
      <c r="K24" s="170"/>
      <c r="L24" s="170"/>
      <c r="O24" s="170"/>
      <c r="U24" s="170"/>
    </row>
    <row r="25" spans="3:23" ht="14.25" customHeight="1">
      <c r="C25" s="170"/>
      <c r="D25" s="170"/>
      <c r="E25" s="170"/>
      <c r="F25" s="170"/>
      <c r="G25" s="170"/>
      <c r="H25" s="170"/>
      <c r="I25" s="170"/>
      <c r="J25" s="170"/>
      <c r="K25" s="170"/>
      <c r="L25" s="170"/>
      <c r="O25" s="165">
        <v>21</v>
      </c>
      <c r="P25" s="165">
        <v>24</v>
      </c>
      <c r="U25" s="170"/>
    </row>
    <row r="26" spans="3:23" ht="14.25" customHeight="1">
      <c r="C26" s="165">
        <v>7</v>
      </c>
      <c r="D26" s="165">
        <v>14</v>
      </c>
      <c r="E26" s="170"/>
      <c r="F26" s="170"/>
      <c r="G26" s="170"/>
      <c r="H26" s="170"/>
      <c r="I26" s="170"/>
      <c r="J26" s="170"/>
      <c r="K26" s="170"/>
      <c r="L26" s="170"/>
      <c r="M26" s="170"/>
      <c r="N26" s="170"/>
      <c r="O26" s="169" t="s">
        <v>136</v>
      </c>
      <c r="P26" s="168"/>
      <c r="U26" s="170"/>
    </row>
    <row r="27" spans="3:23" ht="14.25" customHeight="1">
      <c r="C27" s="169" t="s">
        <v>135</v>
      </c>
      <c r="D27" s="168"/>
      <c r="E27" s="170"/>
      <c r="F27" s="170"/>
      <c r="G27" s="170"/>
      <c r="H27" s="170"/>
      <c r="I27" s="170"/>
      <c r="J27" s="170"/>
      <c r="K27" s="165">
        <v>14</v>
      </c>
      <c r="L27" s="165">
        <v>19</v>
      </c>
      <c r="M27" s="170"/>
      <c r="N27" s="170"/>
      <c r="O27" s="167"/>
      <c r="P27" s="166"/>
      <c r="Q27" s="170"/>
      <c r="R27" s="170"/>
      <c r="S27" s="170"/>
      <c r="T27" s="170"/>
      <c r="U27" s="170"/>
      <c r="V27" s="170"/>
      <c r="W27" s="170"/>
    </row>
    <row r="28" spans="3:23" ht="14.25" customHeight="1">
      <c r="C28" s="167"/>
      <c r="D28" s="166"/>
      <c r="E28" s="170"/>
      <c r="F28" s="170"/>
      <c r="I28" s="170"/>
      <c r="J28" s="170"/>
      <c r="K28" s="169" t="s">
        <v>134</v>
      </c>
      <c r="L28" s="168"/>
      <c r="M28" s="170"/>
      <c r="N28" s="170"/>
      <c r="O28" s="165">
        <v>12</v>
      </c>
      <c r="P28" s="165">
        <v>15</v>
      </c>
      <c r="Q28" s="170"/>
      <c r="R28" s="170"/>
      <c r="S28" s="170"/>
      <c r="T28" s="170"/>
      <c r="U28" s="170"/>
      <c r="V28" s="170"/>
      <c r="W28" s="170"/>
    </row>
    <row r="29" spans="3:23" ht="14.25" customHeight="1">
      <c r="C29" s="165">
        <v>0</v>
      </c>
      <c r="D29" s="165">
        <v>7</v>
      </c>
      <c r="E29" s="170"/>
      <c r="F29" s="170"/>
      <c r="I29" s="170"/>
      <c r="J29" s="170"/>
      <c r="K29" s="167"/>
      <c r="L29" s="166"/>
      <c r="M29" s="170"/>
      <c r="N29" s="170"/>
      <c r="O29" s="170"/>
      <c r="R29" s="170"/>
      <c r="S29" s="165">
        <v>30</v>
      </c>
      <c r="T29" s="165">
        <v>32</v>
      </c>
      <c r="U29" s="170"/>
    </row>
    <row r="30" spans="3:23" ht="14.25" customHeight="1">
      <c r="C30" s="170"/>
      <c r="D30" s="170"/>
      <c r="E30" s="170"/>
      <c r="F30" s="170"/>
      <c r="I30" s="170"/>
      <c r="J30" s="170"/>
      <c r="K30" s="165">
        <v>7</v>
      </c>
      <c r="L30" s="165">
        <v>12</v>
      </c>
      <c r="M30" s="170"/>
      <c r="N30" s="170"/>
      <c r="O30" s="170"/>
      <c r="R30" s="170"/>
      <c r="S30" s="169" t="s">
        <v>133</v>
      </c>
      <c r="T30" s="168"/>
      <c r="U30" s="170"/>
    </row>
    <row r="31" spans="3:23" ht="14.25" customHeight="1">
      <c r="C31" s="170"/>
      <c r="D31" s="170"/>
      <c r="E31" s="170"/>
      <c r="F31" s="170"/>
      <c r="I31" s="170"/>
      <c r="J31" s="170"/>
      <c r="K31" s="170"/>
      <c r="L31" s="170"/>
      <c r="M31" s="170"/>
      <c r="O31" s="165">
        <v>19</v>
      </c>
      <c r="P31" s="165">
        <v>30</v>
      </c>
      <c r="R31" s="170"/>
      <c r="S31" s="167"/>
      <c r="T31" s="166"/>
      <c r="U31" s="170"/>
    </row>
    <row r="32" spans="3:23" ht="14.25" customHeight="1">
      <c r="E32" s="170"/>
      <c r="F32" s="170"/>
      <c r="G32" s="170"/>
      <c r="H32" s="170"/>
      <c r="I32" s="170"/>
      <c r="J32" s="170"/>
      <c r="K32" s="170"/>
      <c r="L32" s="170"/>
      <c r="M32" s="170"/>
      <c r="O32" s="169" t="s">
        <v>132</v>
      </c>
      <c r="P32" s="168"/>
      <c r="S32" s="165">
        <v>23</v>
      </c>
      <c r="T32" s="165">
        <v>25</v>
      </c>
      <c r="U32" s="170"/>
    </row>
    <row r="33" spans="15:20" ht="14.25" customHeight="1">
      <c r="O33" s="167"/>
      <c r="P33" s="166"/>
    </row>
    <row r="34" spans="15:20" ht="14.25" customHeight="1">
      <c r="O34" s="165">
        <v>12</v>
      </c>
      <c r="P34" s="165">
        <v>23</v>
      </c>
      <c r="S34" s="165">
        <v>31</v>
      </c>
      <c r="T34" s="165">
        <v>34</v>
      </c>
    </row>
    <row r="35" spans="15:20" ht="14.25" customHeight="1">
      <c r="S35" s="169" t="s">
        <v>131</v>
      </c>
      <c r="T35" s="168"/>
    </row>
    <row r="36" spans="15:20" ht="14.25" customHeight="1">
      <c r="S36" s="167"/>
      <c r="T36" s="166"/>
    </row>
    <row r="37" spans="15:20" ht="14.25" customHeight="1">
      <c r="S37" s="165">
        <v>23</v>
      </c>
      <c r="T37" s="165">
        <v>26</v>
      </c>
    </row>
    <row r="38" spans="15:20" ht="14.25" customHeight="1"/>
    <row r="39" spans="15:20" ht="14.25" customHeight="1"/>
    <row r="40" spans="15:20" ht="14.25" customHeight="1"/>
    <row r="41" spans="15:20" ht="14.25" customHeight="1"/>
    <row r="42" spans="15:20" ht="14.25" customHeight="1"/>
    <row r="43" spans="15:20" ht="14.25" customHeight="1"/>
    <row r="44" spans="15:20" ht="14.25" customHeight="1"/>
    <row r="45" spans="15:20" ht="14.25" customHeight="1"/>
    <row r="46" spans="15:20" ht="14.25" customHeight="1"/>
    <row r="47" spans="15:20" ht="14.25" customHeight="1"/>
    <row r="48" spans="15:20" ht="14.25" customHeight="1"/>
    <row r="49" s="164" customFormat="1" ht="14.25" customHeight="1"/>
    <row r="50" s="164" customFormat="1" ht="14.25" customHeight="1"/>
    <row r="51" s="164" customFormat="1" ht="14.25" customHeight="1"/>
    <row r="52" s="164" customFormat="1" ht="14.25" customHeight="1"/>
    <row r="53" s="164" customFormat="1" ht="14.25" customHeight="1"/>
    <row r="54" s="164" customFormat="1" ht="14.25" customHeight="1"/>
    <row r="55" s="164" customFormat="1" ht="14.25" customHeight="1"/>
    <row r="56" s="164" customFormat="1" ht="14.25" customHeight="1"/>
    <row r="57" s="164" customFormat="1" ht="14.25" customHeight="1"/>
    <row r="58" s="164" customFormat="1" ht="14.25" customHeight="1"/>
    <row r="59" s="164" customFormat="1" ht="14.25" customHeight="1"/>
    <row r="60" s="164" customFormat="1" ht="14.25" customHeight="1"/>
    <row r="61" s="164" customFormat="1" ht="14.25" customHeight="1"/>
    <row r="62" s="164" customFormat="1" ht="14.25" customHeight="1"/>
    <row r="63" s="164" customFormat="1" ht="14.25" customHeight="1"/>
    <row r="64" s="164" customFormat="1" ht="14.25" customHeight="1"/>
    <row r="65" s="164" customFormat="1" ht="14.25" customHeight="1"/>
    <row r="66" s="164" customFormat="1" ht="14.25" customHeight="1"/>
    <row r="67" s="164" customFormat="1" ht="14.25" customHeight="1"/>
    <row r="68" s="164" customFormat="1" ht="14.25" customHeight="1"/>
    <row r="69" s="164" customFormat="1" ht="14.25" customHeight="1"/>
    <row r="70" s="164" customFormat="1" ht="14.25" customHeight="1"/>
    <row r="71" s="164" customFormat="1" ht="14.25" customHeight="1"/>
    <row r="72" s="164" customFormat="1" ht="14.25" customHeight="1"/>
    <row r="73" s="164" customFormat="1" ht="14.25" customHeight="1"/>
    <row r="74" s="164" customFormat="1" ht="14.25" customHeight="1"/>
    <row r="75" s="164" customFormat="1" ht="14.25" customHeight="1"/>
    <row r="76" s="164" customFormat="1" ht="14.25" customHeight="1"/>
    <row r="77" s="164" customFormat="1" ht="14.25" customHeight="1"/>
    <row r="78" s="164" customFormat="1" ht="14.25" customHeight="1"/>
    <row r="79" s="164" customFormat="1" ht="14.25" customHeight="1"/>
    <row r="80" s="164" customFormat="1" ht="14.25" customHeight="1"/>
    <row r="81" s="164" customFormat="1" ht="14.25" customHeight="1"/>
    <row r="82" s="164" customFormat="1" ht="14.25" customHeight="1"/>
    <row r="83" s="164" customFormat="1" ht="14.25" customHeight="1"/>
    <row r="84" s="164" customFormat="1" ht="14.25" customHeight="1"/>
    <row r="85" s="164" customFormat="1" ht="14.25" customHeight="1"/>
    <row r="86" s="164" customFormat="1" ht="14.25" customHeight="1"/>
    <row r="87" s="164" customFormat="1" ht="14.25" customHeight="1"/>
    <row r="88" s="164" customFormat="1" ht="14.25" customHeight="1"/>
    <row r="89" s="164" customFormat="1" ht="14.25" customHeight="1"/>
    <row r="90" s="164" customFormat="1" ht="14.25" customHeight="1"/>
    <row r="91" s="164" customFormat="1" ht="14.25" customHeight="1"/>
    <row r="92" s="164" customFormat="1" ht="14.25" customHeight="1"/>
    <row r="93" s="164" customFormat="1" ht="14.25" customHeight="1"/>
    <row r="94" s="164" customFormat="1" ht="14.25" customHeight="1"/>
    <row r="95" s="164" customFormat="1" ht="14.25" customHeight="1"/>
    <row r="96" s="164" customFormat="1" ht="14.25" customHeight="1"/>
    <row r="97" s="164" customFormat="1" ht="14.25" customHeight="1"/>
    <row r="98" s="164" customFormat="1" ht="14.25" customHeight="1"/>
    <row r="99" s="164" customFormat="1" ht="14.25" customHeight="1"/>
    <row r="100" s="164" customFormat="1" ht="14.25" customHeight="1"/>
    <row r="101" s="164" customFormat="1" ht="14.25" customHeight="1"/>
    <row r="102" s="164" customFormat="1" ht="14.25" customHeight="1"/>
    <row r="103" s="164" customFormat="1" ht="14.25" customHeight="1"/>
    <row r="104" s="164" customFormat="1" ht="14.25" customHeight="1"/>
    <row r="105" s="164" customFormat="1" ht="14.25" customHeight="1"/>
    <row r="106" s="164" customFormat="1" ht="14.25" customHeight="1"/>
    <row r="107" s="164" customFormat="1" ht="14.25" customHeight="1"/>
    <row r="108" s="164" customFormat="1" ht="14.25" customHeight="1"/>
    <row r="109" s="164" customFormat="1" ht="14.25" customHeight="1"/>
    <row r="110" s="164" customFormat="1" ht="14.25" customHeight="1"/>
    <row r="111" s="164" customFormat="1" ht="14.25" customHeight="1"/>
    <row r="112" s="164" customFormat="1" ht="14.25" customHeight="1"/>
    <row r="113" s="164" customFormat="1" ht="14.25" customHeight="1"/>
    <row r="114" s="164" customFormat="1" ht="14.25" customHeight="1"/>
    <row r="115" s="164" customFormat="1" ht="14.25" customHeight="1"/>
    <row r="116" s="164" customFormat="1" ht="14.25" customHeight="1"/>
    <row r="117" s="164" customFormat="1" ht="14.25" customHeight="1"/>
    <row r="118" s="164" customFormat="1" ht="14.25" customHeight="1"/>
    <row r="119" s="164" customFormat="1" ht="14.25" customHeight="1"/>
    <row r="120" s="164" customFormat="1" ht="14.25" customHeight="1"/>
    <row r="121" s="164" customFormat="1" ht="14.25" customHeight="1"/>
    <row r="122" s="164" customFormat="1" ht="14.25" customHeight="1"/>
    <row r="123" s="164" customFormat="1" ht="14.25" customHeight="1"/>
    <row r="124" s="164" customFormat="1" ht="14.25" customHeight="1"/>
    <row r="125" s="164" customFormat="1" ht="14.25" customHeight="1"/>
    <row r="126" s="164" customFormat="1" ht="14.25" customHeight="1"/>
    <row r="127" s="164" customFormat="1" ht="14.25" customHeight="1"/>
    <row r="128" s="164" customFormat="1" ht="14.25" customHeight="1"/>
    <row r="129" s="164" customFormat="1" ht="14.25" customHeight="1"/>
    <row r="130" s="164" customFormat="1" ht="14.25" customHeight="1"/>
    <row r="131" s="164" customFormat="1" ht="14.25" customHeight="1"/>
    <row r="132" s="164" customFormat="1" ht="14.25" customHeight="1"/>
    <row r="133" s="164" customFormat="1" ht="14.25" customHeight="1"/>
    <row r="134" s="164" customFormat="1" ht="14.25" customHeight="1"/>
    <row r="135" s="164" customFormat="1" ht="14.25" customHeight="1"/>
    <row r="136" s="164" customFormat="1" ht="14.25" customHeight="1"/>
    <row r="137" s="164" customFormat="1" ht="14.25" customHeight="1"/>
    <row r="138" s="164" customFormat="1" ht="14.25" customHeight="1"/>
    <row r="139" s="164" customFormat="1" ht="14.25" customHeight="1"/>
    <row r="140" s="164" customFormat="1" ht="14.25" customHeight="1"/>
    <row r="141" s="164" customFormat="1" ht="14.25" customHeight="1"/>
    <row r="142" s="164" customFormat="1" ht="14.25" customHeight="1"/>
    <row r="143" s="164" customFormat="1" ht="14.25" customHeight="1"/>
    <row r="144" s="164" customFormat="1" ht="14.25" customHeight="1"/>
    <row r="145" s="164" customFormat="1" ht="14.25" customHeight="1"/>
    <row r="146" s="164" customFormat="1" ht="14.25" customHeight="1"/>
    <row r="147" s="164" customFormat="1" ht="14.25" customHeight="1"/>
    <row r="148" s="164" customFormat="1" ht="14.25" customHeight="1"/>
    <row r="149" s="164" customFormat="1" ht="14.25" customHeight="1"/>
    <row r="150" s="164" customFormat="1" ht="14.25" customHeight="1"/>
    <row r="151" s="164" customFormat="1" ht="14.25" customHeight="1"/>
    <row r="152" s="164" customFormat="1" ht="14.25" customHeight="1"/>
    <row r="153" s="164" customFormat="1" ht="14.25" customHeight="1"/>
    <row r="154" s="164" customFormat="1" ht="14.25" customHeight="1"/>
    <row r="155" s="164" customFormat="1" ht="14.25" customHeight="1"/>
    <row r="156" s="164" customFormat="1" ht="14.25" customHeight="1"/>
    <row r="157" s="164" customFormat="1" ht="14.25" customHeight="1"/>
    <row r="158" s="164" customFormat="1" ht="14.25" customHeight="1"/>
    <row r="159" s="164" customFormat="1" ht="14.25" customHeight="1"/>
    <row r="160" s="164" customFormat="1" ht="14.25" customHeight="1"/>
    <row r="161" s="164" customFormat="1" ht="14.25" customHeight="1"/>
    <row r="162" s="164" customFormat="1" ht="14.25" customHeight="1"/>
    <row r="163" s="164" customFormat="1" ht="14.25" customHeight="1"/>
    <row r="164" s="164" customFormat="1" ht="14.25" customHeight="1"/>
    <row r="165" s="164" customFormat="1" ht="14.25" customHeight="1"/>
    <row r="166" s="164" customFormat="1" ht="14.25" customHeight="1"/>
    <row r="167" s="164" customFormat="1" ht="14.25" customHeight="1"/>
    <row r="168" s="164" customFormat="1" ht="14.25" customHeight="1"/>
    <row r="169" s="164" customFormat="1" ht="14.25" customHeight="1"/>
    <row r="170" s="164" customFormat="1" ht="14.25" customHeight="1"/>
    <row r="171" s="164" customFormat="1" ht="14.25" customHeight="1"/>
    <row r="172" s="164" customFormat="1" ht="14.25" customHeight="1"/>
    <row r="173" s="164" customFormat="1" ht="14.25" customHeight="1"/>
    <row r="174" s="164" customFormat="1" ht="14.25" customHeight="1"/>
    <row r="175" s="164" customFormat="1" ht="14.25" customHeight="1"/>
    <row r="176" s="164" customFormat="1" ht="14.25" customHeight="1"/>
    <row r="177" s="164" customFormat="1" ht="14.25" customHeight="1"/>
    <row r="178" s="164" customFormat="1" ht="14.25" customHeight="1"/>
    <row r="179" s="164" customFormat="1" ht="14.25" customHeight="1"/>
    <row r="180" s="164" customFormat="1" ht="14.25" customHeight="1"/>
    <row r="181" s="164" customFormat="1" ht="14.25" customHeight="1"/>
    <row r="182" s="164" customFormat="1" ht="14.25" customHeight="1"/>
    <row r="183" s="164" customFormat="1" ht="14.25" customHeight="1"/>
    <row r="184" s="164" customFormat="1" ht="14.25" customHeight="1"/>
    <row r="185" s="164" customFormat="1" ht="14.25" customHeight="1"/>
    <row r="186" s="164" customFormat="1" ht="14.25" customHeight="1"/>
    <row r="187" s="164" customFormat="1" ht="14.25" customHeight="1"/>
    <row r="188" s="164" customFormat="1" ht="14.25" customHeight="1"/>
    <row r="189" s="164" customFormat="1" ht="14.25" customHeight="1"/>
    <row r="190" s="164" customFormat="1" ht="14.25" customHeight="1"/>
    <row r="191" s="164" customFormat="1" ht="14.25" customHeight="1"/>
    <row r="192" s="164" customFormat="1" ht="14.25" customHeight="1"/>
    <row r="193" s="164" customFormat="1" ht="14.25" customHeight="1"/>
    <row r="194" s="164" customFormat="1" ht="14.25" customHeight="1"/>
    <row r="195" s="164" customFormat="1" ht="14.25" customHeight="1"/>
    <row r="196" s="164" customFormat="1" ht="14.25" customHeight="1"/>
    <row r="197" s="164" customFormat="1" ht="14.25" customHeight="1"/>
    <row r="198" s="164" customFormat="1" ht="14.25" customHeight="1"/>
    <row r="199" s="164" customFormat="1" ht="14.25" customHeight="1"/>
    <row r="200" s="164" customFormat="1" ht="14.25" customHeight="1"/>
    <row r="201" s="164" customFormat="1" ht="14.25" customHeight="1"/>
    <row r="202" s="164" customFormat="1" ht="14.25" customHeight="1"/>
    <row r="203" s="164" customFormat="1" ht="14.25" customHeight="1"/>
    <row r="204" s="164" customFormat="1" ht="14.25" customHeight="1"/>
    <row r="205" s="164" customFormat="1" ht="14.25" customHeight="1"/>
    <row r="206" s="164" customFormat="1" ht="14.25" customHeight="1"/>
    <row r="207" s="164" customFormat="1" ht="14.25" customHeight="1"/>
    <row r="208" s="164" customFormat="1" ht="14.25" customHeight="1"/>
    <row r="209" s="164" customFormat="1" ht="14.25" customHeight="1"/>
    <row r="210" s="164" customFormat="1" ht="14.25" customHeight="1"/>
    <row r="211" s="164" customFormat="1" ht="14.25" customHeight="1"/>
    <row r="212" s="164" customFormat="1" ht="14.25" customHeight="1"/>
    <row r="213" s="164" customFormat="1" ht="14.25" customHeight="1"/>
    <row r="214" s="164" customFormat="1" ht="14.25" customHeight="1"/>
    <row r="215" s="164" customFormat="1" ht="14.25" customHeight="1"/>
    <row r="216" s="164" customFormat="1" ht="14.25" customHeight="1"/>
    <row r="217" s="164" customFormat="1" ht="14.25" customHeight="1"/>
    <row r="218" s="164" customFormat="1" ht="14.25" customHeight="1"/>
    <row r="219" s="164" customFormat="1" ht="14.25" customHeight="1"/>
    <row r="220" s="164" customFormat="1" ht="14.25" customHeight="1"/>
    <row r="221" s="164" customFormat="1" ht="14.25" customHeight="1"/>
    <row r="222" s="164" customFormat="1" ht="14.25" customHeight="1"/>
    <row r="223" s="164" customFormat="1" ht="14.25" customHeight="1"/>
    <row r="224" s="164" customFormat="1" ht="14.25" customHeight="1"/>
    <row r="225" s="164" customFormat="1" ht="14.25" customHeight="1"/>
    <row r="226" s="164" customFormat="1" ht="14.25" customHeight="1"/>
    <row r="227" s="164" customFormat="1" ht="14.25" customHeight="1"/>
    <row r="228" s="164" customFormat="1" ht="14.25" customHeight="1"/>
    <row r="229" s="164" customFormat="1" ht="14.25" customHeight="1"/>
    <row r="230" s="164" customFormat="1" ht="14.25" customHeight="1"/>
    <row r="231" s="164" customFormat="1" ht="14.25" customHeight="1"/>
    <row r="232" s="164" customFormat="1" ht="14.25" customHeight="1"/>
    <row r="233" s="164" customFormat="1" ht="14.25" customHeight="1"/>
    <row r="234" s="164" customFormat="1" ht="14.25" customHeight="1"/>
    <row r="235" s="164" customFormat="1" ht="14.25" customHeight="1"/>
    <row r="236" s="164" customFormat="1" ht="14.25" customHeight="1"/>
    <row r="237" s="164" customFormat="1" ht="14.25" customHeight="1"/>
    <row r="238" s="164" customFormat="1" ht="14.25" customHeight="1"/>
    <row r="239" s="164" customFormat="1" ht="14.25" customHeight="1"/>
    <row r="240" s="164" customFormat="1" ht="14.25" customHeight="1"/>
    <row r="241" s="164" customFormat="1" ht="14.25" customHeight="1"/>
    <row r="242" s="164" customFormat="1" ht="14.25" customHeight="1"/>
    <row r="243" s="164" customFormat="1" ht="14.25" customHeight="1"/>
    <row r="244" s="164" customFormat="1" ht="14.25" customHeight="1"/>
    <row r="245" s="164" customFormat="1" ht="14.25" customHeight="1"/>
    <row r="246" s="164" customFormat="1" ht="14.25" customHeight="1"/>
    <row r="247" s="164" customFormat="1" ht="14.25" customHeight="1"/>
    <row r="248" s="164" customFormat="1" ht="14.25" customHeight="1"/>
    <row r="249" s="164" customFormat="1" ht="14.25" customHeight="1"/>
    <row r="250" s="164" customFormat="1" ht="14.25" customHeight="1"/>
    <row r="251" s="164" customFormat="1" ht="14.25" customHeight="1"/>
    <row r="252" s="164" customFormat="1" ht="14.25" customHeight="1"/>
    <row r="253" s="164" customFormat="1" ht="14.25" customHeight="1"/>
    <row r="254" s="164" customFormat="1" ht="14.25" customHeight="1"/>
    <row r="255" s="164" customFormat="1" ht="14.25" customHeight="1"/>
    <row r="256" s="164" customFormat="1" ht="14.25" customHeight="1"/>
    <row r="257" s="164" customFormat="1" ht="14.25" customHeight="1"/>
    <row r="258" s="164" customFormat="1" ht="14.25" customHeight="1"/>
    <row r="259" s="164" customFormat="1" ht="14.25" customHeight="1"/>
    <row r="260" s="164" customFormat="1" ht="14.25" customHeight="1"/>
    <row r="261" s="164" customFormat="1" ht="14.25" customHeight="1"/>
    <row r="262" s="164" customFormat="1" ht="14.25" customHeight="1"/>
    <row r="263" s="164" customFormat="1" ht="14.25" customHeight="1"/>
    <row r="264" s="164" customFormat="1" ht="14.25" customHeight="1"/>
    <row r="265" s="164" customFormat="1" ht="14.25" customHeight="1"/>
    <row r="266" s="164" customFormat="1" ht="14.25" customHeight="1"/>
    <row r="267" s="164" customFormat="1" ht="14.25" customHeight="1"/>
    <row r="268" s="164" customFormat="1" ht="14.25" customHeight="1"/>
    <row r="269" s="164" customFormat="1" ht="14.25" customHeight="1"/>
    <row r="270" s="164" customFormat="1" ht="14.25" customHeight="1"/>
    <row r="271" s="164" customFormat="1" ht="14.25" customHeight="1"/>
    <row r="272" s="164" customFormat="1" ht="14.25" customHeight="1"/>
    <row r="273" s="164" customFormat="1" ht="14.25" customHeight="1"/>
    <row r="274" s="164" customFormat="1" ht="14.25" customHeight="1"/>
    <row r="275" s="164" customFormat="1" ht="14.25" customHeight="1"/>
    <row r="276" s="164" customFormat="1" ht="14.25" customHeight="1"/>
    <row r="277" s="164" customFormat="1" ht="14.25" customHeight="1"/>
    <row r="278" s="164" customFormat="1" ht="14.25" customHeight="1"/>
    <row r="279" s="164" customFormat="1" ht="14.25" customHeight="1"/>
    <row r="280" s="164" customFormat="1" ht="14.25" customHeight="1"/>
    <row r="281" s="164" customFormat="1" ht="14.25" customHeight="1"/>
    <row r="282" s="164" customFormat="1" ht="14.25" customHeight="1"/>
    <row r="283" s="164" customFormat="1" ht="14.25" customHeight="1"/>
    <row r="284" s="164" customFormat="1" ht="14.25" customHeight="1"/>
    <row r="285" s="164" customFormat="1" ht="14.25" customHeight="1"/>
    <row r="286" s="164" customFormat="1" ht="14.25" customHeight="1"/>
    <row r="287" s="164" customFormat="1" ht="14.25" customHeight="1"/>
    <row r="288" s="164" customFormat="1" ht="14.25" customHeight="1"/>
    <row r="289" s="164" customFormat="1" ht="14.25" customHeight="1"/>
    <row r="290" s="164" customFormat="1" ht="14.25" customHeight="1"/>
    <row r="291" s="164" customFormat="1" ht="14.25" customHeight="1"/>
    <row r="292" s="164" customFormat="1" ht="14.25" customHeight="1"/>
    <row r="293" s="164" customFormat="1" ht="14.25" customHeight="1"/>
    <row r="294" s="164" customFormat="1" ht="14.25" customHeight="1"/>
    <row r="295" s="164" customFormat="1" ht="14.25" customHeight="1"/>
    <row r="296" s="164" customFormat="1" ht="14.25" customHeight="1"/>
    <row r="297" s="164" customFormat="1" ht="14.25" customHeight="1"/>
    <row r="298" s="164" customFormat="1" ht="14.25" customHeight="1"/>
    <row r="299" s="164" customFormat="1" ht="14.25" customHeight="1"/>
    <row r="300" s="164" customFormat="1" ht="14.25" customHeight="1"/>
    <row r="301" s="164" customFormat="1" ht="14.25" customHeight="1"/>
    <row r="302" s="164" customFormat="1" ht="14.25" customHeight="1"/>
    <row r="303" s="164" customFormat="1" ht="14.25" customHeight="1"/>
    <row r="304" s="164" customFormat="1" ht="14.25" customHeight="1"/>
    <row r="305" s="164" customFormat="1" ht="14.25" customHeight="1"/>
    <row r="306" s="164" customFormat="1" ht="14.25" customHeight="1"/>
    <row r="307" s="164" customFormat="1" ht="14.25" customHeight="1"/>
    <row r="308" s="164" customFormat="1" ht="14.25" customHeight="1"/>
    <row r="309" s="164" customFormat="1" ht="14.25" customHeight="1"/>
    <row r="310" s="164" customFormat="1" ht="14.25" customHeight="1"/>
    <row r="311" s="164" customFormat="1" ht="14.25" customHeight="1"/>
    <row r="312" s="164" customFormat="1" ht="14.25" customHeight="1"/>
    <row r="313" s="164" customFormat="1" ht="14.25" customHeight="1"/>
    <row r="314" s="164" customFormat="1" ht="14.25" customHeight="1"/>
    <row r="315" s="164" customFormat="1" ht="14.25" customHeight="1"/>
    <row r="316" s="164" customFormat="1" ht="14.25" customHeight="1"/>
    <row r="317" s="164" customFormat="1" ht="14.25" customHeight="1"/>
    <row r="318" s="164" customFormat="1" ht="14.25" customHeight="1"/>
    <row r="319" s="164" customFormat="1" ht="14.25" customHeight="1"/>
    <row r="320" s="164" customFormat="1" ht="14.25" customHeight="1"/>
    <row r="321" s="164" customFormat="1" ht="14.25" customHeight="1"/>
    <row r="322" s="164" customFormat="1" ht="14.25" customHeight="1"/>
    <row r="323" s="164" customFormat="1" ht="14.25" customHeight="1"/>
    <row r="324" s="164" customFormat="1" ht="14.25" customHeight="1"/>
    <row r="325" s="164" customFormat="1" ht="14.25" customHeight="1"/>
    <row r="326" s="164" customFormat="1" ht="14.25" customHeight="1"/>
    <row r="327" s="164" customFormat="1" ht="14.25" customHeight="1"/>
    <row r="328" s="164" customFormat="1" ht="14.25" customHeight="1"/>
    <row r="329" s="164" customFormat="1" ht="14.25" customHeight="1"/>
    <row r="330" s="164" customFormat="1" ht="14.25" customHeight="1"/>
    <row r="331" s="164" customFormat="1" ht="14.25" customHeight="1"/>
    <row r="332" s="164" customFormat="1" ht="14.25" customHeight="1"/>
    <row r="333" s="164" customFormat="1" ht="14.25" customHeight="1"/>
    <row r="334" s="164" customFormat="1" ht="14.25" customHeight="1"/>
    <row r="335" s="164" customFormat="1" ht="14.25" customHeight="1"/>
    <row r="336" s="164" customFormat="1" ht="14.25" customHeight="1"/>
    <row r="337" s="164" customFormat="1" ht="14.25" customHeight="1"/>
    <row r="338" s="164" customFormat="1" ht="14.25" customHeight="1"/>
    <row r="339" s="164" customFormat="1" ht="14.25" customHeight="1"/>
    <row r="340" s="164" customFormat="1" ht="14.25" customHeight="1"/>
    <row r="341" s="164" customFormat="1" ht="14.25" customHeight="1"/>
    <row r="342" s="164" customFormat="1" ht="14.25" customHeight="1"/>
    <row r="343" s="164" customFormat="1" ht="14.25" customHeight="1"/>
    <row r="344" s="164" customFormat="1" ht="14.25" customHeight="1"/>
    <row r="345" s="164" customFormat="1" ht="14.25" customHeight="1"/>
    <row r="346" s="164" customFormat="1" ht="14.25" customHeight="1"/>
    <row r="347" s="164" customFormat="1" ht="14.25" customHeight="1"/>
    <row r="348" s="164" customFormat="1" ht="14.25" customHeight="1"/>
    <row r="349" s="164" customFormat="1" ht="14.25" customHeight="1"/>
    <row r="350" s="164" customFormat="1" ht="14.25" customHeight="1"/>
    <row r="351" s="164" customFormat="1" ht="14.25" customHeight="1"/>
    <row r="352" s="164" customFormat="1" ht="14.25" customHeight="1"/>
    <row r="353" s="164" customFormat="1" ht="14.25" customHeight="1"/>
    <row r="354" s="164" customFormat="1" ht="14.25" customHeight="1"/>
    <row r="355" s="164" customFormat="1" ht="14.25" customHeight="1"/>
    <row r="356" s="164" customFormat="1" ht="14.25" customHeight="1"/>
    <row r="357" s="164" customFormat="1" ht="14.25" customHeight="1"/>
    <row r="358" s="164" customFormat="1" ht="14.25" customHeight="1"/>
    <row r="359" s="164" customFormat="1" ht="14.25" customHeight="1"/>
    <row r="360" s="164" customFormat="1" ht="14.25" customHeight="1"/>
    <row r="361" s="164" customFormat="1" ht="14.25" customHeight="1"/>
    <row r="362" s="164" customFormat="1" ht="14.25" customHeight="1"/>
    <row r="363" s="164" customFormat="1" ht="14.25" customHeight="1"/>
    <row r="364" s="164" customFormat="1" ht="14.25" customHeight="1"/>
    <row r="365" s="164" customFormat="1" ht="14.25" customHeight="1"/>
    <row r="366" s="164" customFormat="1" ht="14.25" customHeight="1"/>
    <row r="367" s="164" customFormat="1" ht="14.25" customHeight="1"/>
    <row r="368" s="164" customFormat="1" ht="14.25" customHeight="1"/>
    <row r="369" s="164" customFormat="1" ht="14.25" customHeight="1"/>
    <row r="370" s="164" customFormat="1" ht="14.25" customHeight="1"/>
    <row r="371" s="164" customFormat="1" ht="14.25" customHeight="1"/>
    <row r="372" s="164" customFormat="1" ht="14.25" customHeight="1"/>
    <row r="373" s="164" customFormat="1" ht="14.25" customHeight="1"/>
    <row r="374" s="164" customFormat="1" ht="14.25" customHeight="1"/>
    <row r="375" s="164" customFormat="1" ht="14.25" customHeight="1"/>
    <row r="376" s="164" customFormat="1" ht="14.25" customHeight="1"/>
    <row r="377" s="164" customFormat="1" ht="14.25" customHeight="1"/>
    <row r="378" s="164" customFormat="1" ht="14.25" customHeight="1"/>
    <row r="379" s="164" customFormat="1" ht="14.25" customHeight="1"/>
    <row r="380" s="164" customFormat="1" ht="14.25" customHeight="1"/>
    <row r="381" s="164" customFormat="1" ht="14.25" customHeight="1"/>
    <row r="382" s="164" customFormat="1" ht="14.25" customHeight="1"/>
    <row r="383" s="164" customFormat="1" ht="14.25" customHeight="1"/>
    <row r="384" s="164" customFormat="1" ht="14.25" customHeight="1"/>
    <row r="385" s="164" customFormat="1" ht="14.25" customHeight="1"/>
    <row r="386" s="164" customFormat="1" ht="14.25" customHeight="1"/>
    <row r="387" s="164" customFormat="1" ht="14.25" customHeight="1"/>
    <row r="388" s="164" customFormat="1" ht="14.25" customHeight="1"/>
    <row r="389" s="164" customFormat="1" ht="14.25" customHeight="1"/>
    <row r="390" s="164" customFormat="1" ht="14.25" customHeight="1"/>
    <row r="391" s="164" customFormat="1" ht="14.25" customHeight="1"/>
    <row r="392" s="164" customFormat="1" ht="14.25" customHeight="1"/>
    <row r="393" s="164" customFormat="1" ht="14.25" customHeight="1"/>
    <row r="394" s="164" customFormat="1" ht="14.25" customHeight="1"/>
    <row r="395" s="164" customFormat="1" ht="14.25" customHeight="1"/>
    <row r="396" s="164" customFormat="1" ht="14.25" customHeight="1"/>
    <row r="397" s="164" customFormat="1" ht="14.25" customHeight="1"/>
    <row r="398" s="164" customFormat="1" ht="14.25" customHeight="1"/>
    <row r="399" s="164" customFormat="1" ht="14.25" customHeight="1"/>
    <row r="400" s="164" customFormat="1" ht="14.25" customHeight="1"/>
    <row r="401" s="164" customFormat="1" ht="14.25" customHeight="1"/>
    <row r="402" s="164" customFormat="1" ht="14.25" customHeight="1"/>
    <row r="403" s="164" customFormat="1" ht="14.25" customHeight="1"/>
    <row r="404" s="164" customFormat="1" ht="14.25" customHeight="1"/>
    <row r="405" s="164" customFormat="1" ht="14.25" customHeight="1"/>
    <row r="406" s="164" customFormat="1" ht="14.25" customHeight="1"/>
    <row r="407" s="164" customFormat="1" ht="14.25" customHeight="1"/>
    <row r="408" s="164" customFormat="1" ht="14.25" customHeight="1"/>
    <row r="409" s="164" customFormat="1" ht="14.25" customHeight="1"/>
    <row r="410" s="164" customFormat="1" ht="14.25" customHeight="1"/>
    <row r="411" s="164" customFormat="1" ht="14.25" customHeight="1"/>
    <row r="412" s="164" customFormat="1" ht="14.25" customHeight="1"/>
    <row r="413" s="164" customFormat="1" ht="14.25" customHeight="1"/>
    <row r="414" s="164" customFormat="1" ht="14.25" customHeight="1"/>
    <row r="415" s="164" customFormat="1" ht="14.25" customHeight="1"/>
    <row r="416" s="164" customFormat="1" ht="14.25" customHeight="1"/>
    <row r="417" s="164" customFormat="1" ht="14.25" customHeight="1"/>
    <row r="418" s="164" customFormat="1" ht="14.25" customHeight="1"/>
    <row r="419" s="164" customFormat="1" ht="14.25" customHeight="1"/>
    <row r="420" s="164" customFormat="1" ht="14.25" customHeight="1"/>
    <row r="421" s="164" customFormat="1" ht="14.25" customHeight="1"/>
    <row r="422" s="164" customFormat="1" ht="14.25" customHeight="1"/>
    <row r="423" s="164" customFormat="1" ht="14.25" customHeight="1"/>
    <row r="424" s="164" customFormat="1" ht="14.25" customHeight="1"/>
    <row r="425" s="164" customFormat="1" ht="14.25" customHeight="1"/>
    <row r="426" s="164" customFormat="1" ht="14.25" customHeight="1"/>
    <row r="427" s="164" customFormat="1" ht="14.25" customHeight="1"/>
    <row r="428" s="164" customFormat="1" ht="14.25" customHeight="1"/>
    <row r="429" s="164" customFormat="1" ht="14.25" customHeight="1"/>
    <row r="430" s="164" customFormat="1" ht="14.25" customHeight="1"/>
    <row r="431" s="164" customFormat="1" ht="14.25" customHeight="1"/>
    <row r="432" s="164" customFormat="1" ht="14.25" customHeight="1"/>
    <row r="433" s="164" customFormat="1" ht="14.25" customHeight="1"/>
    <row r="434" s="164" customFormat="1" ht="14.25" customHeight="1"/>
    <row r="435" s="164" customFormat="1" ht="14.25" customHeight="1"/>
    <row r="436" s="164" customFormat="1" ht="14.25" customHeight="1"/>
    <row r="437" s="164" customFormat="1" ht="14.25" customHeight="1"/>
    <row r="438" s="164" customFormat="1" ht="14.25" customHeight="1"/>
    <row r="439" s="164" customFormat="1" ht="14.25" customHeight="1"/>
    <row r="440" s="164" customFormat="1" ht="14.25" customHeight="1"/>
    <row r="441" s="164" customFormat="1" ht="14.25" customHeight="1"/>
    <row r="442" s="164" customFormat="1" ht="14.25" customHeight="1"/>
    <row r="443" s="164" customFormat="1" ht="14.25" customHeight="1"/>
    <row r="444" s="164" customFormat="1" ht="14.25" customHeight="1"/>
    <row r="445" s="164" customFormat="1" ht="14.25" customHeight="1"/>
    <row r="446" s="164" customFormat="1" ht="14.25" customHeight="1"/>
    <row r="447" s="164" customFormat="1" ht="14.25" customHeight="1"/>
    <row r="448" s="164" customFormat="1" ht="14.25" customHeight="1"/>
    <row r="449" s="164" customFormat="1" ht="14.25" customHeight="1"/>
    <row r="450" s="164" customFormat="1" ht="14.25" customHeight="1"/>
    <row r="451" s="164" customFormat="1" ht="14.25" customHeight="1"/>
    <row r="452" s="164" customFormat="1" ht="14.25" customHeight="1"/>
    <row r="453" s="164" customFormat="1" ht="14.25" customHeight="1"/>
    <row r="454" s="164" customFormat="1" ht="14.25" customHeight="1"/>
    <row r="455" s="164" customFormat="1" ht="14.25" customHeight="1"/>
    <row r="456" s="164" customFormat="1" ht="14.25" customHeight="1"/>
    <row r="457" s="164" customFormat="1" ht="14.25" customHeight="1"/>
    <row r="458" s="164" customFormat="1" ht="14.25" customHeight="1"/>
    <row r="459" s="164" customFormat="1" ht="14.25" customHeight="1"/>
    <row r="460" s="164" customFormat="1" ht="14.25" customHeight="1"/>
    <row r="461" s="164" customFormat="1" ht="14.25" customHeight="1"/>
    <row r="462" s="164" customFormat="1" ht="14.25" customHeight="1"/>
    <row r="463" s="164" customFormat="1" ht="14.25" customHeight="1"/>
    <row r="464" s="164" customFormat="1" ht="14.25" customHeight="1"/>
    <row r="465" s="164" customFormat="1" ht="14.25" customHeight="1"/>
    <row r="466" s="164" customFormat="1" ht="14.25" customHeight="1"/>
    <row r="467" s="164" customFormat="1" ht="14.25" customHeight="1"/>
    <row r="468" s="164" customFormat="1" ht="14.25" customHeight="1"/>
    <row r="469" s="164" customFormat="1" ht="14.25" customHeight="1"/>
    <row r="470" s="164" customFormat="1" ht="14.25" customHeight="1"/>
    <row r="471" s="164" customFormat="1" ht="14.25" customHeight="1"/>
    <row r="472" s="164" customFormat="1" ht="14.25" customHeight="1"/>
    <row r="473" s="164" customFormat="1" ht="14.25" customHeight="1"/>
    <row r="474" s="164" customFormat="1" ht="14.25" customHeight="1"/>
    <row r="475" s="164" customFormat="1" ht="14.25" customHeight="1"/>
    <row r="476" s="164" customFormat="1" ht="14.25" customHeight="1"/>
    <row r="477" s="164" customFormat="1" ht="14.25" customHeight="1"/>
    <row r="478" s="164" customFormat="1" ht="14.25" customHeight="1"/>
    <row r="479" s="164" customFormat="1" ht="14.25" customHeight="1"/>
    <row r="480" s="164" customFormat="1" ht="14.25" customHeight="1"/>
    <row r="481" s="164" customFormat="1" ht="14.25" customHeight="1"/>
    <row r="482" s="164" customFormat="1" ht="14.25" customHeight="1"/>
    <row r="483" s="164" customFormat="1" ht="14.25" customHeight="1"/>
    <row r="484" s="164" customFormat="1" ht="14.25" customHeight="1"/>
    <row r="485" s="164" customFormat="1" ht="14.25" customHeight="1"/>
    <row r="486" s="164" customFormat="1" ht="14.25" customHeight="1"/>
    <row r="487" s="164" customFormat="1" ht="14.25" customHeight="1"/>
    <row r="488" s="164" customFormat="1" ht="14.25" customHeight="1"/>
    <row r="489" s="164" customFormat="1" ht="14.25" customHeight="1"/>
    <row r="490" s="164" customFormat="1" ht="14.25" customHeight="1"/>
    <row r="491" s="164" customFormat="1" ht="14.25" customHeight="1"/>
    <row r="492" s="164" customFormat="1" ht="14.25" customHeight="1"/>
    <row r="493" s="164" customFormat="1" ht="14.25" customHeight="1"/>
    <row r="494" s="164" customFormat="1" ht="14.25" customHeight="1"/>
    <row r="495" s="164" customFormat="1" ht="14.25" customHeight="1"/>
    <row r="496" s="164" customFormat="1" ht="14.25" customHeight="1"/>
    <row r="497" s="164" customFormat="1" ht="14.25" customHeight="1"/>
    <row r="498" s="164" customFormat="1" ht="14.25" customHeight="1"/>
    <row r="499" s="164" customFormat="1" ht="14.25" customHeight="1"/>
    <row r="500" s="164" customFormat="1" ht="14.25" customHeight="1"/>
    <row r="501" s="164" customFormat="1" ht="14.25" customHeight="1"/>
    <row r="502" s="164" customFormat="1" ht="14.25" customHeight="1"/>
    <row r="503" s="164" customFormat="1" ht="14.25" customHeight="1"/>
    <row r="504" s="164" customFormat="1" ht="14.25" customHeight="1"/>
    <row r="505" s="164" customFormat="1" ht="14.25" customHeight="1"/>
    <row r="506" s="164" customFormat="1" ht="14.25" customHeight="1"/>
    <row r="507" s="164" customFormat="1" ht="14.25" customHeight="1"/>
    <row r="508" s="164" customFormat="1" ht="14.25" customHeight="1"/>
    <row r="509" s="164" customFormat="1" ht="14.25" customHeight="1"/>
    <row r="510" s="164" customFormat="1" ht="14.25" customHeight="1"/>
    <row r="511" s="164" customFormat="1" ht="14.25" customHeight="1"/>
    <row r="512" s="164" customFormat="1" ht="14.25" customHeight="1"/>
    <row r="513" s="164" customFormat="1" ht="14.25" customHeight="1"/>
    <row r="514" s="164" customFormat="1" ht="14.25" customHeight="1"/>
    <row r="515" s="164" customFormat="1" ht="14.25" customHeight="1"/>
    <row r="516" s="164" customFormat="1" ht="14.25" customHeight="1"/>
    <row r="517" s="164" customFormat="1" ht="14.25" customHeight="1"/>
    <row r="518" s="164" customFormat="1" ht="14.25" customHeight="1"/>
    <row r="519" s="164" customFormat="1" ht="14.25" customHeight="1"/>
    <row r="520" s="164" customFormat="1" ht="14.25" customHeight="1"/>
    <row r="521" s="164" customFormat="1" ht="14.25" customHeight="1"/>
    <row r="522" s="164" customFormat="1" ht="14.25" customHeight="1"/>
    <row r="523" s="164" customFormat="1" ht="14.25" customHeight="1"/>
    <row r="524" s="164" customFormat="1" ht="14.25" customHeight="1"/>
    <row r="525" s="164" customFormat="1" ht="14.25" customHeight="1"/>
    <row r="526" s="164" customFormat="1" ht="14.25" customHeight="1"/>
    <row r="527" s="164" customFormat="1" ht="14.25" customHeight="1"/>
    <row r="528" s="164" customFormat="1" ht="14.25" customHeight="1"/>
    <row r="529" s="164" customFormat="1" ht="14.25" customHeight="1"/>
    <row r="530" s="164" customFormat="1" ht="14.25" customHeight="1"/>
    <row r="531" s="164" customFormat="1" ht="14.25" customHeight="1"/>
    <row r="532" s="164" customFormat="1" ht="14.25" customHeight="1"/>
    <row r="533" s="164" customFormat="1" ht="14.25" customHeight="1"/>
    <row r="534" s="164" customFormat="1" ht="14.25" customHeight="1"/>
    <row r="535" s="164" customFormat="1" ht="14.25" customHeight="1"/>
    <row r="536" s="164" customFormat="1" ht="14.25" customHeight="1"/>
    <row r="537" s="164" customFormat="1" ht="14.25" customHeight="1"/>
    <row r="538" s="164" customFormat="1" ht="14.25" customHeight="1"/>
    <row r="539" s="164" customFormat="1" ht="14.25" customHeight="1"/>
    <row r="540" s="164" customFormat="1" ht="14.25" customHeight="1"/>
    <row r="541" s="164" customFormat="1" ht="14.25" customHeight="1"/>
    <row r="542" s="164" customFormat="1" ht="14.25" customHeight="1"/>
    <row r="543" s="164" customFormat="1" ht="14.25" customHeight="1"/>
    <row r="544" s="164" customFormat="1" ht="14.25" customHeight="1"/>
    <row r="545" s="164" customFormat="1" ht="14.25" customHeight="1"/>
    <row r="546" s="164" customFormat="1" ht="14.25" customHeight="1"/>
    <row r="547" s="164" customFormat="1" ht="14.25" customHeight="1"/>
    <row r="548" s="164" customFormat="1" ht="14.25" customHeight="1"/>
    <row r="549" s="164" customFormat="1" ht="14.25" customHeight="1"/>
    <row r="550" s="164" customFormat="1" ht="14.25" customHeight="1"/>
    <row r="551" s="164" customFormat="1" ht="14.25" customHeight="1"/>
    <row r="552" s="164" customFormat="1" ht="14.25" customHeight="1"/>
    <row r="553" s="164" customFormat="1" ht="14.25" customHeight="1"/>
    <row r="554" s="164" customFormat="1" ht="14.25" customHeight="1"/>
    <row r="555" s="164" customFormat="1" ht="14.25" customHeight="1"/>
    <row r="556" s="164" customFormat="1" ht="14.25" customHeight="1"/>
    <row r="557" s="164" customFormat="1" ht="14.25" customHeight="1"/>
    <row r="558" s="164" customFormat="1" ht="14.25" customHeight="1"/>
    <row r="559" s="164" customFormat="1" ht="14.25" customHeight="1"/>
    <row r="560" s="164" customFormat="1" ht="14.25" customHeight="1"/>
    <row r="561" s="164" customFormat="1" ht="14.25" customHeight="1"/>
    <row r="562" s="164" customFormat="1" ht="14.25" customHeight="1"/>
    <row r="563" s="164" customFormat="1" ht="14.25" customHeight="1"/>
    <row r="564" s="164" customFormat="1" ht="14.25" customHeight="1"/>
    <row r="565" s="164" customFormat="1" ht="14.25" customHeight="1"/>
    <row r="566" s="164" customFormat="1" ht="14.25" customHeight="1"/>
    <row r="567" s="164" customFormat="1" ht="14.25" customHeight="1"/>
    <row r="568" s="164" customFormat="1" ht="14.25" customHeight="1"/>
    <row r="569" s="164" customFormat="1" ht="14.25" customHeight="1"/>
    <row r="570" s="164" customFormat="1" ht="14.25" customHeight="1"/>
    <row r="571" s="164" customFormat="1" ht="14.25" customHeight="1"/>
    <row r="572" s="164" customFormat="1" ht="14.25" customHeight="1"/>
    <row r="573" s="164" customFormat="1" ht="14.25" customHeight="1"/>
    <row r="574" s="164" customFormat="1" ht="14.25" customHeight="1"/>
    <row r="575" s="164" customFormat="1" ht="14.25" customHeight="1"/>
    <row r="576" s="164" customFormat="1" ht="14.25" customHeight="1"/>
    <row r="577" s="164" customFormat="1" ht="14.25" customHeight="1"/>
    <row r="578" s="164" customFormat="1" ht="14.25" customHeight="1"/>
    <row r="579" s="164" customFormat="1" ht="14.25" customHeight="1"/>
    <row r="580" s="164" customFormat="1" ht="14.25" customHeight="1"/>
    <row r="581" s="164" customFormat="1" ht="14.25" customHeight="1"/>
    <row r="582" s="164" customFormat="1" ht="14.25" customHeight="1"/>
    <row r="583" s="164" customFormat="1" ht="14.25" customHeight="1"/>
    <row r="584" s="164" customFormat="1" ht="14.25" customHeight="1"/>
    <row r="585" s="164" customFormat="1" ht="14.25" customHeight="1"/>
    <row r="586" s="164" customFormat="1" ht="14.25" customHeight="1"/>
    <row r="587" s="164" customFormat="1" ht="14.25" customHeight="1"/>
    <row r="588" s="164" customFormat="1" ht="14.25" customHeight="1"/>
    <row r="589" s="164" customFormat="1" ht="14.25" customHeight="1"/>
    <row r="590" s="164" customFormat="1" ht="14.25" customHeight="1"/>
    <row r="591" s="164" customFormat="1" ht="14.25" customHeight="1"/>
    <row r="592" s="164" customFormat="1" ht="14.25" customHeight="1"/>
    <row r="593" s="164" customFormat="1" ht="14.25" customHeight="1"/>
    <row r="594" s="164" customFormat="1" ht="14.25" customHeight="1"/>
    <row r="595" s="164" customFormat="1" ht="14.25" customHeight="1"/>
    <row r="596" s="164" customFormat="1" ht="14.25" customHeight="1"/>
    <row r="597" s="164" customFormat="1" ht="14.25" customHeight="1"/>
    <row r="598" s="164" customFormat="1" ht="14.25" customHeight="1"/>
    <row r="599" s="164" customFormat="1" ht="14.25" customHeight="1"/>
    <row r="600" s="164" customFormat="1" ht="14.25" customHeight="1"/>
    <row r="601" s="164" customFormat="1" ht="14.25" customHeight="1"/>
    <row r="602" s="164" customFormat="1" ht="14.25" customHeight="1"/>
    <row r="603" s="164" customFormat="1" ht="14.25" customHeight="1"/>
    <row r="604" s="164" customFormat="1" ht="14.25" customHeight="1"/>
    <row r="605" s="164" customFormat="1" ht="14.25" customHeight="1"/>
    <row r="606" s="164" customFormat="1" ht="14.25" customHeight="1"/>
    <row r="607" s="164" customFormat="1" ht="14.25" customHeight="1"/>
    <row r="608" s="164" customFormat="1" ht="14.25" customHeight="1"/>
    <row r="609" s="164" customFormat="1" ht="14.25" customHeight="1"/>
    <row r="610" s="164" customFormat="1" ht="14.25" customHeight="1"/>
    <row r="611" s="164" customFormat="1" ht="14.25" customHeight="1"/>
    <row r="612" s="164" customFormat="1" ht="14.25" customHeight="1"/>
    <row r="613" s="164" customFormat="1" ht="14.25" customHeight="1"/>
    <row r="614" s="164" customFormat="1" ht="14.25" customHeight="1"/>
    <row r="615" s="164" customFormat="1" ht="14.25" customHeight="1"/>
    <row r="616" s="164" customFormat="1" ht="14.25" customHeight="1"/>
    <row r="617" s="164" customFormat="1" ht="14.25" customHeight="1"/>
    <row r="618" s="164" customFormat="1" ht="14.25" customHeight="1"/>
    <row r="619" s="164" customFormat="1" ht="14.25" customHeight="1"/>
    <row r="620" s="164" customFormat="1" ht="14.25" customHeight="1"/>
    <row r="621" s="164" customFormat="1" ht="14.25" customHeight="1"/>
    <row r="622" s="164" customFormat="1" ht="14.25" customHeight="1"/>
    <row r="623" s="164" customFormat="1" ht="14.25" customHeight="1"/>
    <row r="624" s="164" customFormat="1" ht="14.25" customHeight="1"/>
    <row r="625" s="164" customFormat="1" ht="14.25" customHeight="1"/>
    <row r="626" s="164" customFormat="1" ht="14.25" customHeight="1"/>
    <row r="627" s="164" customFormat="1" ht="14.25" customHeight="1"/>
    <row r="628" s="164" customFormat="1" ht="14.25" customHeight="1"/>
    <row r="629" s="164" customFormat="1" ht="14.25" customHeight="1"/>
    <row r="630" s="164" customFormat="1" ht="14.25" customHeight="1"/>
    <row r="631" s="164" customFormat="1" ht="14.25" customHeight="1"/>
    <row r="632" s="164" customFormat="1" ht="14.25" customHeight="1"/>
    <row r="633" s="164" customFormat="1" ht="14.25" customHeight="1"/>
    <row r="634" s="164" customFormat="1" ht="14.25" customHeight="1"/>
    <row r="635" s="164" customFormat="1" ht="14.25" customHeight="1"/>
    <row r="636" s="164" customFormat="1" ht="14.25" customHeight="1"/>
    <row r="637" s="164" customFormat="1" ht="14.25" customHeight="1"/>
    <row r="638" s="164" customFormat="1" ht="14.25" customHeight="1"/>
    <row r="639" s="164" customFormat="1" ht="14.25" customHeight="1"/>
    <row r="640" s="164" customFormat="1" ht="14.25" customHeight="1"/>
    <row r="641" s="164" customFormat="1" ht="14.25" customHeight="1"/>
    <row r="642" s="164" customFormat="1" ht="14.25" customHeight="1"/>
    <row r="643" s="164" customFormat="1" ht="14.25" customHeight="1"/>
    <row r="644" s="164" customFormat="1" ht="14.25" customHeight="1"/>
    <row r="645" s="164" customFormat="1" ht="14.25" customHeight="1"/>
    <row r="646" s="164" customFormat="1" ht="14.25" customHeight="1"/>
    <row r="647" s="164" customFormat="1" ht="14.25" customHeight="1"/>
    <row r="648" s="164" customFormat="1" ht="14.25" customHeight="1"/>
    <row r="649" s="164" customFormat="1" ht="14.25" customHeight="1"/>
    <row r="650" s="164" customFormat="1" ht="14.25" customHeight="1"/>
    <row r="651" s="164" customFormat="1" ht="14.25" customHeight="1"/>
    <row r="652" s="164" customFormat="1" ht="14.25" customHeight="1"/>
    <row r="653" s="164" customFormat="1" ht="14.25" customHeight="1"/>
    <row r="654" s="164" customFormat="1" ht="14.25" customHeight="1"/>
    <row r="655" s="164" customFormat="1" ht="14.25" customHeight="1"/>
    <row r="656" s="164" customFormat="1" ht="14.25" customHeight="1"/>
    <row r="657" s="164" customFormat="1" ht="14.25" customHeight="1"/>
    <row r="658" s="164" customFormat="1" ht="14.25" customHeight="1"/>
    <row r="659" s="164" customFormat="1" ht="14.25" customHeight="1"/>
    <row r="660" s="164" customFormat="1" ht="14.25" customHeight="1"/>
    <row r="661" s="164" customFormat="1" ht="14.25" customHeight="1"/>
    <row r="662" s="164" customFormat="1" ht="14.25" customHeight="1"/>
    <row r="663" s="164" customFormat="1" ht="14.25" customHeight="1"/>
    <row r="664" s="164" customFormat="1" ht="14.25" customHeight="1"/>
    <row r="665" s="164" customFormat="1" ht="14.25" customHeight="1"/>
    <row r="666" s="164" customFormat="1" ht="14.25" customHeight="1"/>
    <row r="667" s="164" customFormat="1" ht="14.25" customHeight="1"/>
    <row r="668" s="164" customFormat="1" ht="14.25" customHeight="1"/>
    <row r="669" s="164" customFormat="1" ht="14.25" customHeight="1"/>
    <row r="670" s="164" customFormat="1" ht="14.25" customHeight="1"/>
    <row r="671" s="164" customFormat="1" ht="14.25" customHeight="1"/>
    <row r="672" s="164" customFormat="1" ht="14.25" customHeight="1"/>
    <row r="673" s="164" customFormat="1" ht="14.25" customHeight="1"/>
    <row r="674" s="164" customFormat="1" ht="14.25" customHeight="1"/>
    <row r="675" s="164" customFormat="1" ht="14.25" customHeight="1"/>
    <row r="676" s="164" customFormat="1" ht="14.25" customHeight="1"/>
    <row r="677" s="164" customFormat="1" ht="14.25" customHeight="1"/>
    <row r="678" s="164" customFormat="1" ht="14.25" customHeight="1"/>
    <row r="679" s="164" customFormat="1" ht="14.25" customHeight="1"/>
    <row r="680" s="164" customFormat="1" ht="14.25" customHeight="1"/>
    <row r="681" s="164" customFormat="1" ht="14.25" customHeight="1"/>
    <row r="682" s="164" customFormat="1" ht="14.25" customHeight="1"/>
    <row r="683" s="164" customFormat="1" ht="14.25" customHeight="1"/>
    <row r="684" s="164" customFormat="1" ht="14.25" customHeight="1"/>
    <row r="685" s="164" customFormat="1" ht="14.25" customHeight="1"/>
    <row r="686" s="164" customFormat="1" ht="14.25" customHeight="1"/>
    <row r="687" s="164" customFormat="1" ht="14.25" customHeight="1"/>
    <row r="688" s="164" customFormat="1" ht="14.25" customHeight="1"/>
    <row r="689" s="164" customFormat="1" ht="14.25" customHeight="1"/>
    <row r="690" s="164" customFormat="1" ht="14.25" customHeight="1"/>
    <row r="691" s="164" customFormat="1" ht="14.25" customHeight="1"/>
    <row r="692" s="164" customFormat="1" ht="14.25" customHeight="1"/>
    <row r="693" s="164" customFormat="1" ht="14.25" customHeight="1"/>
    <row r="694" s="164" customFormat="1" ht="14.25" customHeight="1"/>
    <row r="695" s="164" customFormat="1" ht="14.25" customHeight="1"/>
    <row r="696" s="164" customFormat="1" ht="14.25" customHeight="1"/>
    <row r="697" s="164" customFormat="1" ht="14.25" customHeight="1"/>
    <row r="698" s="164" customFormat="1" ht="14.25" customHeight="1"/>
    <row r="699" s="164" customFormat="1" ht="14.25" customHeight="1"/>
    <row r="700" s="164" customFormat="1" ht="14.25" customHeight="1"/>
    <row r="701" s="164" customFormat="1" ht="14.25" customHeight="1"/>
    <row r="702" s="164" customFormat="1" ht="14.25" customHeight="1"/>
    <row r="703" s="164" customFormat="1" ht="14.25" customHeight="1"/>
    <row r="704" s="164" customFormat="1" ht="14.25" customHeight="1"/>
    <row r="705" s="164" customFormat="1" ht="14.25" customHeight="1"/>
    <row r="706" s="164" customFormat="1" ht="14.25" customHeight="1"/>
    <row r="707" s="164" customFormat="1" ht="14.25" customHeight="1"/>
    <row r="708" s="164" customFormat="1" ht="14.25" customHeight="1"/>
    <row r="709" s="164" customFormat="1" ht="14.25" customHeight="1"/>
    <row r="710" s="164" customFormat="1" ht="14.25" customHeight="1"/>
    <row r="711" s="164" customFormat="1" ht="14.25" customHeight="1"/>
    <row r="712" s="164" customFormat="1" ht="14.25" customHeight="1"/>
    <row r="713" s="164" customFormat="1" ht="14.25" customHeight="1"/>
    <row r="714" s="164" customFormat="1" ht="14.25" customHeight="1"/>
    <row r="715" s="164" customFormat="1" ht="14.25" customHeight="1"/>
    <row r="716" s="164" customFormat="1" ht="14.25" customHeight="1"/>
    <row r="717" s="164" customFormat="1" ht="14.25" customHeight="1"/>
    <row r="718" s="164" customFormat="1" ht="14.25" customHeight="1"/>
    <row r="719" s="164" customFormat="1" ht="14.25" customHeight="1"/>
    <row r="720" s="164" customFormat="1" ht="14.25" customHeight="1"/>
    <row r="721" s="164" customFormat="1" ht="14.25" customHeight="1"/>
    <row r="722" s="164" customFormat="1" ht="14.25" customHeight="1"/>
    <row r="723" s="164" customFormat="1" ht="14.25" customHeight="1"/>
    <row r="724" s="164" customFormat="1" ht="14.25" customHeight="1"/>
    <row r="725" s="164" customFormat="1" ht="14.25" customHeight="1"/>
    <row r="726" s="164" customFormat="1" ht="14.25" customHeight="1"/>
    <row r="727" s="164" customFormat="1" ht="14.25" customHeight="1"/>
    <row r="728" s="164" customFormat="1" ht="14.25" customHeight="1"/>
    <row r="729" s="164" customFormat="1" ht="14.25" customHeight="1"/>
    <row r="730" s="164" customFormat="1" ht="14.25" customHeight="1"/>
    <row r="731" s="164" customFormat="1" ht="14.25" customHeight="1"/>
    <row r="732" s="164" customFormat="1" ht="14.25" customHeight="1"/>
    <row r="733" s="164" customFormat="1" ht="14.25" customHeight="1"/>
    <row r="734" s="164" customFormat="1" ht="14.25" customHeight="1"/>
    <row r="735" s="164" customFormat="1" ht="14.25" customHeight="1"/>
    <row r="736" s="164" customFormat="1" ht="14.25" customHeight="1"/>
    <row r="737" s="164" customFormat="1" ht="14.25" customHeight="1"/>
    <row r="738" s="164" customFormat="1" ht="14.25" customHeight="1"/>
    <row r="739" s="164" customFormat="1" ht="14.25" customHeight="1"/>
    <row r="740" s="164" customFormat="1" ht="14.25" customHeight="1"/>
    <row r="741" s="164" customFormat="1" ht="14.25" customHeight="1"/>
    <row r="742" s="164" customFormat="1" ht="14.25" customHeight="1"/>
    <row r="743" s="164" customFormat="1" ht="14.25" customHeight="1"/>
    <row r="744" s="164" customFormat="1" ht="14.25" customHeight="1"/>
    <row r="745" s="164" customFormat="1" ht="14.25" customHeight="1"/>
    <row r="746" s="164" customFormat="1" ht="14.25" customHeight="1"/>
    <row r="747" s="164" customFormat="1" ht="14.25" customHeight="1"/>
    <row r="748" s="164" customFormat="1" ht="14.25" customHeight="1"/>
    <row r="749" s="164" customFormat="1" ht="14.25" customHeight="1"/>
    <row r="750" s="164" customFormat="1" ht="14.25" customHeight="1"/>
    <row r="751" s="164" customFormat="1" ht="14.25" customHeight="1"/>
    <row r="752" s="164" customFormat="1" ht="14.25" customHeight="1"/>
    <row r="753" s="164" customFormat="1" ht="14.25" customHeight="1"/>
    <row r="754" s="164" customFormat="1" ht="14.25" customHeight="1"/>
    <row r="755" s="164" customFormat="1" ht="14.25" customHeight="1"/>
    <row r="756" s="164" customFormat="1" ht="14.25" customHeight="1"/>
    <row r="757" s="164" customFormat="1" ht="14.25" customHeight="1"/>
    <row r="758" s="164" customFormat="1" ht="14.25" customHeight="1"/>
    <row r="759" s="164" customFormat="1" ht="14.25" customHeight="1"/>
    <row r="760" s="164" customFormat="1" ht="14.25" customHeight="1"/>
    <row r="761" s="164" customFormat="1" ht="14.25" customHeight="1"/>
    <row r="762" s="164" customFormat="1" ht="14.25" customHeight="1"/>
    <row r="763" s="164" customFormat="1" ht="14.25" customHeight="1"/>
    <row r="764" s="164" customFormat="1" ht="14.25" customHeight="1"/>
    <row r="765" s="164" customFormat="1" ht="14.25" customHeight="1"/>
    <row r="766" s="164" customFormat="1" ht="14.25" customHeight="1"/>
    <row r="767" s="164" customFormat="1" ht="14.25" customHeight="1"/>
    <row r="768" s="164" customFormat="1" ht="14.25" customHeight="1"/>
    <row r="769" s="164" customFormat="1" ht="14.25" customHeight="1"/>
    <row r="770" s="164" customFormat="1" ht="14.25" customHeight="1"/>
    <row r="771" s="164" customFormat="1" ht="14.25" customHeight="1"/>
    <row r="772" s="164" customFormat="1" ht="14.25" customHeight="1"/>
    <row r="773" s="164" customFormat="1" ht="14.25" customHeight="1"/>
    <row r="774" s="164" customFormat="1" ht="14.25" customHeight="1"/>
    <row r="775" s="164" customFormat="1" ht="14.25" customHeight="1"/>
    <row r="776" s="164" customFormat="1" ht="14.25" customHeight="1"/>
    <row r="777" s="164" customFormat="1" ht="14.25" customHeight="1"/>
    <row r="778" s="164" customFormat="1" ht="14.25" customHeight="1"/>
    <row r="779" s="164" customFormat="1" ht="14.25" customHeight="1"/>
    <row r="780" s="164" customFormat="1" ht="14.25" customHeight="1"/>
    <row r="781" s="164" customFormat="1" ht="14.25" customHeight="1"/>
    <row r="782" s="164" customFormat="1" ht="14.25" customHeight="1"/>
    <row r="783" s="164" customFormat="1" ht="14.25" customHeight="1"/>
    <row r="784" s="164" customFormat="1" ht="14.25" customHeight="1"/>
    <row r="785" s="164" customFormat="1" ht="14.25" customHeight="1"/>
    <row r="786" s="164" customFormat="1" ht="14.25" customHeight="1"/>
    <row r="787" s="164" customFormat="1" ht="14.25" customHeight="1"/>
    <row r="788" s="164" customFormat="1" ht="14.25" customHeight="1"/>
    <row r="789" s="164" customFormat="1" ht="14.25" customHeight="1"/>
    <row r="790" s="164" customFormat="1" ht="14.25" customHeight="1"/>
    <row r="791" s="164" customFormat="1" ht="14.25" customHeight="1"/>
    <row r="792" s="164" customFormat="1" ht="14.25" customHeight="1"/>
    <row r="793" s="164" customFormat="1" ht="14.25" customHeight="1"/>
    <row r="794" s="164" customFormat="1" ht="14.25" customHeight="1"/>
    <row r="795" s="164" customFormat="1" ht="14.25" customHeight="1"/>
    <row r="796" s="164" customFormat="1" ht="14.25" customHeight="1"/>
    <row r="797" s="164" customFormat="1" ht="14.25" customHeight="1"/>
    <row r="798" s="164" customFormat="1" ht="14.25" customHeight="1"/>
    <row r="799" s="164" customFormat="1" ht="14.25" customHeight="1"/>
    <row r="800" s="164" customFormat="1" ht="14.25" customHeight="1"/>
    <row r="801" s="164" customFormat="1" ht="14.25" customHeight="1"/>
    <row r="802" s="164" customFormat="1" ht="14.25" customHeight="1"/>
    <row r="803" s="164" customFormat="1" ht="14.25" customHeight="1"/>
    <row r="804" s="164" customFormat="1" ht="14.25" customHeight="1"/>
    <row r="805" s="164" customFormat="1" ht="14.25" customHeight="1"/>
    <row r="806" s="164" customFormat="1" ht="14.25" customHeight="1"/>
    <row r="807" s="164" customFormat="1" ht="14.25" customHeight="1"/>
    <row r="808" s="164" customFormat="1" ht="14.25" customHeight="1"/>
    <row r="809" s="164" customFormat="1" ht="14.25" customHeight="1"/>
    <row r="810" s="164" customFormat="1" ht="14.25" customHeight="1"/>
    <row r="811" s="164" customFormat="1" ht="14.25" customHeight="1"/>
    <row r="812" s="164" customFormat="1" ht="14.25" customHeight="1"/>
    <row r="813" s="164" customFormat="1" ht="14.25" customHeight="1"/>
    <row r="814" s="164" customFormat="1" ht="14.25" customHeight="1"/>
    <row r="815" s="164" customFormat="1" ht="14.25" customHeight="1"/>
    <row r="816" s="164" customFormat="1" ht="14.25" customHeight="1"/>
    <row r="817" s="164" customFormat="1" ht="14.25" customHeight="1"/>
    <row r="818" s="164" customFormat="1" ht="14.25" customHeight="1"/>
    <row r="819" s="164" customFormat="1" ht="14.25" customHeight="1"/>
    <row r="820" s="164" customFormat="1" ht="14.25" customHeight="1"/>
    <row r="821" s="164" customFormat="1" ht="14.25" customHeight="1"/>
    <row r="822" s="164" customFormat="1" ht="14.25" customHeight="1"/>
    <row r="823" s="164" customFormat="1" ht="14.25" customHeight="1"/>
    <row r="824" s="164" customFormat="1" ht="14.25" customHeight="1"/>
    <row r="825" s="164" customFormat="1" ht="14.25" customHeight="1"/>
    <row r="826" s="164" customFormat="1" ht="14.25" customHeight="1"/>
    <row r="827" s="164" customFormat="1" ht="14.25" customHeight="1"/>
    <row r="828" s="164" customFormat="1" ht="14.25" customHeight="1"/>
    <row r="829" s="164" customFormat="1" ht="14.25" customHeight="1"/>
    <row r="830" s="164" customFormat="1" ht="14.25" customHeight="1"/>
    <row r="831" s="164" customFormat="1" ht="14.25" customHeight="1"/>
    <row r="832" s="164" customFormat="1" ht="14.25" customHeight="1"/>
    <row r="833" s="164" customFormat="1" ht="14.25" customHeight="1"/>
    <row r="834" s="164" customFormat="1" ht="14.25" customHeight="1"/>
    <row r="835" s="164" customFormat="1" ht="14.25" customHeight="1"/>
    <row r="836" s="164" customFormat="1" ht="14.25" customHeight="1"/>
    <row r="837" s="164" customFormat="1" ht="14.25" customHeight="1"/>
    <row r="838" s="164" customFormat="1" ht="14.25" customHeight="1"/>
    <row r="839" s="164" customFormat="1" ht="14.25" customHeight="1"/>
    <row r="840" s="164" customFormat="1" ht="14.25" customHeight="1"/>
    <row r="841" s="164" customFormat="1" ht="14.25" customHeight="1"/>
    <row r="842" s="164" customFormat="1" ht="14.25" customHeight="1"/>
    <row r="843" s="164" customFormat="1" ht="14.25" customHeight="1"/>
    <row r="844" s="164" customFormat="1" ht="14.25" customHeight="1"/>
    <row r="845" s="164" customFormat="1" ht="14.25" customHeight="1"/>
    <row r="846" s="164" customFormat="1" ht="14.25" customHeight="1"/>
    <row r="847" s="164" customFormat="1" ht="14.25" customHeight="1"/>
    <row r="848" s="164" customFormat="1" ht="14.25" customHeight="1"/>
    <row r="849" s="164" customFormat="1" ht="14.25" customHeight="1"/>
    <row r="850" s="164" customFormat="1" ht="14.25" customHeight="1"/>
    <row r="851" s="164" customFormat="1" ht="14.25" customHeight="1"/>
    <row r="852" s="164" customFormat="1" ht="14.25" customHeight="1"/>
    <row r="853" s="164" customFormat="1" ht="14.25" customHeight="1"/>
    <row r="854" s="164" customFormat="1" ht="14.25" customHeight="1"/>
    <row r="855" s="164" customFormat="1" ht="14.25" customHeight="1"/>
    <row r="856" s="164" customFormat="1" ht="14.25" customHeight="1"/>
    <row r="857" s="164" customFormat="1" ht="14.25" customHeight="1"/>
    <row r="858" s="164" customFormat="1" ht="14.25" customHeight="1"/>
    <row r="859" s="164" customFormat="1" ht="14.25" customHeight="1"/>
    <row r="860" s="164" customFormat="1" ht="14.25" customHeight="1"/>
    <row r="861" s="164" customFormat="1" ht="14.25" customHeight="1"/>
    <row r="862" s="164" customFormat="1" ht="14.25" customHeight="1"/>
    <row r="863" s="164" customFormat="1" ht="14.25" customHeight="1"/>
    <row r="864" s="164" customFormat="1" ht="14.25" customHeight="1"/>
    <row r="865" s="164" customFormat="1" ht="14.25" customHeight="1"/>
    <row r="866" s="164" customFormat="1" ht="14.25" customHeight="1"/>
    <row r="867" s="164" customFormat="1" ht="14.25" customHeight="1"/>
    <row r="868" s="164" customFormat="1" ht="14.25" customHeight="1"/>
    <row r="869" s="164" customFormat="1" ht="14.25" customHeight="1"/>
    <row r="870" s="164" customFormat="1" ht="14.25" customHeight="1"/>
    <row r="871" s="164" customFormat="1" ht="14.25" customHeight="1"/>
    <row r="872" s="164" customFormat="1" ht="14.25" customHeight="1"/>
    <row r="873" s="164" customFormat="1" ht="14.25" customHeight="1"/>
    <row r="874" s="164" customFormat="1" ht="14.25" customHeight="1"/>
    <row r="875" s="164" customFormat="1" ht="14.25" customHeight="1"/>
    <row r="876" s="164" customFormat="1" ht="14.25" customHeight="1"/>
    <row r="877" s="164" customFormat="1" ht="14.25" customHeight="1"/>
    <row r="878" s="164" customFormat="1" ht="14.25" customHeight="1"/>
    <row r="879" s="164" customFormat="1" ht="14.25" customHeight="1"/>
    <row r="880" s="164" customFormat="1" ht="14.25" customHeight="1"/>
    <row r="881" s="164" customFormat="1" ht="14.25" customHeight="1"/>
    <row r="882" s="164" customFormat="1" ht="14.25" customHeight="1"/>
    <row r="883" s="164" customFormat="1" ht="14.25" customHeight="1"/>
    <row r="884" s="164" customFormat="1" ht="14.25" customHeight="1"/>
    <row r="885" s="164" customFormat="1" ht="14.25" customHeight="1"/>
    <row r="886" s="164" customFormat="1" ht="14.25" customHeight="1"/>
    <row r="887" s="164" customFormat="1" ht="14.25" customHeight="1"/>
    <row r="888" s="164" customFormat="1" ht="14.25" customHeight="1"/>
    <row r="889" s="164" customFormat="1" ht="14.25" customHeight="1"/>
    <row r="890" s="164" customFormat="1" ht="14.25" customHeight="1"/>
    <row r="891" s="164" customFormat="1" ht="14.25" customHeight="1"/>
    <row r="892" s="164" customFormat="1" ht="14.25" customHeight="1"/>
    <row r="893" s="164" customFormat="1" ht="14.25" customHeight="1"/>
    <row r="894" s="164" customFormat="1" ht="14.25" customHeight="1"/>
    <row r="895" s="164" customFormat="1" ht="14.25" customHeight="1"/>
    <row r="896" s="164" customFormat="1" ht="14.25" customHeight="1"/>
    <row r="897" s="164" customFormat="1" ht="14.25" customHeight="1"/>
    <row r="898" s="164" customFormat="1" ht="14.25" customHeight="1"/>
    <row r="899" s="164" customFormat="1" ht="14.25" customHeight="1"/>
    <row r="900" s="164" customFormat="1" ht="14.25" customHeight="1"/>
    <row r="901" s="164" customFormat="1" ht="14.25" customHeight="1"/>
    <row r="902" s="164" customFormat="1" ht="14.25" customHeight="1"/>
    <row r="903" s="164" customFormat="1" ht="14.25" customHeight="1"/>
    <row r="904" s="164" customFormat="1" ht="14.25" customHeight="1"/>
    <row r="905" s="164" customFormat="1" ht="14.25" customHeight="1"/>
    <row r="906" s="164" customFormat="1" ht="14.25" customHeight="1"/>
    <row r="907" s="164" customFormat="1" ht="14.25" customHeight="1"/>
    <row r="908" s="164" customFormat="1" ht="14.25" customHeight="1"/>
    <row r="909" s="164" customFormat="1" ht="14.25" customHeight="1"/>
    <row r="910" s="164" customFormat="1" ht="14.25" customHeight="1"/>
    <row r="911" s="164" customFormat="1" ht="14.25" customHeight="1"/>
    <row r="912" s="164" customFormat="1" ht="14.25" customHeight="1"/>
    <row r="913" s="164" customFormat="1" ht="14.25" customHeight="1"/>
    <row r="914" s="164" customFormat="1" ht="14.25" customHeight="1"/>
    <row r="915" s="164" customFormat="1" ht="14.25" customHeight="1"/>
    <row r="916" s="164" customFormat="1" ht="14.25" customHeight="1"/>
    <row r="917" s="164" customFormat="1" ht="14.25" customHeight="1"/>
    <row r="918" s="164" customFormat="1" ht="14.25" customHeight="1"/>
    <row r="919" s="164" customFormat="1" ht="14.25" customHeight="1"/>
    <row r="920" s="164" customFormat="1" ht="14.25" customHeight="1"/>
    <row r="921" s="164" customFormat="1" ht="14.25" customHeight="1"/>
    <row r="922" s="164" customFormat="1" ht="14.25" customHeight="1"/>
    <row r="923" s="164" customFormat="1" ht="14.25" customHeight="1"/>
    <row r="924" s="164" customFormat="1" ht="14.25" customHeight="1"/>
    <row r="925" s="164" customFormat="1" ht="14.25" customHeight="1"/>
    <row r="926" s="164" customFormat="1" ht="14.25" customHeight="1"/>
    <row r="927" s="164" customFormat="1" ht="14.25" customHeight="1"/>
    <row r="928" s="164" customFormat="1" ht="14.25" customHeight="1"/>
    <row r="929" s="164" customFormat="1" ht="14.25" customHeight="1"/>
    <row r="930" s="164" customFormat="1" ht="14.25" customHeight="1"/>
    <row r="931" s="164" customFormat="1" ht="14.25" customHeight="1"/>
    <row r="932" s="164" customFormat="1" ht="14.25" customHeight="1"/>
    <row r="933" s="164" customFormat="1" ht="14.25" customHeight="1"/>
    <row r="934" s="164" customFormat="1" ht="14.25" customHeight="1"/>
    <row r="935" s="164" customFormat="1" ht="14.25" customHeight="1"/>
    <row r="936" s="164" customFormat="1" ht="14.25" customHeight="1"/>
    <row r="937" s="164" customFormat="1" ht="14.25" customHeight="1"/>
    <row r="938" s="164" customFormat="1" ht="14.25" customHeight="1"/>
    <row r="939" s="164" customFormat="1" ht="14.25" customHeight="1"/>
    <row r="940" s="164" customFormat="1" ht="14.25" customHeight="1"/>
    <row r="941" s="164" customFormat="1" ht="14.25" customHeight="1"/>
    <row r="942" s="164" customFormat="1" ht="14.25" customHeight="1"/>
    <row r="943" s="164" customFormat="1" ht="14.25" customHeight="1"/>
    <row r="944" s="164" customFormat="1" ht="14.25" customHeight="1"/>
    <row r="945" s="164" customFormat="1" ht="14.25" customHeight="1"/>
    <row r="946" s="164" customFormat="1" ht="14.25" customHeight="1"/>
    <row r="947" s="164" customFormat="1" ht="14.25" customHeight="1"/>
    <row r="948" s="164" customFormat="1" ht="14.25" customHeight="1"/>
    <row r="949" s="164" customFormat="1" ht="14.25" customHeight="1"/>
    <row r="950" s="164" customFormat="1" ht="14.25" customHeight="1"/>
    <row r="951" s="164" customFormat="1" ht="14.25" customHeight="1"/>
    <row r="952" s="164" customFormat="1" ht="14.25" customHeight="1"/>
    <row r="953" s="164" customFormat="1" ht="14.25" customHeight="1"/>
    <row r="954" s="164" customFormat="1" ht="14.25" customHeight="1"/>
    <row r="955" s="164" customFormat="1" ht="14.25" customHeight="1"/>
    <row r="956" s="164" customFormat="1" ht="14.25" customHeight="1"/>
    <row r="957" s="164" customFormat="1" ht="14.25" customHeight="1"/>
    <row r="958" s="164" customFormat="1" ht="14.25" customHeight="1"/>
    <row r="959" s="164" customFormat="1" ht="14.25" customHeight="1"/>
    <row r="960" s="164" customFormat="1" ht="14.25" customHeight="1"/>
    <row r="961" s="164" customFormat="1" ht="14.25" customHeight="1"/>
    <row r="962" s="164" customFormat="1" ht="14.25" customHeight="1"/>
    <row r="963" s="164" customFormat="1" ht="14.25" customHeight="1"/>
    <row r="964" s="164" customFormat="1" ht="14.25" customHeight="1"/>
    <row r="965" s="164" customFormat="1" ht="14.25" customHeight="1"/>
    <row r="966" s="164" customFormat="1" ht="14.25" customHeight="1"/>
    <row r="967" s="164" customFormat="1" ht="14.25" customHeight="1"/>
    <row r="968" s="164" customFormat="1" ht="14.25" customHeight="1"/>
    <row r="969" s="164" customFormat="1" ht="14.25" customHeight="1"/>
    <row r="970" s="164" customFormat="1" ht="14.25" customHeight="1"/>
    <row r="971" s="164" customFormat="1" ht="14.25" customHeight="1"/>
    <row r="972" s="164" customFormat="1" ht="14.25" customHeight="1"/>
    <row r="973" s="164" customFormat="1" ht="14.25" customHeight="1"/>
    <row r="974" s="164" customFormat="1" ht="14.25" customHeight="1"/>
    <row r="975" s="164" customFormat="1" ht="14.25" customHeight="1"/>
    <row r="976" s="164" customFormat="1" ht="14.25" customHeight="1"/>
    <row r="977" s="164" customFormat="1" ht="14.25" customHeight="1"/>
    <row r="978" s="164" customFormat="1" ht="14.25" customHeight="1"/>
    <row r="979" s="164" customFormat="1" ht="14.25" customHeight="1"/>
    <row r="980" s="164" customFormat="1" ht="14.25" customHeight="1"/>
    <row r="981" s="164" customFormat="1" ht="14.25" customHeight="1"/>
    <row r="982" s="164" customFormat="1" ht="14.25" customHeight="1"/>
    <row r="983" s="164" customFormat="1" ht="14.25" customHeight="1"/>
    <row r="984" s="164" customFormat="1" ht="14.25" customHeight="1"/>
    <row r="985" s="164" customFormat="1" ht="14.25" customHeight="1"/>
    <row r="986" s="164" customFormat="1" ht="14.25" customHeight="1"/>
    <row r="987" s="164" customFormat="1" ht="14.25" customHeight="1"/>
    <row r="988" s="164" customFormat="1" ht="14.25" customHeight="1"/>
    <row r="989" s="164" customFormat="1" ht="14.25" customHeight="1"/>
    <row r="990" s="164" customFormat="1" ht="14.25" customHeight="1"/>
    <row r="991" s="164" customFormat="1" ht="14.25" customHeight="1"/>
    <row r="992" s="164" customFormat="1" ht="14.25" customHeight="1"/>
    <row r="993" s="164" customFormat="1" ht="14.25" customHeight="1"/>
    <row r="994" s="164" customFormat="1" ht="14.25" customHeight="1"/>
    <row r="995" s="164" customFormat="1" ht="14.25" customHeight="1"/>
    <row r="996" s="164" customFormat="1" ht="14.25" customHeight="1"/>
    <row r="997" s="164" customFormat="1" ht="14.25" customHeight="1"/>
    <row r="998" s="164" customFormat="1" ht="14.25" customHeight="1"/>
    <row r="999" s="164" customFormat="1" ht="14.25" customHeight="1"/>
    <row r="1000" s="164" customFormat="1" ht="14.25" customHeight="1"/>
  </sheetData>
  <mergeCells count="16">
    <mergeCell ref="O32:P33"/>
    <mergeCell ref="F5:G6"/>
    <mergeCell ref="I5:J6"/>
    <mergeCell ref="L5:M6"/>
    <mergeCell ref="C8:D9"/>
    <mergeCell ref="O14:P15"/>
    <mergeCell ref="S14:T15"/>
    <mergeCell ref="C16:D17"/>
    <mergeCell ref="S30:T31"/>
    <mergeCell ref="S35:T36"/>
    <mergeCell ref="G12:H13"/>
    <mergeCell ref="G17:H18"/>
    <mergeCell ref="G22:H23"/>
    <mergeCell ref="O26:P27"/>
    <mergeCell ref="C27:D28"/>
    <mergeCell ref="K28:L29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F1BFD-0640-448B-B9D4-7365899A120F}">
  <dimension ref="B3:BG27"/>
  <sheetViews>
    <sheetView zoomScaleNormal="100" workbookViewId="0">
      <selection activeCell="M28" sqref="M28"/>
    </sheetView>
  </sheetViews>
  <sheetFormatPr defaultRowHeight="14.5"/>
  <cols>
    <col min="3" max="3" width="27.453125" customWidth="1"/>
    <col min="4" max="5" width="11.1796875" customWidth="1"/>
    <col min="6" max="6" width="10.7265625" bestFit="1" customWidth="1"/>
    <col min="7" max="7" width="12.81640625" customWidth="1"/>
    <col min="8" max="8" width="12.81640625" bestFit="1" customWidth="1"/>
    <col min="9" max="9" width="12.81640625" customWidth="1"/>
    <col min="11" max="11" width="12.1796875" bestFit="1" customWidth="1"/>
    <col min="12" max="13" width="12.1796875" customWidth="1"/>
    <col min="19" max="19" width="12" bestFit="1" customWidth="1"/>
    <col min="20" max="59" width="2.7265625" customWidth="1"/>
    <col min="60" max="60" width="3.1796875" customWidth="1"/>
  </cols>
  <sheetData>
    <row r="3" spans="2:59">
      <c r="B3" s="80"/>
      <c r="C3" s="81"/>
      <c r="D3" s="81"/>
      <c r="E3" s="81"/>
      <c r="F3" s="153" t="s">
        <v>83</v>
      </c>
      <c r="G3" s="154"/>
      <c r="H3" s="155"/>
      <c r="I3" s="79"/>
      <c r="T3" s="76">
        <v>0</v>
      </c>
      <c r="U3" s="76">
        <v>1</v>
      </c>
      <c r="V3" s="76">
        <v>2</v>
      </c>
      <c r="W3" s="76">
        <v>3</v>
      </c>
      <c r="X3" s="76">
        <v>4</v>
      </c>
      <c r="Y3" s="76">
        <v>5</v>
      </c>
      <c r="Z3" s="76">
        <v>6</v>
      </c>
      <c r="AA3" s="76">
        <v>7</v>
      </c>
      <c r="AB3" s="76">
        <v>8</v>
      </c>
      <c r="AC3" s="76">
        <v>9</v>
      </c>
      <c r="AD3" s="76">
        <v>10</v>
      </c>
      <c r="AE3" s="76">
        <v>11</v>
      </c>
      <c r="AF3" s="76">
        <v>12</v>
      </c>
      <c r="AG3" s="76">
        <v>13</v>
      </c>
      <c r="AH3" s="76">
        <v>14</v>
      </c>
      <c r="AI3" s="76">
        <v>15</v>
      </c>
      <c r="AJ3" s="76">
        <v>16</v>
      </c>
      <c r="AK3" s="76">
        <v>17</v>
      </c>
      <c r="AL3" s="76">
        <v>18</v>
      </c>
      <c r="AM3" s="76">
        <v>19</v>
      </c>
      <c r="AN3" s="76">
        <v>20</v>
      </c>
      <c r="AO3" s="76">
        <v>21</v>
      </c>
      <c r="AP3" s="76">
        <v>22</v>
      </c>
      <c r="AQ3" s="76">
        <v>23</v>
      </c>
      <c r="AR3" s="76">
        <v>24</v>
      </c>
      <c r="AS3" s="76">
        <v>25</v>
      </c>
      <c r="AT3" s="76">
        <v>26</v>
      </c>
      <c r="AU3" s="76">
        <v>27</v>
      </c>
      <c r="AV3" s="76">
        <v>28</v>
      </c>
      <c r="AW3" s="76">
        <v>29</v>
      </c>
      <c r="AX3" s="76">
        <v>30</v>
      </c>
      <c r="AY3" s="76">
        <v>31</v>
      </c>
      <c r="AZ3" s="76">
        <v>32</v>
      </c>
      <c r="BA3" s="76">
        <v>33</v>
      </c>
      <c r="BB3" s="1">
        <v>34</v>
      </c>
      <c r="BC3" s="1">
        <v>35</v>
      </c>
      <c r="BD3" s="1">
        <v>36</v>
      </c>
      <c r="BE3" s="1">
        <v>37</v>
      </c>
      <c r="BF3" s="1">
        <v>38</v>
      </c>
      <c r="BG3" s="1">
        <v>39</v>
      </c>
    </row>
    <row r="4" spans="2:59">
      <c r="B4" s="80"/>
      <c r="C4" s="82" t="s">
        <v>55</v>
      </c>
      <c r="D4" s="83" t="s">
        <v>56</v>
      </c>
      <c r="E4" s="113" t="s">
        <v>1</v>
      </c>
      <c r="F4" s="83" t="s">
        <v>52</v>
      </c>
      <c r="G4" s="83" t="s">
        <v>53</v>
      </c>
      <c r="H4" s="83" t="s">
        <v>54</v>
      </c>
      <c r="I4" s="78" t="s">
        <v>51</v>
      </c>
      <c r="J4" s="2" t="s">
        <v>0</v>
      </c>
      <c r="K4" s="2" t="s">
        <v>1</v>
      </c>
      <c r="L4" s="2" t="s">
        <v>117</v>
      </c>
      <c r="M4" s="2" t="s">
        <v>118</v>
      </c>
      <c r="N4" s="2" t="s">
        <v>2</v>
      </c>
      <c r="O4" s="2" t="s">
        <v>3</v>
      </c>
      <c r="P4" s="2" t="s">
        <v>4</v>
      </c>
      <c r="Q4" s="2" t="s">
        <v>5</v>
      </c>
      <c r="R4" s="2" t="s">
        <v>6</v>
      </c>
      <c r="S4" s="3" t="s">
        <v>18</v>
      </c>
    </row>
    <row r="5" spans="2:59">
      <c r="B5" s="84" t="s">
        <v>75</v>
      </c>
      <c r="C5" s="85" t="s">
        <v>73</v>
      </c>
      <c r="D5" s="86" t="s">
        <v>74</v>
      </c>
      <c r="E5" s="2" t="s">
        <v>8</v>
      </c>
      <c r="F5" s="86" t="s">
        <v>8</v>
      </c>
      <c r="G5" s="86" t="s">
        <v>8</v>
      </c>
      <c r="H5" s="86" t="s">
        <v>8</v>
      </c>
      <c r="I5" s="78" t="s">
        <v>8</v>
      </c>
      <c r="J5" s="2">
        <f>Q21</f>
        <v>34</v>
      </c>
      <c r="K5" s="2" t="s">
        <v>8</v>
      </c>
      <c r="L5" s="149">
        <v>0</v>
      </c>
      <c r="M5" s="149">
        <f>SQRT(L5)</f>
        <v>0</v>
      </c>
      <c r="N5" s="2">
        <v>0</v>
      </c>
      <c r="O5" s="2">
        <v>34</v>
      </c>
      <c r="P5" s="2">
        <v>0</v>
      </c>
      <c r="Q5" s="2">
        <v>34</v>
      </c>
      <c r="R5" s="2">
        <v>0</v>
      </c>
      <c r="S5" s="5">
        <v>78000</v>
      </c>
      <c r="T5" s="100">
        <f t="shared" ref="T5:BA5" si="0">$S$5/$J$5</f>
        <v>2294.1176470588234</v>
      </c>
      <c r="U5" s="100">
        <f t="shared" si="0"/>
        <v>2294.1176470588234</v>
      </c>
      <c r="V5" s="100">
        <f t="shared" si="0"/>
        <v>2294.1176470588234</v>
      </c>
      <c r="W5" s="100">
        <f t="shared" si="0"/>
        <v>2294.1176470588234</v>
      </c>
      <c r="X5" s="100">
        <f t="shared" si="0"/>
        <v>2294.1176470588234</v>
      </c>
      <c r="Y5" s="100">
        <f t="shared" si="0"/>
        <v>2294.1176470588234</v>
      </c>
      <c r="Z5" s="100">
        <f t="shared" si="0"/>
        <v>2294.1176470588234</v>
      </c>
      <c r="AA5" s="100">
        <f t="shared" si="0"/>
        <v>2294.1176470588234</v>
      </c>
      <c r="AB5" s="100">
        <f t="shared" si="0"/>
        <v>2294.1176470588234</v>
      </c>
      <c r="AC5" s="100">
        <f t="shared" si="0"/>
        <v>2294.1176470588234</v>
      </c>
      <c r="AD5" s="100">
        <f t="shared" si="0"/>
        <v>2294.1176470588234</v>
      </c>
      <c r="AE5" s="100">
        <f t="shared" si="0"/>
        <v>2294.1176470588234</v>
      </c>
      <c r="AF5" s="100">
        <f t="shared" si="0"/>
        <v>2294.1176470588234</v>
      </c>
      <c r="AG5" s="100">
        <f t="shared" si="0"/>
        <v>2294.1176470588234</v>
      </c>
      <c r="AH5" s="100">
        <f t="shared" si="0"/>
        <v>2294.1176470588234</v>
      </c>
      <c r="AI5" s="100">
        <f t="shared" si="0"/>
        <v>2294.1176470588234</v>
      </c>
      <c r="AJ5" s="100">
        <f t="shared" si="0"/>
        <v>2294.1176470588234</v>
      </c>
      <c r="AK5" s="100">
        <f t="shared" si="0"/>
        <v>2294.1176470588234</v>
      </c>
      <c r="AL5" s="100">
        <f t="shared" si="0"/>
        <v>2294.1176470588234</v>
      </c>
      <c r="AM5" s="100">
        <f t="shared" si="0"/>
        <v>2294.1176470588234</v>
      </c>
      <c r="AN5" s="100">
        <f t="shared" si="0"/>
        <v>2294.1176470588234</v>
      </c>
      <c r="AO5" s="100">
        <f t="shared" si="0"/>
        <v>2294.1176470588234</v>
      </c>
      <c r="AP5" s="100">
        <f t="shared" si="0"/>
        <v>2294.1176470588234</v>
      </c>
      <c r="AQ5" s="100">
        <f t="shared" si="0"/>
        <v>2294.1176470588234</v>
      </c>
      <c r="AR5" s="100">
        <f t="shared" si="0"/>
        <v>2294.1176470588234</v>
      </c>
      <c r="AS5" s="100">
        <f t="shared" si="0"/>
        <v>2294.1176470588234</v>
      </c>
      <c r="AT5" s="100">
        <f t="shared" si="0"/>
        <v>2294.1176470588234</v>
      </c>
      <c r="AU5" s="100">
        <f t="shared" si="0"/>
        <v>2294.1176470588234</v>
      </c>
      <c r="AV5" s="100">
        <f t="shared" si="0"/>
        <v>2294.1176470588234</v>
      </c>
      <c r="AW5" s="100">
        <f t="shared" si="0"/>
        <v>2294.1176470588234</v>
      </c>
      <c r="AX5" s="100">
        <f t="shared" si="0"/>
        <v>2294.1176470588234</v>
      </c>
      <c r="AY5" s="100">
        <f t="shared" si="0"/>
        <v>2294.1176470588234</v>
      </c>
      <c r="AZ5" s="100">
        <f t="shared" si="0"/>
        <v>2294.1176470588234</v>
      </c>
      <c r="BA5" s="100">
        <f t="shared" si="0"/>
        <v>2294.1176470588234</v>
      </c>
    </row>
    <row r="6" spans="2:59">
      <c r="B6" s="152" t="s">
        <v>76</v>
      </c>
      <c r="C6" s="87" t="s">
        <v>35</v>
      </c>
      <c r="D6" s="88" t="s">
        <v>63</v>
      </c>
      <c r="E6" s="2" t="s">
        <v>8</v>
      </c>
      <c r="F6" s="86">
        <v>6</v>
      </c>
      <c r="G6" s="86">
        <v>9</v>
      </c>
      <c r="H6" s="86">
        <v>12</v>
      </c>
      <c r="I6" s="78">
        <f>(F6+H6+4*G6)/6</f>
        <v>9</v>
      </c>
      <c r="J6" s="2">
        <v>9</v>
      </c>
      <c r="K6" s="2" t="s">
        <v>8</v>
      </c>
      <c r="L6" s="149">
        <f t="shared" ref="L6:L21" si="1">(H6-F6)^2/36</f>
        <v>1</v>
      </c>
      <c r="M6" s="149">
        <f t="shared" ref="M6:M21" si="2">SQRT(L6)</f>
        <v>1</v>
      </c>
      <c r="N6" s="2">
        <v>0</v>
      </c>
      <c r="O6" s="2">
        <v>9</v>
      </c>
      <c r="P6" s="75">
        <v>6</v>
      </c>
      <c r="Q6" s="75">
        <v>15</v>
      </c>
      <c r="R6" s="2">
        <v>6</v>
      </c>
      <c r="S6" s="5">
        <v>3000</v>
      </c>
      <c r="T6" s="70"/>
      <c r="U6" s="70"/>
      <c r="V6" s="70"/>
      <c r="W6" s="70"/>
      <c r="X6" s="70"/>
      <c r="Y6" s="70"/>
      <c r="Z6" s="77">
        <f t="shared" ref="Z6:AH6" si="3">$S$6/$J$6</f>
        <v>333.33333333333331</v>
      </c>
      <c r="AA6" s="72">
        <f t="shared" si="3"/>
        <v>333.33333333333331</v>
      </c>
      <c r="AB6" s="72">
        <f t="shared" si="3"/>
        <v>333.33333333333331</v>
      </c>
      <c r="AC6" s="72">
        <f t="shared" si="3"/>
        <v>333.33333333333331</v>
      </c>
      <c r="AD6" s="72">
        <f t="shared" si="3"/>
        <v>333.33333333333331</v>
      </c>
      <c r="AE6" s="72">
        <f t="shared" si="3"/>
        <v>333.33333333333331</v>
      </c>
      <c r="AF6" s="72">
        <f t="shared" si="3"/>
        <v>333.33333333333331</v>
      </c>
      <c r="AG6" s="72">
        <f t="shared" si="3"/>
        <v>333.33333333333331</v>
      </c>
      <c r="AH6" s="73">
        <f t="shared" si="3"/>
        <v>333.33333333333331</v>
      </c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</row>
    <row r="7" spans="2:59">
      <c r="B7" s="152"/>
      <c r="C7" s="93" t="s">
        <v>50</v>
      </c>
      <c r="D7" s="94" t="s">
        <v>57</v>
      </c>
      <c r="E7" s="75" t="s">
        <v>8</v>
      </c>
      <c r="F7" s="75">
        <v>1</v>
      </c>
      <c r="G7" s="75">
        <v>3</v>
      </c>
      <c r="H7" s="75">
        <v>5</v>
      </c>
      <c r="I7" s="95">
        <f t="shared" ref="I7:I21" si="4">(F7+H7+4*G7)/6</f>
        <v>3</v>
      </c>
      <c r="J7" s="75">
        <v>3</v>
      </c>
      <c r="K7" s="123" t="s">
        <v>8</v>
      </c>
      <c r="L7" s="150">
        <f t="shared" si="1"/>
        <v>0.44444444444444442</v>
      </c>
      <c r="M7" s="150">
        <f t="shared" si="2"/>
        <v>0.66666666666666663</v>
      </c>
      <c r="N7" s="123">
        <v>0</v>
      </c>
      <c r="O7" s="75">
        <v>3</v>
      </c>
      <c r="P7" s="75">
        <v>0</v>
      </c>
      <c r="Q7" s="75">
        <v>3</v>
      </c>
      <c r="R7" s="75">
        <v>0</v>
      </c>
      <c r="S7" s="5">
        <v>3000</v>
      </c>
      <c r="T7" s="14">
        <f>$S$7/$J$7</f>
        <v>1000</v>
      </c>
      <c r="U7" s="14">
        <f>$S$7/$J$7</f>
        <v>1000</v>
      </c>
      <c r="V7" s="14">
        <f>$S$7/$J$7</f>
        <v>1000</v>
      </c>
      <c r="W7" s="69"/>
      <c r="X7" s="69"/>
      <c r="Y7" s="69"/>
      <c r="Z7" s="69"/>
      <c r="AA7" s="69"/>
      <c r="AB7" s="69"/>
      <c r="AC7" s="69"/>
      <c r="AD7" s="69"/>
      <c r="AE7" s="69"/>
      <c r="AF7" s="69"/>
      <c r="AG7" s="69"/>
      <c r="AH7" s="69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</row>
    <row r="8" spans="2:59">
      <c r="B8" s="152"/>
      <c r="C8" s="87" t="s">
        <v>36</v>
      </c>
      <c r="D8" s="88" t="s">
        <v>58</v>
      </c>
      <c r="E8" s="2" t="s">
        <v>8</v>
      </c>
      <c r="F8" s="86">
        <v>1</v>
      </c>
      <c r="G8" s="86">
        <v>8</v>
      </c>
      <c r="H8" s="86">
        <v>9</v>
      </c>
      <c r="I8" s="78">
        <f t="shared" si="4"/>
        <v>7</v>
      </c>
      <c r="J8" s="2">
        <v>7</v>
      </c>
      <c r="K8" s="2" t="s">
        <v>8</v>
      </c>
      <c r="L8" s="149">
        <f t="shared" si="1"/>
        <v>1.7777777777777777</v>
      </c>
      <c r="M8" s="149">
        <f t="shared" si="2"/>
        <v>1.3333333333333333</v>
      </c>
      <c r="N8" s="2">
        <v>0</v>
      </c>
      <c r="O8" s="2">
        <v>7</v>
      </c>
      <c r="P8" s="75">
        <v>7</v>
      </c>
      <c r="Q8" s="75">
        <v>14</v>
      </c>
      <c r="R8" s="2">
        <v>7</v>
      </c>
      <c r="S8" s="5">
        <v>7000</v>
      </c>
      <c r="T8" s="70"/>
      <c r="U8" s="70"/>
      <c r="V8" s="70"/>
      <c r="W8" s="70"/>
      <c r="X8" s="70"/>
      <c r="Y8" s="70"/>
      <c r="Z8" s="70"/>
      <c r="AA8" s="10">
        <f t="shared" ref="AA8:AG8" si="5">$S$8/$J$8</f>
        <v>1000</v>
      </c>
      <c r="AB8" s="6">
        <f t="shared" si="5"/>
        <v>1000</v>
      </c>
      <c r="AC8" s="6">
        <f t="shared" si="5"/>
        <v>1000</v>
      </c>
      <c r="AD8" s="6">
        <f t="shared" si="5"/>
        <v>1000</v>
      </c>
      <c r="AE8" s="6">
        <f t="shared" si="5"/>
        <v>1000</v>
      </c>
      <c r="AF8" s="6">
        <f t="shared" si="5"/>
        <v>1000</v>
      </c>
      <c r="AG8" s="15">
        <f t="shared" si="5"/>
        <v>1000</v>
      </c>
      <c r="AH8" s="69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</row>
    <row r="9" spans="2:59">
      <c r="B9" s="152"/>
      <c r="C9" s="87" t="s">
        <v>38</v>
      </c>
      <c r="D9" s="88" t="s">
        <v>61</v>
      </c>
      <c r="E9" s="2" t="s">
        <v>63</v>
      </c>
      <c r="F9" s="86">
        <v>4</v>
      </c>
      <c r="G9" s="86">
        <v>6</v>
      </c>
      <c r="H9" s="86">
        <v>32</v>
      </c>
      <c r="I9" s="78">
        <f t="shared" si="4"/>
        <v>10</v>
      </c>
      <c r="J9" s="2">
        <v>10</v>
      </c>
      <c r="K9" s="2" t="s">
        <v>63</v>
      </c>
      <c r="L9" s="149">
        <f t="shared" si="1"/>
        <v>21.777777777777779</v>
      </c>
      <c r="M9" s="149">
        <f t="shared" si="2"/>
        <v>4.666666666666667</v>
      </c>
      <c r="N9" s="2">
        <v>9</v>
      </c>
      <c r="O9" s="2">
        <v>19</v>
      </c>
      <c r="P9" s="75">
        <v>15</v>
      </c>
      <c r="Q9" s="75">
        <v>25</v>
      </c>
      <c r="R9" s="2">
        <v>6</v>
      </c>
      <c r="S9" s="5">
        <v>10000</v>
      </c>
      <c r="T9" s="7"/>
      <c r="U9" s="7"/>
      <c r="V9" s="7"/>
      <c r="W9" s="69"/>
      <c r="X9" s="69"/>
      <c r="Y9" s="69"/>
      <c r="Z9" s="69"/>
      <c r="AA9" s="69"/>
      <c r="AB9" s="69"/>
      <c r="AC9" s="70"/>
      <c r="AD9" s="70"/>
      <c r="AE9" s="70"/>
      <c r="AF9" s="70"/>
      <c r="AG9" s="70"/>
      <c r="AH9" s="70"/>
      <c r="AI9" s="10">
        <f t="shared" ref="AI9:AR9" si="6">$S$9/$J$9</f>
        <v>1000</v>
      </c>
      <c r="AJ9" s="6">
        <f t="shared" si="6"/>
        <v>1000</v>
      </c>
      <c r="AK9" s="6">
        <f t="shared" si="6"/>
        <v>1000</v>
      </c>
      <c r="AL9" s="6">
        <f t="shared" si="6"/>
        <v>1000</v>
      </c>
      <c r="AM9" s="6">
        <f t="shared" si="6"/>
        <v>1000</v>
      </c>
      <c r="AN9" s="6">
        <f t="shared" si="6"/>
        <v>1000</v>
      </c>
      <c r="AO9" s="6">
        <f t="shared" si="6"/>
        <v>1000</v>
      </c>
      <c r="AP9" s="6">
        <f t="shared" si="6"/>
        <v>1000</v>
      </c>
      <c r="AQ9" s="6">
        <f t="shared" si="6"/>
        <v>1000</v>
      </c>
      <c r="AR9" s="15">
        <f t="shared" si="6"/>
        <v>1000</v>
      </c>
      <c r="AS9" s="7"/>
      <c r="AT9" s="7"/>
      <c r="AU9" s="7"/>
      <c r="AV9" s="7"/>
      <c r="AW9" s="7"/>
      <c r="AX9" s="7"/>
      <c r="AY9" s="7"/>
      <c r="AZ9" s="7"/>
      <c r="BA9" s="7"/>
    </row>
    <row r="10" spans="2:59">
      <c r="B10" s="152"/>
      <c r="C10" s="93" t="s">
        <v>39</v>
      </c>
      <c r="D10" s="94" t="s">
        <v>62</v>
      </c>
      <c r="E10" s="75" t="s">
        <v>57</v>
      </c>
      <c r="F10" s="75">
        <v>10</v>
      </c>
      <c r="G10" s="75">
        <v>22</v>
      </c>
      <c r="H10" s="75">
        <v>28</v>
      </c>
      <c r="I10" s="95">
        <f>(F10+H10+4*G10)/6</f>
        <v>21</v>
      </c>
      <c r="J10" s="75">
        <v>21</v>
      </c>
      <c r="K10" s="75" t="s">
        <v>57</v>
      </c>
      <c r="L10" s="150">
        <f t="shared" si="1"/>
        <v>9</v>
      </c>
      <c r="M10" s="150">
        <f t="shared" si="2"/>
        <v>3</v>
      </c>
      <c r="N10" s="75">
        <v>3</v>
      </c>
      <c r="O10" s="75">
        <v>24</v>
      </c>
      <c r="P10" s="75">
        <v>3</v>
      </c>
      <c r="Q10" s="75">
        <v>24</v>
      </c>
      <c r="R10" s="75">
        <v>0</v>
      </c>
      <c r="S10" s="5">
        <v>63000</v>
      </c>
      <c r="T10" s="7"/>
      <c r="U10" s="7"/>
      <c r="V10" s="7"/>
      <c r="W10" s="14">
        <f t="shared" ref="W10:AQ10" si="7">$S$10/$J$10</f>
        <v>3000</v>
      </c>
      <c r="X10" s="14">
        <f t="shared" si="7"/>
        <v>3000</v>
      </c>
      <c r="Y10" s="14">
        <f t="shared" si="7"/>
        <v>3000</v>
      </c>
      <c r="Z10" s="14">
        <f t="shared" si="7"/>
        <v>3000</v>
      </c>
      <c r="AA10" s="14">
        <f t="shared" si="7"/>
        <v>3000</v>
      </c>
      <c r="AB10" s="14">
        <f t="shared" si="7"/>
        <v>3000</v>
      </c>
      <c r="AC10" s="14">
        <f t="shared" si="7"/>
        <v>3000</v>
      </c>
      <c r="AD10" s="14">
        <f t="shared" si="7"/>
        <v>3000</v>
      </c>
      <c r="AE10" s="14">
        <f t="shared" si="7"/>
        <v>3000</v>
      </c>
      <c r="AF10" s="14">
        <f t="shared" si="7"/>
        <v>3000</v>
      </c>
      <c r="AG10" s="14">
        <f t="shared" si="7"/>
        <v>3000</v>
      </c>
      <c r="AH10" s="14">
        <f t="shared" si="7"/>
        <v>3000</v>
      </c>
      <c r="AI10" s="14">
        <f t="shared" si="7"/>
        <v>3000</v>
      </c>
      <c r="AJ10" s="14">
        <f t="shared" si="7"/>
        <v>3000</v>
      </c>
      <c r="AK10" s="14">
        <f t="shared" si="7"/>
        <v>3000</v>
      </c>
      <c r="AL10" s="14">
        <f t="shared" si="7"/>
        <v>3000</v>
      </c>
      <c r="AM10" s="14">
        <f t="shared" si="7"/>
        <v>3000</v>
      </c>
      <c r="AN10" s="14">
        <f t="shared" si="7"/>
        <v>3000</v>
      </c>
      <c r="AO10" s="14">
        <f t="shared" si="7"/>
        <v>3000</v>
      </c>
      <c r="AP10" s="14">
        <f t="shared" si="7"/>
        <v>3000</v>
      </c>
      <c r="AQ10" s="14">
        <f t="shared" si="7"/>
        <v>3000</v>
      </c>
      <c r="AR10" s="71"/>
      <c r="AS10" s="7"/>
      <c r="AT10" s="7"/>
      <c r="AU10" s="7"/>
      <c r="AV10" s="7"/>
      <c r="AW10" s="7"/>
      <c r="AX10" s="7"/>
      <c r="AY10" s="7"/>
      <c r="AZ10" s="7"/>
      <c r="BA10" s="7"/>
    </row>
    <row r="11" spans="2:59">
      <c r="B11" s="152" t="s">
        <v>77</v>
      </c>
      <c r="C11" s="87" t="s">
        <v>37</v>
      </c>
      <c r="D11" s="88" t="s">
        <v>64</v>
      </c>
      <c r="E11" s="2" t="s">
        <v>57</v>
      </c>
      <c r="F11" s="86">
        <v>1</v>
      </c>
      <c r="G11" s="86">
        <v>1</v>
      </c>
      <c r="H11" s="86">
        <v>1</v>
      </c>
      <c r="I11" s="78">
        <f t="shared" si="4"/>
        <v>1</v>
      </c>
      <c r="J11" s="2">
        <v>1</v>
      </c>
      <c r="K11" s="2" t="s">
        <v>57</v>
      </c>
      <c r="L11" s="149">
        <f t="shared" si="1"/>
        <v>0</v>
      </c>
      <c r="M11" s="149">
        <f t="shared" si="2"/>
        <v>0</v>
      </c>
      <c r="N11" s="2">
        <v>3</v>
      </c>
      <c r="O11" s="2">
        <v>4</v>
      </c>
      <c r="P11" s="75">
        <v>23</v>
      </c>
      <c r="Q11" s="75">
        <v>24</v>
      </c>
      <c r="R11" s="2">
        <v>20</v>
      </c>
      <c r="S11" s="5">
        <v>6000</v>
      </c>
      <c r="T11" s="7"/>
      <c r="U11" s="7"/>
      <c r="V11" s="7"/>
      <c r="W11" s="70"/>
      <c r="X11" s="69"/>
      <c r="Y11" s="69"/>
      <c r="Z11" s="69"/>
      <c r="AA11" s="69"/>
      <c r="AB11" s="69"/>
      <c r="AC11" s="69"/>
      <c r="AD11" s="69"/>
      <c r="AE11" s="69"/>
      <c r="AF11" s="69"/>
      <c r="AG11" s="69"/>
      <c r="AH11" s="69"/>
      <c r="AI11" s="69"/>
      <c r="AJ11" s="69"/>
      <c r="AK11" s="69"/>
      <c r="AL11" s="69"/>
      <c r="AM11" s="69"/>
      <c r="AN11" s="69"/>
      <c r="AO11" s="69"/>
      <c r="AP11" s="69"/>
      <c r="AQ11" s="11">
        <f>$S$11/$J$11</f>
        <v>6000</v>
      </c>
      <c r="AR11" s="69"/>
      <c r="AS11" s="7"/>
      <c r="AT11" s="7"/>
      <c r="AU11" s="7"/>
      <c r="AV11" s="7"/>
      <c r="AW11" s="7"/>
      <c r="AX11" s="7"/>
      <c r="AY11" s="7"/>
      <c r="AZ11" s="7"/>
      <c r="BA11" s="7"/>
    </row>
    <row r="12" spans="2:59">
      <c r="B12" s="152"/>
      <c r="C12" s="87" t="s">
        <v>40</v>
      </c>
      <c r="D12" s="88" t="s">
        <v>59</v>
      </c>
      <c r="E12" s="2" t="s">
        <v>57</v>
      </c>
      <c r="F12" s="86">
        <v>1</v>
      </c>
      <c r="G12" s="86">
        <v>1</v>
      </c>
      <c r="H12" s="86">
        <v>1</v>
      </c>
      <c r="I12" s="78">
        <f t="shared" si="4"/>
        <v>1</v>
      </c>
      <c r="J12" s="2">
        <v>1</v>
      </c>
      <c r="K12" s="2" t="s">
        <v>57</v>
      </c>
      <c r="L12" s="149">
        <f t="shared" si="1"/>
        <v>0</v>
      </c>
      <c r="M12" s="149">
        <f t="shared" si="2"/>
        <v>0</v>
      </c>
      <c r="N12" s="2">
        <v>3</v>
      </c>
      <c r="O12" s="2">
        <v>4</v>
      </c>
      <c r="P12" s="75">
        <v>13</v>
      </c>
      <c r="Q12" s="75">
        <v>14</v>
      </c>
      <c r="R12" s="2">
        <v>10</v>
      </c>
      <c r="S12" s="5">
        <v>51000</v>
      </c>
      <c r="T12" s="7"/>
      <c r="U12" s="7"/>
      <c r="V12" s="7"/>
      <c r="X12" s="7"/>
      <c r="Y12" s="7"/>
      <c r="Z12" s="7"/>
      <c r="AA12" s="7"/>
      <c r="AB12" s="7"/>
      <c r="AC12" s="7"/>
      <c r="AD12" s="7"/>
      <c r="AE12" s="7"/>
      <c r="AF12" s="69"/>
      <c r="AG12" s="11">
        <f>$S$12/$J$12</f>
        <v>51000</v>
      </c>
      <c r="AH12" s="69"/>
      <c r="AI12" s="69"/>
      <c r="AJ12" s="69"/>
      <c r="AK12" s="69"/>
      <c r="AL12" s="69"/>
      <c r="AM12" s="69"/>
      <c r="AN12" s="69"/>
      <c r="AO12" s="69"/>
      <c r="AP12" s="69"/>
      <c r="AQ12" s="69"/>
      <c r="AR12" s="69"/>
      <c r="AS12" s="69"/>
      <c r="AT12" s="69"/>
      <c r="AU12" s="69"/>
      <c r="AV12" s="69"/>
      <c r="AW12" s="69"/>
      <c r="AX12" s="69"/>
      <c r="AY12" s="69"/>
      <c r="AZ12" s="69"/>
      <c r="BA12" s="69"/>
    </row>
    <row r="13" spans="2:59">
      <c r="B13" s="152" t="s">
        <v>78</v>
      </c>
      <c r="C13" s="96" t="s">
        <v>41</v>
      </c>
      <c r="D13" s="97" t="s">
        <v>65</v>
      </c>
      <c r="E13" s="98" t="s">
        <v>80</v>
      </c>
      <c r="F13" s="98">
        <v>2</v>
      </c>
      <c r="G13" s="98">
        <v>4</v>
      </c>
      <c r="H13" s="98">
        <v>12</v>
      </c>
      <c r="I13" s="99">
        <f t="shared" si="4"/>
        <v>5</v>
      </c>
      <c r="J13" s="98">
        <v>5</v>
      </c>
      <c r="K13" s="98" t="s">
        <v>80</v>
      </c>
      <c r="L13" s="151">
        <f t="shared" si="1"/>
        <v>2.7777777777777777</v>
      </c>
      <c r="M13" s="151">
        <f t="shared" si="2"/>
        <v>1.6666666666666667</v>
      </c>
      <c r="N13" s="98">
        <v>7</v>
      </c>
      <c r="O13" s="98">
        <v>12</v>
      </c>
      <c r="P13" s="98">
        <v>14</v>
      </c>
      <c r="Q13" s="98">
        <v>19</v>
      </c>
      <c r="R13" s="98">
        <v>7</v>
      </c>
      <c r="S13" s="5">
        <v>15000</v>
      </c>
      <c r="T13" s="7"/>
      <c r="U13" s="7"/>
      <c r="V13" s="7"/>
      <c r="W13" s="7"/>
      <c r="X13" s="7"/>
      <c r="Y13" s="7"/>
      <c r="Z13" s="7"/>
      <c r="AF13" s="7"/>
      <c r="AG13" s="69"/>
      <c r="AH13" s="12">
        <f>$S$13/$J$13</f>
        <v>3000</v>
      </c>
      <c r="AI13" s="16">
        <f>$S$13/$J$13</f>
        <v>3000</v>
      </c>
      <c r="AJ13" s="16">
        <f>$S$13/$J$13</f>
        <v>3000</v>
      </c>
      <c r="AK13" s="16">
        <f>$S$13/$J$13</f>
        <v>3000</v>
      </c>
      <c r="AL13" s="17">
        <f>$S$13/$J$13</f>
        <v>3000</v>
      </c>
      <c r="AM13" s="69"/>
      <c r="AN13" s="69"/>
      <c r="AO13" s="69"/>
      <c r="AP13" s="69"/>
      <c r="AQ13" s="69"/>
      <c r="AR13" s="69"/>
      <c r="AS13" s="69"/>
      <c r="AT13" s="69"/>
      <c r="AU13" s="69"/>
      <c r="AV13" s="69"/>
      <c r="AW13" s="69"/>
      <c r="AX13" s="69"/>
      <c r="AY13" s="69"/>
      <c r="AZ13" s="69"/>
      <c r="BA13" s="69"/>
    </row>
    <row r="14" spans="2:59">
      <c r="B14" s="152"/>
      <c r="C14" s="87" t="s">
        <v>42</v>
      </c>
      <c r="D14" s="88" t="s">
        <v>66</v>
      </c>
      <c r="E14" s="2" t="s">
        <v>61</v>
      </c>
      <c r="F14" s="86">
        <v>5</v>
      </c>
      <c r="G14" s="86">
        <v>6</v>
      </c>
      <c r="H14" s="86">
        <v>7</v>
      </c>
      <c r="I14" s="78">
        <f t="shared" si="4"/>
        <v>6</v>
      </c>
      <c r="J14" s="2">
        <v>6</v>
      </c>
      <c r="K14" s="2" t="s">
        <v>61</v>
      </c>
      <c r="L14" s="149">
        <f t="shared" si="1"/>
        <v>0.1111111111111111</v>
      </c>
      <c r="M14" s="149">
        <f t="shared" si="2"/>
        <v>0.33333333333333331</v>
      </c>
      <c r="N14" s="2">
        <v>19</v>
      </c>
      <c r="O14" s="2">
        <v>25</v>
      </c>
      <c r="P14" s="75">
        <v>25</v>
      </c>
      <c r="Q14" s="75">
        <v>31</v>
      </c>
      <c r="R14" s="2">
        <v>6</v>
      </c>
      <c r="S14" s="5">
        <v>18000</v>
      </c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69"/>
      <c r="AH14" s="69"/>
      <c r="AI14" s="69"/>
      <c r="AJ14" s="69"/>
      <c r="AK14" s="69"/>
      <c r="AL14" s="69"/>
      <c r="AM14" s="70"/>
      <c r="AN14" s="70"/>
      <c r="AO14" s="70"/>
      <c r="AP14" s="70"/>
      <c r="AQ14" s="70"/>
      <c r="AR14" s="74"/>
      <c r="AS14" s="16">
        <f t="shared" ref="AS14:AX14" si="8">$S$14/$J$14</f>
        <v>3000</v>
      </c>
      <c r="AT14" s="16">
        <f t="shared" si="8"/>
        <v>3000</v>
      </c>
      <c r="AU14" s="16">
        <f t="shared" si="8"/>
        <v>3000</v>
      </c>
      <c r="AV14" s="16">
        <f t="shared" si="8"/>
        <v>3000</v>
      </c>
      <c r="AW14" s="16">
        <f t="shared" si="8"/>
        <v>3000</v>
      </c>
      <c r="AX14" s="17">
        <f t="shared" si="8"/>
        <v>3000</v>
      </c>
      <c r="AY14" s="69"/>
      <c r="AZ14" s="69"/>
      <c r="BA14" s="69"/>
    </row>
    <row r="15" spans="2:59">
      <c r="B15" s="152"/>
      <c r="C15" s="87" t="s">
        <v>44</v>
      </c>
      <c r="D15" s="88" t="s">
        <v>67</v>
      </c>
      <c r="E15" s="2" t="s">
        <v>65</v>
      </c>
      <c r="F15" s="86">
        <v>1</v>
      </c>
      <c r="G15" s="86">
        <v>3</v>
      </c>
      <c r="H15" s="86">
        <v>5</v>
      </c>
      <c r="I15" s="78">
        <f t="shared" si="4"/>
        <v>3</v>
      </c>
      <c r="J15" s="2">
        <v>3</v>
      </c>
      <c r="K15" s="2" t="s">
        <v>65</v>
      </c>
      <c r="L15" s="149">
        <f t="shared" si="1"/>
        <v>0.44444444444444442</v>
      </c>
      <c r="M15" s="149">
        <f t="shared" si="2"/>
        <v>0.66666666666666663</v>
      </c>
      <c r="N15" s="2">
        <v>12</v>
      </c>
      <c r="O15" s="2">
        <v>15</v>
      </c>
      <c r="P15" s="75">
        <v>21</v>
      </c>
      <c r="Q15" s="75">
        <v>24</v>
      </c>
      <c r="R15" s="2">
        <v>9</v>
      </c>
      <c r="S15" s="5">
        <v>9000</v>
      </c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I15" s="7"/>
      <c r="AJ15" s="7"/>
      <c r="AK15" s="7"/>
      <c r="AL15" s="7"/>
      <c r="AM15" s="69"/>
      <c r="AN15" s="69"/>
      <c r="AO15" s="13">
        <f>$S$15/$J$15</f>
        <v>3000</v>
      </c>
      <c r="AP15" s="19">
        <f>$S$15/$J$15</f>
        <v>3000</v>
      </c>
      <c r="AQ15" s="20">
        <f>$S$15/$J$15</f>
        <v>3000</v>
      </c>
      <c r="AR15" s="69"/>
      <c r="AS15" s="69"/>
      <c r="AT15" s="69"/>
      <c r="AU15" s="69"/>
      <c r="AV15" s="69"/>
      <c r="AW15" s="69"/>
      <c r="AX15" s="69"/>
      <c r="AY15" s="69"/>
      <c r="AZ15" s="69"/>
      <c r="BA15" s="69"/>
    </row>
    <row r="16" spans="2:59">
      <c r="B16" s="152"/>
      <c r="C16" s="96" t="s">
        <v>43</v>
      </c>
      <c r="D16" s="97" t="s">
        <v>68</v>
      </c>
      <c r="E16" s="98" t="s">
        <v>65</v>
      </c>
      <c r="F16" s="98">
        <v>4</v>
      </c>
      <c r="G16" s="98">
        <v>12</v>
      </c>
      <c r="H16" s="98">
        <v>14</v>
      </c>
      <c r="I16" s="99">
        <f t="shared" si="4"/>
        <v>11</v>
      </c>
      <c r="J16" s="98">
        <v>11</v>
      </c>
      <c r="K16" s="98" t="s">
        <v>65</v>
      </c>
      <c r="L16" s="151">
        <f t="shared" si="1"/>
        <v>2.7777777777777777</v>
      </c>
      <c r="M16" s="151">
        <f t="shared" si="2"/>
        <v>1.6666666666666667</v>
      </c>
      <c r="N16" s="98">
        <v>12</v>
      </c>
      <c r="O16" s="98">
        <v>23</v>
      </c>
      <c r="P16" s="98">
        <v>19</v>
      </c>
      <c r="Q16" s="98">
        <v>30</v>
      </c>
      <c r="R16" s="98">
        <v>7</v>
      </c>
      <c r="S16" s="5">
        <v>33000</v>
      </c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M16" s="12">
        <f t="shared" ref="AM16:AW16" si="9">$S$16/$J$16</f>
        <v>3000</v>
      </c>
      <c r="AN16" s="16">
        <f t="shared" si="9"/>
        <v>3000</v>
      </c>
      <c r="AO16" s="16">
        <f t="shared" si="9"/>
        <v>3000</v>
      </c>
      <c r="AP16" s="16">
        <f t="shared" si="9"/>
        <v>3000</v>
      </c>
      <c r="AQ16" s="16">
        <f t="shared" si="9"/>
        <v>3000</v>
      </c>
      <c r="AR16" s="16">
        <f t="shared" si="9"/>
        <v>3000</v>
      </c>
      <c r="AS16" s="16">
        <f t="shared" si="9"/>
        <v>3000</v>
      </c>
      <c r="AT16" s="16">
        <f t="shared" si="9"/>
        <v>3000</v>
      </c>
      <c r="AU16" s="16">
        <f t="shared" si="9"/>
        <v>3000</v>
      </c>
      <c r="AV16" s="16">
        <f t="shared" si="9"/>
        <v>3000</v>
      </c>
      <c r="AW16" s="17">
        <f t="shared" si="9"/>
        <v>3000</v>
      </c>
      <c r="AX16" s="69"/>
      <c r="AY16" s="69"/>
      <c r="AZ16" s="69"/>
      <c r="BA16" s="69"/>
    </row>
    <row r="17" spans="2:53">
      <c r="B17" s="152"/>
      <c r="C17" s="93" t="s">
        <v>47</v>
      </c>
      <c r="D17" s="94" t="s">
        <v>69</v>
      </c>
      <c r="E17" s="75" t="s">
        <v>81</v>
      </c>
      <c r="F17" s="75">
        <v>8</v>
      </c>
      <c r="G17" s="75">
        <v>8</v>
      </c>
      <c r="H17" s="75">
        <v>8</v>
      </c>
      <c r="I17" s="95">
        <f t="shared" si="4"/>
        <v>8</v>
      </c>
      <c r="J17" s="75">
        <v>8</v>
      </c>
      <c r="K17" s="75" t="s">
        <v>81</v>
      </c>
      <c r="L17" s="150">
        <f t="shared" si="1"/>
        <v>0</v>
      </c>
      <c r="M17" s="150">
        <f t="shared" si="2"/>
        <v>0</v>
      </c>
      <c r="N17" s="75">
        <v>24</v>
      </c>
      <c r="O17" s="75">
        <v>32</v>
      </c>
      <c r="P17" s="75">
        <v>24</v>
      </c>
      <c r="Q17" s="75">
        <v>32</v>
      </c>
      <c r="R17" s="75">
        <v>0</v>
      </c>
      <c r="S17" s="5">
        <v>24000</v>
      </c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69"/>
      <c r="AN17" s="69"/>
      <c r="AO17" s="69"/>
      <c r="AP17" s="69"/>
      <c r="AQ17" s="69"/>
      <c r="AR17" s="14">
        <f t="shared" ref="AR17:AY17" si="10">$S$17/$J$17</f>
        <v>3000</v>
      </c>
      <c r="AS17" s="14">
        <f t="shared" si="10"/>
        <v>3000</v>
      </c>
      <c r="AT17" s="14">
        <f t="shared" si="10"/>
        <v>3000</v>
      </c>
      <c r="AU17" s="14">
        <f t="shared" si="10"/>
        <v>3000</v>
      </c>
      <c r="AV17" s="14">
        <f t="shared" si="10"/>
        <v>3000</v>
      </c>
      <c r="AW17" s="14">
        <f t="shared" si="10"/>
        <v>3000</v>
      </c>
      <c r="AX17" s="14">
        <f t="shared" si="10"/>
        <v>3000</v>
      </c>
      <c r="AY17" s="14">
        <f t="shared" si="10"/>
        <v>3000</v>
      </c>
      <c r="AZ17" s="69"/>
      <c r="BA17" s="69"/>
    </row>
    <row r="18" spans="2:53">
      <c r="B18" s="152" t="s">
        <v>79</v>
      </c>
      <c r="C18" s="87" t="s">
        <v>45</v>
      </c>
      <c r="D18" s="88" t="s">
        <v>70</v>
      </c>
      <c r="E18" s="2" t="s">
        <v>66</v>
      </c>
      <c r="F18" s="86">
        <v>1</v>
      </c>
      <c r="G18" s="86">
        <v>1</v>
      </c>
      <c r="H18" s="86">
        <v>1</v>
      </c>
      <c r="I18" s="78">
        <f t="shared" si="4"/>
        <v>1</v>
      </c>
      <c r="J18" s="2">
        <v>1</v>
      </c>
      <c r="K18" s="2" t="s">
        <v>66</v>
      </c>
      <c r="L18" s="149">
        <f t="shared" si="1"/>
        <v>0</v>
      </c>
      <c r="M18" s="149">
        <f t="shared" si="2"/>
        <v>0</v>
      </c>
      <c r="N18" s="2">
        <v>25</v>
      </c>
      <c r="O18" s="2">
        <v>26</v>
      </c>
      <c r="P18" s="75">
        <v>31</v>
      </c>
      <c r="Q18" s="75">
        <v>32</v>
      </c>
      <c r="R18" s="2">
        <v>6</v>
      </c>
      <c r="S18" s="5">
        <v>2000</v>
      </c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69"/>
      <c r="AN18" s="69"/>
      <c r="AO18" s="69"/>
      <c r="AP18" s="69"/>
      <c r="AQ18" s="69"/>
      <c r="AR18" s="69"/>
      <c r="AS18" s="70"/>
      <c r="AT18" s="69"/>
      <c r="AU18" s="69"/>
      <c r="AV18" s="69"/>
      <c r="AW18" s="69"/>
      <c r="AX18" s="69"/>
      <c r="AY18" s="11">
        <f>$S$18/$J$18</f>
        <v>2000</v>
      </c>
      <c r="AZ18" s="69"/>
      <c r="BA18" s="69"/>
    </row>
    <row r="19" spans="2:53">
      <c r="B19" s="152"/>
      <c r="C19" s="87" t="s">
        <v>48</v>
      </c>
      <c r="D19" s="88" t="s">
        <v>60</v>
      </c>
      <c r="E19" s="2" t="s">
        <v>68</v>
      </c>
      <c r="F19" s="86">
        <v>2</v>
      </c>
      <c r="G19" s="86">
        <v>2</v>
      </c>
      <c r="H19" s="86">
        <v>2</v>
      </c>
      <c r="I19" s="78">
        <f t="shared" si="4"/>
        <v>2</v>
      </c>
      <c r="J19" s="2">
        <v>2</v>
      </c>
      <c r="K19" s="2" t="s">
        <v>68</v>
      </c>
      <c r="L19" s="149">
        <f t="shared" si="1"/>
        <v>0</v>
      </c>
      <c r="M19" s="149">
        <f t="shared" si="2"/>
        <v>0</v>
      </c>
      <c r="N19" s="2">
        <v>23</v>
      </c>
      <c r="O19" s="2">
        <v>25</v>
      </c>
      <c r="P19" s="75">
        <v>30</v>
      </c>
      <c r="Q19" s="75">
        <v>32</v>
      </c>
      <c r="R19" s="2">
        <v>7</v>
      </c>
      <c r="S19" s="5">
        <v>4000</v>
      </c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S19" s="7"/>
      <c r="AT19" s="69"/>
      <c r="AU19" s="69"/>
      <c r="AV19" s="69"/>
      <c r="AW19" s="69"/>
      <c r="AX19" s="12">
        <f>$S$19/$J$19</f>
        <v>2000</v>
      </c>
      <c r="AY19" s="17">
        <f>$S$19/$J$19</f>
        <v>2000</v>
      </c>
      <c r="AZ19" s="69"/>
      <c r="BA19" s="69"/>
    </row>
    <row r="20" spans="2:53">
      <c r="B20" s="152"/>
      <c r="C20" s="87" t="s">
        <v>46</v>
      </c>
      <c r="D20" s="88" t="s">
        <v>71</v>
      </c>
      <c r="E20" s="2" t="s">
        <v>68</v>
      </c>
      <c r="F20" s="86">
        <v>1</v>
      </c>
      <c r="G20" s="86">
        <v>3</v>
      </c>
      <c r="H20" s="86">
        <v>5</v>
      </c>
      <c r="I20" s="78">
        <f t="shared" si="4"/>
        <v>3</v>
      </c>
      <c r="J20" s="2">
        <v>3</v>
      </c>
      <c r="K20" s="2" t="s">
        <v>68</v>
      </c>
      <c r="L20" s="149">
        <f t="shared" si="1"/>
        <v>0.44444444444444442</v>
      </c>
      <c r="M20" s="149">
        <f t="shared" si="2"/>
        <v>0.66666666666666663</v>
      </c>
      <c r="N20" s="2">
        <v>23</v>
      </c>
      <c r="O20" s="2">
        <v>26</v>
      </c>
      <c r="P20" s="75">
        <v>31</v>
      </c>
      <c r="Q20" s="75">
        <v>34</v>
      </c>
      <c r="R20" s="2">
        <v>8</v>
      </c>
      <c r="S20" s="5">
        <v>11000</v>
      </c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T20" s="69"/>
      <c r="AU20" s="69"/>
      <c r="AV20" s="69"/>
      <c r="AW20" s="69"/>
      <c r="AX20" s="69"/>
      <c r="AY20" s="18">
        <f>$S$20/$J$20</f>
        <v>3666.6666666666665</v>
      </c>
      <c r="AZ20" s="16">
        <f>$S$20/$J$20</f>
        <v>3666.6666666666665</v>
      </c>
      <c r="BA20" s="17">
        <f>$S$20/$J$20</f>
        <v>3666.6666666666665</v>
      </c>
    </row>
    <row r="21" spans="2:53">
      <c r="B21" s="152"/>
      <c r="C21" s="93" t="s">
        <v>49</v>
      </c>
      <c r="D21" s="94" t="s">
        <v>72</v>
      </c>
      <c r="E21" s="75" t="s">
        <v>82</v>
      </c>
      <c r="F21" s="75">
        <v>2</v>
      </c>
      <c r="G21" s="75">
        <v>2</v>
      </c>
      <c r="H21" s="75">
        <v>2</v>
      </c>
      <c r="I21" s="95">
        <f t="shared" si="4"/>
        <v>2</v>
      </c>
      <c r="J21" s="75">
        <v>2</v>
      </c>
      <c r="K21" s="75" t="s">
        <v>82</v>
      </c>
      <c r="L21" s="150">
        <f t="shared" si="1"/>
        <v>0</v>
      </c>
      <c r="M21" s="150">
        <f t="shared" si="2"/>
        <v>0</v>
      </c>
      <c r="N21" s="75">
        <v>32</v>
      </c>
      <c r="O21" s="75">
        <v>34</v>
      </c>
      <c r="P21" s="75">
        <v>32</v>
      </c>
      <c r="Q21" s="75">
        <v>34</v>
      </c>
      <c r="R21" s="75">
        <v>0</v>
      </c>
      <c r="S21" s="5">
        <v>4000</v>
      </c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69"/>
      <c r="AU21" s="69"/>
      <c r="AV21" s="69"/>
      <c r="AW21" s="69"/>
      <c r="AX21" s="69"/>
      <c r="AY21" s="69"/>
      <c r="AZ21" s="14">
        <f>$S$21/$J$21</f>
        <v>2000</v>
      </c>
      <c r="BA21" s="14">
        <f>$S$21/$J$21</f>
        <v>2000</v>
      </c>
    </row>
    <row r="22" spans="2:53">
      <c r="S22" s="21">
        <f>SUM(S5:S21)</f>
        <v>341000</v>
      </c>
      <c r="T22" s="21">
        <f>SUM(T5:T21)</f>
        <v>3294.1176470588234</v>
      </c>
      <c r="U22" s="21">
        <f t="shared" ref="U22:BA22" si="11">SUM(U5:U21)</f>
        <v>3294.1176470588234</v>
      </c>
      <c r="V22" s="21">
        <f t="shared" si="11"/>
        <v>3294.1176470588234</v>
      </c>
      <c r="W22" s="21">
        <f t="shared" si="11"/>
        <v>5294.1176470588234</v>
      </c>
      <c r="X22" s="21">
        <f t="shared" si="11"/>
        <v>5294.1176470588234</v>
      </c>
      <c r="Y22" s="21">
        <f t="shared" si="11"/>
        <v>5294.1176470588234</v>
      </c>
      <c r="Z22" s="21">
        <f t="shared" si="11"/>
        <v>5627.4509803921574</v>
      </c>
      <c r="AA22" s="21">
        <f t="shared" si="11"/>
        <v>6627.4509803921574</v>
      </c>
      <c r="AB22" s="21">
        <f t="shared" si="11"/>
        <v>6627.4509803921574</v>
      </c>
      <c r="AC22" s="21">
        <f t="shared" si="11"/>
        <v>6627.4509803921574</v>
      </c>
      <c r="AD22" s="21">
        <f t="shared" si="11"/>
        <v>6627.4509803921574</v>
      </c>
      <c r="AE22" s="21">
        <f t="shared" si="11"/>
        <v>6627.4509803921574</v>
      </c>
      <c r="AF22" s="21">
        <f t="shared" si="11"/>
        <v>6627.4509803921574</v>
      </c>
      <c r="AG22" s="21">
        <f t="shared" si="11"/>
        <v>57627.450980392154</v>
      </c>
      <c r="AH22" s="21">
        <f t="shared" si="11"/>
        <v>8627.4509803921574</v>
      </c>
      <c r="AI22" s="21">
        <f t="shared" si="11"/>
        <v>9294.1176470588234</v>
      </c>
      <c r="AJ22" s="21">
        <f t="shared" si="11"/>
        <v>9294.1176470588234</v>
      </c>
      <c r="AK22" s="21">
        <f t="shared" si="11"/>
        <v>9294.1176470588234</v>
      </c>
      <c r="AL22" s="21">
        <f t="shared" si="11"/>
        <v>9294.1176470588234</v>
      </c>
      <c r="AM22" s="21">
        <f t="shared" si="11"/>
        <v>9294.1176470588234</v>
      </c>
      <c r="AN22" s="21">
        <f t="shared" si="11"/>
        <v>9294.1176470588234</v>
      </c>
      <c r="AO22" s="21">
        <f t="shared" si="11"/>
        <v>12294.117647058823</v>
      </c>
      <c r="AP22" s="21">
        <f t="shared" si="11"/>
        <v>12294.117647058823</v>
      </c>
      <c r="AQ22" s="21">
        <f t="shared" si="11"/>
        <v>18294.117647058825</v>
      </c>
      <c r="AR22" s="21">
        <f t="shared" si="11"/>
        <v>9294.1176470588234</v>
      </c>
      <c r="AS22" s="21">
        <f t="shared" si="11"/>
        <v>11294.117647058823</v>
      </c>
      <c r="AT22" s="21">
        <f t="shared" si="11"/>
        <v>11294.117647058823</v>
      </c>
      <c r="AU22" s="21">
        <f t="shared" si="11"/>
        <v>11294.117647058823</v>
      </c>
      <c r="AV22" s="21">
        <f t="shared" si="11"/>
        <v>11294.117647058823</v>
      </c>
      <c r="AW22" s="21">
        <f t="shared" si="11"/>
        <v>11294.117647058823</v>
      </c>
      <c r="AX22" s="21">
        <f t="shared" si="11"/>
        <v>10294.117647058823</v>
      </c>
      <c r="AY22" s="21">
        <f t="shared" si="11"/>
        <v>12960.784313725489</v>
      </c>
      <c r="AZ22" s="21">
        <f t="shared" si="11"/>
        <v>7960.7843137254895</v>
      </c>
      <c r="BA22" s="21">
        <f t="shared" si="11"/>
        <v>7960.7843137254895</v>
      </c>
    </row>
    <row r="23" spans="2:53">
      <c r="C23" s="124" t="s">
        <v>119</v>
      </c>
      <c r="D23" s="68">
        <f>Q21</f>
        <v>34</v>
      </c>
      <c r="T23" s="21">
        <f>T22</f>
        <v>3294.1176470588234</v>
      </c>
      <c r="U23" s="21">
        <f>T23+U22</f>
        <v>6588.2352941176468</v>
      </c>
      <c r="V23" s="21">
        <f t="shared" ref="V23:BA23" si="12">U23+V22</f>
        <v>9882.3529411764703</v>
      </c>
      <c r="W23" s="21">
        <f t="shared" si="12"/>
        <v>15176.470588235294</v>
      </c>
      <c r="X23" s="21">
        <f t="shared" si="12"/>
        <v>20470.588235294119</v>
      </c>
      <c r="Y23" s="21">
        <f t="shared" si="12"/>
        <v>25764.705882352944</v>
      </c>
      <c r="Z23" s="21">
        <f t="shared" si="12"/>
        <v>31392.156862745102</v>
      </c>
      <c r="AA23" s="21">
        <f t="shared" si="12"/>
        <v>38019.607843137259</v>
      </c>
      <c r="AB23" s="21">
        <f t="shared" si="12"/>
        <v>44647.058823529413</v>
      </c>
      <c r="AC23" s="21">
        <f t="shared" si="12"/>
        <v>51274.509803921566</v>
      </c>
      <c r="AD23" s="21">
        <f t="shared" si="12"/>
        <v>57901.96078431372</v>
      </c>
      <c r="AE23" s="21">
        <f t="shared" si="12"/>
        <v>64529.411764705874</v>
      </c>
      <c r="AF23" s="21">
        <f t="shared" si="12"/>
        <v>71156.862745098028</v>
      </c>
      <c r="AG23" s="21">
        <f t="shared" si="12"/>
        <v>128784.31372549018</v>
      </c>
      <c r="AH23" s="21">
        <f t="shared" si="12"/>
        <v>137411.76470588235</v>
      </c>
      <c r="AI23" s="21">
        <f t="shared" si="12"/>
        <v>146705.88235294117</v>
      </c>
      <c r="AJ23" s="21">
        <f t="shared" si="12"/>
        <v>156000</v>
      </c>
      <c r="AK23" s="21">
        <f t="shared" si="12"/>
        <v>165294.11764705883</v>
      </c>
      <c r="AL23" s="21">
        <f t="shared" si="12"/>
        <v>174588.23529411765</v>
      </c>
      <c r="AM23" s="21">
        <f t="shared" si="12"/>
        <v>183882.35294117648</v>
      </c>
      <c r="AN23" s="21">
        <f t="shared" si="12"/>
        <v>193176.4705882353</v>
      </c>
      <c r="AO23" s="21">
        <f t="shared" si="12"/>
        <v>205470.58823529413</v>
      </c>
      <c r="AP23" s="21">
        <f t="shared" si="12"/>
        <v>217764.70588235295</v>
      </c>
      <c r="AQ23" s="21">
        <f t="shared" si="12"/>
        <v>236058.82352941178</v>
      </c>
      <c r="AR23" s="21">
        <f t="shared" si="12"/>
        <v>245352.9411764706</v>
      </c>
      <c r="AS23" s="21">
        <f t="shared" si="12"/>
        <v>256647.05882352943</v>
      </c>
      <c r="AT23" s="21">
        <f t="shared" si="12"/>
        <v>267941.17647058825</v>
      </c>
      <c r="AU23" s="21">
        <f t="shared" si="12"/>
        <v>279235.29411764705</v>
      </c>
      <c r="AV23" s="21">
        <f t="shared" si="12"/>
        <v>290529.41176470584</v>
      </c>
      <c r="AW23" s="21">
        <f t="shared" si="12"/>
        <v>301823.52941176464</v>
      </c>
      <c r="AX23" s="21">
        <f t="shared" si="12"/>
        <v>312117.64705882344</v>
      </c>
      <c r="AY23" s="21">
        <f t="shared" si="12"/>
        <v>325078.43137254892</v>
      </c>
      <c r="AZ23" s="21">
        <f t="shared" si="12"/>
        <v>333039.2156862744</v>
      </c>
      <c r="BA23" s="21">
        <f t="shared" si="12"/>
        <v>340999.99999999988</v>
      </c>
    </row>
    <row r="24" spans="2:53">
      <c r="B24" s="24"/>
      <c r="C24" s="24" t="s">
        <v>115</v>
      </c>
      <c r="D24" s="68">
        <f>Q21+2</f>
        <v>36</v>
      </c>
    </row>
    <row r="25" spans="2:53">
      <c r="C25" s="24" t="s">
        <v>118</v>
      </c>
      <c r="D25">
        <f>SQRT(L7+L10+L17+L21)</f>
        <v>3.0731814857642958</v>
      </c>
    </row>
    <row r="26" spans="2:53">
      <c r="C26" s="24" t="s">
        <v>120</v>
      </c>
      <c r="D26">
        <f>(D24-D23)/D25</f>
        <v>0.65079137345596849</v>
      </c>
    </row>
    <row r="27" spans="2:53">
      <c r="B27" s="24"/>
      <c r="C27" s="24" t="s">
        <v>116</v>
      </c>
      <c r="D27" s="125">
        <v>0.74219999999999997</v>
      </c>
    </row>
  </sheetData>
  <mergeCells count="5">
    <mergeCell ref="B6:B10"/>
    <mergeCell ref="B11:B12"/>
    <mergeCell ref="B13:B17"/>
    <mergeCell ref="B18:B21"/>
    <mergeCell ref="F3:H3"/>
  </mergeCells>
  <phoneticPr fontId="10" type="noConversion"/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5C877-8A21-498B-853D-FE48725AFE3D}">
  <dimension ref="B3:AX29"/>
  <sheetViews>
    <sheetView zoomScaleNormal="100" workbookViewId="0">
      <selection activeCell="F20" sqref="F20"/>
    </sheetView>
  </sheetViews>
  <sheetFormatPr defaultRowHeight="14.5"/>
  <cols>
    <col min="2" max="2" width="9.54296875" bestFit="1" customWidth="1"/>
    <col min="4" max="4" width="12.1796875" bestFit="1" customWidth="1"/>
    <col min="6" max="6" width="10" bestFit="1" customWidth="1"/>
    <col min="10" max="10" width="12" bestFit="1" customWidth="1"/>
    <col min="11" max="50" width="2.7265625" customWidth="1"/>
    <col min="51" max="51" width="3.1796875" customWidth="1"/>
  </cols>
  <sheetData>
    <row r="3" spans="2:50">
      <c r="K3" s="1">
        <v>0</v>
      </c>
      <c r="L3" s="1">
        <v>1</v>
      </c>
      <c r="M3" s="1">
        <v>2</v>
      </c>
      <c r="N3" s="1">
        <v>3</v>
      </c>
      <c r="O3" s="1">
        <v>4</v>
      </c>
      <c r="P3" s="1">
        <v>5</v>
      </c>
      <c r="Q3" s="1">
        <v>6</v>
      </c>
      <c r="R3" s="1">
        <v>7</v>
      </c>
      <c r="S3" s="1">
        <v>8</v>
      </c>
      <c r="T3" s="1">
        <v>9</v>
      </c>
      <c r="U3" s="1">
        <v>10</v>
      </c>
      <c r="V3" s="1">
        <v>11</v>
      </c>
      <c r="W3" s="1">
        <v>12</v>
      </c>
      <c r="X3" s="1">
        <v>13</v>
      </c>
      <c r="Y3" s="1">
        <v>14</v>
      </c>
      <c r="Z3" s="1">
        <v>15</v>
      </c>
      <c r="AA3" s="1">
        <v>16</v>
      </c>
      <c r="AB3" s="1">
        <v>17</v>
      </c>
      <c r="AC3" s="1">
        <v>18</v>
      </c>
      <c r="AD3" s="1">
        <v>19</v>
      </c>
      <c r="AE3" s="1">
        <v>20</v>
      </c>
      <c r="AF3" s="1">
        <v>21</v>
      </c>
      <c r="AG3" s="1">
        <v>22</v>
      </c>
      <c r="AH3" s="1">
        <v>23</v>
      </c>
      <c r="AI3" s="1">
        <v>24</v>
      </c>
      <c r="AJ3" s="1">
        <v>25</v>
      </c>
      <c r="AK3" s="1">
        <v>26</v>
      </c>
      <c r="AL3" s="1">
        <v>27</v>
      </c>
      <c r="AM3" s="1">
        <v>28</v>
      </c>
      <c r="AN3" s="1">
        <v>29</v>
      </c>
      <c r="AO3" s="1">
        <v>30</v>
      </c>
      <c r="AP3" s="1">
        <v>31</v>
      </c>
      <c r="AQ3" s="1">
        <v>32</v>
      </c>
      <c r="AR3" s="1">
        <v>33</v>
      </c>
      <c r="AS3" s="1">
        <v>34</v>
      </c>
      <c r="AT3" s="1">
        <v>35</v>
      </c>
      <c r="AU3" s="1">
        <v>36</v>
      </c>
      <c r="AV3" s="1">
        <v>37</v>
      </c>
      <c r="AW3" s="1">
        <v>38</v>
      </c>
      <c r="AX3" s="1">
        <v>39</v>
      </c>
    </row>
    <row r="4" spans="2:50">
      <c r="B4" s="2" t="s">
        <v>17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18</v>
      </c>
    </row>
    <row r="5" spans="2:50">
      <c r="B5" s="86" t="s">
        <v>74</v>
      </c>
      <c r="C5" s="2">
        <v>34</v>
      </c>
      <c r="D5" s="2" t="s">
        <v>8</v>
      </c>
      <c r="E5" s="2">
        <v>0</v>
      </c>
      <c r="F5" s="2" t="s">
        <v>8</v>
      </c>
      <c r="G5" s="2" t="s">
        <v>8</v>
      </c>
      <c r="H5" s="2" t="s">
        <v>8</v>
      </c>
      <c r="I5" s="2" t="s">
        <v>8</v>
      </c>
      <c r="J5" s="30">
        <v>78000</v>
      </c>
      <c r="K5" s="74">
        <f>'PERT ALAP'!T5</f>
        <v>2294.1176470588234</v>
      </c>
      <c r="L5" s="126">
        <f>'PERT ALAP'!U5</f>
        <v>2294.1176470588234</v>
      </c>
      <c r="M5" s="126">
        <f>'PERT ALAP'!V5</f>
        <v>2294.1176470588234</v>
      </c>
      <c r="N5" s="126">
        <f>'PERT ALAP'!W5</f>
        <v>2294.1176470588234</v>
      </c>
      <c r="O5" s="126">
        <f>'PERT ALAP'!X5</f>
        <v>2294.1176470588234</v>
      </c>
      <c r="P5" s="126">
        <f>'PERT ALAP'!Y5</f>
        <v>2294.1176470588234</v>
      </c>
      <c r="Q5" s="126">
        <f>'PERT ALAP'!Z5</f>
        <v>2294.1176470588234</v>
      </c>
      <c r="R5" s="126">
        <f>'PERT ALAP'!AA5</f>
        <v>2294.1176470588234</v>
      </c>
      <c r="S5" s="126">
        <f>'PERT ALAP'!AB5</f>
        <v>2294.1176470588234</v>
      </c>
      <c r="T5" s="126">
        <f>'PERT ALAP'!AC5</f>
        <v>2294.1176470588234</v>
      </c>
      <c r="U5" s="126">
        <f>'PERT ALAP'!AD5</f>
        <v>2294.1176470588234</v>
      </c>
      <c r="V5" s="126">
        <f>'PERT ALAP'!AE5</f>
        <v>2294.1176470588234</v>
      </c>
      <c r="W5" s="126">
        <f>'PERT ALAP'!AF5</f>
        <v>2294.1176470588234</v>
      </c>
      <c r="X5" s="126">
        <f>'PERT ALAP'!AG5</f>
        <v>2294.1176470588234</v>
      </c>
      <c r="Y5" s="126">
        <f>'PERT ALAP'!AH5</f>
        <v>2294.1176470588234</v>
      </c>
      <c r="Z5" s="126">
        <f>'PERT ALAP'!AI5</f>
        <v>2294.1176470588234</v>
      </c>
      <c r="AA5" s="126">
        <f>'PERT ALAP'!AJ5</f>
        <v>2294.1176470588234</v>
      </c>
      <c r="AB5" s="126">
        <f>'PERT ALAP'!AK5</f>
        <v>2294.1176470588234</v>
      </c>
      <c r="AC5" s="126">
        <f>'PERT ALAP'!AL5</f>
        <v>2294.1176470588234</v>
      </c>
      <c r="AD5" s="126">
        <f>'PERT ALAP'!AM5</f>
        <v>2294.1176470588234</v>
      </c>
      <c r="AE5" s="126">
        <f>'PERT ALAP'!AN5</f>
        <v>2294.1176470588234</v>
      </c>
      <c r="AF5" s="126">
        <f>'PERT ALAP'!AO5</f>
        <v>2294.1176470588234</v>
      </c>
      <c r="AG5" s="126">
        <f>'PERT ALAP'!AP5</f>
        <v>2294.1176470588234</v>
      </c>
      <c r="AH5" s="126">
        <f>'PERT ALAP'!AQ5</f>
        <v>2294.1176470588234</v>
      </c>
      <c r="AI5" s="126">
        <f>'PERT ALAP'!AR5</f>
        <v>2294.1176470588234</v>
      </c>
      <c r="AJ5" s="126">
        <f>'PERT ALAP'!AS5</f>
        <v>2294.1176470588234</v>
      </c>
      <c r="AK5" s="126">
        <f>'PERT ALAP'!AT5</f>
        <v>2294.1176470588234</v>
      </c>
      <c r="AL5" s="126">
        <f>'PERT ALAP'!AU5</f>
        <v>2294.1176470588234</v>
      </c>
      <c r="AM5" s="126">
        <f>'PERT ALAP'!AV5</f>
        <v>2294.1176470588234</v>
      </c>
      <c r="AN5" s="126">
        <f>'PERT ALAP'!AW5</f>
        <v>2294.1176470588234</v>
      </c>
      <c r="AO5" s="126">
        <f>'PERT ALAP'!AX5</f>
        <v>2294.1176470588234</v>
      </c>
      <c r="AP5" s="126">
        <f>'PERT ALAP'!AY5</f>
        <v>2294.1176470588234</v>
      </c>
      <c r="AQ5" s="126">
        <f>'PERT ALAP'!AZ5</f>
        <v>2294.1176470588234</v>
      </c>
      <c r="AR5" s="127">
        <f>'PERT ALAP'!BA5</f>
        <v>2294.1176470588234</v>
      </c>
    </row>
    <row r="6" spans="2:50">
      <c r="B6" s="88" t="s">
        <v>63</v>
      </c>
      <c r="C6" s="2">
        <v>9</v>
      </c>
      <c r="D6" s="2" t="s">
        <v>8</v>
      </c>
      <c r="E6" s="2">
        <v>0</v>
      </c>
      <c r="F6" s="2">
        <v>9</v>
      </c>
      <c r="G6" s="75">
        <v>6</v>
      </c>
      <c r="H6" s="75">
        <v>15</v>
      </c>
      <c r="I6" s="2">
        <v>6</v>
      </c>
      <c r="J6" s="30">
        <v>3000</v>
      </c>
      <c r="Q6" s="77">
        <f>$J$6/$C$6</f>
        <v>333.33333333333331</v>
      </c>
      <c r="R6" s="72">
        <f t="shared" ref="R6:Y6" si="0">$J$6/$C$6</f>
        <v>333.33333333333331</v>
      </c>
      <c r="S6" s="72">
        <f t="shared" si="0"/>
        <v>333.33333333333331</v>
      </c>
      <c r="T6" s="72">
        <f t="shared" si="0"/>
        <v>333.33333333333331</v>
      </c>
      <c r="U6" s="72">
        <f t="shared" si="0"/>
        <v>333.33333333333331</v>
      </c>
      <c r="V6" s="72">
        <f t="shared" si="0"/>
        <v>333.33333333333331</v>
      </c>
      <c r="W6" s="72">
        <f t="shared" si="0"/>
        <v>333.33333333333331</v>
      </c>
      <c r="X6" s="72">
        <f t="shared" si="0"/>
        <v>333.33333333333331</v>
      </c>
      <c r="Y6" s="73">
        <f t="shared" si="0"/>
        <v>333.33333333333331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2:50">
      <c r="B7" s="94" t="s">
        <v>57</v>
      </c>
      <c r="C7" s="2">
        <v>3</v>
      </c>
      <c r="D7" s="123" t="s">
        <v>8</v>
      </c>
      <c r="E7" s="75">
        <v>0</v>
      </c>
      <c r="F7" s="75">
        <v>3</v>
      </c>
      <c r="G7" s="75">
        <v>0</v>
      </c>
      <c r="H7" s="75">
        <v>3</v>
      </c>
      <c r="I7" s="2">
        <v>0</v>
      </c>
      <c r="J7" s="30">
        <v>3000</v>
      </c>
      <c r="K7" s="14">
        <f>$J$7/$C$7</f>
        <v>1000</v>
      </c>
      <c r="L7" s="14">
        <f t="shared" ref="L7:M7" si="1">$J$7/$C$7</f>
        <v>1000</v>
      </c>
      <c r="M7" s="14">
        <f t="shared" si="1"/>
        <v>1000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2:50">
      <c r="B8" s="88" t="s">
        <v>58</v>
      </c>
      <c r="C8" s="2">
        <v>7</v>
      </c>
      <c r="D8" s="2" t="s">
        <v>8</v>
      </c>
      <c r="E8" s="2">
        <v>0</v>
      </c>
      <c r="F8" s="2">
        <v>7</v>
      </c>
      <c r="G8" s="75">
        <v>7</v>
      </c>
      <c r="H8" s="75">
        <v>14</v>
      </c>
      <c r="I8" s="2">
        <v>7</v>
      </c>
      <c r="J8" s="30">
        <v>7000</v>
      </c>
      <c r="K8" s="10">
        <f>$J$8/$C$8</f>
        <v>1000</v>
      </c>
      <c r="L8" s="6">
        <f t="shared" ref="L8:Q8" si="2">$J$8/$C$8</f>
        <v>1000</v>
      </c>
      <c r="M8" s="6">
        <f t="shared" si="2"/>
        <v>1000</v>
      </c>
      <c r="N8" s="6">
        <f t="shared" si="2"/>
        <v>1000</v>
      </c>
      <c r="O8" s="6">
        <f t="shared" si="2"/>
        <v>1000</v>
      </c>
      <c r="P8" s="6">
        <f t="shared" si="2"/>
        <v>1000</v>
      </c>
      <c r="Q8" s="15">
        <f t="shared" si="2"/>
        <v>1000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2:50">
      <c r="B9" s="88" t="s">
        <v>61</v>
      </c>
      <c r="C9" s="2">
        <v>10</v>
      </c>
      <c r="D9" s="2" t="s">
        <v>63</v>
      </c>
      <c r="E9" s="2">
        <v>9</v>
      </c>
      <c r="F9" s="2">
        <v>19</v>
      </c>
      <c r="G9" s="75">
        <v>15</v>
      </c>
      <c r="H9" s="75">
        <v>25</v>
      </c>
      <c r="I9" s="2">
        <v>6</v>
      </c>
      <c r="J9" s="30">
        <v>10000</v>
      </c>
      <c r="K9" s="7"/>
      <c r="L9" s="7"/>
      <c r="M9" s="7"/>
      <c r="N9" s="7"/>
      <c r="O9" s="7"/>
      <c r="P9" s="7"/>
      <c r="Q9" s="7"/>
      <c r="R9" s="7"/>
      <c r="S9" s="7"/>
      <c r="Z9" s="10">
        <f>$J$9/$C$9</f>
        <v>1000</v>
      </c>
      <c r="AA9" s="6">
        <f t="shared" ref="AA9:AI9" si="3">$J$9/$C$9</f>
        <v>1000</v>
      </c>
      <c r="AB9" s="6">
        <f t="shared" si="3"/>
        <v>1000</v>
      </c>
      <c r="AC9" s="6">
        <f t="shared" si="3"/>
        <v>1000</v>
      </c>
      <c r="AD9" s="6">
        <f t="shared" si="3"/>
        <v>1000</v>
      </c>
      <c r="AE9" s="6">
        <f t="shared" si="3"/>
        <v>1000</v>
      </c>
      <c r="AF9" s="6">
        <f t="shared" si="3"/>
        <v>1000</v>
      </c>
      <c r="AG9" s="6">
        <f t="shared" si="3"/>
        <v>1000</v>
      </c>
      <c r="AH9" s="6">
        <f t="shared" si="3"/>
        <v>1000</v>
      </c>
      <c r="AI9" s="15">
        <f t="shared" si="3"/>
        <v>1000</v>
      </c>
      <c r="AJ9" s="7"/>
      <c r="AK9" s="7"/>
      <c r="AL9" s="7"/>
      <c r="AM9" s="7"/>
      <c r="AN9" s="7"/>
      <c r="AO9" s="7"/>
      <c r="AP9" s="7"/>
      <c r="AQ9" s="7"/>
      <c r="AR9" s="7"/>
    </row>
    <row r="10" spans="2:50">
      <c r="B10" s="94" t="s">
        <v>62</v>
      </c>
      <c r="C10" s="2">
        <v>21</v>
      </c>
      <c r="D10" s="75" t="s">
        <v>57</v>
      </c>
      <c r="E10" s="75">
        <v>3</v>
      </c>
      <c r="F10" s="75">
        <v>24</v>
      </c>
      <c r="G10" s="75">
        <v>3</v>
      </c>
      <c r="H10" s="75">
        <v>24</v>
      </c>
      <c r="I10" s="2">
        <v>20</v>
      </c>
      <c r="J10" s="30">
        <v>63000</v>
      </c>
      <c r="K10" s="7"/>
      <c r="L10" s="7"/>
      <c r="M10" s="7"/>
      <c r="N10" s="8">
        <f>$J$10/$C$10</f>
        <v>3000</v>
      </c>
      <c r="O10" s="8">
        <f t="shared" ref="O10:AH10" si="4">$J$10/$C$10</f>
        <v>3000</v>
      </c>
      <c r="P10" s="8">
        <f t="shared" si="4"/>
        <v>3000</v>
      </c>
      <c r="Q10" s="8">
        <f t="shared" si="4"/>
        <v>3000</v>
      </c>
      <c r="R10" s="8">
        <f t="shared" si="4"/>
        <v>3000</v>
      </c>
      <c r="S10" s="8">
        <f t="shared" si="4"/>
        <v>3000</v>
      </c>
      <c r="T10" s="8">
        <f t="shared" si="4"/>
        <v>3000</v>
      </c>
      <c r="U10" s="8">
        <f t="shared" si="4"/>
        <v>3000</v>
      </c>
      <c r="V10" s="8">
        <f t="shared" si="4"/>
        <v>3000</v>
      </c>
      <c r="W10" s="8">
        <f t="shared" si="4"/>
        <v>3000</v>
      </c>
      <c r="X10" s="8">
        <f t="shared" si="4"/>
        <v>3000</v>
      </c>
      <c r="Y10" s="8">
        <f t="shared" si="4"/>
        <v>3000</v>
      </c>
      <c r="Z10" s="8">
        <f t="shared" si="4"/>
        <v>3000</v>
      </c>
      <c r="AA10" s="8">
        <f t="shared" si="4"/>
        <v>3000</v>
      </c>
      <c r="AB10" s="8">
        <f t="shared" si="4"/>
        <v>3000</v>
      </c>
      <c r="AC10" s="8">
        <f t="shared" si="4"/>
        <v>3000</v>
      </c>
      <c r="AD10" s="8">
        <f t="shared" si="4"/>
        <v>3000</v>
      </c>
      <c r="AE10" s="8">
        <f t="shared" si="4"/>
        <v>3000</v>
      </c>
      <c r="AF10" s="8">
        <f t="shared" si="4"/>
        <v>3000</v>
      </c>
      <c r="AG10" s="8">
        <f t="shared" si="4"/>
        <v>3000</v>
      </c>
      <c r="AH10" s="8">
        <f t="shared" si="4"/>
        <v>3000</v>
      </c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2:50">
      <c r="B11" s="88" t="s">
        <v>64</v>
      </c>
      <c r="C11" s="2">
        <v>1</v>
      </c>
      <c r="D11" s="2" t="s">
        <v>57</v>
      </c>
      <c r="E11" s="2">
        <v>3</v>
      </c>
      <c r="F11" s="2">
        <v>4</v>
      </c>
      <c r="G11" s="75">
        <v>23</v>
      </c>
      <c r="H11" s="75">
        <v>24</v>
      </c>
      <c r="I11" s="2">
        <v>0</v>
      </c>
      <c r="J11" s="30">
        <v>6000</v>
      </c>
      <c r="K11" s="7"/>
      <c r="L11" s="7"/>
      <c r="M11" s="7"/>
      <c r="AH11" s="101">
        <f>J11</f>
        <v>6000</v>
      </c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2:50">
      <c r="B12" s="88" t="s">
        <v>59</v>
      </c>
      <c r="C12" s="2">
        <v>1</v>
      </c>
      <c r="D12" s="2" t="s">
        <v>57</v>
      </c>
      <c r="E12" s="2">
        <v>3</v>
      </c>
      <c r="F12" s="2">
        <v>4</v>
      </c>
      <c r="G12" s="75">
        <v>13</v>
      </c>
      <c r="H12" s="75">
        <v>14</v>
      </c>
      <c r="I12" s="2">
        <v>10</v>
      </c>
      <c r="J12" s="30">
        <v>51000</v>
      </c>
      <c r="K12" s="7"/>
      <c r="L12" s="7"/>
      <c r="M12" s="7"/>
      <c r="O12" s="7"/>
      <c r="P12" s="7"/>
      <c r="Q12" s="11">
        <f>$J$12/$C$12</f>
        <v>51000</v>
      </c>
      <c r="R12" s="7"/>
      <c r="S12" s="7"/>
      <c r="T12" s="7"/>
      <c r="U12" s="7"/>
      <c r="V12" s="7"/>
      <c r="W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2:50">
      <c r="B13" s="97" t="s">
        <v>65</v>
      </c>
      <c r="C13" s="2">
        <v>5</v>
      </c>
      <c r="D13" s="98" t="s">
        <v>80</v>
      </c>
      <c r="E13" s="98">
        <v>7</v>
      </c>
      <c r="F13" s="98">
        <v>12</v>
      </c>
      <c r="G13" s="98">
        <v>14</v>
      </c>
      <c r="H13" s="98">
        <v>19</v>
      </c>
      <c r="I13" s="2">
        <v>7</v>
      </c>
      <c r="J13" s="30">
        <v>15000</v>
      </c>
      <c r="K13" s="7"/>
      <c r="L13" s="7"/>
      <c r="M13" s="7"/>
      <c r="N13" s="7"/>
      <c r="O13" s="7"/>
      <c r="P13" s="7"/>
      <c r="Q13" s="7"/>
      <c r="R13" s="12">
        <f>$J$13/$C$13</f>
        <v>3000</v>
      </c>
      <c r="S13" s="16">
        <f t="shared" ref="S13:V13" si="5">$J$13/$C$13</f>
        <v>3000</v>
      </c>
      <c r="T13" s="16">
        <f t="shared" si="5"/>
        <v>3000</v>
      </c>
      <c r="U13" s="16">
        <f t="shared" si="5"/>
        <v>3000</v>
      </c>
      <c r="V13" s="17">
        <f t="shared" si="5"/>
        <v>3000</v>
      </c>
      <c r="W13" s="7"/>
      <c r="X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2:50">
      <c r="B14" s="88" t="s">
        <v>66</v>
      </c>
      <c r="C14" s="2">
        <v>6</v>
      </c>
      <c r="D14" s="2" t="s">
        <v>61</v>
      </c>
      <c r="E14" s="2">
        <v>19</v>
      </c>
      <c r="F14" s="2">
        <v>25</v>
      </c>
      <c r="G14" s="75">
        <v>25</v>
      </c>
      <c r="H14" s="75">
        <v>31</v>
      </c>
      <c r="I14" s="2">
        <v>6</v>
      </c>
      <c r="J14" s="30">
        <v>18000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J14" s="12">
        <f>$J$14/$C$14</f>
        <v>3000</v>
      </c>
      <c r="AK14" s="16">
        <f t="shared" ref="AK14:AO14" si="6">$J$14/$C$14</f>
        <v>3000</v>
      </c>
      <c r="AL14" s="16">
        <f t="shared" si="6"/>
        <v>3000</v>
      </c>
      <c r="AM14" s="16">
        <f t="shared" si="6"/>
        <v>3000</v>
      </c>
      <c r="AN14" s="16">
        <f t="shared" si="6"/>
        <v>3000</v>
      </c>
      <c r="AO14" s="17">
        <f t="shared" si="6"/>
        <v>3000</v>
      </c>
      <c r="AP14" s="7"/>
      <c r="AQ14" s="7"/>
      <c r="AR14" s="7"/>
    </row>
    <row r="15" spans="2:50">
      <c r="B15" s="88" t="s">
        <v>67</v>
      </c>
      <c r="C15" s="2">
        <v>3</v>
      </c>
      <c r="D15" s="2" t="s">
        <v>65</v>
      </c>
      <c r="E15" s="2">
        <v>12</v>
      </c>
      <c r="F15" s="2">
        <v>15</v>
      </c>
      <c r="G15" s="75">
        <v>21</v>
      </c>
      <c r="H15" s="75">
        <v>24</v>
      </c>
      <c r="I15" s="2">
        <v>9</v>
      </c>
      <c r="J15" s="30">
        <v>9000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Z15" s="7"/>
      <c r="AA15" s="7"/>
      <c r="AB15" s="7"/>
      <c r="AC15" s="7"/>
      <c r="AD15" s="7"/>
      <c r="AE15" s="7"/>
      <c r="AF15" s="12">
        <f>$J$15/$C$15</f>
        <v>3000</v>
      </c>
      <c r="AG15" s="16">
        <f t="shared" ref="AG15:AH15" si="7">$J$15/$C$15</f>
        <v>3000</v>
      </c>
      <c r="AH15" s="17">
        <f t="shared" si="7"/>
        <v>3000</v>
      </c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2:50">
      <c r="B16" s="97" t="s">
        <v>68</v>
      </c>
      <c r="C16" s="2">
        <v>11</v>
      </c>
      <c r="D16" s="98" t="s">
        <v>65</v>
      </c>
      <c r="E16" s="98">
        <v>12</v>
      </c>
      <c r="F16" s="98">
        <v>23</v>
      </c>
      <c r="G16" s="98">
        <v>19</v>
      </c>
      <c r="H16" s="98">
        <v>30</v>
      </c>
      <c r="I16" s="2">
        <v>7</v>
      </c>
      <c r="J16" s="30">
        <v>33000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12">
        <f>$J$16/$C$16</f>
        <v>3000</v>
      </c>
      <c r="X16" s="16">
        <f t="shared" ref="X16:AG16" si="8">$J$16/$C$16</f>
        <v>3000</v>
      </c>
      <c r="Y16" s="16">
        <f t="shared" si="8"/>
        <v>3000</v>
      </c>
      <c r="Z16" s="16">
        <f t="shared" si="8"/>
        <v>3000</v>
      </c>
      <c r="AA16" s="16">
        <f t="shared" si="8"/>
        <v>3000</v>
      </c>
      <c r="AB16" s="16">
        <f t="shared" si="8"/>
        <v>3000</v>
      </c>
      <c r="AC16" s="16">
        <f t="shared" si="8"/>
        <v>3000</v>
      </c>
      <c r="AD16" s="16">
        <f t="shared" si="8"/>
        <v>3000</v>
      </c>
      <c r="AE16" s="16">
        <f t="shared" si="8"/>
        <v>3000</v>
      </c>
      <c r="AF16" s="28">
        <f t="shared" si="8"/>
        <v>3000</v>
      </c>
      <c r="AG16" s="29">
        <f t="shared" si="8"/>
        <v>3000</v>
      </c>
      <c r="AO16" s="7"/>
      <c r="AP16" s="7"/>
      <c r="AQ16" s="7"/>
      <c r="AR16" s="7"/>
    </row>
    <row r="17" spans="2:45">
      <c r="B17" s="94" t="s">
        <v>69</v>
      </c>
      <c r="C17" s="2">
        <v>8</v>
      </c>
      <c r="D17" s="75" t="s">
        <v>81</v>
      </c>
      <c r="E17" s="75">
        <v>24</v>
      </c>
      <c r="F17" s="75">
        <v>32</v>
      </c>
      <c r="G17" s="75">
        <v>24</v>
      </c>
      <c r="H17" s="75">
        <v>32</v>
      </c>
      <c r="I17" s="2">
        <v>0</v>
      </c>
      <c r="J17" s="30">
        <v>24000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8">
        <f>$J$17/$C$17</f>
        <v>3000</v>
      </c>
      <c r="AJ17" s="8">
        <f t="shared" ref="AJ17:AP17" si="9">$J$17/$C$17</f>
        <v>3000</v>
      </c>
      <c r="AK17" s="8">
        <f t="shared" si="9"/>
        <v>3000</v>
      </c>
      <c r="AL17" s="8">
        <f t="shared" si="9"/>
        <v>3000</v>
      </c>
      <c r="AM17" s="8">
        <f t="shared" si="9"/>
        <v>3000</v>
      </c>
      <c r="AN17" s="8">
        <f t="shared" si="9"/>
        <v>3000</v>
      </c>
      <c r="AO17" s="8">
        <f t="shared" si="9"/>
        <v>3000</v>
      </c>
      <c r="AP17" s="8">
        <f t="shared" si="9"/>
        <v>3000</v>
      </c>
      <c r="AQ17" s="7"/>
      <c r="AR17" s="7"/>
    </row>
    <row r="18" spans="2:45">
      <c r="B18" s="88" t="s">
        <v>70</v>
      </c>
      <c r="C18" s="2">
        <v>1</v>
      </c>
      <c r="D18" s="2" t="s">
        <v>66</v>
      </c>
      <c r="E18" s="2">
        <v>25</v>
      </c>
      <c r="F18" s="2">
        <v>26</v>
      </c>
      <c r="G18" s="75">
        <v>31</v>
      </c>
      <c r="H18" s="75">
        <v>32</v>
      </c>
      <c r="I18" s="2">
        <v>6</v>
      </c>
      <c r="J18" s="30">
        <v>2000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K18" s="7"/>
      <c r="AL18" s="7"/>
      <c r="AM18" s="7"/>
      <c r="AN18" s="7"/>
      <c r="AO18" s="7"/>
      <c r="AP18" s="11">
        <f>$J$18/$C$18</f>
        <v>2000</v>
      </c>
      <c r="AQ18" s="7"/>
      <c r="AR18" s="7"/>
    </row>
    <row r="19" spans="2:45">
      <c r="B19" s="88" t="s">
        <v>60</v>
      </c>
      <c r="C19" s="2">
        <v>2</v>
      </c>
      <c r="D19" s="2" t="s">
        <v>68</v>
      </c>
      <c r="E19" s="2">
        <v>23</v>
      </c>
      <c r="F19" s="2">
        <v>25</v>
      </c>
      <c r="G19" s="75">
        <v>30</v>
      </c>
      <c r="H19" s="75">
        <v>32</v>
      </c>
      <c r="I19" s="2">
        <v>7</v>
      </c>
      <c r="J19" s="30">
        <v>4000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J19" s="7"/>
      <c r="AK19" s="7"/>
      <c r="AL19" s="7"/>
      <c r="AM19" s="7"/>
      <c r="AN19" s="7"/>
      <c r="AO19" s="12">
        <f>$J$19/$C$19</f>
        <v>2000</v>
      </c>
      <c r="AP19" s="17">
        <f>$J$19/$C$19</f>
        <v>2000</v>
      </c>
      <c r="AQ19" s="7"/>
      <c r="AR19" s="7"/>
    </row>
    <row r="20" spans="2:45">
      <c r="B20" s="88" t="s">
        <v>71</v>
      </c>
      <c r="C20" s="2">
        <v>3</v>
      </c>
      <c r="D20" s="2" t="s">
        <v>68</v>
      </c>
      <c r="E20" s="2">
        <v>23</v>
      </c>
      <c r="F20" s="2">
        <v>26</v>
      </c>
      <c r="G20" s="75">
        <v>31</v>
      </c>
      <c r="H20" s="75">
        <v>34</v>
      </c>
      <c r="I20" s="2">
        <v>8</v>
      </c>
      <c r="J20" s="30">
        <v>11000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K20" s="7"/>
      <c r="AL20" s="7"/>
      <c r="AM20" s="7"/>
      <c r="AN20" s="7"/>
      <c r="AO20" s="7"/>
      <c r="AP20" s="18">
        <f>$J$20/$C$20</f>
        <v>3666.6666666666665</v>
      </c>
      <c r="AQ20" s="16">
        <f t="shared" ref="AQ20:AR20" si="10">$J$20/$C$20</f>
        <v>3666.6666666666665</v>
      </c>
      <c r="AR20" s="17">
        <f t="shared" si="10"/>
        <v>3666.6666666666665</v>
      </c>
    </row>
    <row r="21" spans="2:45">
      <c r="B21" s="94" t="s">
        <v>72</v>
      </c>
      <c r="C21" s="2">
        <v>2</v>
      </c>
      <c r="D21" s="75" t="s">
        <v>82</v>
      </c>
      <c r="E21" s="75">
        <v>32</v>
      </c>
      <c r="F21" s="75">
        <v>34</v>
      </c>
      <c r="G21" s="75">
        <v>32</v>
      </c>
      <c r="H21" s="75">
        <v>34</v>
      </c>
      <c r="I21" s="2">
        <v>0</v>
      </c>
      <c r="J21" s="30">
        <v>4000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8">
        <f>$J$21/$C$21</f>
        <v>2000</v>
      </c>
      <c r="AR21" s="8">
        <f>$J$21/$C$21</f>
        <v>2000</v>
      </c>
    </row>
    <row r="22" spans="2:45">
      <c r="J22" s="21">
        <f>SUM(J5:J21)</f>
        <v>341000</v>
      </c>
      <c r="K22" s="21">
        <f>SUM(K5:K21)</f>
        <v>4294.1176470588234</v>
      </c>
      <c r="L22" s="21">
        <f t="shared" ref="L22:AS22" si="11">SUM(L5:L21)</f>
        <v>4294.1176470588234</v>
      </c>
      <c r="M22" s="21">
        <f t="shared" si="11"/>
        <v>4294.1176470588234</v>
      </c>
      <c r="N22" s="21">
        <f t="shared" si="11"/>
        <v>6294.1176470588234</v>
      </c>
      <c r="O22" s="21">
        <f t="shared" si="11"/>
        <v>6294.1176470588234</v>
      </c>
      <c r="P22" s="21">
        <f t="shared" si="11"/>
        <v>6294.1176470588234</v>
      </c>
      <c r="Q22" s="21">
        <f t="shared" si="11"/>
        <v>57627.450980392154</v>
      </c>
      <c r="R22" s="21">
        <f t="shared" si="11"/>
        <v>8627.4509803921574</v>
      </c>
      <c r="S22" s="21">
        <f t="shared" si="11"/>
        <v>8627.4509803921574</v>
      </c>
      <c r="T22" s="21">
        <f t="shared" si="11"/>
        <v>8627.4509803921574</v>
      </c>
      <c r="U22" s="21">
        <f t="shared" si="11"/>
        <v>8627.4509803921574</v>
      </c>
      <c r="V22" s="21">
        <f t="shared" si="11"/>
        <v>8627.4509803921574</v>
      </c>
      <c r="W22" s="21">
        <f t="shared" si="11"/>
        <v>8627.4509803921574</v>
      </c>
      <c r="X22" s="21">
        <f t="shared" si="11"/>
        <v>8627.4509803921574</v>
      </c>
      <c r="Y22" s="21">
        <f t="shared" si="11"/>
        <v>8627.4509803921574</v>
      </c>
      <c r="Z22" s="21">
        <f t="shared" si="11"/>
        <v>9294.1176470588234</v>
      </c>
      <c r="AA22" s="21">
        <f t="shared" si="11"/>
        <v>9294.1176470588234</v>
      </c>
      <c r="AB22" s="21">
        <f t="shared" si="11"/>
        <v>9294.1176470588234</v>
      </c>
      <c r="AC22" s="21">
        <f t="shared" si="11"/>
        <v>9294.1176470588234</v>
      </c>
      <c r="AD22" s="21">
        <f t="shared" si="11"/>
        <v>9294.1176470588234</v>
      </c>
      <c r="AE22" s="21">
        <f t="shared" si="11"/>
        <v>9294.1176470588234</v>
      </c>
      <c r="AF22" s="21">
        <f t="shared" si="11"/>
        <v>12294.117647058823</v>
      </c>
      <c r="AG22" s="21">
        <f t="shared" si="11"/>
        <v>12294.117647058823</v>
      </c>
      <c r="AH22" s="21">
        <f t="shared" si="11"/>
        <v>15294.117647058823</v>
      </c>
      <c r="AI22" s="21">
        <f t="shared" si="11"/>
        <v>6294.1176470588234</v>
      </c>
      <c r="AJ22" s="21">
        <f t="shared" si="11"/>
        <v>8294.1176470588234</v>
      </c>
      <c r="AK22" s="21">
        <f t="shared" si="11"/>
        <v>8294.1176470588234</v>
      </c>
      <c r="AL22" s="21">
        <f t="shared" si="11"/>
        <v>8294.1176470588234</v>
      </c>
      <c r="AM22" s="21">
        <f t="shared" si="11"/>
        <v>8294.1176470588234</v>
      </c>
      <c r="AN22" s="21">
        <f t="shared" si="11"/>
        <v>8294.1176470588234</v>
      </c>
      <c r="AO22" s="21">
        <f t="shared" si="11"/>
        <v>10294.117647058823</v>
      </c>
      <c r="AP22" s="21">
        <f t="shared" si="11"/>
        <v>12960.784313725489</v>
      </c>
      <c r="AQ22" s="21">
        <f t="shared" si="11"/>
        <v>7960.7843137254895</v>
      </c>
      <c r="AR22" s="21">
        <f t="shared" si="11"/>
        <v>7960.7843137254895</v>
      </c>
      <c r="AS22" s="21">
        <f t="shared" si="11"/>
        <v>0</v>
      </c>
    </row>
    <row r="23" spans="2:45">
      <c r="K23" s="21">
        <f>K22</f>
        <v>4294.1176470588234</v>
      </c>
      <c r="L23" s="21">
        <f>K23+L22</f>
        <v>8588.2352941176468</v>
      </c>
      <c r="M23" s="21">
        <f t="shared" ref="M23:AR23" si="12">L23+M22</f>
        <v>12882.35294117647</v>
      </c>
      <c r="N23" s="21">
        <f t="shared" si="12"/>
        <v>19176.470588235294</v>
      </c>
      <c r="O23" s="21">
        <f t="shared" si="12"/>
        <v>25470.588235294119</v>
      </c>
      <c r="P23" s="21">
        <f t="shared" si="12"/>
        <v>31764.705882352944</v>
      </c>
      <c r="Q23" s="21">
        <f t="shared" si="12"/>
        <v>89392.156862745091</v>
      </c>
      <c r="R23" s="21">
        <f t="shared" si="12"/>
        <v>98019.607843137244</v>
      </c>
      <c r="S23" s="21">
        <f t="shared" si="12"/>
        <v>106647.0588235294</v>
      </c>
      <c r="T23" s="21">
        <f t="shared" si="12"/>
        <v>115274.50980392155</v>
      </c>
      <c r="U23" s="21">
        <f t="shared" si="12"/>
        <v>123901.96078431371</v>
      </c>
      <c r="V23" s="21">
        <f t="shared" si="12"/>
        <v>132529.41176470587</v>
      </c>
      <c r="W23" s="21">
        <f t="shared" si="12"/>
        <v>141156.86274509804</v>
      </c>
      <c r="X23" s="21">
        <f t="shared" si="12"/>
        <v>149784.31372549021</v>
      </c>
      <c r="Y23" s="21">
        <f t="shared" si="12"/>
        <v>158411.76470588238</v>
      </c>
      <c r="Z23" s="21">
        <f t="shared" si="12"/>
        <v>167705.8823529412</v>
      </c>
      <c r="AA23" s="21">
        <f t="shared" si="12"/>
        <v>177000.00000000003</v>
      </c>
      <c r="AB23" s="21">
        <f t="shared" si="12"/>
        <v>186294.11764705885</v>
      </c>
      <c r="AC23" s="21">
        <f t="shared" si="12"/>
        <v>195588.23529411768</v>
      </c>
      <c r="AD23" s="21">
        <f t="shared" si="12"/>
        <v>204882.3529411765</v>
      </c>
      <c r="AE23" s="21">
        <f t="shared" si="12"/>
        <v>214176.47058823533</v>
      </c>
      <c r="AF23" s="21">
        <f t="shared" si="12"/>
        <v>226470.58823529416</v>
      </c>
      <c r="AG23" s="21">
        <f t="shared" si="12"/>
        <v>238764.70588235298</v>
      </c>
      <c r="AH23" s="21">
        <f t="shared" si="12"/>
        <v>254058.82352941181</v>
      </c>
      <c r="AI23" s="21">
        <f t="shared" si="12"/>
        <v>260352.94117647063</v>
      </c>
      <c r="AJ23" s="21">
        <f t="shared" si="12"/>
        <v>268647.05882352946</v>
      </c>
      <c r="AK23" s="21">
        <f t="shared" si="12"/>
        <v>276941.17647058825</v>
      </c>
      <c r="AL23" s="21">
        <f t="shared" si="12"/>
        <v>285235.29411764705</v>
      </c>
      <c r="AM23" s="21">
        <f t="shared" si="12"/>
        <v>293529.41176470584</v>
      </c>
      <c r="AN23" s="21">
        <f t="shared" si="12"/>
        <v>301823.52941176464</v>
      </c>
      <c r="AO23" s="21">
        <f t="shared" si="12"/>
        <v>312117.64705882344</v>
      </c>
      <c r="AP23" s="21">
        <f t="shared" si="12"/>
        <v>325078.43137254892</v>
      </c>
      <c r="AQ23" s="21">
        <f t="shared" si="12"/>
        <v>333039.2156862744</v>
      </c>
      <c r="AR23" s="21">
        <f t="shared" si="12"/>
        <v>340999.99999999988</v>
      </c>
    </row>
    <row r="24" spans="2:45">
      <c r="B24" s="25" t="s">
        <v>20</v>
      </c>
      <c r="C24" s="26"/>
      <c r="D24" s="27">
        <f>'Effort &amp; Cost'!D51</f>
        <v>413211.76470588235</v>
      </c>
    </row>
    <row r="25" spans="2:45">
      <c r="B25" s="24" t="s">
        <v>98</v>
      </c>
      <c r="C25" s="23">
        <v>0.15</v>
      </c>
      <c r="D25" s="22">
        <f>C25*$D$24</f>
        <v>61981.76470588235</v>
      </c>
      <c r="F25" s="22">
        <f>D25</f>
        <v>61981.76470588235</v>
      </c>
    </row>
    <row r="26" spans="2:45">
      <c r="B26" s="24" t="s">
        <v>21</v>
      </c>
      <c r="C26" s="23">
        <v>0.25</v>
      </c>
      <c r="D26" s="22">
        <f t="shared" ref="D26:D28" si="13">C26*$D$24</f>
        <v>103302.94117647059</v>
      </c>
      <c r="E26" t="s">
        <v>99</v>
      </c>
      <c r="F26" s="22">
        <f>F25+D26</f>
        <v>165284.70588235295</v>
      </c>
    </row>
    <row r="27" spans="2:45">
      <c r="B27" s="24" t="s">
        <v>22</v>
      </c>
      <c r="C27" s="23">
        <v>0.25</v>
      </c>
      <c r="D27" s="22">
        <f t="shared" si="13"/>
        <v>103302.94117647059</v>
      </c>
      <c r="E27" t="s">
        <v>100</v>
      </c>
      <c r="F27" s="22">
        <f>F26+D27</f>
        <v>268587.64705882355</v>
      </c>
    </row>
    <row r="28" spans="2:45">
      <c r="B28" s="24" t="s">
        <v>23</v>
      </c>
      <c r="C28" s="23">
        <v>0.35</v>
      </c>
      <c r="D28" s="22">
        <f t="shared" si="13"/>
        <v>144624.11764705883</v>
      </c>
      <c r="F28" s="22">
        <f>F27+D28</f>
        <v>413211.76470588241</v>
      </c>
    </row>
    <row r="29" spans="2:45">
      <c r="D29" s="22">
        <f>SUM(D25:D28)</f>
        <v>413211.76470588241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1D3BD-FF20-479E-884D-7CD61B2CD03B}">
  <dimension ref="B3:L8"/>
  <sheetViews>
    <sheetView zoomScaleNormal="100" workbookViewId="0">
      <selection activeCell="I3" sqref="I3"/>
    </sheetView>
  </sheetViews>
  <sheetFormatPr defaultRowHeight="14.5"/>
  <cols>
    <col min="2" max="2" width="9.54296875" bestFit="1" customWidth="1"/>
    <col min="4" max="4" width="12.1796875" bestFit="1" customWidth="1"/>
    <col min="5" max="6" width="12.1796875" customWidth="1"/>
    <col min="8" max="8" width="10" bestFit="1" customWidth="1"/>
    <col min="9" max="9" width="11" customWidth="1"/>
    <col min="11" max="11" width="12" bestFit="1" customWidth="1"/>
    <col min="12" max="12" width="12" customWidth="1"/>
    <col min="13" max="52" width="2.7265625" customWidth="1"/>
    <col min="53" max="53" width="3.1796875" customWidth="1"/>
  </cols>
  <sheetData>
    <row r="3" spans="2:12" ht="36">
      <c r="B3" s="130" t="s">
        <v>17</v>
      </c>
      <c r="C3" s="130" t="s">
        <v>104</v>
      </c>
      <c r="D3" s="130" t="s">
        <v>105</v>
      </c>
      <c r="E3" s="130" t="s">
        <v>104</v>
      </c>
      <c r="F3" s="130" t="s">
        <v>124</v>
      </c>
      <c r="G3" s="130" t="s">
        <v>106</v>
      </c>
      <c r="H3" s="130" t="s">
        <v>107</v>
      </c>
      <c r="I3" s="130" t="s">
        <v>130</v>
      </c>
      <c r="J3" s="130" t="s">
        <v>114</v>
      </c>
      <c r="K3" s="130" t="s">
        <v>122</v>
      </c>
      <c r="L3" s="130" t="s">
        <v>125</v>
      </c>
    </row>
    <row r="4" spans="2:12" ht="48">
      <c r="B4" s="119" t="s">
        <v>57</v>
      </c>
      <c r="C4" s="120" t="s">
        <v>108</v>
      </c>
      <c r="D4" s="121">
        <v>0.5</v>
      </c>
      <c r="E4" s="122">
        <f>C8</f>
        <v>10000</v>
      </c>
      <c r="F4" s="122">
        <f>E4*D4</f>
        <v>5000</v>
      </c>
      <c r="G4" s="122">
        <v>1500</v>
      </c>
      <c r="H4" s="120" t="s">
        <v>109</v>
      </c>
      <c r="I4" s="122">
        <f>C8*0.4</f>
        <v>4000</v>
      </c>
      <c r="J4" s="128">
        <f>F4-I4</f>
        <v>1000</v>
      </c>
      <c r="K4" s="122" t="s">
        <v>121</v>
      </c>
      <c r="L4" s="122">
        <f>F4</f>
        <v>5000</v>
      </c>
    </row>
    <row r="5" spans="2:12" ht="48">
      <c r="B5" s="119" t="s">
        <v>110</v>
      </c>
      <c r="C5" s="120" t="s">
        <v>108</v>
      </c>
      <c r="D5" s="121">
        <v>0.5</v>
      </c>
      <c r="E5" s="122">
        <f>C8</f>
        <v>10000</v>
      </c>
      <c r="F5" s="122">
        <f t="shared" ref="F5:F6" si="0">E5*D5</f>
        <v>5000</v>
      </c>
      <c r="G5" s="122">
        <v>4000</v>
      </c>
      <c r="H5" s="120" t="s">
        <v>111</v>
      </c>
      <c r="I5" s="122">
        <f>0*C8</f>
        <v>0</v>
      </c>
      <c r="J5" s="129">
        <f>F5-I5</f>
        <v>5000</v>
      </c>
      <c r="K5" s="122" t="s">
        <v>123</v>
      </c>
      <c r="L5" s="122">
        <f>I5+G5</f>
        <v>4000</v>
      </c>
    </row>
    <row r="6" spans="2:12" ht="48">
      <c r="B6" s="119" t="s">
        <v>71</v>
      </c>
      <c r="C6" s="120" t="s">
        <v>129</v>
      </c>
      <c r="D6" s="121">
        <v>0.7</v>
      </c>
      <c r="E6" s="122">
        <f>C8</f>
        <v>10000</v>
      </c>
      <c r="F6" s="122">
        <f t="shared" si="0"/>
        <v>7000</v>
      </c>
      <c r="G6" s="122">
        <v>4000</v>
      </c>
      <c r="H6" s="120" t="s">
        <v>112</v>
      </c>
      <c r="I6" s="122">
        <f>10000*0.2</f>
        <v>2000</v>
      </c>
      <c r="J6" s="129">
        <f>F6-I6</f>
        <v>5000</v>
      </c>
      <c r="K6" s="122" t="s">
        <v>123</v>
      </c>
      <c r="L6" s="122">
        <f>I6+G6</f>
        <v>6000</v>
      </c>
    </row>
    <row r="7" spans="2:12">
      <c r="L7" s="132">
        <f>SUM(L4:L6)</f>
        <v>15000</v>
      </c>
    </row>
    <row r="8" spans="2:12">
      <c r="B8" s="117" t="s">
        <v>113</v>
      </c>
      <c r="C8" s="131">
        <v>10000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9F669-E870-4779-BAA0-FF1A1D79E0AC}">
  <dimension ref="B3:AX29"/>
  <sheetViews>
    <sheetView zoomScaleNormal="100" workbookViewId="0">
      <selection activeCell="B3" sqref="B3:AR21"/>
    </sheetView>
  </sheetViews>
  <sheetFormatPr defaultRowHeight="14.5"/>
  <cols>
    <col min="2" max="2" width="9.54296875" bestFit="1" customWidth="1"/>
    <col min="3" max="3" width="0" hidden="1" customWidth="1"/>
    <col min="4" max="4" width="12.1796875" hidden="1" customWidth="1"/>
    <col min="5" max="5" width="0" hidden="1" customWidth="1"/>
    <col min="6" max="6" width="10" hidden="1" customWidth="1"/>
    <col min="7" max="9" width="0" hidden="1" customWidth="1"/>
    <col min="10" max="10" width="12" hidden="1" customWidth="1"/>
    <col min="11" max="50" width="2.7265625" customWidth="1"/>
    <col min="51" max="51" width="3.1796875" customWidth="1"/>
  </cols>
  <sheetData>
    <row r="3" spans="2:50">
      <c r="K3" s="1">
        <v>0</v>
      </c>
      <c r="L3" s="1">
        <v>1</v>
      </c>
      <c r="M3" s="1">
        <v>2</v>
      </c>
      <c r="N3" s="1">
        <v>3</v>
      </c>
      <c r="O3" s="1">
        <v>4</v>
      </c>
      <c r="P3" s="1">
        <v>5</v>
      </c>
      <c r="Q3" s="1">
        <v>6</v>
      </c>
      <c r="R3" s="1">
        <v>7</v>
      </c>
      <c r="S3" s="1">
        <v>8</v>
      </c>
      <c r="T3" s="1">
        <v>9</v>
      </c>
      <c r="U3" s="1">
        <v>10</v>
      </c>
      <c r="V3" s="1">
        <v>11</v>
      </c>
      <c r="W3" s="1">
        <v>12</v>
      </c>
      <c r="X3" s="1">
        <v>13</v>
      </c>
      <c r="Y3" s="1">
        <v>14</v>
      </c>
      <c r="Z3" s="1">
        <v>15</v>
      </c>
      <c r="AA3" s="1">
        <v>16</v>
      </c>
      <c r="AB3" s="1">
        <v>17</v>
      </c>
      <c r="AC3" s="1">
        <v>18</v>
      </c>
      <c r="AD3" s="1">
        <v>19</v>
      </c>
      <c r="AE3" s="1">
        <v>20</v>
      </c>
      <c r="AF3" s="1">
        <v>21</v>
      </c>
      <c r="AG3" s="1">
        <v>22</v>
      </c>
      <c r="AH3" s="1">
        <v>23</v>
      </c>
      <c r="AI3" s="1">
        <v>24</v>
      </c>
      <c r="AJ3" s="1">
        <v>25</v>
      </c>
      <c r="AK3" s="1">
        <v>26</v>
      </c>
      <c r="AL3" s="1">
        <v>27</v>
      </c>
      <c r="AM3" s="1">
        <v>28</v>
      </c>
      <c r="AN3" s="1">
        <v>29</v>
      </c>
      <c r="AO3" s="1">
        <v>30</v>
      </c>
      <c r="AP3" s="1">
        <v>31</v>
      </c>
      <c r="AQ3" s="1">
        <v>32</v>
      </c>
      <c r="AR3" s="1">
        <v>33</v>
      </c>
      <c r="AS3" s="1">
        <v>34</v>
      </c>
      <c r="AT3" s="1">
        <v>35</v>
      </c>
      <c r="AU3" s="1">
        <v>36</v>
      </c>
      <c r="AV3" s="1">
        <v>37</v>
      </c>
      <c r="AW3" s="1">
        <v>38</v>
      </c>
      <c r="AX3" s="1">
        <v>39</v>
      </c>
    </row>
    <row r="4" spans="2:50">
      <c r="B4" s="2" t="s">
        <v>17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18</v>
      </c>
    </row>
    <row r="5" spans="2:50">
      <c r="B5" s="86" t="s">
        <v>74</v>
      </c>
      <c r="C5" s="2">
        <v>34</v>
      </c>
      <c r="D5" s="2"/>
      <c r="E5" s="2">
        <v>0</v>
      </c>
      <c r="F5" s="2" t="s">
        <v>8</v>
      </c>
      <c r="G5" s="2" t="s">
        <v>8</v>
      </c>
      <c r="H5" s="2" t="s">
        <v>8</v>
      </c>
      <c r="I5" s="2" t="s">
        <v>8</v>
      </c>
      <c r="J5" s="30">
        <v>78000</v>
      </c>
      <c r="K5">
        <f>'PERT ALAP'!T5</f>
        <v>2294.1176470588234</v>
      </c>
      <c r="L5">
        <f>'PERT ALAP'!U5</f>
        <v>2294.1176470588234</v>
      </c>
      <c r="M5">
        <f>'PERT ALAP'!V5</f>
        <v>2294.1176470588234</v>
      </c>
      <c r="N5">
        <f>'PERT ALAP'!W5</f>
        <v>2294.1176470588234</v>
      </c>
      <c r="O5">
        <f>'PERT ALAP'!X5</f>
        <v>2294.1176470588234</v>
      </c>
      <c r="P5">
        <f>'PERT ALAP'!Y5</f>
        <v>2294.1176470588234</v>
      </c>
      <c r="Q5">
        <f>'PERT ALAP'!Z5</f>
        <v>2294.1176470588234</v>
      </c>
      <c r="R5">
        <f>'PERT ALAP'!AA5</f>
        <v>2294.1176470588234</v>
      </c>
      <c r="S5">
        <f>'PERT ALAP'!AB5</f>
        <v>2294.1176470588234</v>
      </c>
      <c r="T5">
        <f>'PERT ALAP'!AC5</f>
        <v>2294.1176470588234</v>
      </c>
      <c r="U5">
        <f>'PERT ALAP'!AD5</f>
        <v>2294.1176470588234</v>
      </c>
      <c r="V5">
        <f>'PERT ALAP'!AE5</f>
        <v>2294.1176470588234</v>
      </c>
      <c r="W5">
        <f>'PERT ALAP'!AF5</f>
        <v>2294.1176470588234</v>
      </c>
      <c r="X5">
        <f>'PERT ALAP'!AG5</f>
        <v>2294.1176470588234</v>
      </c>
      <c r="Y5">
        <f>'PERT ALAP'!AH5</f>
        <v>2294.1176470588234</v>
      </c>
      <c r="Z5">
        <f>'PERT ALAP'!AI5</f>
        <v>2294.1176470588234</v>
      </c>
      <c r="AA5">
        <f>'PERT ALAP'!AJ5</f>
        <v>2294.1176470588234</v>
      </c>
      <c r="AB5">
        <f>'PERT ALAP'!AK5</f>
        <v>2294.1176470588234</v>
      </c>
      <c r="AC5">
        <f>'PERT ALAP'!AL5</f>
        <v>2294.1176470588234</v>
      </c>
      <c r="AD5">
        <f>'PERT ALAP'!AM5</f>
        <v>2294.1176470588234</v>
      </c>
      <c r="AE5">
        <f>'PERT ALAP'!AN5</f>
        <v>2294.1176470588234</v>
      </c>
      <c r="AF5">
        <f>'PERT ALAP'!AO5</f>
        <v>2294.1176470588234</v>
      </c>
      <c r="AG5">
        <f>'PERT ALAP'!AP5</f>
        <v>2294.1176470588234</v>
      </c>
      <c r="AH5">
        <f>'PERT ALAP'!AQ5</f>
        <v>2294.1176470588234</v>
      </c>
      <c r="AI5">
        <f>'PERT ALAP'!AR5</f>
        <v>2294.1176470588234</v>
      </c>
      <c r="AJ5">
        <f>'PERT ALAP'!AS5</f>
        <v>2294.1176470588234</v>
      </c>
      <c r="AK5">
        <f>'PERT ALAP'!AT5</f>
        <v>2294.1176470588234</v>
      </c>
      <c r="AL5">
        <f>'PERT ALAP'!AU5</f>
        <v>2294.1176470588234</v>
      </c>
      <c r="AM5">
        <f>'PERT ALAP'!AV5</f>
        <v>2294.1176470588234</v>
      </c>
      <c r="AN5">
        <f>'PERT ALAP'!AW5</f>
        <v>2294.1176470588234</v>
      </c>
      <c r="AO5">
        <f>'PERT ALAP'!AX5</f>
        <v>2294.1176470588234</v>
      </c>
      <c r="AP5">
        <f>'PERT ALAP'!AY5</f>
        <v>2294.1176470588234</v>
      </c>
      <c r="AQ5">
        <f>'PERT ALAP'!AZ5</f>
        <v>2294.1176470588234</v>
      </c>
      <c r="AR5">
        <f>'PERT ALAP'!BA5</f>
        <v>2294.1176470588234</v>
      </c>
    </row>
    <row r="6" spans="2:50">
      <c r="B6" s="88" t="s">
        <v>63</v>
      </c>
      <c r="C6" s="2">
        <v>9</v>
      </c>
      <c r="D6" s="2" t="s">
        <v>8</v>
      </c>
      <c r="E6" s="2">
        <v>0</v>
      </c>
      <c r="F6" s="2">
        <v>9</v>
      </c>
      <c r="G6" s="75">
        <v>6</v>
      </c>
      <c r="H6" s="75">
        <v>15</v>
      </c>
      <c r="I6" s="2">
        <v>6</v>
      </c>
      <c r="J6" s="30">
        <v>3000</v>
      </c>
      <c r="Q6" s="10">
        <f>$J$6/$C$6</f>
        <v>333.33333333333331</v>
      </c>
      <c r="R6" s="4">
        <f t="shared" ref="R6:Y6" si="0">$J$6/$C$6</f>
        <v>333.33333333333331</v>
      </c>
      <c r="S6" s="4">
        <f t="shared" si="0"/>
        <v>333.33333333333331</v>
      </c>
      <c r="T6" s="4">
        <f t="shared" si="0"/>
        <v>333.33333333333331</v>
      </c>
      <c r="U6" s="4">
        <f t="shared" si="0"/>
        <v>333.33333333333331</v>
      </c>
      <c r="V6" s="4">
        <f t="shared" si="0"/>
        <v>333.33333333333331</v>
      </c>
      <c r="W6" s="4">
        <f t="shared" si="0"/>
        <v>333.33333333333331</v>
      </c>
      <c r="X6" s="4">
        <f t="shared" si="0"/>
        <v>333.33333333333331</v>
      </c>
      <c r="Y6" s="9">
        <f t="shared" si="0"/>
        <v>333.33333333333331</v>
      </c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</row>
    <row r="7" spans="2:50">
      <c r="B7" s="94" t="s">
        <v>57</v>
      </c>
      <c r="C7" s="2">
        <v>3</v>
      </c>
      <c r="D7" s="2" t="s">
        <v>8</v>
      </c>
      <c r="E7" s="75">
        <v>0</v>
      </c>
      <c r="F7" s="75">
        <v>3</v>
      </c>
      <c r="G7" s="75">
        <v>0</v>
      </c>
      <c r="H7" s="75">
        <v>3</v>
      </c>
      <c r="I7" s="2">
        <v>0</v>
      </c>
      <c r="J7" s="118">
        <f>3000+'Risk Analysis'!L4</f>
        <v>8000</v>
      </c>
      <c r="K7" s="14">
        <f>$J$7/$C$7</f>
        <v>2666.6666666666665</v>
      </c>
      <c r="L7" s="14">
        <f t="shared" ref="L7:M7" si="1">$J$7/$C$7</f>
        <v>2666.6666666666665</v>
      </c>
      <c r="M7" s="14">
        <f t="shared" si="1"/>
        <v>2666.6666666666665</v>
      </c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</row>
    <row r="8" spans="2:50">
      <c r="B8" s="88" t="s">
        <v>58</v>
      </c>
      <c r="C8" s="2">
        <v>7</v>
      </c>
      <c r="D8" s="2" t="s">
        <v>8</v>
      </c>
      <c r="E8" s="2">
        <v>0</v>
      </c>
      <c r="F8" s="2">
        <v>7</v>
      </c>
      <c r="G8" s="75">
        <v>7</v>
      </c>
      <c r="H8" s="75">
        <v>14</v>
      </c>
      <c r="I8" s="2">
        <v>7</v>
      </c>
      <c r="J8" s="30">
        <v>7000</v>
      </c>
      <c r="K8" s="10">
        <f>$J$8/$C$8</f>
        <v>1000</v>
      </c>
      <c r="L8" s="6">
        <f t="shared" ref="L8:Q8" si="2">$J$8/$C$8</f>
        <v>1000</v>
      </c>
      <c r="M8" s="6">
        <f t="shared" si="2"/>
        <v>1000</v>
      </c>
      <c r="N8" s="6">
        <f t="shared" si="2"/>
        <v>1000</v>
      </c>
      <c r="O8" s="6">
        <f t="shared" si="2"/>
        <v>1000</v>
      </c>
      <c r="P8" s="6">
        <f t="shared" si="2"/>
        <v>1000</v>
      </c>
      <c r="Q8" s="15">
        <f t="shared" si="2"/>
        <v>1000</v>
      </c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</row>
    <row r="9" spans="2:50">
      <c r="B9" s="88" t="s">
        <v>61</v>
      </c>
      <c r="C9" s="2">
        <v>10</v>
      </c>
      <c r="D9" s="2" t="s">
        <v>7</v>
      </c>
      <c r="E9" s="2">
        <v>9</v>
      </c>
      <c r="F9" s="2">
        <v>19</v>
      </c>
      <c r="G9" s="75">
        <v>15</v>
      </c>
      <c r="H9" s="75">
        <v>25</v>
      </c>
      <c r="I9" s="2">
        <v>6</v>
      </c>
      <c r="J9" s="30">
        <v>10000</v>
      </c>
      <c r="K9" s="7"/>
      <c r="L9" s="7"/>
      <c r="M9" s="7"/>
      <c r="N9" s="7"/>
      <c r="O9" s="7"/>
      <c r="P9" s="7"/>
      <c r="Q9" s="7"/>
      <c r="R9" s="7"/>
      <c r="S9" s="7"/>
      <c r="Z9" s="10">
        <f>$J$9/$C$9</f>
        <v>1000</v>
      </c>
      <c r="AA9" s="6">
        <f t="shared" ref="AA9:AI9" si="3">$J$9/$C$9</f>
        <v>1000</v>
      </c>
      <c r="AB9" s="6">
        <f t="shared" si="3"/>
        <v>1000</v>
      </c>
      <c r="AC9" s="6">
        <f t="shared" si="3"/>
        <v>1000</v>
      </c>
      <c r="AD9" s="6">
        <f t="shared" si="3"/>
        <v>1000</v>
      </c>
      <c r="AE9" s="6">
        <f t="shared" si="3"/>
        <v>1000</v>
      </c>
      <c r="AF9" s="6">
        <f t="shared" si="3"/>
        <v>1000</v>
      </c>
      <c r="AG9" s="6">
        <f t="shared" si="3"/>
        <v>1000</v>
      </c>
      <c r="AH9" s="6">
        <f t="shared" si="3"/>
        <v>1000</v>
      </c>
      <c r="AI9" s="15">
        <f t="shared" si="3"/>
        <v>1000</v>
      </c>
      <c r="AJ9" s="7"/>
      <c r="AK9" s="7"/>
      <c r="AL9" s="7"/>
      <c r="AM9" s="7"/>
      <c r="AN9" s="7"/>
      <c r="AO9" s="7"/>
      <c r="AP9" s="7"/>
      <c r="AQ9" s="7"/>
      <c r="AR9" s="7"/>
    </row>
    <row r="10" spans="2:50">
      <c r="B10" s="94" t="s">
        <v>62</v>
      </c>
      <c r="C10" s="2">
        <v>21</v>
      </c>
      <c r="D10" s="2" t="s">
        <v>9</v>
      </c>
      <c r="E10" s="75">
        <v>3</v>
      </c>
      <c r="F10" s="75">
        <v>24</v>
      </c>
      <c r="G10" s="75">
        <v>3</v>
      </c>
      <c r="H10" s="75">
        <v>24</v>
      </c>
      <c r="I10" s="2">
        <v>20</v>
      </c>
      <c r="J10" s="30">
        <v>63000</v>
      </c>
      <c r="K10" s="7"/>
      <c r="L10" s="7"/>
      <c r="M10" s="7"/>
      <c r="N10" s="8">
        <f>$J$10/$C$10</f>
        <v>3000</v>
      </c>
      <c r="O10" s="8">
        <f t="shared" ref="O10:AH10" si="4">$J$10/$C$10</f>
        <v>3000</v>
      </c>
      <c r="P10" s="8">
        <f t="shared" si="4"/>
        <v>3000</v>
      </c>
      <c r="Q10" s="8">
        <f t="shared" si="4"/>
        <v>3000</v>
      </c>
      <c r="R10" s="8">
        <f t="shared" si="4"/>
        <v>3000</v>
      </c>
      <c r="S10" s="8">
        <f t="shared" si="4"/>
        <v>3000</v>
      </c>
      <c r="T10" s="8">
        <f t="shared" si="4"/>
        <v>3000</v>
      </c>
      <c r="U10" s="8">
        <f t="shared" si="4"/>
        <v>3000</v>
      </c>
      <c r="V10" s="8">
        <f t="shared" si="4"/>
        <v>3000</v>
      </c>
      <c r="W10" s="8">
        <f t="shared" si="4"/>
        <v>3000</v>
      </c>
      <c r="X10" s="8">
        <f t="shared" si="4"/>
        <v>3000</v>
      </c>
      <c r="Y10" s="8">
        <f t="shared" si="4"/>
        <v>3000</v>
      </c>
      <c r="Z10" s="8">
        <f t="shared" si="4"/>
        <v>3000</v>
      </c>
      <c r="AA10" s="8">
        <f t="shared" si="4"/>
        <v>3000</v>
      </c>
      <c r="AB10" s="8">
        <f t="shared" si="4"/>
        <v>3000</v>
      </c>
      <c r="AC10" s="8">
        <f t="shared" si="4"/>
        <v>3000</v>
      </c>
      <c r="AD10" s="8">
        <f t="shared" si="4"/>
        <v>3000</v>
      </c>
      <c r="AE10" s="8">
        <f t="shared" si="4"/>
        <v>3000</v>
      </c>
      <c r="AF10" s="8">
        <f t="shared" si="4"/>
        <v>3000</v>
      </c>
      <c r="AG10" s="8">
        <f t="shared" si="4"/>
        <v>3000</v>
      </c>
      <c r="AH10" s="8">
        <f t="shared" si="4"/>
        <v>3000</v>
      </c>
      <c r="AI10" s="7"/>
      <c r="AJ10" s="7"/>
      <c r="AK10" s="7"/>
      <c r="AL10" s="7"/>
      <c r="AM10" s="7"/>
      <c r="AN10" s="7"/>
      <c r="AO10" s="7"/>
      <c r="AP10" s="7"/>
      <c r="AQ10" s="7"/>
      <c r="AR10" s="7"/>
    </row>
    <row r="11" spans="2:50">
      <c r="B11" s="88" t="s">
        <v>64</v>
      </c>
      <c r="C11" s="2">
        <v>1</v>
      </c>
      <c r="D11" s="2" t="s">
        <v>9</v>
      </c>
      <c r="E11" s="2">
        <v>3</v>
      </c>
      <c r="F11" s="2">
        <v>4</v>
      </c>
      <c r="G11" s="75">
        <v>23</v>
      </c>
      <c r="H11" s="75">
        <v>24</v>
      </c>
      <c r="I11" s="2">
        <v>0</v>
      </c>
      <c r="J11" s="30">
        <v>6000</v>
      </c>
      <c r="K11" s="7"/>
      <c r="L11" s="7"/>
      <c r="M11" s="7"/>
      <c r="AH11" s="101">
        <f>J11</f>
        <v>6000</v>
      </c>
      <c r="AI11" s="7"/>
      <c r="AJ11" s="7"/>
      <c r="AK11" s="7"/>
      <c r="AL11" s="7"/>
      <c r="AM11" s="7"/>
      <c r="AN11" s="7"/>
      <c r="AO11" s="7"/>
      <c r="AP11" s="7"/>
      <c r="AQ11" s="7"/>
      <c r="AR11" s="7"/>
    </row>
    <row r="12" spans="2:50">
      <c r="B12" s="88" t="s">
        <v>59</v>
      </c>
      <c r="C12" s="2">
        <v>1</v>
      </c>
      <c r="D12" s="2" t="s">
        <v>9</v>
      </c>
      <c r="E12" s="2">
        <v>3</v>
      </c>
      <c r="F12" s="2">
        <v>4</v>
      </c>
      <c r="G12" s="75">
        <v>13</v>
      </c>
      <c r="H12" s="75">
        <v>14</v>
      </c>
      <c r="I12" s="2">
        <v>10</v>
      </c>
      <c r="J12" s="30">
        <v>51000</v>
      </c>
      <c r="K12" s="7"/>
      <c r="L12" s="7"/>
      <c r="M12" s="7"/>
      <c r="O12" s="7"/>
      <c r="P12" s="7"/>
      <c r="Q12" s="11">
        <f>$J$12/$C$12</f>
        <v>51000</v>
      </c>
      <c r="R12" s="7"/>
      <c r="S12" s="7"/>
      <c r="T12" s="7"/>
      <c r="U12" s="7"/>
      <c r="V12" s="7"/>
      <c r="W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</row>
    <row r="13" spans="2:50">
      <c r="B13" s="97" t="s">
        <v>65</v>
      </c>
      <c r="C13" s="2">
        <v>5</v>
      </c>
      <c r="D13" s="2" t="s">
        <v>12</v>
      </c>
      <c r="E13" s="98">
        <v>7</v>
      </c>
      <c r="F13" s="98">
        <v>12</v>
      </c>
      <c r="G13" s="98">
        <v>14</v>
      </c>
      <c r="H13" s="98">
        <v>19</v>
      </c>
      <c r="I13" s="2">
        <v>7</v>
      </c>
      <c r="J13" s="30">
        <v>15000</v>
      </c>
      <c r="K13" s="7"/>
      <c r="L13" s="7"/>
      <c r="M13" s="7"/>
      <c r="N13" s="7"/>
      <c r="O13" s="7"/>
      <c r="P13" s="7"/>
      <c r="Q13" s="7"/>
      <c r="R13" s="12">
        <f>$J$13/$C$13</f>
        <v>3000</v>
      </c>
      <c r="S13" s="16">
        <f t="shared" ref="S13:V13" si="5">$J$13/$C$13</f>
        <v>3000</v>
      </c>
      <c r="T13" s="16">
        <f t="shared" si="5"/>
        <v>3000</v>
      </c>
      <c r="U13" s="16">
        <f t="shared" si="5"/>
        <v>3000</v>
      </c>
      <c r="V13" s="17">
        <f t="shared" si="5"/>
        <v>3000</v>
      </c>
      <c r="W13" s="7"/>
      <c r="X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</row>
    <row r="14" spans="2:50">
      <c r="B14" s="88" t="s">
        <v>66</v>
      </c>
      <c r="C14" s="2">
        <v>6</v>
      </c>
      <c r="D14" s="2" t="s">
        <v>10</v>
      </c>
      <c r="E14" s="2">
        <v>19</v>
      </c>
      <c r="F14" s="2">
        <v>25</v>
      </c>
      <c r="G14" s="75">
        <v>25</v>
      </c>
      <c r="H14" s="75">
        <v>31</v>
      </c>
      <c r="I14" s="2">
        <v>6</v>
      </c>
      <c r="J14" s="30">
        <v>18000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J14" s="12">
        <f>$J$14/$C$14</f>
        <v>3000</v>
      </c>
      <c r="AK14" s="16">
        <f t="shared" ref="AK14:AO14" si="6">$J$14/$C$14</f>
        <v>3000</v>
      </c>
      <c r="AL14" s="16">
        <f t="shared" si="6"/>
        <v>3000</v>
      </c>
      <c r="AM14" s="16">
        <f t="shared" si="6"/>
        <v>3000</v>
      </c>
      <c r="AN14" s="16">
        <f t="shared" si="6"/>
        <v>3000</v>
      </c>
      <c r="AO14" s="17">
        <f t="shared" si="6"/>
        <v>3000</v>
      </c>
      <c r="AP14" s="7"/>
      <c r="AQ14" s="7"/>
      <c r="AR14" s="7"/>
    </row>
    <row r="15" spans="2:50">
      <c r="B15" s="88" t="s">
        <v>67</v>
      </c>
      <c r="C15" s="2">
        <v>3</v>
      </c>
      <c r="D15" s="2" t="s">
        <v>11</v>
      </c>
      <c r="E15" s="2">
        <v>12</v>
      </c>
      <c r="F15" s="2">
        <v>15</v>
      </c>
      <c r="G15" s="75">
        <v>21</v>
      </c>
      <c r="H15" s="75">
        <v>24</v>
      </c>
      <c r="I15" s="2">
        <v>9</v>
      </c>
      <c r="J15" s="30">
        <v>9000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Z15" s="7"/>
      <c r="AA15" s="7"/>
      <c r="AB15" s="7"/>
      <c r="AC15" s="7"/>
      <c r="AD15" s="7"/>
      <c r="AE15" s="7"/>
      <c r="AF15" s="12">
        <f>$J$15/$C$15</f>
        <v>3000</v>
      </c>
      <c r="AG15" s="16">
        <f t="shared" ref="AG15:AH15" si="7">$J$15/$C$15</f>
        <v>3000</v>
      </c>
      <c r="AH15" s="17">
        <f t="shared" si="7"/>
        <v>3000</v>
      </c>
      <c r="AI15" s="7"/>
      <c r="AJ15" s="7"/>
      <c r="AK15" s="7"/>
      <c r="AL15" s="7"/>
      <c r="AM15" s="7"/>
      <c r="AN15" s="7"/>
      <c r="AO15" s="7"/>
      <c r="AP15" s="7"/>
      <c r="AQ15" s="7"/>
      <c r="AR15" s="7"/>
    </row>
    <row r="16" spans="2:50">
      <c r="B16" s="97" t="s">
        <v>68</v>
      </c>
      <c r="C16" s="2">
        <v>11</v>
      </c>
      <c r="D16" s="2" t="s">
        <v>11</v>
      </c>
      <c r="E16" s="98">
        <v>12</v>
      </c>
      <c r="F16" s="98">
        <v>23</v>
      </c>
      <c r="G16" s="98">
        <v>19</v>
      </c>
      <c r="H16" s="98">
        <v>30</v>
      </c>
      <c r="I16" s="2">
        <v>7</v>
      </c>
      <c r="J16" s="30">
        <v>33000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12">
        <f>$J$16/$C$16</f>
        <v>3000</v>
      </c>
      <c r="X16" s="16">
        <f t="shared" ref="X16:AG16" si="8">$J$16/$C$16</f>
        <v>3000</v>
      </c>
      <c r="Y16" s="16">
        <f t="shared" si="8"/>
        <v>3000</v>
      </c>
      <c r="Z16" s="16">
        <f t="shared" si="8"/>
        <v>3000</v>
      </c>
      <c r="AA16" s="16">
        <f t="shared" si="8"/>
        <v>3000</v>
      </c>
      <c r="AB16" s="16">
        <f t="shared" si="8"/>
        <v>3000</v>
      </c>
      <c r="AC16" s="16">
        <f t="shared" si="8"/>
        <v>3000</v>
      </c>
      <c r="AD16" s="16">
        <f t="shared" si="8"/>
        <v>3000</v>
      </c>
      <c r="AE16" s="16">
        <f t="shared" si="8"/>
        <v>3000</v>
      </c>
      <c r="AF16" s="28">
        <f t="shared" si="8"/>
        <v>3000</v>
      </c>
      <c r="AG16" s="29">
        <f t="shared" si="8"/>
        <v>3000</v>
      </c>
      <c r="AO16" s="7"/>
      <c r="AP16" s="7"/>
      <c r="AQ16" s="7"/>
      <c r="AR16" s="7"/>
    </row>
    <row r="17" spans="2:45">
      <c r="B17" s="94" t="s">
        <v>69</v>
      </c>
      <c r="C17" s="2">
        <v>8</v>
      </c>
      <c r="D17" s="2" t="s">
        <v>15</v>
      </c>
      <c r="E17" s="75">
        <v>24</v>
      </c>
      <c r="F17" s="75">
        <v>32</v>
      </c>
      <c r="G17" s="75">
        <v>24</v>
      </c>
      <c r="H17" s="75">
        <v>32</v>
      </c>
      <c r="I17" s="2">
        <v>0</v>
      </c>
      <c r="J17" s="118">
        <f>24000+'Risk Analysis'!L5</f>
        <v>28000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8">
        <f>$J$17/$C$17</f>
        <v>3500</v>
      </c>
      <c r="AJ17" s="8">
        <f t="shared" ref="AJ17:AP17" si="9">$J$17/$C$17</f>
        <v>3500</v>
      </c>
      <c r="AK17" s="8">
        <f t="shared" si="9"/>
        <v>3500</v>
      </c>
      <c r="AL17" s="8">
        <f t="shared" si="9"/>
        <v>3500</v>
      </c>
      <c r="AM17" s="8">
        <f t="shared" si="9"/>
        <v>3500</v>
      </c>
      <c r="AN17" s="8">
        <f t="shared" si="9"/>
        <v>3500</v>
      </c>
      <c r="AO17" s="8">
        <f t="shared" si="9"/>
        <v>3500</v>
      </c>
      <c r="AP17" s="8">
        <f t="shared" si="9"/>
        <v>3500</v>
      </c>
      <c r="AQ17" s="7"/>
      <c r="AR17" s="7"/>
    </row>
    <row r="18" spans="2:45">
      <c r="B18" s="88" t="s">
        <v>70</v>
      </c>
      <c r="C18" s="2">
        <v>1</v>
      </c>
      <c r="D18" s="2" t="s">
        <v>13</v>
      </c>
      <c r="E18" s="2">
        <v>25</v>
      </c>
      <c r="F18" s="2">
        <v>26</v>
      </c>
      <c r="G18" s="75">
        <v>31</v>
      </c>
      <c r="H18" s="75">
        <v>32</v>
      </c>
      <c r="I18" s="2">
        <v>6</v>
      </c>
      <c r="J18" s="30">
        <v>2000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K18" s="7"/>
      <c r="AL18" s="7"/>
      <c r="AM18" s="7"/>
      <c r="AN18" s="7"/>
      <c r="AO18" s="7"/>
      <c r="AP18" s="11">
        <f>$J$18/$C$18</f>
        <v>2000</v>
      </c>
      <c r="AQ18" s="7"/>
      <c r="AR18" s="7"/>
    </row>
    <row r="19" spans="2:45">
      <c r="B19" s="88" t="s">
        <v>60</v>
      </c>
      <c r="C19" s="2">
        <v>2</v>
      </c>
      <c r="D19" s="2" t="s">
        <v>14</v>
      </c>
      <c r="E19" s="2">
        <v>23</v>
      </c>
      <c r="F19" s="2">
        <v>25</v>
      </c>
      <c r="G19" s="75">
        <v>30</v>
      </c>
      <c r="H19" s="75">
        <v>32</v>
      </c>
      <c r="I19" s="2">
        <v>7</v>
      </c>
      <c r="J19" s="30">
        <v>4000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J19" s="7"/>
      <c r="AK19" s="7"/>
      <c r="AL19" s="7"/>
      <c r="AM19" s="7"/>
      <c r="AN19" s="7"/>
      <c r="AO19" s="12">
        <f>$J$19/$C$19</f>
        <v>2000</v>
      </c>
      <c r="AP19" s="17">
        <f>$J$19/$C$19</f>
        <v>2000</v>
      </c>
      <c r="AQ19" s="7"/>
      <c r="AR19" s="7"/>
    </row>
    <row r="20" spans="2:45">
      <c r="B20" s="88" t="s">
        <v>71</v>
      </c>
      <c r="C20" s="2">
        <v>3</v>
      </c>
      <c r="D20" s="2" t="s">
        <v>14</v>
      </c>
      <c r="E20" s="123">
        <v>23</v>
      </c>
      <c r="F20" s="123">
        <v>26</v>
      </c>
      <c r="G20" s="112">
        <v>31</v>
      </c>
      <c r="H20" s="112">
        <v>34</v>
      </c>
      <c r="I20" s="2">
        <v>8</v>
      </c>
      <c r="J20" s="118">
        <f>11000+'Risk Analysis'!L6</f>
        <v>17000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18">
        <f>$J$20/$C$20</f>
        <v>5666.666666666667</v>
      </c>
      <c r="AI20" s="16">
        <f t="shared" ref="AI20:AJ20" si="10">$J$20/$C$20</f>
        <v>5666.666666666667</v>
      </c>
      <c r="AJ20" s="17">
        <f t="shared" si="10"/>
        <v>5666.666666666667</v>
      </c>
      <c r="AK20" s="7"/>
      <c r="AL20" s="7"/>
      <c r="AM20" s="7"/>
      <c r="AN20" s="7"/>
      <c r="AO20" s="7"/>
    </row>
    <row r="21" spans="2:45">
      <c r="B21" s="94" t="s">
        <v>72</v>
      </c>
      <c r="C21" s="2">
        <v>2</v>
      </c>
      <c r="D21" s="2" t="s">
        <v>16</v>
      </c>
      <c r="E21" s="75">
        <v>32</v>
      </c>
      <c r="F21" s="75">
        <v>34</v>
      </c>
      <c r="G21" s="75">
        <v>32</v>
      </c>
      <c r="H21" s="75">
        <v>34</v>
      </c>
      <c r="I21" s="2">
        <v>0</v>
      </c>
      <c r="J21" s="30">
        <v>4000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8">
        <f>$J$21/$C$21</f>
        <v>2000</v>
      </c>
      <c r="AR21" s="8">
        <f>$J$21/$C$21</f>
        <v>2000</v>
      </c>
    </row>
    <row r="22" spans="2:45">
      <c r="J22" s="21">
        <f>SUM(J5:J21)</f>
        <v>356000</v>
      </c>
      <c r="K22" s="21">
        <f>SUM(K5:K21)</f>
        <v>5960.7843137254895</v>
      </c>
      <c r="L22" s="21">
        <f t="shared" ref="L22:AS22" si="11">SUM(L5:L21)</f>
        <v>5960.7843137254895</v>
      </c>
      <c r="M22" s="21">
        <f t="shared" si="11"/>
        <v>5960.7843137254895</v>
      </c>
      <c r="N22" s="21">
        <f t="shared" si="11"/>
        <v>6294.1176470588234</v>
      </c>
      <c r="O22" s="21">
        <f t="shared" si="11"/>
        <v>6294.1176470588234</v>
      </c>
      <c r="P22" s="21">
        <f t="shared" si="11"/>
        <v>6294.1176470588234</v>
      </c>
      <c r="Q22" s="21">
        <f t="shared" si="11"/>
        <v>57627.450980392154</v>
      </c>
      <c r="R22" s="21">
        <f t="shared" si="11"/>
        <v>8627.4509803921574</v>
      </c>
      <c r="S22" s="21">
        <f t="shared" si="11"/>
        <v>8627.4509803921574</v>
      </c>
      <c r="T22" s="21">
        <f t="shared" si="11"/>
        <v>8627.4509803921574</v>
      </c>
      <c r="U22" s="21">
        <f t="shared" si="11"/>
        <v>8627.4509803921574</v>
      </c>
      <c r="V22" s="21">
        <f t="shared" si="11"/>
        <v>8627.4509803921574</v>
      </c>
      <c r="W22" s="21">
        <f t="shared" si="11"/>
        <v>8627.4509803921574</v>
      </c>
      <c r="X22" s="21">
        <f t="shared" si="11"/>
        <v>8627.4509803921574</v>
      </c>
      <c r="Y22" s="21">
        <f t="shared" si="11"/>
        <v>8627.4509803921574</v>
      </c>
      <c r="Z22" s="21">
        <f t="shared" si="11"/>
        <v>9294.1176470588234</v>
      </c>
      <c r="AA22" s="21">
        <f t="shared" si="11"/>
        <v>9294.1176470588234</v>
      </c>
      <c r="AB22" s="21">
        <f t="shared" si="11"/>
        <v>9294.1176470588234</v>
      </c>
      <c r="AC22" s="21">
        <f t="shared" si="11"/>
        <v>9294.1176470588234</v>
      </c>
      <c r="AD22" s="21">
        <f t="shared" si="11"/>
        <v>9294.1176470588234</v>
      </c>
      <c r="AE22" s="21">
        <f t="shared" si="11"/>
        <v>9294.1176470588234</v>
      </c>
      <c r="AF22" s="21">
        <f t="shared" si="11"/>
        <v>12294.117647058823</v>
      </c>
      <c r="AG22" s="21">
        <f t="shared" si="11"/>
        <v>12294.117647058823</v>
      </c>
      <c r="AH22" s="21">
        <f t="shared" si="11"/>
        <v>20960.784313725489</v>
      </c>
      <c r="AI22" s="21">
        <f t="shared" si="11"/>
        <v>12460.784313725489</v>
      </c>
      <c r="AJ22" s="21">
        <f t="shared" si="11"/>
        <v>14460.784313725489</v>
      </c>
      <c r="AK22" s="21">
        <f t="shared" si="11"/>
        <v>8794.1176470588234</v>
      </c>
      <c r="AL22" s="21">
        <f t="shared" si="11"/>
        <v>8794.1176470588234</v>
      </c>
      <c r="AM22" s="21">
        <f t="shared" si="11"/>
        <v>8794.1176470588234</v>
      </c>
      <c r="AN22" s="21">
        <f t="shared" si="11"/>
        <v>8794.1176470588234</v>
      </c>
      <c r="AO22" s="21">
        <f t="shared" si="11"/>
        <v>10794.117647058823</v>
      </c>
      <c r="AP22" s="21">
        <f t="shared" si="11"/>
        <v>9794.1176470588234</v>
      </c>
      <c r="AQ22" s="21">
        <f t="shared" si="11"/>
        <v>4294.1176470588234</v>
      </c>
      <c r="AR22" s="21">
        <f t="shared" si="11"/>
        <v>4294.1176470588234</v>
      </c>
      <c r="AS22" s="21">
        <f t="shared" si="11"/>
        <v>0</v>
      </c>
    </row>
    <row r="23" spans="2:45">
      <c r="K23" s="21">
        <f>K22</f>
        <v>5960.7843137254895</v>
      </c>
      <c r="L23" s="21">
        <f>K23+L22</f>
        <v>11921.568627450979</v>
      </c>
      <c r="M23" s="21">
        <f t="shared" ref="M23:AR23" si="12">L23+M22</f>
        <v>17882.352941176468</v>
      </c>
      <c r="N23" s="21">
        <f t="shared" si="12"/>
        <v>24176.470588235294</v>
      </c>
      <c r="O23" s="21">
        <f t="shared" si="12"/>
        <v>30470.588235294119</v>
      </c>
      <c r="P23" s="21">
        <f t="shared" si="12"/>
        <v>36764.705882352944</v>
      </c>
      <c r="Q23" s="21">
        <f t="shared" si="12"/>
        <v>94392.156862745091</v>
      </c>
      <c r="R23" s="21">
        <f t="shared" si="12"/>
        <v>103019.60784313724</v>
      </c>
      <c r="S23" s="21">
        <f t="shared" si="12"/>
        <v>111647.0588235294</v>
      </c>
      <c r="T23" s="21">
        <f t="shared" si="12"/>
        <v>120274.50980392155</v>
      </c>
      <c r="U23" s="21">
        <f t="shared" si="12"/>
        <v>128901.96078431371</v>
      </c>
      <c r="V23" s="21">
        <f t="shared" si="12"/>
        <v>137529.41176470587</v>
      </c>
      <c r="W23" s="21">
        <f t="shared" si="12"/>
        <v>146156.86274509804</v>
      </c>
      <c r="X23" s="21">
        <f t="shared" si="12"/>
        <v>154784.31372549021</v>
      </c>
      <c r="Y23" s="21">
        <f t="shared" si="12"/>
        <v>163411.76470588238</v>
      </c>
      <c r="Z23" s="21">
        <f t="shared" si="12"/>
        <v>172705.8823529412</v>
      </c>
      <c r="AA23" s="21">
        <f t="shared" si="12"/>
        <v>182000.00000000003</v>
      </c>
      <c r="AB23" s="21">
        <f t="shared" si="12"/>
        <v>191294.11764705885</v>
      </c>
      <c r="AC23" s="21">
        <f t="shared" si="12"/>
        <v>200588.23529411768</v>
      </c>
      <c r="AD23" s="21">
        <f t="shared" si="12"/>
        <v>209882.3529411765</v>
      </c>
      <c r="AE23" s="21">
        <f t="shared" si="12"/>
        <v>219176.47058823533</v>
      </c>
      <c r="AF23" s="21">
        <f t="shared" si="12"/>
        <v>231470.58823529416</v>
      </c>
      <c r="AG23" s="21">
        <f t="shared" si="12"/>
        <v>243764.70588235298</v>
      </c>
      <c r="AH23" s="21">
        <f t="shared" si="12"/>
        <v>264725.49019607849</v>
      </c>
      <c r="AI23" s="21">
        <f t="shared" si="12"/>
        <v>277186.27450980397</v>
      </c>
      <c r="AJ23" s="21">
        <f t="shared" si="12"/>
        <v>291647.05882352946</v>
      </c>
      <c r="AK23" s="21">
        <f t="shared" si="12"/>
        <v>300441.17647058825</v>
      </c>
      <c r="AL23" s="21">
        <f t="shared" si="12"/>
        <v>309235.29411764705</v>
      </c>
      <c r="AM23" s="21">
        <f t="shared" si="12"/>
        <v>318029.41176470584</v>
      </c>
      <c r="AN23" s="21">
        <f t="shared" si="12"/>
        <v>326823.52941176464</v>
      </c>
      <c r="AO23" s="21">
        <f t="shared" si="12"/>
        <v>337617.64705882344</v>
      </c>
      <c r="AP23" s="21">
        <f t="shared" si="12"/>
        <v>347411.76470588223</v>
      </c>
      <c r="AQ23" s="21">
        <f t="shared" si="12"/>
        <v>351705.88235294103</v>
      </c>
      <c r="AR23" s="21">
        <f t="shared" si="12"/>
        <v>355999.99999999983</v>
      </c>
    </row>
    <row r="24" spans="2:45">
      <c r="B24" s="25" t="s">
        <v>20</v>
      </c>
      <c r="C24" s="26"/>
      <c r="D24" s="27">
        <f>'Effort &amp; Cost'!D51</f>
        <v>413211.76470588235</v>
      </c>
    </row>
    <row r="25" spans="2:45">
      <c r="B25" s="24" t="s">
        <v>98</v>
      </c>
      <c r="C25" s="23">
        <v>0.15</v>
      </c>
      <c r="D25" s="22">
        <f>C25*$D$24</f>
        <v>61981.76470588235</v>
      </c>
      <c r="F25" s="22">
        <f>D25</f>
        <v>61981.76470588235</v>
      </c>
    </row>
    <row r="26" spans="2:45">
      <c r="B26" s="24" t="s">
        <v>21</v>
      </c>
      <c r="C26" s="23">
        <v>0.25</v>
      </c>
      <c r="D26" s="22">
        <f t="shared" ref="D26:D28" si="13">C26*$D$24</f>
        <v>103302.94117647059</v>
      </c>
      <c r="E26" t="s">
        <v>99</v>
      </c>
      <c r="F26" s="22">
        <f>F25+D26</f>
        <v>165284.70588235295</v>
      </c>
    </row>
    <row r="27" spans="2:45">
      <c r="B27" s="24" t="s">
        <v>22</v>
      </c>
      <c r="C27" s="23">
        <v>0.25</v>
      </c>
      <c r="D27" s="22">
        <f t="shared" si="13"/>
        <v>103302.94117647059</v>
      </c>
      <c r="E27" t="s">
        <v>100</v>
      </c>
      <c r="F27" s="22">
        <f>F26+D27</f>
        <v>268587.64705882355</v>
      </c>
    </row>
    <row r="28" spans="2:45">
      <c r="B28" s="24" t="s">
        <v>23</v>
      </c>
      <c r="C28" s="23">
        <v>0.35</v>
      </c>
      <c r="D28" s="22">
        <f t="shared" si="13"/>
        <v>144624.11764705883</v>
      </c>
      <c r="F28" s="22">
        <f>F27+D28</f>
        <v>413211.76470588241</v>
      </c>
    </row>
    <row r="29" spans="2:45">
      <c r="D29" s="22">
        <f>SUM(D25:D28)</f>
        <v>413211.76470588241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CF25F-2D8E-4754-87AE-B433AED96C51}">
  <dimension ref="B2:BK49"/>
  <sheetViews>
    <sheetView topLeftCell="A7" zoomScaleNormal="100" workbookViewId="0">
      <selection activeCell="R13" sqref="R13:V13"/>
    </sheetView>
  </sheetViews>
  <sheetFormatPr defaultRowHeight="14.5"/>
  <cols>
    <col min="6" max="6" width="9.453125" bestFit="1" customWidth="1"/>
    <col min="10" max="10" width="12" bestFit="1" customWidth="1"/>
    <col min="11" max="47" width="2.7265625" customWidth="1"/>
    <col min="48" max="48" width="5.26953125" bestFit="1" customWidth="1"/>
    <col min="49" max="49" width="11.7265625" bestFit="1" customWidth="1"/>
    <col min="50" max="50" width="10.7265625" bestFit="1" customWidth="1"/>
    <col min="51" max="51" width="11" customWidth="1"/>
    <col min="52" max="52" width="10" customWidth="1"/>
    <col min="53" max="53" width="7.1796875" customWidth="1"/>
    <col min="54" max="54" width="12.81640625" bestFit="1" customWidth="1"/>
    <col min="55" max="55" width="10.7265625" bestFit="1" customWidth="1"/>
    <col min="56" max="56" width="11" customWidth="1"/>
    <col min="57" max="58" width="8.81640625" customWidth="1"/>
    <col min="59" max="59" width="11" bestFit="1" customWidth="1"/>
    <col min="60" max="60" width="10.7265625" bestFit="1" customWidth="1"/>
    <col min="61" max="61" width="11" customWidth="1"/>
    <col min="62" max="63" width="8.54296875" customWidth="1"/>
  </cols>
  <sheetData>
    <row r="2" spans="2:63" ht="15" thickBot="1"/>
    <row r="3" spans="2:63" ht="15" thickBot="1">
      <c r="K3" s="1">
        <v>0</v>
      </c>
      <c r="L3" s="1">
        <v>1</v>
      </c>
      <c r="M3" s="1">
        <v>2</v>
      </c>
      <c r="N3" s="1">
        <v>3</v>
      </c>
      <c r="O3" s="1">
        <v>4</v>
      </c>
      <c r="P3" s="1">
        <v>5</v>
      </c>
      <c r="Q3" s="1">
        <v>6</v>
      </c>
      <c r="R3" s="1">
        <v>7</v>
      </c>
      <c r="S3" s="1">
        <v>8</v>
      </c>
      <c r="T3" s="1">
        <v>9</v>
      </c>
      <c r="U3" s="1">
        <v>10</v>
      </c>
      <c r="V3" s="103">
        <v>11</v>
      </c>
      <c r="W3" s="1">
        <v>12</v>
      </c>
      <c r="X3" s="1">
        <v>13</v>
      </c>
      <c r="Y3" s="1">
        <v>14</v>
      </c>
      <c r="Z3" s="1">
        <v>15</v>
      </c>
      <c r="AA3" s="1">
        <v>16</v>
      </c>
      <c r="AB3" s="1">
        <v>17</v>
      </c>
      <c r="AC3" s="1">
        <v>18</v>
      </c>
      <c r="AD3" s="1">
        <v>19</v>
      </c>
      <c r="AE3" s="1">
        <v>20</v>
      </c>
      <c r="AF3" s="1">
        <v>21</v>
      </c>
      <c r="AG3" s="1">
        <v>22</v>
      </c>
      <c r="AH3" s="103">
        <v>23</v>
      </c>
      <c r="AI3" s="1">
        <v>24</v>
      </c>
      <c r="AJ3" s="1">
        <v>25</v>
      </c>
      <c r="AK3" s="1">
        <v>26</v>
      </c>
      <c r="AL3" s="1">
        <v>27</v>
      </c>
      <c r="AM3" s="1">
        <v>28</v>
      </c>
      <c r="AN3" s="1">
        <v>29</v>
      </c>
      <c r="AO3" s="1">
        <v>30</v>
      </c>
      <c r="AP3" s="1">
        <v>31</v>
      </c>
      <c r="AQ3" s="1">
        <v>32</v>
      </c>
      <c r="AR3" s="103">
        <v>33</v>
      </c>
      <c r="AS3" s="1">
        <v>34</v>
      </c>
      <c r="AT3" s="1"/>
      <c r="AU3" s="1"/>
      <c r="AW3" s="156" t="s">
        <v>101</v>
      </c>
      <c r="AX3" s="157"/>
      <c r="AY3" s="157"/>
      <c r="AZ3" s="157"/>
      <c r="BA3" s="158"/>
      <c r="BB3" s="159" t="s">
        <v>102</v>
      </c>
      <c r="BC3" s="160"/>
      <c r="BD3" s="160"/>
      <c r="BE3" s="160"/>
      <c r="BF3" s="161"/>
      <c r="BG3" s="159" t="s">
        <v>103</v>
      </c>
      <c r="BH3" s="160"/>
      <c r="BI3" s="160"/>
      <c r="BJ3" s="160"/>
      <c r="BK3" s="161"/>
    </row>
    <row r="4" spans="2:63">
      <c r="B4" s="2" t="s">
        <v>17</v>
      </c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18</v>
      </c>
      <c r="V4" s="104"/>
      <c r="AH4" s="104"/>
      <c r="AR4" s="104"/>
      <c r="AV4" s="2" t="s">
        <v>17</v>
      </c>
      <c r="AW4" s="43" t="s">
        <v>26</v>
      </c>
      <c r="AX4" s="44" t="s">
        <v>27</v>
      </c>
      <c r="AY4" s="31" t="s">
        <v>28</v>
      </c>
      <c r="AZ4" s="45" t="s">
        <v>29</v>
      </c>
      <c r="BA4" s="46" t="s">
        <v>30</v>
      </c>
      <c r="BB4" s="43" t="s">
        <v>26</v>
      </c>
      <c r="BC4" s="44" t="s">
        <v>27</v>
      </c>
      <c r="BD4" s="32" t="s">
        <v>28</v>
      </c>
      <c r="BE4" s="47" t="s">
        <v>29</v>
      </c>
      <c r="BF4" s="48" t="s">
        <v>30</v>
      </c>
      <c r="BG4" s="43" t="s">
        <v>26</v>
      </c>
      <c r="BH4" s="44" t="s">
        <v>27</v>
      </c>
      <c r="BI4" s="33" t="s">
        <v>28</v>
      </c>
      <c r="BJ4" s="33" t="s">
        <v>29</v>
      </c>
      <c r="BK4" s="49" t="s">
        <v>30</v>
      </c>
    </row>
    <row r="5" spans="2:63">
      <c r="B5" s="2" t="str">
        <f>'Piano SAL'!B5</f>
        <v>0.1</v>
      </c>
      <c r="C5" s="2">
        <f>'Piano SAL'!C5</f>
        <v>34</v>
      </c>
      <c r="D5" s="2" t="str">
        <f>'Piano SAL'!D5</f>
        <v>-</v>
      </c>
      <c r="E5" s="2">
        <f>'Piano SAL'!E5</f>
        <v>0</v>
      </c>
      <c r="F5" s="2" t="str">
        <f>'Piano SAL'!F5</f>
        <v>-</v>
      </c>
      <c r="G5" s="2" t="str">
        <f>'Piano SAL'!G5</f>
        <v>-</v>
      </c>
      <c r="H5" s="2" t="str">
        <f>'Piano SAL'!H5</f>
        <v>-</v>
      </c>
      <c r="I5" s="2" t="str">
        <f>'Piano SAL'!I5</f>
        <v>-</v>
      </c>
      <c r="J5" s="30">
        <v>78000</v>
      </c>
      <c r="K5">
        <f>'PERT ALAP'!T5</f>
        <v>2294.1176470588234</v>
      </c>
      <c r="L5">
        <f>'PERT ALAP'!U5</f>
        <v>2294.1176470588234</v>
      </c>
      <c r="M5">
        <f>'PERT ALAP'!V5</f>
        <v>2294.1176470588234</v>
      </c>
      <c r="N5">
        <f>'PERT ALAP'!W5</f>
        <v>2294.1176470588234</v>
      </c>
      <c r="O5">
        <f>'PERT ALAP'!X5</f>
        <v>2294.1176470588234</v>
      </c>
      <c r="P5">
        <f>'PERT ALAP'!Y5</f>
        <v>2294.1176470588234</v>
      </c>
      <c r="Q5">
        <f>'PERT ALAP'!Z5</f>
        <v>2294.1176470588234</v>
      </c>
      <c r="R5">
        <f>'PERT ALAP'!AA5</f>
        <v>2294.1176470588234</v>
      </c>
      <c r="S5">
        <f>'PERT ALAP'!AB5</f>
        <v>2294.1176470588234</v>
      </c>
      <c r="T5">
        <f>'PERT ALAP'!AC5</f>
        <v>2294.1176470588234</v>
      </c>
      <c r="U5">
        <f>'PERT ALAP'!AD5</f>
        <v>2294.1176470588234</v>
      </c>
      <c r="V5" s="104">
        <f>'PERT ALAP'!AE5</f>
        <v>2294.1176470588234</v>
      </c>
      <c r="W5">
        <f>'PERT ALAP'!AF5</f>
        <v>2294.1176470588234</v>
      </c>
      <c r="X5">
        <f>'PERT ALAP'!AG5</f>
        <v>2294.1176470588234</v>
      </c>
      <c r="Y5">
        <f>'PERT ALAP'!AH5</f>
        <v>2294.1176470588234</v>
      </c>
      <c r="Z5">
        <f>'PERT ALAP'!AI5</f>
        <v>2294.1176470588234</v>
      </c>
      <c r="AA5">
        <f>'PERT ALAP'!AJ5</f>
        <v>2294.1176470588234</v>
      </c>
      <c r="AB5">
        <f>'PERT ALAP'!AK5</f>
        <v>2294.1176470588234</v>
      </c>
      <c r="AC5">
        <f>'PERT ALAP'!AL5</f>
        <v>2294.1176470588234</v>
      </c>
      <c r="AD5">
        <f>'PERT ALAP'!AM5</f>
        <v>2294.1176470588234</v>
      </c>
      <c r="AE5">
        <f>'PERT ALAP'!AN5</f>
        <v>2294.1176470588234</v>
      </c>
      <c r="AF5">
        <f>'PERT ALAP'!AO5</f>
        <v>2294.1176470588234</v>
      </c>
      <c r="AG5">
        <f>'PERT ALAP'!AP5</f>
        <v>2294.1176470588234</v>
      </c>
      <c r="AH5" s="104">
        <f>'PERT ALAP'!AQ5</f>
        <v>2294.1176470588234</v>
      </c>
      <c r="AI5">
        <f>'PERT ALAP'!AR5</f>
        <v>2294.1176470588234</v>
      </c>
      <c r="AJ5">
        <f>'PERT ALAP'!AS5</f>
        <v>2294.1176470588234</v>
      </c>
      <c r="AK5">
        <f>'PERT ALAP'!AT5</f>
        <v>2294.1176470588234</v>
      </c>
      <c r="AL5">
        <f>'PERT ALAP'!AU5</f>
        <v>2294.1176470588234</v>
      </c>
      <c r="AM5">
        <f>'PERT ALAP'!AV5</f>
        <v>2294.1176470588234</v>
      </c>
      <c r="AN5">
        <f>'PERT ALAP'!AW5</f>
        <v>2294.1176470588234</v>
      </c>
      <c r="AO5">
        <f>'PERT ALAP'!AX5</f>
        <v>2294.1176470588234</v>
      </c>
      <c r="AP5">
        <f>'PERT ALAP'!AY5</f>
        <v>2294.1176470588234</v>
      </c>
      <c r="AQ5">
        <f>'PERT ALAP'!AZ5</f>
        <v>2294.1176470588234</v>
      </c>
      <c r="AR5" s="104">
        <f>'PERT ALAP'!BA5</f>
        <v>2294.1176470588234</v>
      </c>
      <c r="AV5" s="2" t="s">
        <v>74</v>
      </c>
      <c r="AW5" s="34">
        <v>26000</v>
      </c>
      <c r="AX5" s="35">
        <v>0.3</v>
      </c>
      <c r="AY5" s="59">
        <f>J5*AX5</f>
        <v>23400</v>
      </c>
      <c r="AZ5" s="50">
        <f>AY5/AW5</f>
        <v>0.9</v>
      </c>
      <c r="BA5" s="51">
        <f>AY5/SUM(K5:V5)</f>
        <v>0.84999999999999987</v>
      </c>
      <c r="BB5" s="34">
        <v>52000</v>
      </c>
      <c r="BC5" s="35">
        <v>0.6</v>
      </c>
      <c r="BD5" s="62">
        <f>J5*BC5</f>
        <v>46800</v>
      </c>
      <c r="BE5" s="50">
        <f>BD5/BB5</f>
        <v>0.9</v>
      </c>
      <c r="BF5" s="36">
        <f>BD5/SUM(K5:AH5)</f>
        <v>0.84999999999999964</v>
      </c>
      <c r="BG5" s="34">
        <v>78000</v>
      </c>
      <c r="BH5" s="35">
        <v>1</v>
      </c>
      <c r="BI5" s="67">
        <f>J5*BH5</f>
        <v>78000</v>
      </c>
      <c r="BJ5" s="50">
        <f>BI5/BG5</f>
        <v>1</v>
      </c>
      <c r="BK5" s="51">
        <f>BI5/J5</f>
        <v>1</v>
      </c>
    </row>
    <row r="6" spans="2:63">
      <c r="B6" s="2" t="str">
        <f>'Piano SAL'!B6</f>
        <v>1.1</v>
      </c>
      <c r="C6" s="2">
        <f>'Piano SAL'!C6</f>
        <v>9</v>
      </c>
      <c r="D6" s="2" t="str">
        <f>'Piano SAL'!D6</f>
        <v>-</v>
      </c>
      <c r="E6" s="2">
        <f>'Piano SAL'!E6</f>
        <v>0</v>
      </c>
      <c r="F6" s="2">
        <f>'Piano SAL'!F6</f>
        <v>9</v>
      </c>
      <c r="G6" s="2">
        <f>'Piano SAL'!G6</f>
        <v>6</v>
      </c>
      <c r="H6" s="2">
        <f>'Piano SAL'!H6</f>
        <v>15</v>
      </c>
      <c r="I6" s="2">
        <f>'Piano SAL'!I6</f>
        <v>6</v>
      </c>
      <c r="J6" s="30">
        <v>3000</v>
      </c>
      <c r="Q6" s="10">
        <f>$J$6/$C$6</f>
        <v>333.33333333333331</v>
      </c>
      <c r="R6" s="4">
        <f t="shared" ref="R6:Y6" si="0">$J$6/$C$6</f>
        <v>333.33333333333331</v>
      </c>
      <c r="S6" s="4">
        <f t="shared" si="0"/>
        <v>333.33333333333331</v>
      </c>
      <c r="T6" s="4">
        <f t="shared" si="0"/>
        <v>333.33333333333331</v>
      </c>
      <c r="U6" s="4">
        <f t="shared" si="0"/>
        <v>333.33333333333331</v>
      </c>
      <c r="V6" s="105">
        <f t="shared" si="0"/>
        <v>333.33333333333331</v>
      </c>
      <c r="W6" s="4">
        <f t="shared" si="0"/>
        <v>333.33333333333331</v>
      </c>
      <c r="X6" s="4">
        <f t="shared" si="0"/>
        <v>333.33333333333331</v>
      </c>
      <c r="Y6" s="9">
        <f t="shared" si="0"/>
        <v>333.33333333333331</v>
      </c>
      <c r="Z6" s="7"/>
      <c r="AA6" s="7"/>
      <c r="AB6" s="7"/>
      <c r="AC6" s="7"/>
      <c r="AD6" s="7"/>
      <c r="AE6" s="7"/>
      <c r="AF6" s="7"/>
      <c r="AG6" s="7"/>
      <c r="AH6" s="106"/>
      <c r="AI6" s="7"/>
      <c r="AJ6" s="7"/>
      <c r="AK6" s="7"/>
      <c r="AL6" s="7"/>
      <c r="AM6" s="7"/>
      <c r="AN6" s="7"/>
      <c r="AO6" s="7"/>
      <c r="AP6" s="7"/>
      <c r="AQ6" s="7"/>
      <c r="AR6" s="106"/>
      <c r="AV6" s="2" t="s">
        <v>63</v>
      </c>
      <c r="AW6" s="34">
        <v>2500</v>
      </c>
      <c r="AX6" s="35">
        <v>0.8</v>
      </c>
      <c r="AY6" s="59">
        <f>J6*AX6</f>
        <v>2400</v>
      </c>
      <c r="AZ6" s="50">
        <f>AY6/AW6</f>
        <v>0.96</v>
      </c>
      <c r="BA6" s="51">
        <f>AY6/SUM(Q6:V6)</f>
        <v>1.2000000000000002</v>
      </c>
      <c r="BB6" s="34">
        <v>3200</v>
      </c>
      <c r="BC6" s="35">
        <v>1</v>
      </c>
      <c r="BD6" s="62">
        <f>J6*BC6</f>
        <v>3000</v>
      </c>
      <c r="BE6" s="50">
        <f>BD6/BB6</f>
        <v>0.9375</v>
      </c>
      <c r="BF6" s="36">
        <f>BD6/J6</f>
        <v>1</v>
      </c>
      <c r="BG6" s="34">
        <v>3200</v>
      </c>
      <c r="BH6" s="35">
        <v>1</v>
      </c>
      <c r="BI6" s="67">
        <f>J6*BH6</f>
        <v>3000</v>
      </c>
      <c r="BJ6" s="50">
        <f>BI6/BG6</f>
        <v>0.9375</v>
      </c>
      <c r="BK6" s="51">
        <f>BI6/J6</f>
        <v>1</v>
      </c>
    </row>
    <row r="7" spans="2:63">
      <c r="B7" s="2" t="str">
        <f>'Piano SAL'!B7</f>
        <v>1.2</v>
      </c>
      <c r="C7" s="2">
        <f>'Piano SAL'!C7</f>
        <v>3</v>
      </c>
      <c r="D7" s="2" t="str">
        <f>'Piano SAL'!D7</f>
        <v>-</v>
      </c>
      <c r="E7" s="2">
        <f>'Piano SAL'!E7</f>
        <v>0</v>
      </c>
      <c r="F7" s="2">
        <f>'Piano SAL'!F7</f>
        <v>3</v>
      </c>
      <c r="G7" s="2">
        <f>'Piano SAL'!G7</f>
        <v>0</v>
      </c>
      <c r="H7" s="2">
        <f>'Piano SAL'!H7</f>
        <v>3</v>
      </c>
      <c r="I7" s="2">
        <f>'Piano SAL'!I7</f>
        <v>0</v>
      </c>
      <c r="J7" s="118">
        <f>3000+'Risk Analysis'!L4</f>
        <v>8000</v>
      </c>
      <c r="K7" s="14">
        <f>$J$7/$C$7</f>
        <v>2666.6666666666665</v>
      </c>
      <c r="L7" s="14">
        <f t="shared" ref="L7:M7" si="1">$J$7/$C$7</f>
        <v>2666.6666666666665</v>
      </c>
      <c r="M7" s="14">
        <f t="shared" si="1"/>
        <v>2666.6666666666665</v>
      </c>
      <c r="N7" s="7"/>
      <c r="O7" s="7"/>
      <c r="P7" s="7"/>
      <c r="Q7" s="7"/>
      <c r="R7" s="7"/>
      <c r="S7" s="7"/>
      <c r="T7" s="7"/>
      <c r="U7" s="7"/>
      <c r="V7" s="106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106"/>
      <c r="AI7" s="7"/>
      <c r="AJ7" s="7"/>
      <c r="AK7" s="7"/>
      <c r="AL7" s="7"/>
      <c r="AM7" s="7"/>
      <c r="AN7" s="7"/>
      <c r="AO7" s="7"/>
      <c r="AP7" s="7"/>
      <c r="AQ7" s="7"/>
      <c r="AR7" s="106"/>
      <c r="AV7" s="2" t="s">
        <v>57</v>
      </c>
      <c r="AW7" s="34">
        <v>7000</v>
      </c>
      <c r="AX7" s="35">
        <v>1</v>
      </c>
      <c r="AY7" s="59">
        <f t="shared" ref="AY7:AY20" si="2">J7*AX7</f>
        <v>8000</v>
      </c>
      <c r="AZ7" s="50">
        <f t="shared" ref="AZ7" si="3">AY7/AW7</f>
        <v>1.1428571428571428</v>
      </c>
      <c r="BA7" s="51">
        <f>AY7/J7</f>
        <v>1</v>
      </c>
      <c r="BB7" s="34">
        <v>7000</v>
      </c>
      <c r="BC7" s="35">
        <v>1</v>
      </c>
      <c r="BD7" s="62">
        <f t="shared" ref="BD7:BD21" si="4">J7*BC7</f>
        <v>8000</v>
      </c>
      <c r="BE7" s="50">
        <f t="shared" ref="BE7:BE16" si="5">BD7/BB7</f>
        <v>1.1428571428571428</v>
      </c>
      <c r="BF7" s="36">
        <f t="shared" ref="BF7:BF21" si="6">BD7/J7</f>
        <v>1</v>
      </c>
      <c r="BG7" s="34">
        <v>7000</v>
      </c>
      <c r="BH7" s="35">
        <v>1</v>
      </c>
      <c r="BI7" s="67">
        <f t="shared" ref="BI7:BI21" si="7">J7*BH7</f>
        <v>8000</v>
      </c>
      <c r="BJ7" s="50">
        <f t="shared" ref="BJ7:BJ21" si="8">BI7/BG7</f>
        <v>1.1428571428571428</v>
      </c>
      <c r="BK7" s="51">
        <f t="shared" ref="BK7:BK21" si="9">BI7/J7</f>
        <v>1</v>
      </c>
    </row>
    <row r="8" spans="2:63">
      <c r="B8" s="2" t="str">
        <f>'Piano SAL'!B8</f>
        <v>1.3</v>
      </c>
      <c r="C8" s="2">
        <f>'Piano SAL'!C8</f>
        <v>7</v>
      </c>
      <c r="D8" s="2" t="str">
        <f>'Piano SAL'!D8</f>
        <v>-</v>
      </c>
      <c r="E8" s="2">
        <f>'Piano SAL'!E8</f>
        <v>0</v>
      </c>
      <c r="F8" s="2">
        <f>'Piano SAL'!F8</f>
        <v>7</v>
      </c>
      <c r="G8" s="2">
        <f>'Piano SAL'!G8</f>
        <v>7</v>
      </c>
      <c r="H8" s="2">
        <f>'Piano SAL'!H8</f>
        <v>14</v>
      </c>
      <c r="I8" s="2">
        <f>'Piano SAL'!I8</f>
        <v>7</v>
      </c>
      <c r="J8" s="30">
        <v>7000</v>
      </c>
      <c r="K8" s="10">
        <f>$J$8/$C$8</f>
        <v>1000</v>
      </c>
      <c r="L8" s="6">
        <f t="shared" ref="L8:Q8" si="10">$J$8/$C$8</f>
        <v>1000</v>
      </c>
      <c r="M8" s="6">
        <f t="shared" si="10"/>
        <v>1000</v>
      </c>
      <c r="N8" s="6">
        <f t="shared" si="10"/>
        <v>1000</v>
      </c>
      <c r="O8" s="107">
        <f t="shared" si="10"/>
        <v>1000</v>
      </c>
      <c r="P8" s="6">
        <f t="shared" si="10"/>
        <v>1000</v>
      </c>
      <c r="Q8" s="15">
        <f t="shared" si="10"/>
        <v>1000</v>
      </c>
      <c r="V8" s="104"/>
      <c r="Y8" s="7"/>
      <c r="Z8" s="7"/>
      <c r="AA8" s="7"/>
      <c r="AB8" s="7"/>
      <c r="AC8" s="7"/>
      <c r="AD8" s="7"/>
      <c r="AE8" s="7"/>
      <c r="AF8" s="7"/>
      <c r="AG8" s="7"/>
      <c r="AH8" s="106"/>
      <c r="AI8" s="7"/>
      <c r="AJ8" s="7"/>
      <c r="AK8" s="7"/>
      <c r="AL8" s="7"/>
      <c r="AM8" s="7"/>
      <c r="AN8" s="7"/>
      <c r="AO8" s="7"/>
      <c r="AP8" s="7"/>
      <c r="AQ8" s="7"/>
      <c r="AR8" s="106"/>
      <c r="AV8" s="2" t="s">
        <v>58</v>
      </c>
      <c r="AW8" s="34">
        <v>7500</v>
      </c>
      <c r="AX8" s="35">
        <v>1</v>
      </c>
      <c r="AY8" s="59">
        <f t="shared" si="2"/>
        <v>7000</v>
      </c>
      <c r="AZ8" s="50">
        <f>AY8/AW8</f>
        <v>0.93333333333333335</v>
      </c>
      <c r="BA8" s="51">
        <f>AY8/SUM(K8:Q8)</f>
        <v>1</v>
      </c>
      <c r="BB8" s="34">
        <v>7500</v>
      </c>
      <c r="BC8" s="35">
        <v>1</v>
      </c>
      <c r="BD8" s="62">
        <f t="shared" si="4"/>
        <v>7000</v>
      </c>
      <c r="BE8" s="50">
        <f t="shared" si="5"/>
        <v>0.93333333333333335</v>
      </c>
      <c r="BF8" s="36">
        <f t="shared" si="6"/>
        <v>1</v>
      </c>
      <c r="BG8" s="34">
        <v>7500</v>
      </c>
      <c r="BH8" s="35">
        <v>1</v>
      </c>
      <c r="BI8" s="67">
        <f t="shared" si="7"/>
        <v>7000</v>
      </c>
      <c r="BJ8" s="50">
        <f t="shared" si="8"/>
        <v>0.93333333333333335</v>
      </c>
      <c r="BK8" s="51">
        <f t="shared" si="9"/>
        <v>1</v>
      </c>
    </row>
    <row r="9" spans="2:63">
      <c r="B9" s="2" t="str">
        <f>'Piano SAL'!B9</f>
        <v>1.4</v>
      </c>
      <c r="C9" s="2">
        <f>'Piano SAL'!C9</f>
        <v>10</v>
      </c>
      <c r="D9" s="2" t="str">
        <f>'Piano SAL'!D9</f>
        <v>1.1</v>
      </c>
      <c r="E9" s="2">
        <f>'Piano SAL'!E9</f>
        <v>9</v>
      </c>
      <c r="F9" s="2">
        <f>'Piano SAL'!F9</f>
        <v>19</v>
      </c>
      <c r="G9" s="2">
        <f>'Piano SAL'!G9</f>
        <v>15</v>
      </c>
      <c r="H9" s="2">
        <f>'Piano SAL'!H9</f>
        <v>25</v>
      </c>
      <c r="I9" s="2">
        <f>'Piano SAL'!I9</f>
        <v>6</v>
      </c>
      <c r="J9" s="30">
        <v>10000</v>
      </c>
      <c r="K9" s="7"/>
      <c r="L9" s="7"/>
      <c r="M9" s="7"/>
      <c r="N9" s="7"/>
      <c r="O9" s="7"/>
      <c r="P9" s="7"/>
      <c r="Q9" s="7"/>
      <c r="R9" s="7"/>
      <c r="S9" s="7"/>
      <c r="V9" s="104"/>
      <c r="Z9" s="10">
        <f>$J$9/$C$9</f>
        <v>1000</v>
      </c>
      <c r="AA9" s="6">
        <f t="shared" ref="AA9:AI9" si="11">$J$9/$C$9</f>
        <v>1000</v>
      </c>
      <c r="AB9" s="6">
        <f t="shared" si="11"/>
        <v>1000</v>
      </c>
      <c r="AC9" s="6">
        <f t="shared" si="11"/>
        <v>1000</v>
      </c>
      <c r="AD9" s="6">
        <f t="shared" si="11"/>
        <v>1000</v>
      </c>
      <c r="AE9" s="6">
        <f t="shared" si="11"/>
        <v>1000</v>
      </c>
      <c r="AF9" s="6">
        <f t="shared" si="11"/>
        <v>1000</v>
      </c>
      <c r="AG9" s="6">
        <f t="shared" si="11"/>
        <v>1000</v>
      </c>
      <c r="AH9" s="107">
        <f t="shared" si="11"/>
        <v>1000</v>
      </c>
      <c r="AI9" s="15">
        <f t="shared" si="11"/>
        <v>1000</v>
      </c>
      <c r="AJ9" s="7"/>
      <c r="AK9" s="7"/>
      <c r="AL9" s="7"/>
      <c r="AM9" s="7"/>
      <c r="AN9" s="7"/>
      <c r="AO9" s="7"/>
      <c r="AP9" s="7"/>
      <c r="AQ9" s="7"/>
      <c r="AR9" s="106"/>
      <c r="AV9" s="2" t="s">
        <v>61</v>
      </c>
      <c r="AW9" s="37" t="s">
        <v>31</v>
      </c>
      <c r="AX9" s="35">
        <v>0</v>
      </c>
      <c r="AY9" s="59">
        <f t="shared" si="2"/>
        <v>0</v>
      </c>
      <c r="AZ9" s="50"/>
      <c r="BA9" s="51">
        <f t="shared" ref="BA9:BA21" si="12">AY9/J9</f>
        <v>0</v>
      </c>
      <c r="BB9" s="34">
        <v>9000</v>
      </c>
      <c r="BC9" s="35">
        <v>0.95</v>
      </c>
      <c r="BD9" s="62">
        <f t="shared" si="4"/>
        <v>9500</v>
      </c>
      <c r="BE9" s="50">
        <f t="shared" si="5"/>
        <v>1.0555555555555556</v>
      </c>
      <c r="BF9" s="36">
        <f>BD9/SUM(Z9:AH9)</f>
        <v>1.0555555555555556</v>
      </c>
      <c r="BG9" s="64">
        <v>10000</v>
      </c>
      <c r="BH9" s="35">
        <v>1</v>
      </c>
      <c r="BI9" s="67">
        <f t="shared" si="7"/>
        <v>10000</v>
      </c>
      <c r="BJ9" s="50">
        <f t="shared" si="8"/>
        <v>1</v>
      </c>
      <c r="BK9" s="51">
        <f t="shared" si="9"/>
        <v>1</v>
      </c>
    </row>
    <row r="10" spans="2:63">
      <c r="B10" s="2" t="str">
        <f>'Piano SAL'!B10</f>
        <v>1.5</v>
      </c>
      <c r="C10" s="2">
        <f>'Piano SAL'!C10</f>
        <v>21</v>
      </c>
      <c r="D10" s="2" t="str">
        <f>'Piano SAL'!D10</f>
        <v>1.2</v>
      </c>
      <c r="E10" s="2">
        <f>'Piano SAL'!E10</f>
        <v>3</v>
      </c>
      <c r="F10" s="2">
        <f>'Piano SAL'!F10</f>
        <v>24</v>
      </c>
      <c r="G10" s="2">
        <f>'Piano SAL'!G10</f>
        <v>3</v>
      </c>
      <c r="H10" s="2">
        <f>'Piano SAL'!H10</f>
        <v>24</v>
      </c>
      <c r="I10" s="2">
        <f>'Piano SAL'!I10</f>
        <v>20</v>
      </c>
      <c r="J10" s="30">
        <v>63000</v>
      </c>
      <c r="K10" s="7"/>
      <c r="L10" s="7"/>
      <c r="M10" s="7"/>
      <c r="N10" s="8">
        <f>$J$10/$C$10</f>
        <v>3000</v>
      </c>
      <c r="O10" s="8">
        <f t="shared" ref="O10:AH10" si="13">$J$10/$C$10</f>
        <v>3000</v>
      </c>
      <c r="P10" s="8">
        <f t="shared" si="13"/>
        <v>3000</v>
      </c>
      <c r="Q10" s="8">
        <f t="shared" si="13"/>
        <v>3000</v>
      </c>
      <c r="R10" s="8">
        <f t="shared" si="13"/>
        <v>3000</v>
      </c>
      <c r="S10" s="8">
        <f t="shared" si="13"/>
        <v>3000</v>
      </c>
      <c r="T10" s="8">
        <f t="shared" si="13"/>
        <v>3000</v>
      </c>
      <c r="U10" s="8">
        <f t="shared" si="13"/>
        <v>3000</v>
      </c>
      <c r="V10" s="108">
        <f t="shared" si="13"/>
        <v>3000</v>
      </c>
      <c r="W10" s="8">
        <f t="shared" si="13"/>
        <v>3000</v>
      </c>
      <c r="X10" s="8">
        <f t="shared" si="13"/>
        <v>3000</v>
      </c>
      <c r="Y10" s="8">
        <f t="shared" si="13"/>
        <v>3000</v>
      </c>
      <c r="Z10" s="8">
        <f t="shared" si="13"/>
        <v>3000</v>
      </c>
      <c r="AA10" s="8">
        <f t="shared" si="13"/>
        <v>3000</v>
      </c>
      <c r="AB10" s="8">
        <f t="shared" si="13"/>
        <v>3000</v>
      </c>
      <c r="AC10" s="8">
        <f t="shared" si="13"/>
        <v>3000</v>
      </c>
      <c r="AD10" s="8">
        <f t="shared" si="13"/>
        <v>3000</v>
      </c>
      <c r="AE10" s="8">
        <f t="shared" si="13"/>
        <v>3000</v>
      </c>
      <c r="AF10" s="8">
        <f t="shared" si="13"/>
        <v>3000</v>
      </c>
      <c r="AG10" s="8">
        <f t="shared" si="13"/>
        <v>3000</v>
      </c>
      <c r="AH10" s="108">
        <f t="shared" si="13"/>
        <v>3000</v>
      </c>
      <c r="AI10" s="7"/>
      <c r="AJ10" s="7"/>
      <c r="AK10" s="7"/>
      <c r="AL10" s="7"/>
      <c r="AM10" s="7"/>
      <c r="AN10" s="7"/>
      <c r="AO10" s="7"/>
      <c r="AP10" s="7"/>
      <c r="AQ10" s="7"/>
      <c r="AR10" s="106"/>
      <c r="AV10" s="2" t="s">
        <v>62</v>
      </c>
      <c r="AW10" s="34">
        <v>25000</v>
      </c>
      <c r="AX10" s="35">
        <v>0.65</v>
      </c>
      <c r="AY10" s="59">
        <f t="shared" si="2"/>
        <v>40950</v>
      </c>
      <c r="AZ10" s="50">
        <f t="shared" ref="AZ10:AZ12" si="14">AY10/AW10</f>
        <v>1.6379999999999999</v>
      </c>
      <c r="BA10" s="51">
        <f>AY10/SUM(N10:V10)</f>
        <v>1.5166666666666666</v>
      </c>
      <c r="BB10" s="34">
        <v>60000</v>
      </c>
      <c r="BC10" s="35">
        <v>1</v>
      </c>
      <c r="BD10" s="62">
        <f t="shared" si="4"/>
        <v>63000</v>
      </c>
      <c r="BE10" s="50">
        <f t="shared" si="5"/>
        <v>1.05</v>
      </c>
      <c r="BF10" s="36">
        <f t="shared" si="6"/>
        <v>1</v>
      </c>
      <c r="BG10" s="64">
        <v>60000</v>
      </c>
      <c r="BH10" s="35">
        <v>1</v>
      </c>
      <c r="BI10" s="67">
        <f t="shared" si="7"/>
        <v>63000</v>
      </c>
      <c r="BJ10" s="50">
        <f t="shared" si="8"/>
        <v>1.05</v>
      </c>
      <c r="BK10" s="51">
        <f t="shared" si="9"/>
        <v>1</v>
      </c>
    </row>
    <row r="11" spans="2:63">
      <c r="B11" s="2" t="str">
        <f>'Piano SAL'!B11</f>
        <v>2.1</v>
      </c>
      <c r="C11" s="2">
        <f>'Piano SAL'!C11</f>
        <v>1</v>
      </c>
      <c r="D11" s="2" t="str">
        <f>'Piano SAL'!D11</f>
        <v>1.2</v>
      </c>
      <c r="E11" s="2">
        <f>'Piano SAL'!E11</f>
        <v>3</v>
      </c>
      <c r="F11" s="2">
        <f>'Piano SAL'!F11</f>
        <v>4</v>
      </c>
      <c r="G11" s="2">
        <f>'Piano SAL'!G11</f>
        <v>23</v>
      </c>
      <c r="H11" s="2">
        <f>'Piano SAL'!H11</f>
        <v>24</v>
      </c>
      <c r="I11" s="2">
        <f>'Piano SAL'!I11</f>
        <v>0</v>
      </c>
      <c r="J11" s="30">
        <v>6000</v>
      </c>
      <c r="K11" s="7"/>
      <c r="L11" s="7"/>
      <c r="M11" s="7"/>
      <c r="V11" s="104"/>
      <c r="AH11" s="110">
        <f>J11</f>
        <v>6000</v>
      </c>
      <c r="AI11" s="7"/>
      <c r="AJ11" s="7"/>
      <c r="AK11" s="7"/>
      <c r="AL11" s="7"/>
      <c r="AM11" s="7"/>
      <c r="AN11" s="7"/>
      <c r="AO11" s="7"/>
      <c r="AP11" s="7"/>
      <c r="AQ11" s="7"/>
      <c r="AR11" s="106"/>
      <c r="AV11" s="2" t="s">
        <v>64</v>
      </c>
      <c r="AW11" s="37" t="s">
        <v>31</v>
      </c>
      <c r="AX11" s="35">
        <v>0</v>
      </c>
      <c r="AY11" s="59">
        <f t="shared" si="2"/>
        <v>0</v>
      </c>
      <c r="AZ11" s="50"/>
      <c r="BA11" s="51">
        <f>AY11/J11</f>
        <v>0</v>
      </c>
      <c r="BB11" s="34">
        <v>6000</v>
      </c>
      <c r="BC11" s="35">
        <v>1</v>
      </c>
      <c r="BD11" s="62">
        <f t="shared" si="4"/>
        <v>6000</v>
      </c>
      <c r="BE11" s="50">
        <f t="shared" si="5"/>
        <v>1</v>
      </c>
      <c r="BF11" s="36">
        <f t="shared" si="6"/>
        <v>1</v>
      </c>
      <c r="BG11" s="64">
        <v>6000</v>
      </c>
      <c r="BH11" s="35">
        <v>1</v>
      </c>
      <c r="BI11" s="67">
        <f t="shared" si="7"/>
        <v>6000</v>
      </c>
      <c r="BJ11" s="50">
        <f t="shared" si="8"/>
        <v>1</v>
      </c>
      <c r="BK11" s="51">
        <f t="shared" si="9"/>
        <v>1</v>
      </c>
    </row>
    <row r="12" spans="2:63">
      <c r="B12" s="2" t="str">
        <f>'Piano SAL'!B12</f>
        <v>2.2</v>
      </c>
      <c r="C12" s="2">
        <f>'Piano SAL'!C12</f>
        <v>1</v>
      </c>
      <c r="D12" s="2" t="str">
        <f>'Piano SAL'!D12</f>
        <v>1.2</v>
      </c>
      <c r="E12" s="2">
        <f>'Piano SAL'!E12</f>
        <v>3</v>
      </c>
      <c r="F12" s="2">
        <f>'Piano SAL'!F12</f>
        <v>4</v>
      </c>
      <c r="G12" s="2">
        <f>'Piano SAL'!G12</f>
        <v>13</v>
      </c>
      <c r="H12" s="2">
        <f>'Piano SAL'!H12</f>
        <v>14</v>
      </c>
      <c r="I12" s="2">
        <f>'Piano SAL'!I12</f>
        <v>10</v>
      </c>
      <c r="J12" s="30">
        <v>51000</v>
      </c>
      <c r="K12" s="7"/>
      <c r="L12" s="7"/>
      <c r="M12" s="7"/>
      <c r="O12" s="7"/>
      <c r="P12" s="7"/>
      <c r="Q12" s="11">
        <f>$J$12/$C$12</f>
        <v>51000</v>
      </c>
      <c r="R12" s="7"/>
      <c r="S12" s="7"/>
      <c r="T12" s="7"/>
      <c r="U12" s="7"/>
      <c r="V12" s="106"/>
      <c r="W12" s="7"/>
      <c r="Y12" s="7"/>
      <c r="Z12" s="7"/>
      <c r="AA12" s="7"/>
      <c r="AB12" s="7"/>
      <c r="AC12" s="7"/>
      <c r="AD12" s="7"/>
      <c r="AE12" s="7"/>
      <c r="AF12" s="7"/>
      <c r="AG12" s="7"/>
      <c r="AH12" s="106"/>
      <c r="AI12" s="7"/>
      <c r="AJ12" s="7"/>
      <c r="AK12" s="7"/>
      <c r="AL12" s="7"/>
      <c r="AM12" s="7"/>
      <c r="AN12" s="7"/>
      <c r="AO12" s="7"/>
      <c r="AP12" s="7"/>
      <c r="AQ12" s="7"/>
      <c r="AR12" s="106"/>
      <c r="AV12" s="2" t="s">
        <v>59</v>
      </c>
      <c r="AW12" s="34">
        <v>52000</v>
      </c>
      <c r="AX12" s="35">
        <v>1</v>
      </c>
      <c r="AY12" s="59">
        <f t="shared" si="2"/>
        <v>51000</v>
      </c>
      <c r="AZ12" s="50">
        <f t="shared" si="14"/>
        <v>0.98076923076923073</v>
      </c>
      <c r="BA12" s="51">
        <f>AY12/SUM(Q12)</f>
        <v>1</v>
      </c>
      <c r="BB12" s="34">
        <v>52000</v>
      </c>
      <c r="BC12" s="35">
        <v>1</v>
      </c>
      <c r="BD12" s="62">
        <f t="shared" si="4"/>
        <v>51000</v>
      </c>
      <c r="BE12" s="50">
        <f t="shared" si="5"/>
        <v>0.98076923076923073</v>
      </c>
      <c r="BF12" s="36">
        <f t="shared" si="6"/>
        <v>1</v>
      </c>
      <c r="BG12" s="64">
        <v>52000</v>
      </c>
      <c r="BH12" s="35">
        <v>1</v>
      </c>
      <c r="BI12" s="67">
        <f t="shared" si="7"/>
        <v>51000</v>
      </c>
      <c r="BJ12" s="50">
        <f t="shared" si="8"/>
        <v>0.98076923076923073</v>
      </c>
      <c r="BK12" s="51">
        <f t="shared" si="9"/>
        <v>1</v>
      </c>
    </row>
    <row r="13" spans="2:63">
      <c r="B13" s="2" t="str">
        <f>'Piano SAL'!B13</f>
        <v>3.1</v>
      </c>
      <c r="C13" s="2">
        <f>'Piano SAL'!C13</f>
        <v>5</v>
      </c>
      <c r="D13" s="2" t="str">
        <f>'Piano SAL'!D13</f>
        <v>1.3, 2.2</v>
      </c>
      <c r="E13" s="2">
        <f>'Piano SAL'!E13</f>
        <v>7</v>
      </c>
      <c r="F13" s="2">
        <f>'Piano SAL'!F13</f>
        <v>12</v>
      </c>
      <c r="G13" s="2">
        <f>'Piano SAL'!G13</f>
        <v>14</v>
      </c>
      <c r="H13" s="2">
        <f>'Piano SAL'!H13</f>
        <v>19</v>
      </c>
      <c r="I13" s="2">
        <f>'Piano SAL'!I13</f>
        <v>7</v>
      </c>
      <c r="J13" s="30">
        <v>15000</v>
      </c>
      <c r="K13" s="7"/>
      <c r="L13" s="7"/>
      <c r="M13" s="7"/>
      <c r="N13" s="7"/>
      <c r="O13" s="7"/>
      <c r="P13" s="7"/>
      <c r="Q13" s="7"/>
      <c r="R13" s="12">
        <f>$J$13/$C$13</f>
        <v>3000</v>
      </c>
      <c r="S13" s="16">
        <f t="shared" ref="S13:V13" si="15">$J$13/$C$13</f>
        <v>3000</v>
      </c>
      <c r="T13" s="16">
        <f t="shared" si="15"/>
        <v>3000</v>
      </c>
      <c r="U13" s="16">
        <f t="shared" si="15"/>
        <v>3000</v>
      </c>
      <c r="V13" s="109">
        <f t="shared" si="15"/>
        <v>3000</v>
      </c>
      <c r="W13" s="7"/>
      <c r="X13" s="7"/>
      <c r="AD13" s="7"/>
      <c r="AE13" s="7"/>
      <c r="AF13" s="7"/>
      <c r="AG13" s="7"/>
      <c r="AH13" s="106"/>
      <c r="AI13" s="7"/>
      <c r="AJ13" s="7"/>
      <c r="AK13" s="7"/>
      <c r="AL13" s="7"/>
      <c r="AM13" s="7"/>
      <c r="AN13" s="7"/>
      <c r="AO13" s="7"/>
      <c r="AP13" s="7"/>
      <c r="AQ13" s="7"/>
      <c r="AR13" s="106"/>
      <c r="AV13" s="2" t="s">
        <v>65</v>
      </c>
      <c r="AW13" s="34">
        <v>14000</v>
      </c>
      <c r="AX13" s="35">
        <v>0.95</v>
      </c>
      <c r="AY13" s="59">
        <f t="shared" si="2"/>
        <v>14250</v>
      </c>
      <c r="AZ13" s="50">
        <f t="shared" ref="AZ13" si="16">AY13/AW13</f>
        <v>1.0178571428571428</v>
      </c>
      <c r="BA13" s="51">
        <f>AY13/J13</f>
        <v>0.95</v>
      </c>
      <c r="BB13" s="34">
        <v>14000</v>
      </c>
      <c r="BC13" s="35">
        <v>1</v>
      </c>
      <c r="BD13" s="62">
        <f t="shared" si="4"/>
        <v>15000</v>
      </c>
      <c r="BE13" s="50">
        <f t="shared" si="5"/>
        <v>1.0714285714285714</v>
      </c>
      <c r="BF13" s="36">
        <f t="shared" si="6"/>
        <v>1</v>
      </c>
      <c r="BG13" s="64">
        <v>14000</v>
      </c>
      <c r="BH13" s="35">
        <v>1</v>
      </c>
      <c r="BI13" s="67">
        <f t="shared" si="7"/>
        <v>15000</v>
      </c>
      <c r="BJ13" s="50">
        <f t="shared" si="8"/>
        <v>1.0714285714285714</v>
      </c>
      <c r="BK13" s="51">
        <f t="shared" si="9"/>
        <v>1</v>
      </c>
    </row>
    <row r="14" spans="2:63">
      <c r="B14" s="2" t="str">
        <f>'Piano SAL'!B14</f>
        <v>3.2</v>
      </c>
      <c r="C14" s="2">
        <f>'Piano SAL'!C14</f>
        <v>6</v>
      </c>
      <c r="D14" s="2" t="str">
        <f>'Piano SAL'!D14</f>
        <v>1.4</v>
      </c>
      <c r="E14" s="2">
        <f>'Piano SAL'!E14</f>
        <v>19</v>
      </c>
      <c r="F14" s="2">
        <f>'Piano SAL'!F14</f>
        <v>25</v>
      </c>
      <c r="G14" s="2">
        <f>'Piano SAL'!G14</f>
        <v>25</v>
      </c>
      <c r="H14" s="2">
        <f>'Piano SAL'!H14</f>
        <v>31</v>
      </c>
      <c r="I14" s="2">
        <f>'Piano SAL'!I14</f>
        <v>6</v>
      </c>
      <c r="J14" s="30">
        <v>18000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106"/>
      <c r="W14" s="7"/>
      <c r="X14" s="7"/>
      <c r="Y14" s="7"/>
      <c r="Z14" s="7"/>
      <c r="AA14" s="7"/>
      <c r="AB14" s="7"/>
      <c r="AC14" s="7"/>
      <c r="AH14" s="104"/>
      <c r="AJ14" s="12">
        <f>$J$14/$C$14</f>
        <v>3000</v>
      </c>
      <c r="AK14" s="16">
        <f t="shared" ref="AK14:AO14" si="17">$J$14/$C$14</f>
        <v>3000</v>
      </c>
      <c r="AL14" s="16">
        <f t="shared" si="17"/>
        <v>3000</v>
      </c>
      <c r="AM14" s="16">
        <f t="shared" si="17"/>
        <v>3000</v>
      </c>
      <c r="AN14" s="16">
        <f t="shared" si="17"/>
        <v>3000</v>
      </c>
      <c r="AO14" s="17">
        <f t="shared" si="17"/>
        <v>3000</v>
      </c>
      <c r="AP14" s="7"/>
      <c r="AQ14" s="7"/>
      <c r="AR14" s="106"/>
      <c r="AV14" s="2" t="s">
        <v>66</v>
      </c>
      <c r="AW14" s="34" t="s">
        <v>31</v>
      </c>
      <c r="AX14" s="35">
        <v>0</v>
      </c>
      <c r="AY14" s="59">
        <f t="shared" si="2"/>
        <v>0</v>
      </c>
      <c r="AZ14" s="50"/>
      <c r="BA14" s="51">
        <f t="shared" si="12"/>
        <v>0</v>
      </c>
      <c r="BB14" s="37" t="s">
        <v>32</v>
      </c>
      <c r="BC14" s="35">
        <v>0</v>
      </c>
      <c r="BD14" s="62">
        <f t="shared" si="4"/>
        <v>0</v>
      </c>
      <c r="BE14" s="50"/>
      <c r="BF14" s="36">
        <f>BD14/J14</f>
        <v>0</v>
      </c>
      <c r="BG14" s="64">
        <v>19000</v>
      </c>
      <c r="BH14" s="35">
        <v>1</v>
      </c>
      <c r="BI14" s="67">
        <f t="shared" si="7"/>
        <v>18000</v>
      </c>
      <c r="BJ14" s="50">
        <f t="shared" si="8"/>
        <v>0.94736842105263153</v>
      </c>
      <c r="BK14" s="51">
        <f t="shared" si="9"/>
        <v>1</v>
      </c>
    </row>
    <row r="15" spans="2:63">
      <c r="B15" s="2" t="str">
        <f>'Piano SAL'!B15</f>
        <v>3.3</v>
      </c>
      <c r="C15" s="2">
        <f>'Piano SAL'!C15</f>
        <v>3</v>
      </c>
      <c r="D15" s="2" t="str">
        <f>'Piano SAL'!D15</f>
        <v>3.1</v>
      </c>
      <c r="E15" s="2">
        <f>'Piano SAL'!E15</f>
        <v>12</v>
      </c>
      <c r="F15" s="2">
        <f>'Piano SAL'!F15</f>
        <v>15</v>
      </c>
      <c r="G15" s="2">
        <f>'Piano SAL'!G15</f>
        <v>21</v>
      </c>
      <c r="H15" s="2">
        <f>'Piano SAL'!H15</f>
        <v>24</v>
      </c>
      <c r="I15" s="2">
        <f>'Piano SAL'!I15</f>
        <v>9</v>
      </c>
      <c r="J15" s="30">
        <v>9000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106"/>
      <c r="Z15" s="7"/>
      <c r="AA15" s="7"/>
      <c r="AB15" s="7"/>
      <c r="AC15" s="7"/>
      <c r="AD15" s="7"/>
      <c r="AE15" s="7"/>
      <c r="AF15" s="12">
        <f>$J$15/$C$15</f>
        <v>3000</v>
      </c>
      <c r="AG15" s="16">
        <f t="shared" ref="AG15:AH15" si="18">$J$15/$C$15</f>
        <v>3000</v>
      </c>
      <c r="AH15" s="109">
        <f t="shared" si="18"/>
        <v>3000</v>
      </c>
      <c r="AI15" s="7"/>
      <c r="AJ15" s="7"/>
      <c r="AK15" s="7"/>
      <c r="AL15" s="7"/>
      <c r="AM15" s="7"/>
      <c r="AN15" s="7"/>
      <c r="AO15" s="7"/>
      <c r="AP15" s="7"/>
      <c r="AQ15" s="7"/>
      <c r="AR15" s="106"/>
      <c r="AV15" s="2" t="s">
        <v>67</v>
      </c>
      <c r="AW15" s="37" t="s">
        <v>31</v>
      </c>
      <c r="AX15" s="35">
        <v>0</v>
      </c>
      <c r="AY15" s="59">
        <f t="shared" si="2"/>
        <v>0</v>
      </c>
      <c r="AZ15" s="50"/>
      <c r="BA15" s="51">
        <f t="shared" si="12"/>
        <v>0</v>
      </c>
      <c r="BB15" s="34">
        <v>8500</v>
      </c>
      <c r="BC15" s="35">
        <v>1</v>
      </c>
      <c r="BD15" s="62">
        <f t="shared" si="4"/>
        <v>9000</v>
      </c>
      <c r="BE15" s="50">
        <f>BD15/BB15</f>
        <v>1.0588235294117647</v>
      </c>
      <c r="BF15" s="36">
        <f t="shared" si="6"/>
        <v>1</v>
      </c>
      <c r="BG15" s="64">
        <v>8500</v>
      </c>
      <c r="BH15" s="35">
        <v>1</v>
      </c>
      <c r="BI15" s="67">
        <f>J15*BH15</f>
        <v>9000</v>
      </c>
      <c r="BJ15" s="50">
        <f t="shared" si="8"/>
        <v>1.0588235294117647</v>
      </c>
      <c r="BK15" s="51">
        <f t="shared" si="9"/>
        <v>1</v>
      </c>
    </row>
    <row r="16" spans="2:63">
      <c r="B16" s="2" t="str">
        <f>'Piano SAL'!B16</f>
        <v>3.4</v>
      </c>
      <c r="C16" s="2">
        <f>'Piano SAL'!C16</f>
        <v>11</v>
      </c>
      <c r="D16" s="2" t="str">
        <f>'Piano SAL'!D16</f>
        <v>3.1</v>
      </c>
      <c r="E16" s="2">
        <f>'Piano SAL'!E16</f>
        <v>12</v>
      </c>
      <c r="F16" s="2">
        <f>'Piano SAL'!F16</f>
        <v>23</v>
      </c>
      <c r="G16" s="2">
        <f>'Piano SAL'!G16</f>
        <v>19</v>
      </c>
      <c r="H16" s="2">
        <f>'Piano SAL'!H16</f>
        <v>30</v>
      </c>
      <c r="I16" s="2">
        <f>'Piano SAL'!I16</f>
        <v>7</v>
      </c>
      <c r="J16" s="30">
        <v>33000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106"/>
      <c r="W16" s="12">
        <f>$J$16/$C$16</f>
        <v>3000</v>
      </c>
      <c r="X16" s="16">
        <f t="shared" ref="X16:AG16" si="19">$J$16/$C$16</f>
        <v>3000</v>
      </c>
      <c r="Y16" s="16">
        <f t="shared" si="19"/>
        <v>3000</v>
      </c>
      <c r="Z16" s="16">
        <f t="shared" si="19"/>
        <v>3000</v>
      </c>
      <c r="AA16" s="16">
        <f t="shared" si="19"/>
        <v>3000</v>
      </c>
      <c r="AB16" s="16">
        <f t="shared" si="19"/>
        <v>3000</v>
      </c>
      <c r="AC16" s="16">
        <f t="shared" si="19"/>
        <v>3000</v>
      </c>
      <c r="AD16" s="16">
        <f t="shared" si="19"/>
        <v>3000</v>
      </c>
      <c r="AE16" s="16">
        <f t="shared" si="19"/>
        <v>3000</v>
      </c>
      <c r="AF16" s="28">
        <f t="shared" si="19"/>
        <v>3000</v>
      </c>
      <c r="AG16" s="29">
        <f t="shared" si="19"/>
        <v>3000</v>
      </c>
      <c r="AH16" s="104"/>
      <c r="AO16" s="7"/>
      <c r="AP16" s="7"/>
      <c r="AQ16" s="7"/>
      <c r="AR16" s="106"/>
      <c r="AV16" s="2" t="s">
        <v>68</v>
      </c>
      <c r="AW16" s="37" t="s">
        <v>31</v>
      </c>
      <c r="AX16" s="35">
        <v>0</v>
      </c>
      <c r="AY16" s="59">
        <f t="shared" si="2"/>
        <v>0</v>
      </c>
      <c r="AZ16" s="50"/>
      <c r="BA16" s="51">
        <f t="shared" si="12"/>
        <v>0</v>
      </c>
      <c r="BB16" s="34">
        <v>34000</v>
      </c>
      <c r="BC16" s="35">
        <v>1</v>
      </c>
      <c r="BD16" s="62">
        <f t="shared" si="4"/>
        <v>33000</v>
      </c>
      <c r="BE16" s="50">
        <f t="shared" si="5"/>
        <v>0.97058823529411764</v>
      </c>
      <c r="BF16" s="36">
        <f t="shared" si="6"/>
        <v>1</v>
      </c>
      <c r="BG16" s="64">
        <v>34000</v>
      </c>
      <c r="BH16" s="35">
        <v>1</v>
      </c>
      <c r="BI16" s="67">
        <f t="shared" si="7"/>
        <v>33000</v>
      </c>
      <c r="BJ16" s="50">
        <f t="shared" si="8"/>
        <v>0.97058823529411764</v>
      </c>
      <c r="BK16" s="51">
        <f t="shared" si="9"/>
        <v>1</v>
      </c>
    </row>
    <row r="17" spans="2:63">
      <c r="B17" s="2" t="str">
        <f>'Piano SAL'!B17</f>
        <v>3.5</v>
      </c>
      <c r="C17" s="2">
        <f>'Piano SAL'!C17</f>
        <v>8</v>
      </c>
      <c r="D17" s="2" t="str">
        <f>'Piano SAL'!D17</f>
        <v>2.1, 1.5, 3.3</v>
      </c>
      <c r="E17" s="2">
        <f>'Piano SAL'!E17</f>
        <v>24</v>
      </c>
      <c r="F17" s="2">
        <f>'Piano SAL'!F17</f>
        <v>32</v>
      </c>
      <c r="G17" s="2">
        <f>'Piano SAL'!G17</f>
        <v>24</v>
      </c>
      <c r="H17" s="2">
        <f>'Piano SAL'!H17</f>
        <v>32</v>
      </c>
      <c r="I17" s="2">
        <f>'Piano SAL'!I17</f>
        <v>0</v>
      </c>
      <c r="J17" s="118">
        <f>24000+'Risk Analysis'!L5</f>
        <v>28000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106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106"/>
      <c r="AI17" s="8">
        <f>$J$17/$C$17</f>
        <v>3500</v>
      </c>
      <c r="AJ17" s="8">
        <f t="shared" ref="AJ17:AP17" si="20">$J$17/$C$17</f>
        <v>3500</v>
      </c>
      <c r="AK17" s="8">
        <f t="shared" si="20"/>
        <v>3500</v>
      </c>
      <c r="AL17" s="8">
        <f t="shared" si="20"/>
        <v>3500</v>
      </c>
      <c r="AM17" s="8">
        <f t="shared" si="20"/>
        <v>3500</v>
      </c>
      <c r="AN17" s="8">
        <f t="shared" si="20"/>
        <v>3500</v>
      </c>
      <c r="AO17" s="8">
        <f t="shared" si="20"/>
        <v>3500</v>
      </c>
      <c r="AP17" s="8">
        <f t="shared" si="20"/>
        <v>3500</v>
      </c>
      <c r="AQ17" s="7"/>
      <c r="AR17" s="106"/>
      <c r="AV17" s="2" t="s">
        <v>69</v>
      </c>
      <c r="AW17" s="37" t="s">
        <v>31</v>
      </c>
      <c r="AX17" s="35">
        <v>0</v>
      </c>
      <c r="AY17" s="59">
        <f t="shared" si="2"/>
        <v>0</v>
      </c>
      <c r="AZ17" s="50"/>
      <c r="BA17" s="51">
        <f t="shared" si="12"/>
        <v>0</v>
      </c>
      <c r="BB17" s="37" t="s">
        <v>32</v>
      </c>
      <c r="BC17" s="35">
        <v>0</v>
      </c>
      <c r="BD17" s="62">
        <f t="shared" si="4"/>
        <v>0</v>
      </c>
      <c r="BE17" s="50"/>
      <c r="BF17" s="36">
        <f t="shared" si="6"/>
        <v>0</v>
      </c>
      <c r="BG17" s="64">
        <v>22000</v>
      </c>
      <c r="BH17" s="35">
        <v>1</v>
      </c>
      <c r="BI17" s="67">
        <f t="shared" si="7"/>
        <v>28000</v>
      </c>
      <c r="BJ17" s="50">
        <f t="shared" si="8"/>
        <v>1.2727272727272727</v>
      </c>
      <c r="BK17" s="51">
        <f t="shared" si="9"/>
        <v>1</v>
      </c>
    </row>
    <row r="18" spans="2:63">
      <c r="B18" s="2" t="str">
        <f>'Piano SAL'!B18</f>
        <v>4.1</v>
      </c>
      <c r="C18" s="2">
        <f>'Piano SAL'!C18</f>
        <v>1</v>
      </c>
      <c r="D18" s="2" t="str">
        <f>'Piano SAL'!D18</f>
        <v>3.2</v>
      </c>
      <c r="E18" s="2">
        <f>'Piano SAL'!E18</f>
        <v>25</v>
      </c>
      <c r="F18" s="2">
        <f>'Piano SAL'!F18</f>
        <v>26</v>
      </c>
      <c r="G18" s="2">
        <f>'Piano SAL'!G18</f>
        <v>31</v>
      </c>
      <c r="H18" s="2">
        <f>'Piano SAL'!H18</f>
        <v>32</v>
      </c>
      <c r="I18" s="2">
        <f>'Piano SAL'!I18</f>
        <v>6</v>
      </c>
      <c r="J18" s="30">
        <v>2000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106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106"/>
      <c r="AI18" s="7"/>
      <c r="AK18" s="7"/>
      <c r="AL18" s="7"/>
      <c r="AM18" s="7"/>
      <c r="AN18" s="7"/>
      <c r="AO18" s="7"/>
      <c r="AP18" s="11">
        <f>$J$18/$C$18</f>
        <v>2000</v>
      </c>
      <c r="AQ18" s="7"/>
      <c r="AR18" s="106"/>
      <c r="AV18" s="2" t="s">
        <v>70</v>
      </c>
      <c r="AW18" s="37" t="s">
        <v>31</v>
      </c>
      <c r="AX18" s="35">
        <v>0</v>
      </c>
      <c r="AY18" s="59">
        <f t="shared" si="2"/>
        <v>0</v>
      </c>
      <c r="AZ18" s="50"/>
      <c r="BA18" s="51">
        <f t="shared" si="12"/>
        <v>0</v>
      </c>
      <c r="BB18" s="37" t="s">
        <v>32</v>
      </c>
      <c r="BC18" s="35">
        <v>0</v>
      </c>
      <c r="BD18" s="62">
        <f t="shared" si="4"/>
        <v>0</v>
      </c>
      <c r="BE18" s="50"/>
      <c r="BF18" s="36">
        <f t="shared" si="6"/>
        <v>0</v>
      </c>
      <c r="BG18" s="64">
        <v>2000</v>
      </c>
      <c r="BH18" s="35">
        <v>1</v>
      </c>
      <c r="BI18" s="67">
        <f t="shared" si="7"/>
        <v>2000</v>
      </c>
      <c r="BJ18" s="50">
        <f t="shared" si="8"/>
        <v>1</v>
      </c>
      <c r="BK18" s="51">
        <f t="shared" si="9"/>
        <v>1</v>
      </c>
    </row>
    <row r="19" spans="2:63">
      <c r="B19" s="2" t="str">
        <f>'Piano SAL'!B19</f>
        <v>4.2</v>
      </c>
      <c r="C19" s="2">
        <f>'Piano SAL'!C19</f>
        <v>2</v>
      </c>
      <c r="D19" s="2" t="str">
        <f>'Piano SAL'!D19</f>
        <v>3.4</v>
      </c>
      <c r="E19" s="2">
        <f>'Piano SAL'!E19</f>
        <v>23</v>
      </c>
      <c r="F19" s="2">
        <f>'Piano SAL'!F19</f>
        <v>25</v>
      </c>
      <c r="G19" s="2">
        <f>'Piano SAL'!G19</f>
        <v>30</v>
      </c>
      <c r="H19" s="2">
        <f>'Piano SAL'!H19</f>
        <v>32</v>
      </c>
      <c r="I19" s="2">
        <f>'Piano SAL'!I19</f>
        <v>7</v>
      </c>
      <c r="J19" s="30">
        <v>4000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106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104"/>
      <c r="AJ19" s="7"/>
      <c r="AK19" s="7"/>
      <c r="AL19" s="7"/>
      <c r="AM19" s="7"/>
      <c r="AN19" s="7"/>
      <c r="AO19" s="12">
        <f>$J$19/$C$19</f>
        <v>2000</v>
      </c>
      <c r="AP19" s="17">
        <f>$J$19/$C$19</f>
        <v>2000</v>
      </c>
      <c r="AQ19" s="7"/>
      <c r="AR19" s="106"/>
      <c r="AV19" s="2" t="s">
        <v>60</v>
      </c>
      <c r="AW19" s="37" t="s">
        <v>31</v>
      </c>
      <c r="AX19" s="35">
        <v>0</v>
      </c>
      <c r="AY19" s="59">
        <f t="shared" si="2"/>
        <v>0</v>
      </c>
      <c r="AZ19" s="50"/>
      <c r="BA19" s="51">
        <f t="shared" si="12"/>
        <v>0</v>
      </c>
      <c r="BB19" s="37" t="s">
        <v>32</v>
      </c>
      <c r="BC19" s="35">
        <v>0</v>
      </c>
      <c r="BD19" s="62">
        <f t="shared" si="4"/>
        <v>0</v>
      </c>
      <c r="BE19" s="50"/>
      <c r="BF19" s="36">
        <f t="shared" si="6"/>
        <v>0</v>
      </c>
      <c r="BG19" s="64">
        <v>4000</v>
      </c>
      <c r="BH19" s="35">
        <v>1</v>
      </c>
      <c r="BI19" s="67">
        <f t="shared" si="7"/>
        <v>4000</v>
      </c>
      <c r="BJ19" s="50">
        <f t="shared" si="8"/>
        <v>1</v>
      </c>
      <c r="BK19" s="51">
        <f t="shared" si="9"/>
        <v>1</v>
      </c>
    </row>
    <row r="20" spans="2:63">
      <c r="B20" s="2" t="str">
        <f>'Piano SAL'!B20</f>
        <v>4.3</v>
      </c>
      <c r="C20" s="2">
        <f>'Piano SAL'!C20</f>
        <v>3</v>
      </c>
      <c r="D20" s="2" t="str">
        <f>'Piano SAL'!D20</f>
        <v>3.4</v>
      </c>
      <c r="E20" s="2">
        <f>'Piano SAL'!E20</f>
        <v>23</v>
      </c>
      <c r="F20" s="2">
        <f>'Piano SAL'!F20</f>
        <v>26</v>
      </c>
      <c r="G20" s="2">
        <f>'Piano SAL'!G20</f>
        <v>31</v>
      </c>
      <c r="H20" s="2">
        <f>'Piano SAL'!H20</f>
        <v>34</v>
      </c>
      <c r="I20" s="2">
        <f>'Piano SAL'!I20</f>
        <v>8</v>
      </c>
      <c r="J20" s="118">
        <f>11000+'Risk Analysis'!L6</f>
        <v>17000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106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148">
        <f>$J$20/$C$20</f>
        <v>5666.666666666667</v>
      </c>
      <c r="AI20" s="16">
        <f t="shared" ref="AI20:AJ20" si="21">$J$20/$C$20</f>
        <v>5666.666666666667</v>
      </c>
      <c r="AJ20" s="109">
        <f t="shared" si="21"/>
        <v>5666.666666666667</v>
      </c>
      <c r="AK20" s="7"/>
      <c r="AL20" s="7"/>
      <c r="AM20" s="7"/>
      <c r="AN20" s="7"/>
      <c r="AO20" s="7"/>
      <c r="AR20" s="104"/>
      <c r="AV20" s="2" t="s">
        <v>71</v>
      </c>
      <c r="AW20" s="37" t="s">
        <v>31</v>
      </c>
      <c r="AX20" s="35">
        <v>0</v>
      </c>
      <c r="AY20" s="59">
        <f t="shared" si="2"/>
        <v>0</v>
      </c>
      <c r="AZ20" s="50"/>
      <c r="BA20" s="51">
        <f>AY20/J20</f>
        <v>0</v>
      </c>
      <c r="BB20" s="37" t="s">
        <v>32</v>
      </c>
      <c r="BC20" s="35">
        <v>0</v>
      </c>
      <c r="BD20" s="62">
        <f t="shared" si="4"/>
        <v>0</v>
      </c>
      <c r="BE20" s="50"/>
      <c r="BF20" s="36">
        <f t="shared" si="6"/>
        <v>0</v>
      </c>
      <c r="BG20" s="64">
        <v>10500</v>
      </c>
      <c r="BH20" s="35">
        <v>1</v>
      </c>
      <c r="BI20" s="67">
        <f t="shared" si="7"/>
        <v>17000</v>
      </c>
      <c r="BJ20" s="50">
        <f t="shared" si="8"/>
        <v>1.6190476190476191</v>
      </c>
      <c r="BK20" s="51">
        <f t="shared" si="9"/>
        <v>1</v>
      </c>
    </row>
    <row r="21" spans="2:63" ht="15" thickBot="1">
      <c r="B21" s="2" t="str">
        <f>'Piano SAL'!B21</f>
        <v>4.4</v>
      </c>
      <c r="C21" s="2">
        <f>'Piano SAL'!C21</f>
        <v>2</v>
      </c>
      <c r="D21" s="2" t="str">
        <f>'Piano SAL'!D21</f>
        <v>3.5, 4.1, 4.2</v>
      </c>
      <c r="E21" s="2">
        <f>'Piano SAL'!E21</f>
        <v>32</v>
      </c>
      <c r="F21" s="2">
        <f>'Piano SAL'!F21</f>
        <v>34</v>
      </c>
      <c r="G21" s="2">
        <f>'Piano SAL'!G21</f>
        <v>32</v>
      </c>
      <c r="H21" s="2">
        <f>'Piano SAL'!H21</f>
        <v>34</v>
      </c>
      <c r="I21" s="2">
        <f>'Piano SAL'!I21</f>
        <v>0</v>
      </c>
      <c r="J21" s="30">
        <v>4000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106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106"/>
      <c r="AI21" s="7"/>
      <c r="AJ21" s="7"/>
      <c r="AK21" s="7"/>
      <c r="AL21" s="7"/>
      <c r="AM21" s="7"/>
      <c r="AN21" s="7"/>
      <c r="AO21" s="7"/>
      <c r="AP21" s="7"/>
      <c r="AQ21" s="146">
        <f>$J$21/$C$21</f>
        <v>2000</v>
      </c>
      <c r="AR21" s="147">
        <f>$J$21/$C$21</f>
        <v>2000</v>
      </c>
      <c r="AV21" s="2" t="s">
        <v>72</v>
      </c>
      <c r="AW21" s="38" t="s">
        <v>31</v>
      </c>
      <c r="AX21" s="39">
        <v>0</v>
      </c>
      <c r="AY21" s="60">
        <f>R21*AX21</f>
        <v>0</v>
      </c>
      <c r="AZ21" s="52"/>
      <c r="BA21" s="51">
        <f t="shared" si="12"/>
        <v>0</v>
      </c>
      <c r="BB21" s="38" t="s">
        <v>32</v>
      </c>
      <c r="BC21" s="39">
        <v>0</v>
      </c>
      <c r="BD21" s="62">
        <f t="shared" si="4"/>
        <v>0</v>
      </c>
      <c r="BE21" s="52"/>
      <c r="BF21" s="36">
        <f t="shared" si="6"/>
        <v>0</v>
      </c>
      <c r="BG21" s="65">
        <v>6000</v>
      </c>
      <c r="BH21" s="39">
        <v>1</v>
      </c>
      <c r="BI21" s="67">
        <f t="shared" si="7"/>
        <v>4000</v>
      </c>
      <c r="BJ21" s="50">
        <f t="shared" si="8"/>
        <v>0.66666666666666663</v>
      </c>
      <c r="BK21" s="51">
        <f t="shared" si="9"/>
        <v>1</v>
      </c>
    </row>
    <row r="22" spans="2:63" ht="55.5" customHeight="1" thickBot="1">
      <c r="J22" s="21">
        <f>SUM(J5:J21)</f>
        <v>356000</v>
      </c>
      <c r="K22" s="102">
        <f>SUM(K5:K21)</f>
        <v>5960.7843137254895</v>
      </c>
      <c r="L22" s="102">
        <f t="shared" ref="L22:AR22" si="22">SUM(L5:L21)</f>
        <v>5960.7843137254895</v>
      </c>
      <c r="M22" s="102">
        <f t="shared" si="22"/>
        <v>5960.7843137254895</v>
      </c>
      <c r="N22" s="102">
        <f t="shared" si="22"/>
        <v>6294.1176470588234</v>
      </c>
      <c r="O22" s="102">
        <f t="shared" si="22"/>
        <v>6294.1176470588234</v>
      </c>
      <c r="P22" s="102">
        <f t="shared" si="22"/>
        <v>6294.1176470588234</v>
      </c>
      <c r="Q22" s="102">
        <f t="shared" si="22"/>
        <v>57627.450980392154</v>
      </c>
      <c r="R22" s="102">
        <f t="shared" si="22"/>
        <v>8627.4509803921574</v>
      </c>
      <c r="S22" s="102">
        <f t="shared" si="22"/>
        <v>8627.4509803921574</v>
      </c>
      <c r="T22" s="102">
        <f t="shared" si="22"/>
        <v>8627.4509803921574</v>
      </c>
      <c r="U22" s="102">
        <f t="shared" si="22"/>
        <v>8627.4509803921574</v>
      </c>
      <c r="V22" s="102">
        <f t="shared" si="22"/>
        <v>8627.4509803921574</v>
      </c>
      <c r="W22" s="102">
        <f t="shared" si="22"/>
        <v>8627.4509803921574</v>
      </c>
      <c r="X22" s="102">
        <f>SUM(X5:X21)</f>
        <v>8627.4509803921574</v>
      </c>
      <c r="Y22" s="102">
        <f t="shared" si="22"/>
        <v>8627.4509803921574</v>
      </c>
      <c r="Z22" s="102">
        <f t="shared" si="22"/>
        <v>9294.1176470588234</v>
      </c>
      <c r="AA22" s="102">
        <f t="shared" si="22"/>
        <v>9294.1176470588234</v>
      </c>
      <c r="AB22" s="102">
        <f t="shared" si="22"/>
        <v>9294.1176470588234</v>
      </c>
      <c r="AC22" s="102">
        <f t="shared" si="22"/>
        <v>9294.1176470588234</v>
      </c>
      <c r="AD22" s="102">
        <f t="shared" si="22"/>
        <v>9294.1176470588234</v>
      </c>
      <c r="AE22" s="102">
        <f t="shared" si="22"/>
        <v>9294.1176470588234</v>
      </c>
      <c r="AF22" s="102">
        <f t="shared" si="22"/>
        <v>12294.117647058823</v>
      </c>
      <c r="AG22" s="102">
        <f t="shared" si="22"/>
        <v>12294.117647058823</v>
      </c>
      <c r="AH22" s="102">
        <f t="shared" si="22"/>
        <v>20960.784313725489</v>
      </c>
      <c r="AI22" s="102">
        <f t="shared" si="22"/>
        <v>12460.784313725489</v>
      </c>
      <c r="AJ22" s="102">
        <f t="shared" si="22"/>
        <v>14460.784313725489</v>
      </c>
      <c r="AK22" s="102">
        <f t="shared" si="22"/>
        <v>8794.1176470588234</v>
      </c>
      <c r="AL22" s="102">
        <f t="shared" si="22"/>
        <v>8794.1176470588234</v>
      </c>
      <c r="AM22" s="102">
        <f t="shared" si="22"/>
        <v>8794.1176470588234</v>
      </c>
      <c r="AN22" s="102">
        <f t="shared" si="22"/>
        <v>8794.1176470588234</v>
      </c>
      <c r="AO22" s="102">
        <f t="shared" si="22"/>
        <v>10794.117647058823</v>
      </c>
      <c r="AP22" s="102">
        <f t="shared" si="22"/>
        <v>9794.1176470588234</v>
      </c>
      <c r="AQ22" s="102">
        <f t="shared" si="22"/>
        <v>4294.1176470588234</v>
      </c>
      <c r="AR22" s="102">
        <f t="shared" si="22"/>
        <v>4294.1176470588234</v>
      </c>
      <c r="AW22" s="40">
        <f>SUM(AW5:AW21)</f>
        <v>134000</v>
      </c>
      <c r="AX22" s="41"/>
      <c r="AY22" s="61">
        <f>SUM(AY5:AY21)</f>
        <v>147000</v>
      </c>
      <c r="AZ22" s="53">
        <f>AY22/AW22</f>
        <v>1.0970149253731343</v>
      </c>
      <c r="BA22" s="54">
        <f>AY22/V23</f>
        <v>1.068862275449102</v>
      </c>
      <c r="BB22" s="42">
        <f>SUM(BB5:BB21)</f>
        <v>253200</v>
      </c>
      <c r="BC22" s="41"/>
      <c r="BD22" s="63">
        <f>SUM(BD5:BD21)</f>
        <v>251300</v>
      </c>
      <c r="BE22" s="55">
        <f>BD22/BB22</f>
        <v>0.99249605055292256</v>
      </c>
      <c r="BF22" s="56">
        <f>BD22/AH23</f>
        <v>0.94928523813050858</v>
      </c>
      <c r="BG22" s="66">
        <f>SUM(BG5:BG21)</f>
        <v>343700</v>
      </c>
      <c r="BH22" s="41"/>
      <c r="BI22" s="111">
        <f>SUM(BI5:BI21)</f>
        <v>356000</v>
      </c>
      <c r="BJ22" s="57">
        <f>BI22/BG22</f>
        <v>1.0357870235670643</v>
      </c>
      <c r="BK22" s="58">
        <f>BI22/AR23</f>
        <v>1.0000000000000004</v>
      </c>
    </row>
    <row r="23" spans="2:63" ht="64.5" customHeight="1">
      <c r="J23" s="68" t="s">
        <v>34</v>
      </c>
      <c r="K23" s="102">
        <f>K22</f>
        <v>5960.7843137254895</v>
      </c>
      <c r="L23" s="102">
        <f>K23+L22</f>
        <v>11921.568627450979</v>
      </c>
      <c r="M23" s="102">
        <f t="shared" ref="M23:AR23" si="23">L23+M22</f>
        <v>17882.352941176468</v>
      </c>
      <c r="N23" s="102">
        <f t="shared" si="23"/>
        <v>24176.470588235294</v>
      </c>
      <c r="O23" s="102">
        <f t="shared" si="23"/>
        <v>30470.588235294119</v>
      </c>
      <c r="P23" s="102">
        <f t="shared" si="23"/>
        <v>36764.705882352944</v>
      </c>
      <c r="Q23" s="102">
        <f t="shared" si="23"/>
        <v>94392.156862745091</v>
      </c>
      <c r="R23" s="102">
        <f t="shared" si="23"/>
        <v>103019.60784313724</v>
      </c>
      <c r="S23" s="102">
        <f t="shared" si="23"/>
        <v>111647.0588235294</v>
      </c>
      <c r="T23" s="102">
        <f t="shared" si="23"/>
        <v>120274.50980392155</v>
      </c>
      <c r="U23" s="102">
        <f t="shared" si="23"/>
        <v>128901.96078431371</v>
      </c>
      <c r="V23" s="102">
        <f t="shared" si="23"/>
        <v>137529.41176470587</v>
      </c>
      <c r="W23" s="102">
        <f t="shared" si="23"/>
        <v>146156.86274509804</v>
      </c>
      <c r="X23" s="102">
        <f t="shared" si="23"/>
        <v>154784.31372549021</v>
      </c>
      <c r="Y23" s="102">
        <f t="shared" si="23"/>
        <v>163411.76470588238</v>
      </c>
      <c r="Z23" s="102">
        <f t="shared" si="23"/>
        <v>172705.8823529412</v>
      </c>
      <c r="AA23" s="102">
        <f t="shared" si="23"/>
        <v>182000.00000000003</v>
      </c>
      <c r="AB23" s="102">
        <f t="shared" si="23"/>
        <v>191294.11764705885</v>
      </c>
      <c r="AC23" s="102">
        <f t="shared" si="23"/>
        <v>200588.23529411768</v>
      </c>
      <c r="AD23" s="102">
        <f t="shared" si="23"/>
        <v>209882.3529411765</v>
      </c>
      <c r="AE23" s="102">
        <f t="shared" si="23"/>
        <v>219176.47058823533</v>
      </c>
      <c r="AF23" s="102">
        <f t="shared" si="23"/>
        <v>231470.58823529416</v>
      </c>
      <c r="AG23" s="102">
        <f t="shared" si="23"/>
        <v>243764.70588235298</v>
      </c>
      <c r="AH23" s="102">
        <f t="shared" si="23"/>
        <v>264725.49019607849</v>
      </c>
      <c r="AI23" s="102">
        <f t="shared" si="23"/>
        <v>277186.27450980397</v>
      </c>
      <c r="AJ23" s="102">
        <f t="shared" si="23"/>
        <v>291647.05882352946</v>
      </c>
      <c r="AK23" s="102">
        <f t="shared" si="23"/>
        <v>300441.17647058825</v>
      </c>
      <c r="AL23" s="102">
        <f t="shared" si="23"/>
        <v>309235.29411764705</v>
      </c>
      <c r="AM23" s="102">
        <f t="shared" si="23"/>
        <v>318029.41176470584</v>
      </c>
      <c r="AN23" s="102">
        <f t="shared" si="23"/>
        <v>326823.52941176464</v>
      </c>
      <c r="AO23" s="102">
        <f t="shared" si="23"/>
        <v>337617.64705882344</v>
      </c>
      <c r="AP23" s="102">
        <f t="shared" si="23"/>
        <v>347411.76470588223</v>
      </c>
      <c r="AQ23" s="102">
        <f t="shared" si="23"/>
        <v>351705.88235294103</v>
      </c>
      <c r="AR23" s="102">
        <f t="shared" si="23"/>
        <v>355999.99999999983</v>
      </c>
    </row>
    <row r="24" spans="2:63">
      <c r="B24" s="25" t="s">
        <v>20</v>
      </c>
      <c r="C24" s="26"/>
      <c r="D24" s="27">
        <f>'Effort &amp; Cost'!D51</f>
        <v>413211.76470588235</v>
      </c>
      <c r="AW24" s="133" t="s">
        <v>126</v>
      </c>
      <c r="AX24" s="134">
        <f>AW22+(J22-AY22)/(AZ22*BA22)</f>
        <v>312242.8018826578</v>
      </c>
      <c r="AY24" s="26"/>
      <c r="AZ24" s="26"/>
      <c r="BA24" s="26"/>
      <c r="BB24" s="133" t="s">
        <v>126</v>
      </c>
      <c r="BC24" s="134">
        <f>BB22+(J22-BD22)/(BE22*BF22)</f>
        <v>364327.40346485819</v>
      </c>
      <c r="BD24" s="26"/>
      <c r="BE24" s="26"/>
      <c r="BF24" s="26"/>
      <c r="BG24" s="26" t="s">
        <v>126</v>
      </c>
      <c r="BH24" s="134">
        <f>BG22+(J22-BI22)/(BJ22*BK22)</f>
        <v>343700</v>
      </c>
    </row>
    <row r="25" spans="2:63">
      <c r="B25" s="24" t="s">
        <v>19</v>
      </c>
      <c r="C25" s="23">
        <v>0.15</v>
      </c>
      <c r="D25" s="22">
        <f>C25*$D$24</f>
        <v>61981.76470588235</v>
      </c>
      <c r="F25" s="22">
        <f>D25</f>
        <v>61981.76470588235</v>
      </c>
    </row>
    <row r="26" spans="2:63">
      <c r="B26" s="24" t="s">
        <v>21</v>
      </c>
      <c r="C26" s="23">
        <v>0.25</v>
      </c>
      <c r="D26" s="22">
        <f t="shared" ref="D26:D28" si="24">C26*$D$24</f>
        <v>103302.94117647059</v>
      </c>
      <c r="E26" t="s">
        <v>24</v>
      </c>
      <c r="F26" s="22">
        <f>F25+D26</f>
        <v>165284.70588235295</v>
      </c>
    </row>
    <row r="27" spans="2:63">
      <c r="B27" s="24" t="s">
        <v>22</v>
      </c>
      <c r="C27" s="23">
        <v>0.25</v>
      </c>
      <c r="D27" s="22">
        <f t="shared" si="24"/>
        <v>103302.94117647059</v>
      </c>
      <c r="E27" t="s">
        <v>25</v>
      </c>
      <c r="F27" s="22">
        <f>F26+D27</f>
        <v>268587.64705882355</v>
      </c>
    </row>
    <row r="28" spans="2:63">
      <c r="B28" s="24" t="s">
        <v>23</v>
      </c>
      <c r="C28" s="23">
        <v>0.35</v>
      </c>
      <c r="D28" s="22">
        <f t="shared" si="24"/>
        <v>144624.11764705883</v>
      </c>
      <c r="F28" s="22">
        <f>F27+D28</f>
        <v>413211.76470588241</v>
      </c>
    </row>
    <row r="29" spans="2:63">
      <c r="D29" s="22">
        <f>SUM(D25:D28)</f>
        <v>413211.76470588241</v>
      </c>
    </row>
    <row r="47" spans="10:10">
      <c r="J47" t="s">
        <v>33</v>
      </c>
    </row>
    <row r="48" spans="10:10">
      <c r="J48" t="s">
        <v>34</v>
      </c>
    </row>
    <row r="49" spans="10:10">
      <c r="J49" t="s">
        <v>28</v>
      </c>
    </row>
  </sheetData>
  <mergeCells count="3">
    <mergeCell ref="AW3:BA3"/>
    <mergeCell ref="BB3:BF3"/>
    <mergeCell ref="BG3:BK3"/>
  </mergeCells>
  <pageMargins left="0.7" right="0.7" top="0.75" bottom="0.75" header="0.3" footer="0.3"/>
  <pageSetup paperSize="9" orientation="portrait" horizontalDpi="4294967293" verticalDpi="4294967293" r:id="rId1"/>
  <ignoredErrors>
    <ignoredError sqref="BF9" formula="1"/>
  </ignoredError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4D57-3556-4BB1-8F80-35C14B44242B}">
  <dimension ref="A1:M14"/>
  <sheetViews>
    <sheetView tabSelected="1" workbookViewId="0">
      <selection activeCell="S24" sqref="S24"/>
    </sheetView>
  </sheetViews>
  <sheetFormatPr defaultRowHeight="14.5"/>
  <cols>
    <col min="2" max="17" width="4.7265625" customWidth="1"/>
  </cols>
  <sheetData>
    <row r="1" spans="1:13">
      <c r="A1" s="80"/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</row>
    <row r="2" spans="1:13">
      <c r="A2" s="80"/>
      <c r="B2" s="80"/>
      <c r="C2" s="80"/>
      <c r="D2" s="80"/>
      <c r="E2" s="80"/>
      <c r="F2" s="80"/>
      <c r="G2" s="162" t="s">
        <v>30</v>
      </c>
      <c r="H2" s="162"/>
      <c r="I2" s="80"/>
      <c r="J2" s="80"/>
      <c r="K2" s="80"/>
      <c r="L2" s="80"/>
      <c r="M2" s="80"/>
    </row>
    <row r="3" spans="1:13" ht="15" thickBot="1">
      <c r="A3" s="80"/>
      <c r="B3" s="80"/>
      <c r="C3" s="80"/>
      <c r="D3" s="80"/>
      <c r="E3" s="80"/>
      <c r="F3" s="135" t="s">
        <v>128</v>
      </c>
      <c r="G3" s="163">
        <v>1</v>
      </c>
      <c r="H3" s="163"/>
      <c r="I3" s="80" t="s">
        <v>127</v>
      </c>
      <c r="J3" s="80"/>
      <c r="K3" s="80"/>
      <c r="L3" s="80"/>
      <c r="M3" s="80"/>
    </row>
    <row r="4" spans="1:13">
      <c r="A4" s="80"/>
      <c r="B4" s="80"/>
      <c r="C4" s="136"/>
      <c r="D4" s="137"/>
      <c r="E4" s="137"/>
      <c r="F4" s="137"/>
      <c r="G4" s="138"/>
      <c r="H4" s="136"/>
      <c r="I4" s="137"/>
      <c r="J4" s="137"/>
      <c r="K4" s="137"/>
      <c r="L4" s="138"/>
      <c r="M4" s="80"/>
    </row>
    <row r="5" spans="1:13">
      <c r="A5" s="80"/>
      <c r="B5" s="80"/>
      <c r="C5" s="139"/>
      <c r="D5" s="140"/>
      <c r="E5" s="140"/>
      <c r="F5" s="140"/>
      <c r="G5" s="141"/>
      <c r="H5" s="139"/>
      <c r="I5" s="140"/>
      <c r="J5" s="140"/>
      <c r="K5" s="140"/>
      <c r="L5" s="141"/>
      <c r="M5" s="80"/>
    </row>
    <row r="6" spans="1:13">
      <c r="A6" s="80"/>
      <c r="B6" s="80"/>
      <c r="C6" s="139"/>
      <c r="D6" s="140"/>
      <c r="E6" s="140"/>
      <c r="F6" s="140"/>
      <c r="G6" s="141"/>
      <c r="H6" s="139"/>
      <c r="I6" s="140"/>
      <c r="J6" s="140"/>
      <c r="K6" s="140"/>
      <c r="L6" s="141"/>
      <c r="M6" s="80"/>
    </row>
    <row r="7" spans="1:13">
      <c r="A7" s="80"/>
      <c r="B7" s="142" t="s">
        <v>127</v>
      </c>
      <c r="C7" s="139"/>
      <c r="D7" s="140"/>
      <c r="E7" s="140"/>
      <c r="F7" s="140"/>
      <c r="G7" s="141"/>
      <c r="H7" s="139"/>
      <c r="I7" s="140"/>
      <c r="J7" s="140"/>
      <c r="K7" s="140"/>
      <c r="L7" s="141"/>
      <c r="M7" s="80"/>
    </row>
    <row r="8" spans="1:13" ht="15" thickBot="1">
      <c r="A8" s="135" t="s">
        <v>29</v>
      </c>
      <c r="B8" s="142">
        <v>1</v>
      </c>
      <c r="C8" s="143"/>
      <c r="D8" s="144"/>
      <c r="E8" s="144"/>
      <c r="F8" s="144"/>
      <c r="G8" s="145"/>
      <c r="H8" s="143"/>
      <c r="I8" s="144"/>
      <c r="J8" s="144"/>
      <c r="K8" s="144"/>
      <c r="L8" s="145"/>
      <c r="M8" s="80"/>
    </row>
    <row r="9" spans="1:13">
      <c r="A9" s="80"/>
      <c r="B9" s="142" t="s">
        <v>127</v>
      </c>
      <c r="C9" s="136"/>
      <c r="D9" s="137"/>
      <c r="E9" s="137"/>
      <c r="F9" s="137"/>
      <c r="G9" s="138"/>
      <c r="H9" s="136"/>
      <c r="I9" s="137"/>
      <c r="J9" s="137"/>
      <c r="K9" s="137"/>
      <c r="L9" s="138"/>
      <c r="M9" s="80"/>
    </row>
    <row r="10" spans="1:13">
      <c r="A10" s="80"/>
      <c r="B10" s="80"/>
      <c r="C10" s="139"/>
      <c r="D10" s="140"/>
      <c r="E10" s="140"/>
      <c r="F10" s="140"/>
      <c r="G10" s="141"/>
      <c r="H10" s="139"/>
      <c r="I10" s="140"/>
      <c r="J10" s="140"/>
      <c r="K10" s="140"/>
      <c r="L10" s="141"/>
      <c r="M10" s="80"/>
    </row>
    <row r="11" spans="1:13">
      <c r="A11" s="80"/>
      <c r="B11" s="80"/>
      <c r="C11" s="139"/>
      <c r="D11" s="140"/>
      <c r="E11" s="140"/>
      <c r="F11" s="140"/>
      <c r="G11" s="141"/>
      <c r="H11" s="139"/>
      <c r="I11" s="140"/>
      <c r="J11" s="140"/>
      <c r="K11" s="140"/>
      <c r="L11" s="141"/>
      <c r="M11" s="80"/>
    </row>
    <row r="12" spans="1:13">
      <c r="A12" s="80"/>
      <c r="B12" s="80"/>
      <c r="C12" s="139"/>
      <c r="D12" s="140"/>
      <c r="E12" s="140"/>
      <c r="F12" s="140"/>
      <c r="G12" s="141"/>
      <c r="H12" s="139"/>
      <c r="I12" s="140"/>
      <c r="J12" s="140"/>
      <c r="K12" s="140"/>
      <c r="L12" s="141"/>
      <c r="M12" s="80"/>
    </row>
    <row r="13" spans="1:13" ht="15" thickBot="1">
      <c r="A13" s="80"/>
      <c r="B13" s="80"/>
      <c r="C13" s="143"/>
      <c r="D13" s="144"/>
      <c r="E13" s="144"/>
      <c r="F13" s="144"/>
      <c r="G13" s="145"/>
      <c r="H13" s="143"/>
      <c r="I13" s="144"/>
      <c r="J13" s="144"/>
      <c r="K13" s="144"/>
      <c r="L13" s="145"/>
      <c r="M13" s="80"/>
    </row>
    <row r="14" spans="1:13">
      <c r="A14" s="80"/>
      <c r="B14" s="80"/>
      <c r="C14" s="80"/>
      <c r="D14" s="80"/>
      <c r="E14" s="80"/>
      <c r="F14" s="80"/>
      <c r="G14" s="80"/>
      <c r="H14" s="80"/>
      <c r="I14" s="80"/>
      <c r="J14" s="80"/>
      <c r="K14" s="80"/>
      <c r="L14" s="80"/>
      <c r="M14" s="80"/>
    </row>
  </sheetData>
  <mergeCells count="2">
    <mergeCell ref="G2:H2"/>
    <mergeCell ref="G3:H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Effort &amp; Cost</vt:lpstr>
      <vt:lpstr>Network</vt:lpstr>
      <vt:lpstr>PERT ALAP</vt:lpstr>
      <vt:lpstr>Piano SAL</vt:lpstr>
      <vt:lpstr>Risk Analysis</vt:lpstr>
      <vt:lpstr>Piano Risk</vt:lpstr>
      <vt:lpstr>EVM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N</dc:creator>
  <cp:lastModifiedBy>Fabio N</cp:lastModifiedBy>
  <dcterms:created xsi:type="dcterms:W3CDTF">2020-04-03T20:11:01Z</dcterms:created>
  <dcterms:modified xsi:type="dcterms:W3CDTF">2022-05-10T13:21:55Z</dcterms:modified>
</cp:coreProperties>
</file>