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5"/>
  <workbookPr defaultThemeVersion="166925"/>
  <mc:AlternateContent xmlns:mc="http://schemas.openxmlformats.org/markup-compatibility/2006">
    <mc:Choice Requires="x15">
      <x15ac:absPath xmlns:x15ac="http://schemas.microsoft.com/office/spreadsheetml/2010/11/ac" url="/Users/Michael/Documents/Valuations/"/>
    </mc:Choice>
  </mc:AlternateContent>
  <xr:revisionPtr revIDLastSave="0" documentId="13_ncr:1_{D6BE12E2-8E40-FC4D-BEF4-BD7B19A26CB9}" xr6:coauthVersionLast="36" xr6:coauthVersionMax="36" xr10:uidLastSave="{00000000-0000-0000-0000-000000000000}"/>
  <bookViews>
    <workbookView xWindow="80" yWindow="460" windowWidth="25520" windowHeight="15540" xr2:uid="{9D1BCFDB-D120-2E4B-B86E-0BB2A8D2A8C5}"/>
  </bookViews>
  <sheets>
    <sheet name="INPUT" sheetId="1" r:id="rId1"/>
    <sheet name="GROWTH AND WACC" sheetId="8" r:id="rId2"/>
    <sheet name="BETA" sheetId="13" r:id="rId3"/>
    <sheet name="DCF 1" sheetId="6" r:id="rId4"/>
    <sheet name="DCF 2" sheetId="14" r:id="rId5"/>
    <sheet name="DCF 3" sheetId="15" r:id="rId6"/>
    <sheet name="10K-R" sheetId="9" r:id="rId7"/>
    <sheet name="Prices" sheetId="12" r:id="rId8"/>
    <sheet name="10K-S" sheetId="2" r:id="rId9"/>
    <sheet name="INDUSTRY" sheetId="5" r:id="rId10"/>
    <sheet name="Aux Info" sheetId="11" r:id="rId11"/>
  </sheets>
  <externalReferences>
    <externalReference r:id="rId12"/>
  </externalReferences>
  <definedNames>
    <definedName name="Beta">[1]WACC!$A$4:$A$8</definedName>
  </definedNames>
  <calcPr calcId="179021" iterate="1" iterateDelta="9.999999999999445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5" i="1" l="1"/>
  <c r="G13" i="13" l="1"/>
  <c r="G10" i="13"/>
  <c r="M242" i="13"/>
  <c r="J242" i="13"/>
  <c r="L30" i="6" l="1"/>
  <c r="G18" i="1" l="1"/>
  <c r="M2" i="6" s="1"/>
  <c r="B3" i="2" l="1"/>
  <c r="B30" i="11" s="1"/>
  <c r="C3" i="2"/>
  <c r="C30" i="11" s="1"/>
  <c r="D3" i="2"/>
  <c r="D30" i="11" s="1"/>
  <c r="E3" i="2"/>
  <c r="E30" i="11" s="1"/>
  <c r="F3" i="2"/>
  <c r="F30" i="11" s="1"/>
  <c r="G3" i="2"/>
  <c r="G30" i="11" s="1"/>
  <c r="H3" i="2"/>
  <c r="H30" i="11" s="1"/>
  <c r="I3" i="2"/>
  <c r="I30" i="11" s="1"/>
  <c r="J3" i="2"/>
  <c r="J30" i="11" s="1"/>
  <c r="K3" i="2"/>
  <c r="K30" i="11" s="1"/>
  <c r="L3" i="2"/>
  <c r="B4" i="2"/>
  <c r="B31" i="11" s="1"/>
  <c r="C4" i="2"/>
  <c r="C31" i="11" s="1"/>
  <c r="D4" i="2"/>
  <c r="D31" i="11" s="1"/>
  <c r="E4" i="2"/>
  <c r="F4" i="2"/>
  <c r="F31" i="11" s="1"/>
  <c r="G4" i="2"/>
  <c r="G31" i="11" s="1"/>
  <c r="H4" i="2"/>
  <c r="H31" i="11" s="1"/>
  <c r="I4" i="2"/>
  <c r="J4" i="2"/>
  <c r="J31" i="11" s="1"/>
  <c r="K4" i="2"/>
  <c r="K31" i="11" s="1"/>
  <c r="L4" i="2"/>
  <c r="B5" i="2"/>
  <c r="C5" i="2"/>
  <c r="D5" i="2"/>
  <c r="E5" i="2"/>
  <c r="F5" i="2"/>
  <c r="G5" i="2"/>
  <c r="H5" i="2"/>
  <c r="I5" i="2"/>
  <c r="J5" i="2"/>
  <c r="K5" i="2"/>
  <c r="L5" i="2"/>
  <c r="B6" i="2"/>
  <c r="C6" i="2"/>
  <c r="D6" i="2"/>
  <c r="E6" i="2"/>
  <c r="F6" i="2"/>
  <c r="G6" i="2"/>
  <c r="H6" i="2"/>
  <c r="I6" i="2"/>
  <c r="J6" i="2"/>
  <c r="K6" i="2"/>
  <c r="L6" i="2"/>
  <c r="B8" i="2"/>
  <c r="C8" i="2"/>
  <c r="D8" i="2"/>
  <c r="E8" i="2"/>
  <c r="F8" i="2"/>
  <c r="G8" i="2"/>
  <c r="H8" i="2"/>
  <c r="I8" i="2"/>
  <c r="J8" i="2"/>
  <c r="K8" i="2"/>
  <c r="L8" i="2"/>
  <c r="B9" i="2"/>
  <c r="C9" i="2"/>
  <c r="D9" i="2"/>
  <c r="E9" i="2"/>
  <c r="F9" i="2"/>
  <c r="G9" i="2"/>
  <c r="H9" i="2"/>
  <c r="I9" i="2"/>
  <c r="J9" i="2"/>
  <c r="K9" i="2"/>
  <c r="L9" i="2"/>
  <c r="B10" i="2"/>
  <c r="B33" i="11" s="1"/>
  <c r="C10" i="2"/>
  <c r="C33" i="11" s="1"/>
  <c r="D10" i="2"/>
  <c r="D33" i="11" s="1"/>
  <c r="E10" i="2"/>
  <c r="E33" i="11" s="1"/>
  <c r="E34" i="11" s="1"/>
  <c r="F10" i="2"/>
  <c r="F33" i="11" s="1"/>
  <c r="F34" i="11" s="1"/>
  <c r="G10" i="2"/>
  <c r="G33" i="11" s="1"/>
  <c r="G34" i="11" s="1"/>
  <c r="H10" i="2"/>
  <c r="H33" i="11" s="1"/>
  <c r="I10" i="2"/>
  <c r="I33" i="11" s="1"/>
  <c r="I34" i="11" s="1"/>
  <c r="J10" i="2"/>
  <c r="J33" i="11" s="1"/>
  <c r="J34" i="11" s="1"/>
  <c r="K10" i="2"/>
  <c r="K33" i="11" s="1"/>
  <c r="K34" i="11" s="1"/>
  <c r="L10" i="2"/>
  <c r="B11" i="2"/>
  <c r="C11" i="2"/>
  <c r="D11" i="2"/>
  <c r="E11" i="2"/>
  <c r="F11" i="2"/>
  <c r="G11" i="2"/>
  <c r="H11" i="2"/>
  <c r="I11" i="2"/>
  <c r="J11" i="2"/>
  <c r="K11" i="2"/>
  <c r="L11" i="2"/>
  <c r="B12" i="2"/>
  <c r="C12" i="2"/>
  <c r="D12" i="2"/>
  <c r="E12" i="2"/>
  <c r="F12" i="2"/>
  <c r="G12" i="2"/>
  <c r="H12" i="2"/>
  <c r="I12" i="2"/>
  <c r="J12" i="2"/>
  <c r="K12" i="2"/>
  <c r="L12" i="2"/>
  <c r="B13" i="2"/>
  <c r="C13" i="2"/>
  <c r="D13" i="2"/>
  <c r="E13" i="2"/>
  <c r="F13" i="2"/>
  <c r="G13" i="2"/>
  <c r="H13" i="2"/>
  <c r="I13" i="2"/>
  <c r="J13" i="2"/>
  <c r="K13" i="2"/>
  <c r="L13" i="2"/>
  <c r="B14" i="2"/>
  <c r="C14" i="2"/>
  <c r="D14" i="2"/>
  <c r="E14" i="2"/>
  <c r="F14" i="2"/>
  <c r="G14" i="2"/>
  <c r="H14" i="2"/>
  <c r="I14" i="2"/>
  <c r="J14" i="2"/>
  <c r="K14" i="2"/>
  <c r="L14" i="2"/>
  <c r="B15" i="2"/>
  <c r="B35" i="11" s="1"/>
  <c r="C15" i="2"/>
  <c r="C35" i="11" s="1"/>
  <c r="D15" i="2"/>
  <c r="D35" i="11" s="1"/>
  <c r="D36" i="11" s="1"/>
  <c r="E15" i="2"/>
  <c r="E35" i="11" s="1"/>
  <c r="F15" i="2"/>
  <c r="F35" i="11" s="1"/>
  <c r="G15" i="2"/>
  <c r="G35" i="11" s="1"/>
  <c r="H15" i="2"/>
  <c r="H35" i="11" s="1"/>
  <c r="H36" i="11" s="1"/>
  <c r="I15" i="2"/>
  <c r="I35" i="11" s="1"/>
  <c r="J15" i="2"/>
  <c r="J35" i="11" s="1"/>
  <c r="K15" i="2"/>
  <c r="K35" i="11" s="1"/>
  <c r="L15" i="2"/>
  <c r="B17" i="2"/>
  <c r="C17" i="2"/>
  <c r="D17" i="2"/>
  <c r="E17" i="2"/>
  <c r="F17" i="2"/>
  <c r="G17" i="2"/>
  <c r="H17" i="2"/>
  <c r="I17" i="2"/>
  <c r="J17" i="2"/>
  <c r="K17" i="2"/>
  <c r="L17" i="2"/>
  <c r="B18" i="2"/>
  <c r="C18" i="2"/>
  <c r="D18" i="2"/>
  <c r="E18" i="2"/>
  <c r="F18" i="2"/>
  <c r="G18" i="2"/>
  <c r="H18" i="2"/>
  <c r="I18" i="2"/>
  <c r="J18" i="2"/>
  <c r="K18" i="2"/>
  <c r="L18" i="2"/>
  <c r="B20" i="2"/>
  <c r="C20" i="2"/>
  <c r="D20" i="2"/>
  <c r="E20" i="2"/>
  <c r="F20" i="2"/>
  <c r="G20" i="2"/>
  <c r="H20" i="2"/>
  <c r="I20" i="2"/>
  <c r="J20" i="2"/>
  <c r="K20" i="2"/>
  <c r="L20" i="2"/>
  <c r="B21" i="2"/>
  <c r="C21" i="2"/>
  <c r="D21" i="2"/>
  <c r="E21" i="2"/>
  <c r="F21" i="2"/>
  <c r="G21" i="2"/>
  <c r="H21" i="2"/>
  <c r="I21" i="2"/>
  <c r="J21" i="2"/>
  <c r="K21" i="2"/>
  <c r="L21" i="2"/>
  <c r="B22" i="2"/>
  <c r="C22" i="2"/>
  <c r="D22" i="2"/>
  <c r="E22" i="2"/>
  <c r="F22" i="2"/>
  <c r="G22" i="2"/>
  <c r="H22" i="2"/>
  <c r="I22" i="2"/>
  <c r="J22" i="2"/>
  <c r="K22" i="2"/>
  <c r="L22" i="2"/>
  <c r="J6" i="8"/>
  <c r="L35" i="11" l="1"/>
  <c r="L33" i="11"/>
  <c r="C34" i="11"/>
  <c r="L34" i="11" s="1"/>
  <c r="H34" i="11"/>
  <c r="D34" i="11"/>
  <c r="K36" i="11"/>
  <c r="G36" i="11"/>
  <c r="C36" i="11"/>
  <c r="J36" i="11"/>
  <c r="F36" i="11"/>
  <c r="E36" i="11"/>
  <c r="I16" i="11"/>
  <c r="I31" i="11"/>
  <c r="E16" i="11"/>
  <c r="E31" i="11"/>
  <c r="I36" i="11"/>
  <c r="K32" i="11"/>
  <c r="H32" i="11"/>
  <c r="G32" i="11"/>
  <c r="D32" i="11"/>
  <c r="C32" i="11"/>
  <c r="K16" i="11"/>
  <c r="G16" i="11"/>
  <c r="C16" i="11"/>
  <c r="H16" i="11"/>
  <c r="D16" i="11"/>
  <c r="J16" i="11"/>
  <c r="F16" i="11"/>
  <c r="L31" i="11" l="1"/>
  <c r="J32" i="11"/>
  <c r="N33" i="11"/>
  <c r="N31" i="11"/>
  <c r="E32" i="11"/>
  <c r="N35" i="11"/>
  <c r="L36" i="11"/>
  <c r="K28" i="1" s="1"/>
  <c r="F32" i="11"/>
  <c r="L32" i="11" s="1"/>
  <c r="N16" i="11"/>
  <c r="I32" i="11"/>
  <c r="M16" i="11"/>
  <c r="L16" i="11"/>
  <c r="AK21" i="2"/>
  <c r="AJ21" i="2"/>
  <c r="AI21" i="2"/>
  <c r="AH21" i="2"/>
  <c r="AG21" i="2"/>
  <c r="AF21" i="2"/>
  <c r="AE21" i="2"/>
  <c r="AD21" i="2"/>
  <c r="AC21" i="2"/>
  <c r="AB21" i="2"/>
  <c r="AA21" i="2"/>
  <c r="AK20" i="2"/>
  <c r="AJ20" i="2"/>
  <c r="AI20" i="2"/>
  <c r="J37" i="11" s="1"/>
  <c r="J39" i="11" s="1"/>
  <c r="AH20" i="2"/>
  <c r="AG20" i="2"/>
  <c r="H37" i="11" s="1"/>
  <c r="H39" i="11" s="1"/>
  <c r="AF20" i="2"/>
  <c r="AE20" i="2"/>
  <c r="F37" i="11" s="1"/>
  <c r="F39" i="11" s="1"/>
  <c r="AD20" i="2"/>
  <c r="E37" i="11" s="1"/>
  <c r="E39" i="11" s="1"/>
  <c r="AC20" i="2"/>
  <c r="D37" i="11" s="1"/>
  <c r="D39" i="11" s="1"/>
  <c r="AB20" i="2"/>
  <c r="AA20" i="2"/>
  <c r="B37" i="11" s="1"/>
  <c r="B39" i="11" s="1"/>
  <c r="AK19" i="2"/>
  <c r="AJ19" i="2"/>
  <c r="AI19" i="2"/>
  <c r="AH19" i="2"/>
  <c r="AG19" i="2"/>
  <c r="AF19" i="2"/>
  <c r="AE19" i="2"/>
  <c r="AD19" i="2"/>
  <c r="AC19" i="2"/>
  <c r="AB19" i="2"/>
  <c r="AA19" i="2"/>
  <c r="AK18" i="2"/>
  <c r="AJ18" i="2"/>
  <c r="AI18" i="2"/>
  <c r="AH18" i="2"/>
  <c r="AG18" i="2"/>
  <c r="AF18" i="2"/>
  <c r="AE18" i="2"/>
  <c r="AD18" i="2"/>
  <c r="AC18" i="2"/>
  <c r="AB18" i="2"/>
  <c r="AA18" i="2"/>
  <c r="AK17" i="2"/>
  <c r="AJ17" i="2"/>
  <c r="AI17" i="2"/>
  <c r="AH17" i="2"/>
  <c r="AG17" i="2"/>
  <c r="AF17" i="2"/>
  <c r="AE17" i="2"/>
  <c r="AD17" i="2"/>
  <c r="AC17" i="2"/>
  <c r="AB17" i="2"/>
  <c r="AA17" i="2"/>
  <c r="AK16" i="2"/>
  <c r="AJ16" i="2"/>
  <c r="AI16" i="2"/>
  <c r="AH16" i="2"/>
  <c r="AG16" i="2"/>
  <c r="AF16" i="2"/>
  <c r="AE16" i="2"/>
  <c r="AD16" i="2"/>
  <c r="AC16" i="2"/>
  <c r="AB16" i="2"/>
  <c r="AA16" i="2"/>
  <c r="AK15" i="2"/>
  <c r="AJ15" i="2"/>
  <c r="AI15" i="2"/>
  <c r="AH15" i="2"/>
  <c r="AG15" i="2"/>
  <c r="AF15" i="2"/>
  <c r="AE15" i="2"/>
  <c r="AD15" i="2"/>
  <c r="AC15" i="2"/>
  <c r="AB15" i="2"/>
  <c r="AA15" i="2"/>
  <c r="AK14" i="2"/>
  <c r="AJ14" i="2"/>
  <c r="AI14" i="2"/>
  <c r="AH14" i="2"/>
  <c r="AG14" i="2"/>
  <c r="AF14" i="2"/>
  <c r="AE14" i="2"/>
  <c r="AD14" i="2"/>
  <c r="AC14" i="2"/>
  <c r="AB14" i="2"/>
  <c r="AA14" i="2"/>
  <c r="AK13" i="2"/>
  <c r="AJ13" i="2"/>
  <c r="AI13" i="2"/>
  <c r="AH13" i="2"/>
  <c r="AG13" i="2"/>
  <c r="AF13" i="2"/>
  <c r="AE13" i="2"/>
  <c r="AD13" i="2"/>
  <c r="AC13" i="2"/>
  <c r="AB13" i="2"/>
  <c r="AA13" i="2"/>
  <c r="AK12" i="2"/>
  <c r="AJ12" i="2"/>
  <c r="AI12" i="2"/>
  <c r="AH12" i="2"/>
  <c r="AG12" i="2"/>
  <c r="AF12" i="2"/>
  <c r="AE12" i="2"/>
  <c r="AD12" i="2"/>
  <c r="AC12" i="2"/>
  <c r="AB12" i="2"/>
  <c r="AA12" i="2"/>
  <c r="AK11" i="2"/>
  <c r="AJ11" i="2"/>
  <c r="AI11" i="2"/>
  <c r="AH11" i="2"/>
  <c r="AG11" i="2"/>
  <c r="AF11" i="2"/>
  <c r="AE11" i="2"/>
  <c r="AD11" i="2"/>
  <c r="AC11" i="2"/>
  <c r="AB11" i="2"/>
  <c r="AA11" i="2"/>
  <c r="AK10" i="2"/>
  <c r="AJ10" i="2"/>
  <c r="K42" i="11" s="1"/>
  <c r="AI10" i="2"/>
  <c r="J42" i="11" s="1"/>
  <c r="AH10" i="2"/>
  <c r="I42" i="11" s="1"/>
  <c r="AG10" i="2"/>
  <c r="H42" i="11" s="1"/>
  <c r="AF10" i="2"/>
  <c r="G42" i="11" s="1"/>
  <c r="AE10" i="2"/>
  <c r="F42" i="11" s="1"/>
  <c r="AD10" i="2"/>
  <c r="E42" i="11" s="1"/>
  <c r="AC10" i="2"/>
  <c r="D42" i="11" s="1"/>
  <c r="AB10" i="2"/>
  <c r="C42" i="11" s="1"/>
  <c r="L42" i="11" s="1"/>
  <c r="AA10" i="2"/>
  <c r="B42" i="11" s="1"/>
  <c r="N42" i="11" s="1"/>
  <c r="AK9" i="2"/>
  <c r="AJ9" i="2"/>
  <c r="AI9" i="2"/>
  <c r="AH9" i="2"/>
  <c r="AG9" i="2"/>
  <c r="AF9" i="2"/>
  <c r="AE9" i="2"/>
  <c r="AD9" i="2"/>
  <c r="AC9" i="2"/>
  <c r="AB9" i="2"/>
  <c r="AA9" i="2"/>
  <c r="AK8" i="2"/>
  <c r="AJ8" i="2"/>
  <c r="AI8" i="2"/>
  <c r="AH8" i="2"/>
  <c r="AG8" i="2"/>
  <c r="AF8" i="2"/>
  <c r="AE8" i="2"/>
  <c r="AD8" i="2"/>
  <c r="AC8" i="2"/>
  <c r="AB8" i="2"/>
  <c r="AA8" i="2"/>
  <c r="AK7" i="2"/>
  <c r="AJ7" i="2"/>
  <c r="AI7" i="2"/>
  <c r="AH7" i="2"/>
  <c r="AG7" i="2"/>
  <c r="AF7" i="2"/>
  <c r="AE7" i="2"/>
  <c r="AD7" i="2"/>
  <c r="AC7" i="2"/>
  <c r="AB7" i="2"/>
  <c r="AA7" i="2"/>
  <c r="AK6" i="2"/>
  <c r="AJ6" i="2"/>
  <c r="AI6" i="2"/>
  <c r="AH6" i="2"/>
  <c r="AG6" i="2"/>
  <c r="AF6" i="2"/>
  <c r="G21" i="11" s="1"/>
  <c r="AE6" i="2"/>
  <c r="F21" i="11" s="1"/>
  <c r="AD6" i="2"/>
  <c r="AC6" i="2"/>
  <c r="AB6" i="2"/>
  <c r="AA6" i="2"/>
  <c r="AK5" i="2"/>
  <c r="AJ5" i="2"/>
  <c r="AI5" i="2"/>
  <c r="AH5" i="2"/>
  <c r="AG5" i="2"/>
  <c r="AF5" i="2"/>
  <c r="AE5" i="2"/>
  <c r="AD5" i="2"/>
  <c r="AC5" i="2"/>
  <c r="AB5" i="2"/>
  <c r="AA5" i="2"/>
  <c r="AA4" i="2"/>
  <c r="AK4" i="2"/>
  <c r="AJ4" i="2"/>
  <c r="AI4" i="2"/>
  <c r="AH4" i="2"/>
  <c r="AG4" i="2"/>
  <c r="AF4" i="2"/>
  <c r="AE4" i="2"/>
  <c r="AD4" i="2"/>
  <c r="AC4" i="2"/>
  <c r="AB4" i="2"/>
  <c r="H21" i="11" l="1"/>
  <c r="B21" i="11"/>
  <c r="N34" i="11"/>
  <c r="M34" i="11"/>
  <c r="M36" i="11"/>
  <c r="L28" i="1" s="1"/>
  <c r="N36" i="11"/>
  <c r="N32" i="11"/>
  <c r="F43" i="11"/>
  <c r="J43" i="11"/>
  <c r="C43" i="11"/>
  <c r="G43" i="11"/>
  <c r="M28" i="1"/>
  <c r="K43" i="11"/>
  <c r="D43" i="11"/>
  <c r="H43" i="11"/>
  <c r="C21" i="11"/>
  <c r="I21" i="11"/>
  <c r="E21" i="11"/>
  <c r="K21" i="11"/>
  <c r="E43" i="11"/>
  <c r="I43" i="11"/>
  <c r="C37" i="11"/>
  <c r="N37" i="11" s="1"/>
  <c r="G37" i="11"/>
  <c r="K37" i="11"/>
  <c r="I37" i="11"/>
  <c r="J21" i="11"/>
  <c r="D21" i="11"/>
  <c r="F38" i="11"/>
  <c r="J38" i="11"/>
  <c r="E38" i="11"/>
  <c r="B17" i="15"/>
  <c r="B17" i="14"/>
  <c r="L29" i="15"/>
  <c r="B29" i="15"/>
  <c r="G33" i="1"/>
  <c r="M12" i="15" s="1"/>
  <c r="G27" i="1"/>
  <c r="M4" i="15"/>
  <c r="M2" i="15"/>
  <c r="C2" i="15"/>
  <c r="L43" i="11" l="1"/>
  <c r="G38" i="11"/>
  <c r="G39" i="11"/>
  <c r="C38" i="11"/>
  <c r="L37" i="11"/>
  <c r="C39" i="11"/>
  <c r="M43" i="11"/>
  <c r="L31" i="1" s="1"/>
  <c r="N43" i="11"/>
  <c r="M31" i="1" s="1"/>
  <c r="K38" i="11"/>
  <c r="K39" i="11"/>
  <c r="I38" i="11"/>
  <c r="I39" i="11"/>
  <c r="D2" i="15"/>
  <c r="E2" i="15" s="1"/>
  <c r="G2" i="15"/>
  <c r="F2" i="15"/>
  <c r="D38" i="11"/>
  <c r="L38" i="11" s="1"/>
  <c r="K29" i="1" s="1"/>
  <c r="K31" i="1"/>
  <c r="H38" i="11"/>
  <c r="M6" i="6"/>
  <c r="D24" i="13"/>
  <c r="B9" i="13"/>
  <c r="B8" i="13"/>
  <c r="B7" i="13"/>
  <c r="B6" i="13"/>
  <c r="B5" i="13"/>
  <c r="A9" i="13"/>
  <c r="C9" i="13" s="1"/>
  <c r="A8" i="13"/>
  <c r="A7" i="13"/>
  <c r="A6" i="13"/>
  <c r="C6" i="13" s="1"/>
  <c r="A5" i="13"/>
  <c r="M38" i="11" l="1"/>
  <c r="L29" i="1" s="1"/>
  <c r="N38" i="11"/>
  <c r="M29" i="1" s="1"/>
  <c r="L39" i="11"/>
  <c r="M39" i="11"/>
  <c r="N39" i="11"/>
  <c r="J2" i="15"/>
  <c r="I2" i="15"/>
  <c r="L2" i="15"/>
  <c r="K2" i="15"/>
  <c r="H2" i="15"/>
  <c r="D8" i="13"/>
  <c r="C5" i="13"/>
  <c r="D7" i="13"/>
  <c r="D5" i="13"/>
  <c r="C7" i="13"/>
  <c r="B10" i="13"/>
  <c r="D6" i="13"/>
  <c r="D9" i="13"/>
  <c r="C8" i="13"/>
  <c r="C10" i="13" l="1"/>
  <c r="B12" i="13" s="1"/>
  <c r="D10" i="13"/>
  <c r="B13" i="13" s="1"/>
  <c r="G16" i="13" l="1"/>
  <c r="B42" i="1" s="1"/>
  <c r="B15" i="13"/>
  <c r="G17" i="13" s="1"/>
  <c r="B43" i="1" s="1"/>
  <c r="I6"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61" i="13"/>
  <c r="I162" i="13"/>
  <c r="I163" i="13"/>
  <c r="I164" i="13"/>
  <c r="I165" i="13"/>
  <c r="I166" i="13"/>
  <c r="I167" i="13"/>
  <c r="I168" i="13"/>
  <c r="I169"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199" i="13"/>
  <c r="I200" i="13"/>
  <c r="I201" i="13"/>
  <c r="I202" i="13"/>
  <c r="I203" i="13"/>
  <c r="I204" i="13"/>
  <c r="I205" i="13"/>
  <c r="I206" i="13"/>
  <c r="I207" i="13"/>
  <c r="I208" i="13"/>
  <c r="I209" i="13"/>
  <c r="I210" i="13"/>
  <c r="I211" i="13"/>
  <c r="I212" i="13"/>
  <c r="I213" i="13"/>
  <c r="I214" i="13"/>
  <c r="I215" i="13"/>
  <c r="I216" i="13"/>
  <c r="I217" i="13"/>
  <c r="I218" i="13"/>
  <c r="I219" i="13"/>
  <c r="I220" i="13"/>
  <c r="I221" i="13"/>
  <c r="I222" i="13"/>
  <c r="I223" i="13"/>
  <c r="I224" i="13"/>
  <c r="I225" i="13"/>
  <c r="I226" i="13"/>
  <c r="I227" i="13"/>
  <c r="I228" i="13"/>
  <c r="I229" i="13"/>
  <c r="I230" i="13"/>
  <c r="I231" i="13"/>
  <c r="I232" i="13"/>
  <c r="I233" i="13"/>
  <c r="I234" i="13"/>
  <c r="I235" i="13"/>
  <c r="I236" i="13"/>
  <c r="I237" i="13"/>
  <c r="I238" i="13"/>
  <c r="I239" i="13"/>
  <c r="I240" i="13"/>
  <c r="I241" i="13"/>
  <c r="I242" i="13"/>
  <c r="I243" i="13"/>
  <c r="I244" i="13"/>
  <c r="I245" i="13"/>
  <c r="I246" i="13"/>
  <c r="I247" i="13"/>
  <c r="I248" i="13"/>
  <c r="I249" i="13"/>
  <c r="I250" i="13"/>
  <c r="I251" i="13"/>
  <c r="I252" i="13"/>
  <c r="I253" i="13"/>
  <c r="I254" i="13"/>
  <c r="I255" i="13"/>
  <c r="I256" i="13"/>
  <c r="I257" i="13"/>
  <c r="I258" i="13"/>
  <c r="I259" i="13"/>
  <c r="I260" i="13"/>
  <c r="I261" i="13"/>
  <c r="I262" i="13"/>
  <c r="I263" i="13"/>
  <c r="I264" i="13"/>
  <c r="I265" i="13"/>
  <c r="I266" i="13"/>
  <c r="I267" i="13"/>
  <c r="I268" i="13"/>
  <c r="I269" i="13"/>
  <c r="I270" i="13"/>
  <c r="I271" i="13"/>
  <c r="I272" i="13"/>
  <c r="I273" i="13"/>
  <c r="I274" i="13"/>
  <c r="I275" i="13"/>
  <c r="I276" i="13"/>
  <c r="I277" i="13"/>
  <c r="I278" i="13"/>
  <c r="I279" i="13"/>
  <c r="I280" i="13"/>
  <c r="I281" i="13"/>
  <c r="I282" i="13"/>
  <c r="I283" i="13"/>
  <c r="I284" i="13"/>
  <c r="I285" i="13"/>
  <c r="I286" i="13"/>
  <c r="I287" i="13"/>
  <c r="I288" i="13"/>
  <c r="I289" i="13"/>
  <c r="I290" i="13"/>
  <c r="I291" i="13"/>
  <c r="I292" i="13"/>
  <c r="I293" i="13"/>
  <c r="I294" i="13"/>
  <c r="I295" i="13"/>
  <c r="I296" i="13"/>
  <c r="I297" i="13"/>
  <c r="I298" i="13"/>
  <c r="I299" i="13"/>
  <c r="I300" i="13"/>
  <c r="I301" i="13"/>
  <c r="I302" i="13"/>
  <c r="I303" i="13"/>
  <c r="I304" i="13"/>
  <c r="I305" i="13"/>
  <c r="I306" i="13"/>
  <c r="I307" i="13"/>
  <c r="I308" i="13"/>
  <c r="I309" i="13"/>
  <c r="I310" i="13"/>
  <c r="I311" i="13"/>
  <c r="I312" i="13"/>
  <c r="I313" i="13"/>
  <c r="I314" i="13"/>
  <c r="I315" i="13"/>
  <c r="I316" i="13"/>
  <c r="I317" i="13"/>
  <c r="I318" i="13"/>
  <c r="I319" i="13"/>
  <c r="I320" i="13"/>
  <c r="I321" i="13"/>
  <c r="I322" i="13"/>
  <c r="I323" i="13"/>
  <c r="I324" i="13"/>
  <c r="I325" i="13"/>
  <c r="I326" i="13"/>
  <c r="I327" i="13"/>
  <c r="I328" i="13"/>
  <c r="I329" i="13"/>
  <c r="I330" i="13"/>
  <c r="I331" i="13"/>
  <c r="I332" i="13"/>
  <c r="I333" i="13"/>
  <c r="I334" i="13"/>
  <c r="I335" i="13"/>
  <c r="I336" i="13"/>
  <c r="I337" i="13"/>
  <c r="I338" i="13"/>
  <c r="I339" i="13"/>
  <c r="I340" i="13"/>
  <c r="I341" i="13"/>
  <c r="I342" i="13"/>
  <c r="I343" i="13"/>
  <c r="I344" i="13"/>
  <c r="I345" i="13"/>
  <c r="I346" i="13"/>
  <c r="I347" i="13"/>
  <c r="I348" i="13"/>
  <c r="I349" i="13"/>
  <c r="I350" i="13"/>
  <c r="I351" i="13"/>
  <c r="I352" i="13"/>
  <c r="I353" i="13"/>
  <c r="I354" i="13"/>
  <c r="I355" i="13"/>
  <c r="I356" i="13"/>
  <c r="I357" i="13"/>
  <c r="I358" i="13"/>
  <c r="I359" i="13"/>
  <c r="I360" i="13"/>
  <c r="I361" i="13"/>
  <c r="I362" i="13"/>
  <c r="I363" i="13"/>
  <c r="I364" i="13"/>
  <c r="I365" i="13"/>
  <c r="I366" i="13"/>
  <c r="I367" i="13"/>
  <c r="I368" i="13"/>
  <c r="I369" i="13"/>
  <c r="I370" i="13"/>
  <c r="I371" i="13"/>
  <c r="I372" i="13"/>
  <c r="I373" i="13"/>
  <c r="I374" i="13"/>
  <c r="I375" i="13"/>
  <c r="I376" i="13"/>
  <c r="I377" i="13"/>
  <c r="I378" i="13"/>
  <c r="I379" i="13"/>
  <c r="I380" i="13"/>
  <c r="I381" i="13"/>
  <c r="I382" i="13"/>
  <c r="I383" i="13"/>
  <c r="I384" i="13"/>
  <c r="I385" i="13"/>
  <c r="I386" i="13"/>
  <c r="I387" i="13"/>
  <c r="I388" i="13"/>
  <c r="I389" i="13"/>
  <c r="I390" i="13"/>
  <c r="I391" i="13"/>
  <c r="I392" i="13"/>
  <c r="I393" i="13"/>
  <c r="I394" i="13"/>
  <c r="I395" i="13"/>
  <c r="I396" i="13"/>
  <c r="I397" i="13"/>
  <c r="I398" i="13"/>
  <c r="I399" i="13"/>
  <c r="I400" i="13"/>
  <c r="I401" i="13"/>
  <c r="I402" i="13"/>
  <c r="I403" i="13"/>
  <c r="I404" i="13"/>
  <c r="I405" i="13"/>
  <c r="I406" i="13"/>
  <c r="I407" i="13"/>
  <c r="I408" i="13"/>
  <c r="I409" i="13"/>
  <c r="I410" i="13"/>
  <c r="I411" i="13"/>
  <c r="I412" i="13"/>
  <c r="I413" i="13"/>
  <c r="I414" i="13"/>
  <c r="I415" i="13"/>
  <c r="I416" i="13"/>
  <c r="I417" i="13"/>
  <c r="I418" i="13"/>
  <c r="I419" i="13"/>
  <c r="I420" i="13"/>
  <c r="I421" i="13"/>
  <c r="I422" i="13"/>
  <c r="I423" i="13"/>
  <c r="I424" i="13"/>
  <c r="I425" i="13"/>
  <c r="I426" i="13"/>
  <c r="I427" i="13"/>
  <c r="I428" i="13"/>
  <c r="I429" i="13"/>
  <c r="I430" i="13"/>
  <c r="I431" i="13"/>
  <c r="I432" i="13"/>
  <c r="I433" i="13"/>
  <c r="I434" i="13"/>
  <c r="I435" i="13"/>
  <c r="I436" i="13"/>
  <c r="I437" i="13"/>
  <c r="I438" i="13"/>
  <c r="I439" i="13"/>
  <c r="I440" i="13"/>
  <c r="I441" i="13"/>
  <c r="I442" i="13"/>
  <c r="I443" i="13"/>
  <c r="I444" i="13"/>
  <c r="I445" i="13"/>
  <c r="I446" i="13"/>
  <c r="I447" i="13"/>
  <c r="I448" i="13"/>
  <c r="I449" i="13"/>
  <c r="I450" i="13"/>
  <c r="I451" i="13"/>
  <c r="I452" i="13"/>
  <c r="I453" i="13"/>
  <c r="I454" i="13"/>
  <c r="I455" i="13"/>
  <c r="I456" i="13"/>
  <c r="I457" i="13"/>
  <c r="I458" i="13"/>
  <c r="I459" i="13"/>
  <c r="I460" i="13"/>
  <c r="I461" i="13"/>
  <c r="I462" i="13"/>
  <c r="I463" i="13"/>
  <c r="I464" i="13"/>
  <c r="I465" i="13"/>
  <c r="I466" i="13"/>
  <c r="I467" i="13"/>
  <c r="I468" i="13"/>
  <c r="I469" i="13"/>
  <c r="I470" i="13"/>
  <c r="I471" i="13"/>
  <c r="I472" i="13"/>
  <c r="I473" i="13"/>
  <c r="I474" i="13"/>
  <c r="I475" i="13"/>
  <c r="I476" i="13"/>
  <c r="I477" i="13"/>
  <c r="I478" i="13"/>
  <c r="I479" i="13"/>
  <c r="I480" i="13"/>
  <c r="I481" i="13"/>
  <c r="I482" i="13"/>
  <c r="I483" i="13"/>
  <c r="I484" i="13"/>
  <c r="I485" i="13"/>
  <c r="I486" i="13"/>
  <c r="I487" i="13"/>
  <c r="I488" i="13"/>
  <c r="I489" i="13"/>
  <c r="I490" i="13"/>
  <c r="I491" i="13"/>
  <c r="I492" i="13"/>
  <c r="I493" i="13"/>
  <c r="I494" i="13"/>
  <c r="I495" i="13"/>
  <c r="I496" i="13"/>
  <c r="I497" i="13"/>
  <c r="I498" i="13"/>
  <c r="I499" i="13"/>
  <c r="I500" i="13"/>
  <c r="I501" i="13"/>
  <c r="I502" i="13"/>
  <c r="I503" i="13"/>
  <c r="I504" i="13"/>
  <c r="I505" i="13"/>
  <c r="I506" i="13"/>
  <c r="I507" i="13"/>
  <c r="I508" i="13"/>
  <c r="I509" i="13"/>
  <c r="I510" i="13"/>
  <c r="I511" i="13"/>
  <c r="I512" i="13"/>
  <c r="I513" i="13"/>
  <c r="I514" i="13"/>
  <c r="I515" i="13"/>
  <c r="I516" i="13"/>
  <c r="I517" i="13"/>
  <c r="I518" i="13"/>
  <c r="I519" i="13"/>
  <c r="I520" i="13"/>
  <c r="I521" i="13"/>
  <c r="I522" i="13"/>
  <c r="I523" i="13"/>
  <c r="I524" i="13"/>
  <c r="I525" i="13"/>
  <c r="I526" i="13"/>
  <c r="I527" i="13"/>
  <c r="I528" i="13"/>
  <c r="I529" i="13"/>
  <c r="I530" i="13"/>
  <c r="I531" i="13"/>
  <c r="I532" i="13"/>
  <c r="I533" i="13"/>
  <c r="I534" i="13"/>
  <c r="I535" i="13"/>
  <c r="I536" i="13"/>
  <c r="I537" i="13"/>
  <c r="I538" i="13"/>
  <c r="I539" i="13"/>
  <c r="I540" i="13"/>
  <c r="I541" i="13"/>
  <c r="I542" i="13"/>
  <c r="I543" i="13"/>
  <c r="I544" i="13"/>
  <c r="I545" i="13"/>
  <c r="I546" i="13"/>
  <c r="I547" i="13"/>
  <c r="I548" i="13"/>
  <c r="I549" i="13"/>
  <c r="I550" i="13"/>
  <c r="I551" i="13"/>
  <c r="I552" i="13"/>
  <c r="I553" i="13"/>
  <c r="I554" i="13"/>
  <c r="I555" i="13"/>
  <c r="I556" i="13"/>
  <c r="I557" i="13"/>
  <c r="I558" i="13"/>
  <c r="I559" i="13"/>
  <c r="I560" i="13"/>
  <c r="I561" i="13"/>
  <c r="I562" i="13"/>
  <c r="I563" i="13"/>
  <c r="I564" i="13"/>
  <c r="I565" i="13"/>
  <c r="I566" i="13"/>
  <c r="I567" i="13"/>
  <c r="I568" i="13"/>
  <c r="I569" i="13"/>
  <c r="I570" i="13"/>
  <c r="I571" i="13"/>
  <c r="I572" i="13"/>
  <c r="I573" i="13"/>
  <c r="I574" i="13"/>
  <c r="I575" i="13"/>
  <c r="I576" i="13"/>
  <c r="I577" i="13"/>
  <c r="I578" i="13"/>
  <c r="I579" i="13"/>
  <c r="I580" i="13"/>
  <c r="I581" i="13"/>
  <c r="I582" i="13"/>
  <c r="I583" i="13"/>
  <c r="I584" i="13"/>
  <c r="I585" i="13"/>
  <c r="I586" i="13"/>
  <c r="I587" i="13"/>
  <c r="I588" i="13"/>
  <c r="I589" i="13"/>
  <c r="I590" i="13"/>
  <c r="I591" i="13"/>
  <c r="I592" i="13"/>
  <c r="I593" i="13"/>
  <c r="I594" i="13"/>
  <c r="I595" i="13"/>
  <c r="I596" i="13"/>
  <c r="I597" i="13"/>
  <c r="I598" i="13"/>
  <c r="I599" i="13"/>
  <c r="I600" i="13"/>
  <c r="I601" i="13"/>
  <c r="I602" i="13"/>
  <c r="I603" i="13"/>
  <c r="I604" i="13"/>
  <c r="I605" i="13"/>
  <c r="I606" i="13"/>
  <c r="I607" i="13"/>
  <c r="I608" i="13"/>
  <c r="I609" i="13"/>
  <c r="I610" i="13"/>
  <c r="I611" i="13"/>
  <c r="I612" i="13"/>
  <c r="I613" i="13"/>
  <c r="I614" i="13"/>
  <c r="I615" i="13"/>
  <c r="I616" i="13"/>
  <c r="I617" i="13"/>
  <c r="I618" i="13"/>
  <c r="I619" i="13"/>
  <c r="I620" i="13"/>
  <c r="I621" i="13"/>
  <c r="I622" i="13"/>
  <c r="I623" i="13"/>
  <c r="I624" i="13"/>
  <c r="I625" i="13"/>
  <c r="I626" i="13"/>
  <c r="I627" i="13"/>
  <c r="I628" i="13"/>
  <c r="I629" i="13"/>
  <c r="I630" i="13"/>
  <c r="I631" i="13"/>
  <c r="I632" i="13"/>
  <c r="I633" i="13"/>
  <c r="I634" i="13"/>
  <c r="I635" i="13"/>
  <c r="I636" i="13"/>
  <c r="I637" i="13"/>
  <c r="I638" i="13"/>
  <c r="I639" i="13"/>
  <c r="I640" i="13"/>
  <c r="I641" i="13"/>
  <c r="I642" i="13"/>
  <c r="I643" i="13"/>
  <c r="I644" i="13"/>
  <c r="I645" i="13"/>
  <c r="I646" i="13"/>
  <c r="I647" i="13"/>
  <c r="I648" i="13"/>
  <c r="I649" i="13"/>
  <c r="I650" i="13"/>
  <c r="I651" i="13"/>
  <c r="I652" i="13"/>
  <c r="I653" i="13"/>
  <c r="I654" i="13"/>
  <c r="I655" i="13"/>
  <c r="I656" i="13"/>
  <c r="I657" i="13"/>
  <c r="I658" i="13"/>
  <c r="I659" i="13"/>
  <c r="I660" i="13"/>
  <c r="I661" i="13"/>
  <c r="I662" i="13"/>
  <c r="I663" i="13"/>
  <c r="I664" i="13"/>
  <c r="I665" i="13"/>
  <c r="I666" i="13"/>
  <c r="I667" i="13"/>
  <c r="I668" i="13"/>
  <c r="I669" i="13"/>
  <c r="I670" i="13"/>
  <c r="I671" i="13"/>
  <c r="I672" i="13"/>
  <c r="I673" i="13"/>
  <c r="I674" i="13"/>
  <c r="I675" i="13"/>
  <c r="I676" i="13"/>
  <c r="I677" i="13"/>
  <c r="I678" i="13"/>
  <c r="I679" i="13"/>
  <c r="I680" i="13"/>
  <c r="I681" i="13"/>
  <c r="I682" i="13"/>
  <c r="I683" i="13"/>
  <c r="I684" i="13"/>
  <c r="I685" i="13"/>
  <c r="I686" i="13"/>
  <c r="I687" i="13"/>
  <c r="I688" i="13"/>
  <c r="I689" i="13"/>
  <c r="I690" i="13"/>
  <c r="I691" i="13"/>
  <c r="I692" i="13"/>
  <c r="I693" i="13"/>
  <c r="I694" i="13"/>
  <c r="I695" i="13"/>
  <c r="I696" i="13"/>
  <c r="I697" i="13"/>
  <c r="I698" i="13"/>
  <c r="I699" i="13"/>
  <c r="I700" i="13"/>
  <c r="I701" i="13"/>
  <c r="I702" i="13"/>
  <c r="I703" i="13"/>
  <c r="I704" i="13"/>
  <c r="I705" i="13"/>
  <c r="I706" i="13"/>
  <c r="I707" i="13"/>
  <c r="I708" i="13"/>
  <c r="I709" i="13"/>
  <c r="I710" i="13"/>
  <c r="I711" i="13"/>
  <c r="I712" i="13"/>
  <c r="I713" i="13"/>
  <c r="I714" i="13"/>
  <c r="I715" i="13"/>
  <c r="I716" i="13"/>
  <c r="I717" i="13"/>
  <c r="I718" i="13"/>
  <c r="I719" i="13"/>
  <c r="I720" i="13"/>
  <c r="I721" i="13"/>
  <c r="I722" i="13"/>
  <c r="I723" i="13"/>
  <c r="I724" i="13"/>
  <c r="I725" i="13"/>
  <c r="I726" i="13"/>
  <c r="I727" i="13"/>
  <c r="I728" i="13"/>
  <c r="I729" i="13"/>
  <c r="I730" i="13"/>
  <c r="I731" i="13"/>
  <c r="I732" i="13"/>
  <c r="I733" i="13"/>
  <c r="I734" i="13"/>
  <c r="I735" i="13"/>
  <c r="I736" i="13"/>
  <c r="I737" i="13"/>
  <c r="I738" i="13"/>
  <c r="I739" i="13"/>
  <c r="I740" i="13"/>
  <c r="I741" i="13"/>
  <c r="I742" i="13"/>
  <c r="I743" i="13"/>
  <c r="I744" i="13"/>
  <c r="I745" i="13"/>
  <c r="I746" i="13"/>
  <c r="I747" i="13"/>
  <c r="I748" i="13"/>
  <c r="I749" i="13"/>
  <c r="I750" i="13"/>
  <c r="I751" i="13"/>
  <c r="I752" i="13"/>
  <c r="I753" i="13"/>
  <c r="I754" i="13"/>
  <c r="I755" i="13"/>
  <c r="I756" i="13"/>
  <c r="I757" i="13"/>
  <c r="I758" i="13"/>
  <c r="I759" i="13"/>
  <c r="I760" i="13"/>
  <c r="I761" i="13"/>
  <c r="I762" i="13"/>
  <c r="I763" i="13"/>
  <c r="I764" i="13"/>
  <c r="I765" i="13"/>
  <c r="I766" i="13"/>
  <c r="I767" i="13"/>
  <c r="I768" i="13"/>
  <c r="I769" i="13"/>
  <c r="I770" i="13"/>
  <c r="I771" i="13"/>
  <c r="I772" i="13"/>
  <c r="I773" i="13"/>
  <c r="I774" i="13"/>
  <c r="I775" i="13"/>
  <c r="I776" i="13"/>
  <c r="I777" i="13"/>
  <c r="I778" i="13"/>
  <c r="I779" i="13"/>
  <c r="I780" i="13"/>
  <c r="I781" i="13"/>
  <c r="I782" i="13"/>
  <c r="I783" i="13"/>
  <c r="I784" i="13"/>
  <c r="I785" i="13"/>
  <c r="I786" i="13"/>
  <c r="I787" i="13"/>
  <c r="I788" i="13"/>
  <c r="I789" i="13"/>
  <c r="I790" i="13"/>
  <c r="I791" i="13"/>
  <c r="I792" i="13"/>
  <c r="I793" i="13"/>
  <c r="I794" i="13"/>
  <c r="I795" i="13"/>
  <c r="I796" i="13"/>
  <c r="I797" i="13"/>
  <c r="I798" i="13"/>
  <c r="I799" i="13"/>
  <c r="I800" i="13"/>
  <c r="I801" i="13"/>
  <c r="I802" i="13"/>
  <c r="I803" i="13"/>
  <c r="I804" i="13"/>
  <c r="I805" i="13"/>
  <c r="I806" i="13"/>
  <c r="I807" i="13"/>
  <c r="I808" i="13"/>
  <c r="I809" i="13"/>
  <c r="I810" i="13"/>
  <c r="I811" i="13"/>
  <c r="I812" i="13"/>
  <c r="I813" i="13"/>
  <c r="I814" i="13"/>
  <c r="I815" i="13"/>
  <c r="I816" i="13"/>
  <c r="I817" i="13"/>
  <c r="I818" i="13"/>
  <c r="I819" i="13"/>
  <c r="I820" i="13"/>
  <c r="I821" i="13"/>
  <c r="I822" i="13"/>
  <c r="I823" i="13"/>
  <c r="I824" i="13"/>
  <c r="I825" i="13"/>
  <c r="I826" i="13"/>
  <c r="I827" i="13"/>
  <c r="I828" i="13"/>
  <c r="I829" i="13"/>
  <c r="I830" i="13"/>
  <c r="I831" i="13"/>
  <c r="I832" i="13"/>
  <c r="I833" i="13"/>
  <c r="I834" i="13"/>
  <c r="I835" i="13"/>
  <c r="I836" i="13"/>
  <c r="I837" i="13"/>
  <c r="I838" i="13"/>
  <c r="I839" i="13"/>
  <c r="I840" i="13"/>
  <c r="I841" i="13"/>
  <c r="I842" i="13"/>
  <c r="I843" i="13"/>
  <c r="I844" i="13"/>
  <c r="I845" i="13"/>
  <c r="I846" i="13"/>
  <c r="I847" i="13"/>
  <c r="I848" i="13"/>
  <c r="I849" i="13"/>
  <c r="I850" i="13"/>
  <c r="I851" i="13"/>
  <c r="I852" i="13"/>
  <c r="I853" i="13"/>
  <c r="I854" i="13"/>
  <c r="I855" i="13"/>
  <c r="I856" i="13"/>
  <c r="I857" i="13"/>
  <c r="I858" i="13"/>
  <c r="I859" i="13"/>
  <c r="I860" i="13"/>
  <c r="I861" i="13"/>
  <c r="I862" i="13"/>
  <c r="I863" i="13"/>
  <c r="I864" i="13"/>
  <c r="I865" i="13"/>
  <c r="I866" i="13"/>
  <c r="I867" i="13"/>
  <c r="I868" i="13"/>
  <c r="I869" i="13"/>
  <c r="I870" i="13"/>
  <c r="I871" i="13"/>
  <c r="I872" i="13"/>
  <c r="I873" i="13"/>
  <c r="I874" i="13"/>
  <c r="I875" i="13"/>
  <c r="I876" i="13"/>
  <c r="I877" i="13"/>
  <c r="I878" i="13"/>
  <c r="I879" i="13"/>
  <c r="I880" i="13"/>
  <c r="I881" i="13"/>
  <c r="I882" i="13"/>
  <c r="I883" i="13"/>
  <c r="I884" i="13"/>
  <c r="I885" i="13"/>
  <c r="I886" i="13"/>
  <c r="I887" i="13"/>
  <c r="I888" i="13"/>
  <c r="I889" i="13"/>
  <c r="I890" i="13"/>
  <c r="I891" i="13"/>
  <c r="I892" i="13"/>
  <c r="I893" i="13"/>
  <c r="I894" i="13"/>
  <c r="I895" i="13"/>
  <c r="I896" i="13"/>
  <c r="I897" i="13"/>
  <c r="I898" i="13"/>
  <c r="I899" i="13"/>
  <c r="I900" i="13"/>
  <c r="I901" i="13"/>
  <c r="I902" i="13"/>
  <c r="I903" i="13"/>
  <c r="I904" i="13"/>
  <c r="I905" i="13"/>
  <c r="I906" i="13"/>
  <c r="I907" i="13"/>
  <c r="I908" i="13"/>
  <c r="I909" i="13"/>
  <c r="I910" i="13"/>
  <c r="I911" i="13"/>
  <c r="I912" i="13"/>
  <c r="I913" i="13"/>
  <c r="I914" i="13"/>
  <c r="I915" i="13"/>
  <c r="I916" i="13"/>
  <c r="I917" i="13"/>
  <c r="I918" i="13"/>
  <c r="I919" i="13"/>
  <c r="I920" i="13"/>
  <c r="I921" i="13"/>
  <c r="I922" i="13"/>
  <c r="I923" i="13"/>
  <c r="I924" i="13"/>
  <c r="I925" i="13"/>
  <c r="I926" i="13"/>
  <c r="I927" i="13"/>
  <c r="I928" i="13"/>
  <c r="I929" i="13"/>
  <c r="I930" i="13"/>
  <c r="I931" i="13"/>
  <c r="I932" i="13"/>
  <c r="I933" i="13"/>
  <c r="I934" i="13"/>
  <c r="I935" i="13"/>
  <c r="I936" i="13"/>
  <c r="I937" i="13"/>
  <c r="I938" i="13"/>
  <c r="I939" i="13"/>
  <c r="I940" i="13"/>
  <c r="I941" i="13"/>
  <c r="I942" i="13"/>
  <c r="I943" i="13"/>
  <c r="I944" i="13"/>
  <c r="I945" i="13"/>
  <c r="I946" i="13"/>
  <c r="I947" i="13"/>
  <c r="I948" i="13"/>
  <c r="I949" i="13"/>
  <c r="I950" i="13"/>
  <c r="I951" i="13"/>
  <c r="I952" i="13"/>
  <c r="I953" i="13"/>
  <c r="I954" i="13"/>
  <c r="I955" i="13"/>
  <c r="I956" i="13"/>
  <c r="I957" i="13"/>
  <c r="I958" i="13"/>
  <c r="I959" i="13"/>
  <c r="I960" i="13"/>
  <c r="I961" i="13"/>
  <c r="I962" i="13"/>
  <c r="I963" i="13"/>
  <c r="I964" i="13"/>
  <c r="I965" i="13"/>
  <c r="I966" i="13"/>
  <c r="I967" i="13"/>
  <c r="I968" i="13"/>
  <c r="I969" i="13"/>
  <c r="I970" i="13"/>
  <c r="I971" i="13"/>
  <c r="I972" i="13"/>
  <c r="I973" i="13"/>
  <c r="I974" i="13"/>
  <c r="I975" i="13"/>
  <c r="I976" i="13"/>
  <c r="I977" i="13"/>
  <c r="I978" i="13"/>
  <c r="I979" i="13"/>
  <c r="I980" i="13"/>
  <c r="I981" i="13"/>
  <c r="I982" i="13"/>
  <c r="I983" i="13"/>
  <c r="I984" i="13"/>
  <c r="I985" i="13"/>
  <c r="I986" i="13"/>
  <c r="I987" i="13"/>
  <c r="I988" i="13"/>
  <c r="I989" i="13"/>
  <c r="I990" i="13"/>
  <c r="I991" i="13"/>
  <c r="I992" i="13"/>
  <c r="I993" i="13"/>
  <c r="I994" i="13"/>
  <c r="I995" i="13"/>
  <c r="I996" i="13"/>
  <c r="I997" i="13"/>
  <c r="I998" i="13"/>
  <c r="I999" i="13"/>
  <c r="I1000" i="13"/>
  <c r="I1001" i="13"/>
  <c r="I1002" i="13"/>
  <c r="I1003" i="13"/>
  <c r="I1004" i="13"/>
  <c r="I1005" i="13"/>
  <c r="I1006" i="13"/>
  <c r="I1007" i="13"/>
  <c r="I1008" i="13"/>
  <c r="I1009" i="13"/>
  <c r="I1010" i="13"/>
  <c r="I1011" i="13"/>
  <c r="I1012" i="13"/>
  <c r="I1013" i="13"/>
  <c r="I1014" i="13"/>
  <c r="I1015" i="13"/>
  <c r="I1016" i="13"/>
  <c r="I1017" i="13"/>
  <c r="I1018" i="13"/>
  <c r="I1019" i="13"/>
  <c r="I1020" i="13"/>
  <c r="I1021" i="13"/>
  <c r="I1022" i="13"/>
  <c r="I1023" i="13"/>
  <c r="I1024" i="13"/>
  <c r="I1025" i="13"/>
  <c r="I1026" i="13"/>
  <c r="I1027" i="13"/>
  <c r="I1028" i="13"/>
  <c r="I1029" i="13"/>
  <c r="I1030" i="13"/>
  <c r="I1031" i="13"/>
  <c r="I1032" i="13"/>
  <c r="I1033" i="13"/>
  <c r="I1034" i="13"/>
  <c r="I1035" i="13"/>
  <c r="I1036" i="13"/>
  <c r="I1037" i="13"/>
  <c r="I1038" i="13"/>
  <c r="I1039" i="13"/>
  <c r="I1040" i="13"/>
  <c r="I1041" i="13"/>
  <c r="I1042" i="13"/>
  <c r="I1043" i="13"/>
  <c r="I1044" i="13"/>
  <c r="I1045" i="13"/>
  <c r="I1046" i="13"/>
  <c r="I1047" i="13"/>
  <c r="I1048" i="13"/>
  <c r="I1049" i="13"/>
  <c r="I1050" i="13"/>
  <c r="I1051" i="13"/>
  <c r="I1052" i="13"/>
  <c r="I1053" i="13"/>
  <c r="I1054" i="13"/>
  <c r="I1055" i="13"/>
  <c r="I1056" i="13"/>
  <c r="I1057" i="13"/>
  <c r="I1058" i="13"/>
  <c r="I1059" i="13"/>
  <c r="I1060" i="13"/>
  <c r="I1061" i="13"/>
  <c r="I1062" i="13"/>
  <c r="I1063" i="13"/>
  <c r="I1064" i="13"/>
  <c r="I1065" i="13"/>
  <c r="I1066" i="13"/>
  <c r="I1067" i="13"/>
  <c r="I1068" i="13"/>
  <c r="I1069" i="13"/>
  <c r="I1070" i="13"/>
  <c r="I1071" i="13"/>
  <c r="I1072" i="13"/>
  <c r="I1073" i="13"/>
  <c r="I1074" i="13"/>
  <c r="I1075" i="13"/>
  <c r="I1076" i="13"/>
  <c r="I1077" i="13"/>
  <c r="I1078" i="13"/>
  <c r="I1079" i="13"/>
  <c r="I1080" i="13"/>
  <c r="I1081" i="13"/>
  <c r="I1082" i="13"/>
  <c r="I1083" i="13"/>
  <c r="I1084" i="13"/>
  <c r="I1085" i="13"/>
  <c r="I1086" i="13"/>
  <c r="I1087" i="13"/>
  <c r="I1088" i="13"/>
  <c r="I1089" i="13"/>
  <c r="I1090" i="13"/>
  <c r="I1091" i="13"/>
  <c r="I1092" i="13"/>
  <c r="I1093" i="13"/>
  <c r="I1094" i="13"/>
  <c r="I1095" i="13"/>
  <c r="I1096" i="13"/>
  <c r="I1097" i="13"/>
  <c r="I1098" i="13"/>
  <c r="I1099" i="13"/>
  <c r="I1100" i="13"/>
  <c r="I1101" i="13"/>
  <c r="I1102" i="13"/>
  <c r="I1103" i="13"/>
  <c r="I1104" i="13"/>
  <c r="I1105" i="13"/>
  <c r="I1106" i="13"/>
  <c r="I1107" i="13"/>
  <c r="I1108" i="13"/>
  <c r="I1109" i="13"/>
  <c r="I1110" i="13"/>
  <c r="I1111" i="13"/>
  <c r="I1112" i="13"/>
  <c r="I1113" i="13"/>
  <c r="I1114" i="13"/>
  <c r="I1115" i="13"/>
  <c r="I1116" i="13"/>
  <c r="I1117" i="13"/>
  <c r="I1118" i="13"/>
  <c r="I1119" i="13"/>
  <c r="I1120" i="13"/>
  <c r="I1121" i="13"/>
  <c r="I1122" i="13"/>
  <c r="I1123" i="13"/>
  <c r="I1124" i="13"/>
  <c r="I1125" i="13"/>
  <c r="I1126" i="13"/>
  <c r="I1127" i="13"/>
  <c r="I1128" i="13"/>
  <c r="I1129" i="13"/>
  <c r="I1130" i="13"/>
  <c r="I1131" i="13"/>
  <c r="I1132" i="13"/>
  <c r="I1133" i="13"/>
  <c r="I1134" i="13"/>
  <c r="I1135" i="13"/>
  <c r="I1136" i="13"/>
  <c r="I1137" i="13"/>
  <c r="I1138" i="13"/>
  <c r="I1139" i="13"/>
  <c r="I1140" i="13"/>
  <c r="I1141" i="13"/>
  <c r="I1142" i="13"/>
  <c r="I1143" i="13"/>
  <c r="I1144" i="13"/>
  <c r="I1145" i="13"/>
  <c r="I1146" i="13"/>
  <c r="I1147" i="13"/>
  <c r="I1148" i="13"/>
  <c r="I1149" i="13"/>
  <c r="I1150" i="13"/>
  <c r="I1151" i="13"/>
  <c r="I1152" i="13"/>
  <c r="I1153" i="13"/>
  <c r="I1154" i="13"/>
  <c r="I1155" i="13"/>
  <c r="I1156" i="13"/>
  <c r="I1157" i="13"/>
  <c r="I1158" i="13"/>
  <c r="I1159" i="13"/>
  <c r="I1160" i="13"/>
  <c r="I1161" i="13"/>
  <c r="I1162" i="13"/>
  <c r="I1163" i="13"/>
  <c r="I1164" i="13"/>
  <c r="I1165" i="13"/>
  <c r="I1166" i="13"/>
  <c r="I1167" i="13"/>
  <c r="I1168" i="13"/>
  <c r="I1169" i="13"/>
  <c r="I1170" i="13"/>
  <c r="I1171" i="13"/>
  <c r="I1172" i="13"/>
  <c r="I1173" i="13"/>
  <c r="I1174" i="13"/>
  <c r="I1175" i="13"/>
  <c r="I1176" i="13"/>
  <c r="I1177" i="13"/>
  <c r="I1178" i="13"/>
  <c r="I1179" i="13"/>
  <c r="I1180" i="13"/>
  <c r="I1181" i="13"/>
  <c r="I1182" i="13"/>
  <c r="I1183" i="13"/>
  <c r="I1184" i="13"/>
  <c r="I1185" i="13"/>
  <c r="I1186" i="13"/>
  <c r="I1187" i="13"/>
  <c r="I1188" i="13"/>
  <c r="I1189" i="13"/>
  <c r="I1190" i="13"/>
  <c r="I1191" i="13"/>
  <c r="I1192" i="13"/>
  <c r="I1193" i="13"/>
  <c r="I1194" i="13"/>
  <c r="I1195" i="13"/>
  <c r="I1196" i="13"/>
  <c r="I1197" i="13"/>
  <c r="I1198" i="13"/>
  <c r="I1199" i="13"/>
  <c r="I1200" i="13"/>
  <c r="I1201" i="13"/>
  <c r="I1202" i="13"/>
  <c r="I1203" i="13"/>
  <c r="I1204" i="13"/>
  <c r="I1205" i="13"/>
  <c r="I1206" i="13"/>
  <c r="I1207" i="13"/>
  <c r="I1208" i="13"/>
  <c r="I1209" i="13"/>
  <c r="I1210" i="13"/>
  <c r="I1211" i="13"/>
  <c r="I1212" i="13"/>
  <c r="I1213" i="13"/>
  <c r="I1214" i="13"/>
  <c r="I1215" i="13"/>
  <c r="I1216" i="13"/>
  <c r="I1217" i="13"/>
  <c r="I1218" i="13"/>
  <c r="I1219" i="13"/>
  <c r="I1220" i="13"/>
  <c r="I1221" i="13"/>
  <c r="I1222" i="13"/>
  <c r="I1223" i="13"/>
  <c r="I1224" i="13"/>
  <c r="I1225" i="13"/>
  <c r="I1226" i="13"/>
  <c r="I1227" i="13"/>
  <c r="I1228" i="13"/>
  <c r="I1229" i="13"/>
  <c r="I1230" i="13"/>
  <c r="I1231" i="13"/>
  <c r="I1232" i="13"/>
  <c r="I1233" i="13"/>
  <c r="I1234" i="13"/>
  <c r="I1235" i="13"/>
  <c r="I1236" i="13"/>
  <c r="I1237" i="13"/>
  <c r="I1238" i="13"/>
  <c r="I1239" i="13"/>
  <c r="I1240" i="13"/>
  <c r="I1241" i="13"/>
  <c r="I1242" i="13"/>
  <c r="I1243" i="13"/>
  <c r="I1244" i="13"/>
  <c r="I1245" i="13"/>
  <c r="I1246" i="13"/>
  <c r="I1247" i="13"/>
  <c r="I1248" i="13"/>
  <c r="I1249" i="13"/>
  <c r="I1250" i="13"/>
  <c r="I1251" i="13"/>
  <c r="I1252" i="13"/>
  <c r="I1253" i="13"/>
  <c r="I1254" i="13"/>
  <c r="I1255" i="13"/>
  <c r="I1256" i="13"/>
  <c r="I1257" i="13"/>
  <c r="I1258" i="13"/>
  <c r="I1259" i="13"/>
  <c r="I1260" i="13"/>
  <c r="I1261" i="13"/>
  <c r="I1262" i="13"/>
  <c r="I1263" i="13"/>
  <c r="I1264" i="13"/>
  <c r="I1265" i="13"/>
  <c r="I1266" i="13"/>
  <c r="I1267" i="13"/>
  <c r="B17" i="6" l="1"/>
  <c r="X9" i="2"/>
  <c r="W9" i="2"/>
  <c r="V9" i="2"/>
  <c r="U9" i="2"/>
  <c r="T9" i="2"/>
  <c r="S9" i="2"/>
  <c r="R9" i="2"/>
  <c r="Q9" i="2"/>
  <c r="P9" i="2"/>
  <c r="O9" i="2"/>
  <c r="X29" i="2"/>
  <c r="W29" i="2"/>
  <c r="V29" i="2"/>
  <c r="U29" i="2"/>
  <c r="T29" i="2"/>
  <c r="S29" i="2"/>
  <c r="R29" i="2"/>
  <c r="Q29" i="2"/>
  <c r="P29" i="2"/>
  <c r="O29" i="2"/>
  <c r="X32" i="2"/>
  <c r="W32" i="2"/>
  <c r="V32" i="2"/>
  <c r="U32" i="2"/>
  <c r="T32" i="2"/>
  <c r="S32" i="2"/>
  <c r="B23" i="1" s="1"/>
  <c r="R32" i="2"/>
  <c r="Q32" i="2"/>
  <c r="P32" i="2"/>
  <c r="O32" i="2"/>
  <c r="X31" i="2"/>
  <c r="W31" i="2"/>
  <c r="V31" i="2"/>
  <c r="U31" i="2"/>
  <c r="T31" i="2"/>
  <c r="S31" i="2"/>
  <c r="R31" i="2"/>
  <c r="Q31" i="2"/>
  <c r="P31" i="2"/>
  <c r="O31" i="2"/>
  <c r="X30" i="2"/>
  <c r="W30" i="2"/>
  <c r="V30" i="2"/>
  <c r="U30" i="2"/>
  <c r="T30" i="2"/>
  <c r="S30" i="2"/>
  <c r="R30" i="2"/>
  <c r="Q30" i="2"/>
  <c r="P30" i="2"/>
  <c r="O30" i="2"/>
  <c r="X27" i="2"/>
  <c r="W27" i="2"/>
  <c r="V27" i="2"/>
  <c r="U27" i="2"/>
  <c r="T27" i="2"/>
  <c r="S27" i="2"/>
  <c r="R27" i="2"/>
  <c r="Q27" i="2"/>
  <c r="P27" i="2"/>
  <c r="O27" i="2"/>
  <c r="X26" i="2"/>
  <c r="W26" i="2"/>
  <c r="V26" i="2"/>
  <c r="U26" i="2"/>
  <c r="T26" i="2"/>
  <c r="S26" i="2"/>
  <c r="R26" i="2"/>
  <c r="Q26" i="2"/>
  <c r="P26" i="2"/>
  <c r="O26" i="2"/>
  <c r="X25" i="2"/>
  <c r="W25" i="2"/>
  <c r="V25" i="2"/>
  <c r="U25" i="2"/>
  <c r="T25" i="2"/>
  <c r="S25" i="2"/>
  <c r="R25" i="2"/>
  <c r="Q25" i="2"/>
  <c r="P25" i="2"/>
  <c r="O25" i="2"/>
  <c r="X24" i="2"/>
  <c r="K40" i="11" s="1"/>
  <c r="W24" i="2"/>
  <c r="V24" i="2"/>
  <c r="U24" i="2"/>
  <c r="T24" i="2"/>
  <c r="G40" i="11" s="1"/>
  <c r="S24" i="2"/>
  <c r="F40" i="11" s="1"/>
  <c r="R24" i="2"/>
  <c r="Q24" i="2"/>
  <c r="P24" i="2"/>
  <c r="C40" i="11" s="1"/>
  <c r="O24" i="2"/>
  <c r="X22" i="2"/>
  <c r="W22" i="2"/>
  <c r="V22" i="2"/>
  <c r="U22" i="2"/>
  <c r="T22" i="2"/>
  <c r="S22" i="2"/>
  <c r="R22" i="2"/>
  <c r="Q22" i="2"/>
  <c r="P22" i="2"/>
  <c r="O22" i="2"/>
  <c r="X21" i="2"/>
  <c r="W21" i="2"/>
  <c r="V21" i="2"/>
  <c r="U21" i="2"/>
  <c r="T21" i="2"/>
  <c r="S21" i="2"/>
  <c r="R21" i="2"/>
  <c r="Q21" i="2"/>
  <c r="P21" i="2"/>
  <c r="O21" i="2"/>
  <c r="X20" i="2"/>
  <c r="W20" i="2"/>
  <c r="V20" i="2"/>
  <c r="U20" i="2"/>
  <c r="T20" i="2"/>
  <c r="S20" i="2"/>
  <c r="R20" i="2"/>
  <c r="Q20" i="2"/>
  <c r="P20" i="2"/>
  <c r="O20" i="2"/>
  <c r="X16" i="2"/>
  <c r="W16" i="2"/>
  <c r="V16" i="2"/>
  <c r="U16" i="2"/>
  <c r="T16" i="2"/>
  <c r="S16" i="2"/>
  <c r="R16" i="2"/>
  <c r="Q16" i="2"/>
  <c r="P16" i="2"/>
  <c r="O16" i="2"/>
  <c r="X15" i="2"/>
  <c r="W15" i="2"/>
  <c r="V15" i="2"/>
  <c r="U15" i="2"/>
  <c r="T15" i="2"/>
  <c r="S15" i="2"/>
  <c r="R15" i="2"/>
  <c r="Q15" i="2"/>
  <c r="P15" i="2"/>
  <c r="O15" i="2"/>
  <c r="X14" i="2"/>
  <c r="W14" i="2"/>
  <c r="V14" i="2"/>
  <c r="U14" i="2"/>
  <c r="T14" i="2"/>
  <c r="S14" i="2"/>
  <c r="R14" i="2"/>
  <c r="Q14" i="2"/>
  <c r="P14" i="2"/>
  <c r="O14" i="2"/>
  <c r="X13" i="2"/>
  <c r="W13" i="2"/>
  <c r="V13" i="2"/>
  <c r="U13" i="2"/>
  <c r="T13" i="2"/>
  <c r="S13" i="2"/>
  <c r="R13" i="2"/>
  <c r="Q13" i="2"/>
  <c r="P13" i="2"/>
  <c r="O13" i="2"/>
  <c r="X11" i="2"/>
  <c r="K17" i="11" s="1"/>
  <c r="W11" i="2"/>
  <c r="J17" i="11" s="1"/>
  <c r="V11" i="2"/>
  <c r="I17" i="11" s="1"/>
  <c r="U11" i="2"/>
  <c r="H17" i="11" s="1"/>
  <c r="T11" i="2"/>
  <c r="G17" i="11" s="1"/>
  <c r="S11" i="2"/>
  <c r="F17" i="11" s="1"/>
  <c r="R11" i="2"/>
  <c r="E17" i="11" s="1"/>
  <c r="Q11" i="2"/>
  <c r="D17" i="11" s="1"/>
  <c r="P11" i="2"/>
  <c r="C17" i="11" s="1"/>
  <c r="O11" i="2"/>
  <c r="B17" i="11" s="1"/>
  <c r="X10" i="2"/>
  <c r="W10" i="2"/>
  <c r="V10" i="2"/>
  <c r="U10" i="2"/>
  <c r="T10" i="2"/>
  <c r="S10" i="2"/>
  <c r="R10" i="2"/>
  <c r="Q10" i="2"/>
  <c r="P10" i="2"/>
  <c r="O10" i="2"/>
  <c r="X7" i="2"/>
  <c r="W7" i="2"/>
  <c r="V7" i="2"/>
  <c r="U7" i="2"/>
  <c r="T7" i="2"/>
  <c r="S7" i="2"/>
  <c r="F18" i="11" s="1"/>
  <c r="R7" i="2"/>
  <c r="Q7" i="2"/>
  <c r="P7" i="2"/>
  <c r="O7" i="2"/>
  <c r="X6" i="2"/>
  <c r="W6" i="2"/>
  <c r="V6" i="2"/>
  <c r="U6" i="2"/>
  <c r="T6" i="2"/>
  <c r="S6" i="2"/>
  <c r="R6" i="2"/>
  <c r="Q6" i="2"/>
  <c r="P6" i="2"/>
  <c r="O6" i="2"/>
  <c r="B25" i="6"/>
  <c r="M17" i="11" l="1"/>
  <c r="L17" i="11"/>
  <c r="E25" i="11"/>
  <c r="E40" i="11"/>
  <c r="F41" i="11" s="1"/>
  <c r="I25" i="11"/>
  <c r="I40" i="11"/>
  <c r="B25" i="11"/>
  <c r="B40" i="11"/>
  <c r="J25" i="11"/>
  <c r="J40" i="11"/>
  <c r="K41" i="11" s="1"/>
  <c r="G41" i="11"/>
  <c r="D25" i="11"/>
  <c r="D40" i="11"/>
  <c r="D41" i="11" s="1"/>
  <c r="H25" i="11"/>
  <c r="H40" i="11"/>
  <c r="H41" i="11" s="1"/>
  <c r="O8" i="2"/>
  <c r="B18" i="11"/>
  <c r="B22" i="1"/>
  <c r="F25" i="11"/>
  <c r="R8" i="2"/>
  <c r="E18" i="11"/>
  <c r="W8" i="2"/>
  <c r="J18" i="11"/>
  <c r="P8" i="2"/>
  <c r="C18" i="11"/>
  <c r="T8" i="2"/>
  <c r="G18" i="11"/>
  <c r="X8" i="2"/>
  <c r="K18" i="11"/>
  <c r="N17" i="11"/>
  <c r="C25" i="11"/>
  <c r="G25" i="11"/>
  <c r="K25" i="11"/>
  <c r="V8" i="2"/>
  <c r="I18" i="11"/>
  <c r="Q8" i="2"/>
  <c r="D18" i="11"/>
  <c r="U8" i="2"/>
  <c r="H18" i="11"/>
  <c r="B21" i="1"/>
  <c r="D9" i="1"/>
  <c r="B24" i="1"/>
  <c r="B18" i="14"/>
  <c r="B18" i="15"/>
  <c r="S8" i="2"/>
  <c r="K19" i="11"/>
  <c r="L40" i="11" l="1"/>
  <c r="C41" i="11"/>
  <c r="N40" i="11"/>
  <c r="I41" i="11"/>
  <c r="N18" i="11"/>
  <c r="E41" i="11"/>
  <c r="J41" i="11"/>
  <c r="M18" i="11"/>
  <c r="L18" i="11"/>
  <c r="M12" i="14"/>
  <c r="C12" i="14"/>
  <c r="D12" i="14" s="1"/>
  <c r="E12" i="14" s="1"/>
  <c r="F12" i="14" s="1"/>
  <c r="G12" i="14" s="1"/>
  <c r="H12" i="14" s="1"/>
  <c r="I12" i="14" s="1"/>
  <c r="J12" i="14" s="1"/>
  <c r="K12" i="14" s="1"/>
  <c r="L12" i="14" s="1"/>
  <c r="M31" i="14" s="1"/>
  <c r="L29" i="14"/>
  <c r="B29" i="14"/>
  <c r="M4" i="14"/>
  <c r="M2" i="14"/>
  <c r="C2" i="14"/>
  <c r="B25" i="15"/>
  <c r="M6" i="15"/>
  <c r="B25" i="14"/>
  <c r="C13" i="14"/>
  <c r="M6" i="14"/>
  <c r="L4" i="14"/>
  <c r="J13" i="8"/>
  <c r="M41" i="11" l="1"/>
  <c r="N41" i="11"/>
  <c r="M30" i="1" s="1"/>
  <c r="G2" i="14"/>
  <c r="F2" i="14"/>
  <c r="D2" i="14"/>
  <c r="E2" i="14" s="1"/>
  <c r="L41" i="11"/>
  <c r="K30" i="1" s="1"/>
  <c r="L30" i="1"/>
  <c r="C29" i="14"/>
  <c r="D29" i="14" s="1"/>
  <c r="E29" i="14" s="1"/>
  <c r="F29" i="14" s="1"/>
  <c r="G29" i="14" s="1"/>
  <c r="H29" i="14" s="1"/>
  <c r="I29" i="14" s="1"/>
  <c r="J29" i="14" s="1"/>
  <c r="K29" i="14" s="1"/>
  <c r="D13" i="14"/>
  <c r="B12" i="11"/>
  <c r="B11" i="11"/>
  <c r="B10" i="11"/>
  <c r="B9" i="11"/>
  <c r="B8" i="11"/>
  <c r="A12" i="11"/>
  <c r="A11" i="11"/>
  <c r="A10" i="11"/>
  <c r="A9" i="11"/>
  <c r="A8" i="11"/>
  <c r="G21" i="1"/>
  <c r="J3" i="8"/>
  <c r="J2" i="8"/>
  <c r="J2" i="14" l="1"/>
  <c r="L2" i="14"/>
  <c r="I2" i="14"/>
  <c r="K2" i="14"/>
  <c r="H2" i="14"/>
  <c r="K10" i="11"/>
  <c r="D8" i="11"/>
  <c r="I12" i="11"/>
  <c r="M12" i="6"/>
  <c r="J11" i="11"/>
  <c r="D12" i="11"/>
  <c r="E13" i="14"/>
  <c r="H9" i="11"/>
  <c r="K8" i="11"/>
  <c r="D10" i="11"/>
  <c r="H8" i="11"/>
  <c r="C8" i="11"/>
  <c r="E8" i="11"/>
  <c r="I8" i="11"/>
  <c r="J10" i="11"/>
  <c r="C11" i="11"/>
  <c r="F8" i="11"/>
  <c r="J8" i="11"/>
  <c r="F12" i="11"/>
  <c r="G8" i="11"/>
  <c r="G11" i="11"/>
  <c r="E9" i="11"/>
  <c r="H10" i="11"/>
  <c r="I9" i="11"/>
  <c r="J12" i="11"/>
  <c r="K11" i="11"/>
  <c r="C12" i="11"/>
  <c r="D11" i="11"/>
  <c r="E10" i="11"/>
  <c r="F9" i="11"/>
  <c r="G12" i="11"/>
  <c r="H11" i="11"/>
  <c r="I10" i="11"/>
  <c r="J9" i="11"/>
  <c r="K12" i="11"/>
  <c r="C9" i="11"/>
  <c r="F10" i="11"/>
  <c r="H12" i="11"/>
  <c r="I11" i="11"/>
  <c r="E11" i="11"/>
  <c r="G9" i="11"/>
  <c r="K9" i="11"/>
  <c r="C10" i="11"/>
  <c r="D9" i="11"/>
  <c r="E12" i="11"/>
  <c r="F11" i="11"/>
  <c r="G10" i="11"/>
  <c r="H13" i="11" l="1"/>
  <c r="D40" i="1" s="1"/>
  <c r="F13" i="14"/>
  <c r="J13" i="11"/>
  <c r="D42" i="1" s="1"/>
  <c r="F13" i="11"/>
  <c r="D38" i="1" s="1"/>
  <c r="E13" i="11"/>
  <c r="D37" i="1" s="1"/>
  <c r="G20" i="1" s="1"/>
  <c r="I13" i="11"/>
  <c r="D41" i="1" s="1"/>
  <c r="G13" i="11"/>
  <c r="D39" i="1" s="1"/>
  <c r="K13" i="11"/>
  <c r="D43" i="1" s="1"/>
  <c r="D63" i="1" s="1"/>
  <c r="D13" i="11"/>
  <c r="D36" i="1" s="1"/>
  <c r="G19" i="1" s="1"/>
  <c r="C13" i="11"/>
  <c r="D35" i="1" s="1"/>
  <c r="L29" i="6" l="1"/>
  <c r="G13" i="14"/>
  <c r="H13" i="14" l="1"/>
  <c r="I13" i="14" l="1"/>
  <c r="J13" i="14" l="1"/>
  <c r="K13" i="14" l="1"/>
  <c r="L13" i="14" l="1"/>
  <c r="M8" i="14" l="1"/>
  <c r="B17" i="1" l="1"/>
  <c r="B23" i="6" l="1"/>
  <c r="B23" i="14"/>
  <c r="B23" i="15"/>
  <c r="M1267" i="13"/>
  <c r="N1267" i="13" s="1"/>
  <c r="O1267" i="13" s="1"/>
  <c r="M1266" i="13"/>
  <c r="M1265" i="13"/>
  <c r="M1264" i="13"/>
  <c r="M1263" i="13"/>
  <c r="M1262" i="13"/>
  <c r="M1261" i="13"/>
  <c r="M1260" i="13"/>
  <c r="M1259" i="13"/>
  <c r="M1258" i="13"/>
  <c r="M1257" i="13"/>
  <c r="M1256" i="13"/>
  <c r="M1255" i="13"/>
  <c r="M1254" i="13"/>
  <c r="M1253" i="13"/>
  <c r="M1252" i="13"/>
  <c r="M1251" i="13"/>
  <c r="M1250" i="13"/>
  <c r="M1249" i="13"/>
  <c r="M1248" i="13"/>
  <c r="M1247" i="13"/>
  <c r="M1246" i="13"/>
  <c r="M1245" i="13"/>
  <c r="M1244" i="13"/>
  <c r="M1243" i="13"/>
  <c r="M1242" i="13"/>
  <c r="M1241" i="13"/>
  <c r="M1240" i="13"/>
  <c r="M1239" i="13"/>
  <c r="M1238" i="13"/>
  <c r="M1237" i="13"/>
  <c r="M1236" i="13"/>
  <c r="M1235" i="13"/>
  <c r="M1234" i="13"/>
  <c r="M1233" i="13"/>
  <c r="M1232" i="13"/>
  <c r="M1231" i="13"/>
  <c r="M1230" i="13"/>
  <c r="M1229" i="13"/>
  <c r="M1228" i="13"/>
  <c r="M1227" i="13"/>
  <c r="M1226" i="13"/>
  <c r="M1225" i="13"/>
  <c r="M1224" i="13"/>
  <c r="M1223" i="13"/>
  <c r="M1222" i="13"/>
  <c r="M1221" i="13"/>
  <c r="M1220" i="13"/>
  <c r="M1219" i="13"/>
  <c r="M1218" i="13"/>
  <c r="M1217" i="13"/>
  <c r="M1216" i="13"/>
  <c r="M1215" i="13"/>
  <c r="M1214" i="13"/>
  <c r="M1213" i="13"/>
  <c r="M1212" i="13"/>
  <c r="M1211" i="13"/>
  <c r="M1210" i="13"/>
  <c r="M1209" i="13"/>
  <c r="M1208" i="13"/>
  <c r="M1207" i="13"/>
  <c r="M1206" i="13"/>
  <c r="M1205" i="13"/>
  <c r="M1204" i="13"/>
  <c r="M1203" i="13"/>
  <c r="M1202" i="13"/>
  <c r="M1201" i="13"/>
  <c r="M1200" i="13"/>
  <c r="M1199" i="13"/>
  <c r="M1198" i="13"/>
  <c r="M1197" i="13"/>
  <c r="M1196" i="13"/>
  <c r="M1195" i="13"/>
  <c r="M1194" i="13"/>
  <c r="M1193" i="13"/>
  <c r="M1192" i="13"/>
  <c r="M1191" i="13"/>
  <c r="M1190" i="13"/>
  <c r="M1189" i="13"/>
  <c r="M1188" i="13"/>
  <c r="M1187" i="13"/>
  <c r="M1186" i="13"/>
  <c r="M1185" i="13"/>
  <c r="M1184" i="13"/>
  <c r="M1183" i="13"/>
  <c r="M1182" i="13"/>
  <c r="M1181" i="13"/>
  <c r="M1180" i="13"/>
  <c r="M1179" i="13"/>
  <c r="M1178" i="13"/>
  <c r="M1177" i="13"/>
  <c r="M1176" i="13"/>
  <c r="M1175" i="13"/>
  <c r="M1174" i="13"/>
  <c r="M1173" i="13"/>
  <c r="M1172" i="13"/>
  <c r="M1171" i="13"/>
  <c r="M1170" i="13"/>
  <c r="M1169" i="13"/>
  <c r="M1168" i="13"/>
  <c r="M1167" i="13"/>
  <c r="M1166" i="13"/>
  <c r="M1165" i="13"/>
  <c r="M1164" i="13"/>
  <c r="M1163" i="13"/>
  <c r="M1162" i="13"/>
  <c r="M1161" i="13"/>
  <c r="M1160" i="13"/>
  <c r="M1159" i="13"/>
  <c r="M1158" i="13"/>
  <c r="M1157" i="13"/>
  <c r="M1156" i="13"/>
  <c r="M1155" i="13"/>
  <c r="M1154" i="13"/>
  <c r="M1153" i="13"/>
  <c r="M1152" i="13"/>
  <c r="M1151" i="13"/>
  <c r="M1150" i="13"/>
  <c r="M1149" i="13"/>
  <c r="M1148" i="13"/>
  <c r="M1147" i="13"/>
  <c r="M1146" i="13"/>
  <c r="M1145" i="13"/>
  <c r="M1144" i="13"/>
  <c r="M1143" i="13"/>
  <c r="M1142" i="13"/>
  <c r="M1141" i="13"/>
  <c r="M1140" i="13"/>
  <c r="M1139" i="13"/>
  <c r="M1138" i="13"/>
  <c r="M1137" i="13"/>
  <c r="M1136" i="13"/>
  <c r="M1135" i="13"/>
  <c r="M1134" i="13"/>
  <c r="M1133" i="13"/>
  <c r="M1132" i="13"/>
  <c r="M1131" i="13"/>
  <c r="M1130" i="13"/>
  <c r="M1129" i="13"/>
  <c r="M1128" i="13"/>
  <c r="M1127" i="13"/>
  <c r="M1126" i="13"/>
  <c r="M1125" i="13"/>
  <c r="M1124" i="13"/>
  <c r="M1123" i="13"/>
  <c r="M1122" i="13"/>
  <c r="M1121" i="13"/>
  <c r="M1120" i="13"/>
  <c r="M1119" i="13"/>
  <c r="M1118" i="13"/>
  <c r="M1117" i="13"/>
  <c r="M1116" i="13"/>
  <c r="M1115" i="13"/>
  <c r="M1114" i="13"/>
  <c r="M1113" i="13"/>
  <c r="M1112" i="13"/>
  <c r="M1111" i="13"/>
  <c r="M1110" i="13"/>
  <c r="M1109" i="13"/>
  <c r="M1108" i="13"/>
  <c r="M1107" i="13"/>
  <c r="M1106" i="13"/>
  <c r="M1105" i="13"/>
  <c r="M1104" i="13"/>
  <c r="M1103" i="13"/>
  <c r="M1102" i="13"/>
  <c r="M1101" i="13"/>
  <c r="M1100" i="13"/>
  <c r="M1099" i="13"/>
  <c r="M1098" i="13"/>
  <c r="M1097" i="13"/>
  <c r="M1096" i="13"/>
  <c r="M1095" i="13"/>
  <c r="M1094" i="13"/>
  <c r="M1093" i="13"/>
  <c r="M1092" i="13"/>
  <c r="M1091" i="13"/>
  <c r="M1090" i="13"/>
  <c r="M1089" i="13"/>
  <c r="M1088" i="13"/>
  <c r="M1087" i="13"/>
  <c r="M1086" i="13"/>
  <c r="M1085" i="13"/>
  <c r="M1084" i="13"/>
  <c r="M1083" i="13"/>
  <c r="M1082" i="13"/>
  <c r="M1081" i="13"/>
  <c r="M1080" i="13"/>
  <c r="M1079" i="13"/>
  <c r="M1078" i="13"/>
  <c r="M1077" i="13"/>
  <c r="M1076" i="13"/>
  <c r="M1075" i="13"/>
  <c r="M1074" i="13"/>
  <c r="M1073" i="13"/>
  <c r="M1072" i="13"/>
  <c r="M1071" i="13"/>
  <c r="M1070" i="13"/>
  <c r="M1069" i="13"/>
  <c r="M1068" i="13"/>
  <c r="M1067" i="13"/>
  <c r="M1066" i="13"/>
  <c r="M1065" i="13"/>
  <c r="M1064" i="13"/>
  <c r="M1063" i="13"/>
  <c r="M1062" i="13"/>
  <c r="M1061" i="13"/>
  <c r="M1060" i="13"/>
  <c r="M1059" i="13"/>
  <c r="M1058" i="13"/>
  <c r="M1057" i="13"/>
  <c r="M1056" i="13"/>
  <c r="M1055" i="13"/>
  <c r="M1054" i="13"/>
  <c r="M1053" i="13"/>
  <c r="M1052" i="13"/>
  <c r="M1051" i="13"/>
  <c r="M1050" i="13"/>
  <c r="M1049" i="13"/>
  <c r="M1048" i="13"/>
  <c r="M1047" i="13"/>
  <c r="M1046" i="13"/>
  <c r="M1045" i="13"/>
  <c r="M1044" i="13"/>
  <c r="M1043" i="13"/>
  <c r="M1042" i="13"/>
  <c r="M1041" i="13"/>
  <c r="M1040" i="13"/>
  <c r="M1039" i="13"/>
  <c r="M1038" i="13"/>
  <c r="M1037" i="13"/>
  <c r="M1036" i="13"/>
  <c r="M1035" i="13"/>
  <c r="M1034" i="13"/>
  <c r="M1033" i="13"/>
  <c r="M1032" i="13"/>
  <c r="M1031" i="13"/>
  <c r="M1030" i="13"/>
  <c r="M1029" i="13"/>
  <c r="M1028" i="13"/>
  <c r="M1027" i="13"/>
  <c r="M1026" i="13"/>
  <c r="M1025" i="13"/>
  <c r="M1024" i="13"/>
  <c r="M1023" i="13"/>
  <c r="M1022" i="13"/>
  <c r="M1021" i="13"/>
  <c r="M1020" i="13"/>
  <c r="M1019" i="13"/>
  <c r="M1018" i="13"/>
  <c r="M1017" i="13"/>
  <c r="M1016" i="13"/>
  <c r="M1015" i="13"/>
  <c r="M1014" i="13"/>
  <c r="M1013" i="13"/>
  <c r="M1012" i="13"/>
  <c r="M1011" i="13"/>
  <c r="M1010" i="13"/>
  <c r="M1009" i="13"/>
  <c r="M1008" i="13"/>
  <c r="M1007" i="13"/>
  <c r="M1006" i="13"/>
  <c r="M1005" i="13"/>
  <c r="M1004" i="13"/>
  <c r="M1003" i="13"/>
  <c r="M1002" i="13"/>
  <c r="M1001" i="13"/>
  <c r="M1000" i="13"/>
  <c r="M999" i="13"/>
  <c r="M998" i="13"/>
  <c r="M997" i="13"/>
  <c r="M996" i="13"/>
  <c r="M995" i="13"/>
  <c r="M994" i="13"/>
  <c r="M993" i="13"/>
  <c r="M992" i="13"/>
  <c r="M991" i="13"/>
  <c r="M990" i="13"/>
  <c r="M989" i="13"/>
  <c r="M988" i="13"/>
  <c r="M987" i="13"/>
  <c r="M986" i="13"/>
  <c r="M985" i="13"/>
  <c r="M984" i="13"/>
  <c r="M983" i="13"/>
  <c r="M982" i="13"/>
  <c r="M981" i="13"/>
  <c r="M980" i="13"/>
  <c r="M979" i="13"/>
  <c r="M978" i="13"/>
  <c r="M977" i="13"/>
  <c r="M976" i="13"/>
  <c r="M975" i="13"/>
  <c r="M974" i="13"/>
  <c r="M973" i="13"/>
  <c r="M972" i="13"/>
  <c r="M971" i="13"/>
  <c r="M970" i="13"/>
  <c r="M969" i="13"/>
  <c r="M968" i="13"/>
  <c r="M967" i="13"/>
  <c r="M966" i="13"/>
  <c r="M965" i="13"/>
  <c r="M964" i="13"/>
  <c r="M963" i="13"/>
  <c r="M962" i="13"/>
  <c r="M961" i="13"/>
  <c r="M960" i="13"/>
  <c r="M959" i="13"/>
  <c r="M958" i="13"/>
  <c r="M957" i="13"/>
  <c r="M956" i="13"/>
  <c r="M955" i="13"/>
  <c r="M954" i="13"/>
  <c r="M953" i="13"/>
  <c r="M952" i="13"/>
  <c r="M951" i="13"/>
  <c r="M950" i="13"/>
  <c r="M949" i="13"/>
  <c r="M948" i="13"/>
  <c r="M947" i="13"/>
  <c r="M946" i="13"/>
  <c r="M945" i="13"/>
  <c r="M944" i="13"/>
  <c r="M943" i="13"/>
  <c r="M942" i="13"/>
  <c r="M941" i="13"/>
  <c r="M940" i="13"/>
  <c r="M939" i="13"/>
  <c r="M938" i="13"/>
  <c r="M937" i="13"/>
  <c r="M936" i="13"/>
  <c r="M935" i="13"/>
  <c r="M934" i="13"/>
  <c r="M933" i="13"/>
  <c r="M932" i="13"/>
  <c r="M931" i="13"/>
  <c r="M930" i="13"/>
  <c r="M929" i="13"/>
  <c r="M928" i="13"/>
  <c r="M927" i="13"/>
  <c r="M926" i="13"/>
  <c r="M925" i="13"/>
  <c r="M924" i="13"/>
  <c r="M923" i="13"/>
  <c r="M922" i="13"/>
  <c r="M921" i="13"/>
  <c r="M920" i="13"/>
  <c r="M919" i="13"/>
  <c r="M918" i="13"/>
  <c r="M917" i="13"/>
  <c r="M916" i="13"/>
  <c r="M915" i="13"/>
  <c r="M914" i="13"/>
  <c r="M913" i="13"/>
  <c r="M912" i="13"/>
  <c r="M911" i="13"/>
  <c r="M910" i="13"/>
  <c r="M909" i="13"/>
  <c r="M908" i="13"/>
  <c r="M907" i="13"/>
  <c r="M906" i="13"/>
  <c r="M905" i="13"/>
  <c r="M904" i="13"/>
  <c r="M903" i="13"/>
  <c r="M902" i="13"/>
  <c r="M901" i="13"/>
  <c r="M900" i="13"/>
  <c r="M899" i="13"/>
  <c r="M898" i="13"/>
  <c r="M897" i="13"/>
  <c r="M896" i="13"/>
  <c r="M895" i="13"/>
  <c r="M894" i="13"/>
  <c r="M893" i="13"/>
  <c r="M892" i="13"/>
  <c r="M891" i="13"/>
  <c r="M890" i="13"/>
  <c r="M889" i="13"/>
  <c r="M888" i="13"/>
  <c r="M887" i="13"/>
  <c r="M886" i="13"/>
  <c r="M885" i="13"/>
  <c r="M884" i="13"/>
  <c r="M883" i="13"/>
  <c r="M882" i="13"/>
  <c r="M881" i="13"/>
  <c r="M880" i="13"/>
  <c r="M879" i="13"/>
  <c r="M878" i="13"/>
  <c r="M877" i="13"/>
  <c r="M876" i="13"/>
  <c r="M875" i="13"/>
  <c r="M874" i="13"/>
  <c r="M873" i="13"/>
  <c r="M872" i="13"/>
  <c r="M871" i="13"/>
  <c r="M870" i="13"/>
  <c r="M869" i="13"/>
  <c r="M868" i="13"/>
  <c r="M867" i="13"/>
  <c r="M866" i="13"/>
  <c r="M865" i="13"/>
  <c r="M864" i="13"/>
  <c r="M863" i="13"/>
  <c r="M862" i="13"/>
  <c r="M861" i="13"/>
  <c r="M860" i="13"/>
  <c r="M859" i="13"/>
  <c r="M858" i="13"/>
  <c r="M857" i="13"/>
  <c r="M856" i="13"/>
  <c r="M855" i="13"/>
  <c r="M854" i="13"/>
  <c r="M853" i="13"/>
  <c r="M852" i="13"/>
  <c r="M851" i="13"/>
  <c r="M850" i="13"/>
  <c r="M849" i="13"/>
  <c r="M848" i="13"/>
  <c r="M847" i="13"/>
  <c r="M846" i="13"/>
  <c r="M845" i="13"/>
  <c r="M844" i="13"/>
  <c r="M843" i="13"/>
  <c r="M842" i="13"/>
  <c r="M841" i="13"/>
  <c r="M840" i="13"/>
  <c r="M839" i="13"/>
  <c r="M838" i="13"/>
  <c r="M837" i="13"/>
  <c r="M836" i="13"/>
  <c r="M835" i="13"/>
  <c r="M834" i="13"/>
  <c r="M833" i="13"/>
  <c r="M832" i="13"/>
  <c r="M831" i="13"/>
  <c r="M830" i="13"/>
  <c r="M829" i="13"/>
  <c r="M828" i="13"/>
  <c r="M827" i="13"/>
  <c r="M826" i="13"/>
  <c r="M825" i="13"/>
  <c r="M824" i="13"/>
  <c r="M823" i="13"/>
  <c r="M822" i="13"/>
  <c r="M821" i="13"/>
  <c r="M820" i="13"/>
  <c r="M819" i="13"/>
  <c r="M818" i="13"/>
  <c r="M817" i="13"/>
  <c r="M816" i="13"/>
  <c r="M815" i="13"/>
  <c r="M814" i="13"/>
  <c r="M813" i="13"/>
  <c r="M812" i="13"/>
  <c r="M811" i="13"/>
  <c r="M810" i="13"/>
  <c r="M809" i="13"/>
  <c r="M808" i="13"/>
  <c r="M807" i="13"/>
  <c r="M806" i="13"/>
  <c r="M805" i="13"/>
  <c r="M804" i="13"/>
  <c r="M803" i="13"/>
  <c r="M802" i="13"/>
  <c r="M801" i="13"/>
  <c r="M800" i="13"/>
  <c r="M799" i="13"/>
  <c r="M798" i="13"/>
  <c r="M797" i="13"/>
  <c r="M796" i="13"/>
  <c r="M795" i="13"/>
  <c r="M794" i="13"/>
  <c r="M793" i="13"/>
  <c r="M792" i="13"/>
  <c r="M791" i="13"/>
  <c r="M790" i="13"/>
  <c r="M789" i="13"/>
  <c r="M788" i="13"/>
  <c r="M787" i="13"/>
  <c r="M786" i="13"/>
  <c r="M785" i="13"/>
  <c r="M784" i="13"/>
  <c r="M783" i="13"/>
  <c r="M782" i="13"/>
  <c r="M781" i="13"/>
  <c r="M780" i="13"/>
  <c r="M779" i="13"/>
  <c r="M778" i="13"/>
  <c r="M777" i="13"/>
  <c r="M776" i="13"/>
  <c r="M775" i="13"/>
  <c r="M774" i="13"/>
  <c r="M773" i="13"/>
  <c r="M772" i="13"/>
  <c r="M771" i="13"/>
  <c r="M770" i="13"/>
  <c r="M769" i="13"/>
  <c r="M768" i="13"/>
  <c r="M767" i="13"/>
  <c r="M766" i="13"/>
  <c r="M765" i="13"/>
  <c r="M764" i="13"/>
  <c r="M763" i="13"/>
  <c r="M762" i="13"/>
  <c r="M761" i="13"/>
  <c r="M760" i="13"/>
  <c r="M759" i="13"/>
  <c r="M758" i="13"/>
  <c r="M757" i="13"/>
  <c r="M756" i="13"/>
  <c r="M755" i="13"/>
  <c r="M754" i="13"/>
  <c r="M753" i="13"/>
  <c r="M752" i="13"/>
  <c r="M751" i="13"/>
  <c r="M750" i="13"/>
  <c r="M749" i="13"/>
  <c r="M748" i="13"/>
  <c r="M747" i="13"/>
  <c r="M746" i="13"/>
  <c r="M745" i="13"/>
  <c r="M744" i="13"/>
  <c r="M743" i="13"/>
  <c r="M742" i="13"/>
  <c r="M741" i="13"/>
  <c r="M740" i="13"/>
  <c r="M739" i="13"/>
  <c r="M738" i="13"/>
  <c r="M737" i="13"/>
  <c r="M736" i="13"/>
  <c r="M735" i="13"/>
  <c r="M734" i="13"/>
  <c r="M733" i="13"/>
  <c r="M732" i="13"/>
  <c r="M731" i="13"/>
  <c r="M730" i="13"/>
  <c r="M729" i="13"/>
  <c r="M728" i="13"/>
  <c r="M727" i="13"/>
  <c r="M726" i="13"/>
  <c r="M725" i="13"/>
  <c r="M724" i="13"/>
  <c r="M723" i="13"/>
  <c r="M722" i="13"/>
  <c r="M721" i="13"/>
  <c r="M720" i="13"/>
  <c r="M719" i="13"/>
  <c r="M718" i="13"/>
  <c r="M717" i="13"/>
  <c r="M716" i="13"/>
  <c r="M715" i="13"/>
  <c r="M714" i="13"/>
  <c r="M713" i="13"/>
  <c r="M712" i="13"/>
  <c r="M711" i="13"/>
  <c r="M710" i="13"/>
  <c r="M709" i="13"/>
  <c r="M708" i="13"/>
  <c r="M707" i="13"/>
  <c r="M706" i="13"/>
  <c r="M705" i="13"/>
  <c r="M704" i="13"/>
  <c r="M703" i="13"/>
  <c r="M702" i="13"/>
  <c r="M701" i="13"/>
  <c r="M700" i="13"/>
  <c r="M699" i="13"/>
  <c r="M698" i="13"/>
  <c r="M697" i="13"/>
  <c r="M696" i="13"/>
  <c r="M695" i="13"/>
  <c r="M694" i="13"/>
  <c r="M693" i="13"/>
  <c r="M692" i="13"/>
  <c r="M691" i="13"/>
  <c r="M690" i="13"/>
  <c r="M689" i="13"/>
  <c r="M688" i="13"/>
  <c r="M687" i="13"/>
  <c r="M686" i="13"/>
  <c r="M685" i="13"/>
  <c r="M684" i="13"/>
  <c r="M683" i="13"/>
  <c r="M682" i="13"/>
  <c r="M681" i="13"/>
  <c r="M680" i="13"/>
  <c r="M679" i="13"/>
  <c r="M678" i="13"/>
  <c r="M677" i="13"/>
  <c r="M676" i="13"/>
  <c r="M675" i="13"/>
  <c r="M674" i="13"/>
  <c r="M673" i="13"/>
  <c r="M672" i="13"/>
  <c r="M671" i="13"/>
  <c r="M670" i="13"/>
  <c r="M669" i="13"/>
  <c r="M668" i="13"/>
  <c r="M667" i="13"/>
  <c r="M666" i="13"/>
  <c r="M665" i="13"/>
  <c r="M664" i="13"/>
  <c r="M663" i="13"/>
  <c r="M662" i="13"/>
  <c r="M661" i="13"/>
  <c r="M660" i="13"/>
  <c r="M659" i="13"/>
  <c r="M658" i="13"/>
  <c r="M657" i="13"/>
  <c r="M656" i="13"/>
  <c r="M655" i="13"/>
  <c r="M654" i="13"/>
  <c r="M653" i="13"/>
  <c r="M652" i="13"/>
  <c r="M651" i="13"/>
  <c r="M650" i="13"/>
  <c r="M649" i="13"/>
  <c r="M648" i="13"/>
  <c r="M647" i="13"/>
  <c r="M646" i="13"/>
  <c r="M645" i="13"/>
  <c r="M644" i="13"/>
  <c r="M643" i="13"/>
  <c r="M642" i="13"/>
  <c r="M641" i="13"/>
  <c r="M640" i="13"/>
  <c r="M639" i="13"/>
  <c r="M638" i="13"/>
  <c r="M637" i="13"/>
  <c r="M636" i="13"/>
  <c r="M635" i="13"/>
  <c r="M634" i="13"/>
  <c r="M633" i="13"/>
  <c r="M632" i="13"/>
  <c r="M631" i="13"/>
  <c r="M630" i="13"/>
  <c r="M629" i="13"/>
  <c r="M628" i="13"/>
  <c r="M627" i="13"/>
  <c r="M626" i="13"/>
  <c r="M625" i="13"/>
  <c r="M624" i="13"/>
  <c r="M623" i="13"/>
  <c r="M622" i="13"/>
  <c r="M621" i="13"/>
  <c r="M620" i="13"/>
  <c r="M619" i="13"/>
  <c r="M618" i="13"/>
  <c r="M617" i="13"/>
  <c r="M616" i="13"/>
  <c r="M615" i="13"/>
  <c r="M614" i="13"/>
  <c r="M613" i="13"/>
  <c r="M612" i="13"/>
  <c r="M611" i="13"/>
  <c r="M610" i="13"/>
  <c r="M609" i="13"/>
  <c r="M608" i="13"/>
  <c r="M607" i="13"/>
  <c r="M606" i="13"/>
  <c r="M605" i="13"/>
  <c r="M604" i="13"/>
  <c r="M603" i="13"/>
  <c r="M602" i="13"/>
  <c r="M601" i="13"/>
  <c r="M600" i="13"/>
  <c r="M599" i="13"/>
  <c r="M598" i="13"/>
  <c r="M597" i="13"/>
  <c r="M596" i="13"/>
  <c r="M595" i="13"/>
  <c r="M594" i="13"/>
  <c r="M593" i="13"/>
  <c r="M592" i="13"/>
  <c r="M591" i="13"/>
  <c r="M590" i="13"/>
  <c r="M589" i="13"/>
  <c r="M588" i="13"/>
  <c r="M587" i="13"/>
  <c r="M586" i="13"/>
  <c r="M585" i="13"/>
  <c r="M584" i="13"/>
  <c r="M583" i="13"/>
  <c r="M582" i="13"/>
  <c r="M581" i="13"/>
  <c r="M580" i="13"/>
  <c r="M579" i="13"/>
  <c r="M578" i="13"/>
  <c r="M577" i="13"/>
  <c r="M576" i="13"/>
  <c r="M575" i="13"/>
  <c r="M574" i="13"/>
  <c r="M573" i="13"/>
  <c r="M572" i="13"/>
  <c r="M571" i="13"/>
  <c r="M570" i="13"/>
  <c r="M569" i="13"/>
  <c r="M568" i="13"/>
  <c r="M567" i="13"/>
  <c r="M566" i="13"/>
  <c r="M565" i="13"/>
  <c r="M564" i="13"/>
  <c r="M563" i="13"/>
  <c r="M562" i="13"/>
  <c r="M561" i="13"/>
  <c r="M560" i="13"/>
  <c r="M559" i="13"/>
  <c r="M558" i="13"/>
  <c r="M557" i="13"/>
  <c r="M556" i="13"/>
  <c r="M555" i="13"/>
  <c r="M554" i="13"/>
  <c r="M553" i="13"/>
  <c r="M552" i="13"/>
  <c r="M551" i="13"/>
  <c r="M550" i="13"/>
  <c r="M549" i="13"/>
  <c r="M548" i="13"/>
  <c r="M547" i="13"/>
  <c r="M546" i="13"/>
  <c r="M545" i="13"/>
  <c r="M544" i="13"/>
  <c r="M543" i="13"/>
  <c r="M542" i="13"/>
  <c r="M541" i="13"/>
  <c r="M540" i="13"/>
  <c r="M539" i="13"/>
  <c r="M538" i="13"/>
  <c r="M537" i="13"/>
  <c r="M536" i="13"/>
  <c r="M535" i="13"/>
  <c r="M534" i="13"/>
  <c r="M533" i="13"/>
  <c r="M532" i="13"/>
  <c r="M531" i="13"/>
  <c r="M530" i="13"/>
  <c r="M529" i="13"/>
  <c r="M528" i="13"/>
  <c r="M527" i="13"/>
  <c r="M526" i="13"/>
  <c r="M525" i="13"/>
  <c r="M524" i="13"/>
  <c r="M523" i="13"/>
  <c r="M522" i="13"/>
  <c r="M521" i="13"/>
  <c r="M520" i="13"/>
  <c r="M519" i="13"/>
  <c r="M518" i="13"/>
  <c r="M517" i="13"/>
  <c r="M516" i="13"/>
  <c r="M515" i="13"/>
  <c r="M514" i="13"/>
  <c r="M513" i="13"/>
  <c r="M512" i="13"/>
  <c r="M511" i="13"/>
  <c r="M510" i="13"/>
  <c r="M509" i="13"/>
  <c r="M508" i="13"/>
  <c r="M507" i="13"/>
  <c r="M506" i="13"/>
  <c r="M505" i="13"/>
  <c r="M504" i="13"/>
  <c r="M503" i="13"/>
  <c r="M502" i="13"/>
  <c r="M501" i="13"/>
  <c r="M500" i="13"/>
  <c r="M499" i="13"/>
  <c r="M498" i="13"/>
  <c r="M497" i="13"/>
  <c r="M496" i="13"/>
  <c r="M495" i="13"/>
  <c r="M494" i="13"/>
  <c r="M493" i="13"/>
  <c r="M492" i="13"/>
  <c r="M491" i="13"/>
  <c r="M490" i="13"/>
  <c r="M489" i="13"/>
  <c r="M488" i="13"/>
  <c r="M487" i="13"/>
  <c r="M486" i="13"/>
  <c r="M485" i="13"/>
  <c r="M484" i="13"/>
  <c r="M483" i="13"/>
  <c r="M482" i="13"/>
  <c r="M481" i="13"/>
  <c r="M480" i="13"/>
  <c r="M479" i="13"/>
  <c r="M478" i="13"/>
  <c r="M477" i="13"/>
  <c r="M476" i="13"/>
  <c r="M475" i="13"/>
  <c r="M474" i="13"/>
  <c r="M473" i="13"/>
  <c r="M472" i="13"/>
  <c r="M471" i="13"/>
  <c r="M470" i="13"/>
  <c r="M469" i="13"/>
  <c r="M468" i="13"/>
  <c r="M467" i="13"/>
  <c r="M466" i="13"/>
  <c r="M465" i="13"/>
  <c r="M464" i="13"/>
  <c r="M463" i="13"/>
  <c r="M462" i="13"/>
  <c r="M461" i="13"/>
  <c r="M460" i="13"/>
  <c r="M459" i="13"/>
  <c r="M458" i="13"/>
  <c r="M457" i="13"/>
  <c r="M456" i="13"/>
  <c r="M455" i="13"/>
  <c r="M454" i="13"/>
  <c r="M453" i="13"/>
  <c r="M452" i="13"/>
  <c r="M451" i="13"/>
  <c r="M450" i="13"/>
  <c r="M449" i="13"/>
  <c r="M448" i="13"/>
  <c r="M447" i="13"/>
  <c r="M446" i="13"/>
  <c r="M445" i="13"/>
  <c r="M444" i="13"/>
  <c r="M443" i="13"/>
  <c r="M442" i="13"/>
  <c r="M441" i="13"/>
  <c r="M440" i="13"/>
  <c r="M439" i="13"/>
  <c r="M438" i="13"/>
  <c r="M437" i="13"/>
  <c r="M436" i="13"/>
  <c r="M435" i="13"/>
  <c r="M434" i="13"/>
  <c r="M433" i="13"/>
  <c r="M432" i="13"/>
  <c r="M431" i="13"/>
  <c r="M430" i="13"/>
  <c r="M429" i="13"/>
  <c r="M428" i="13"/>
  <c r="M427" i="13"/>
  <c r="M426" i="13"/>
  <c r="M425" i="13"/>
  <c r="M424" i="13"/>
  <c r="M423" i="13"/>
  <c r="M422" i="13"/>
  <c r="M421" i="13"/>
  <c r="M420" i="13"/>
  <c r="M419" i="13"/>
  <c r="M418" i="13"/>
  <c r="M417" i="13"/>
  <c r="M416" i="13"/>
  <c r="M415" i="13"/>
  <c r="M414" i="13"/>
  <c r="M413" i="13"/>
  <c r="M412" i="13"/>
  <c r="M411" i="13"/>
  <c r="M410" i="13"/>
  <c r="M409" i="13"/>
  <c r="M408" i="13"/>
  <c r="M407" i="13"/>
  <c r="M406" i="13"/>
  <c r="M405" i="13"/>
  <c r="M404" i="13"/>
  <c r="M403" i="13"/>
  <c r="M402" i="13"/>
  <c r="M401" i="13"/>
  <c r="M400" i="13"/>
  <c r="M399" i="13"/>
  <c r="M398" i="13"/>
  <c r="M397" i="13"/>
  <c r="M396" i="13"/>
  <c r="M395" i="13"/>
  <c r="M394" i="13"/>
  <c r="M393" i="13"/>
  <c r="M392" i="13"/>
  <c r="M391" i="13"/>
  <c r="M390" i="13"/>
  <c r="M389" i="13"/>
  <c r="M388" i="13"/>
  <c r="M387" i="13"/>
  <c r="M386" i="13"/>
  <c r="M385" i="13"/>
  <c r="M384" i="13"/>
  <c r="M383" i="13"/>
  <c r="M382" i="13"/>
  <c r="M381" i="13"/>
  <c r="M380" i="13"/>
  <c r="M379" i="13"/>
  <c r="M378" i="13"/>
  <c r="M377" i="13"/>
  <c r="M376" i="13"/>
  <c r="M375" i="13"/>
  <c r="M374" i="13"/>
  <c r="M373" i="13"/>
  <c r="M372" i="13"/>
  <c r="M371" i="13"/>
  <c r="M370" i="13"/>
  <c r="M369" i="13"/>
  <c r="M368" i="13"/>
  <c r="M367" i="13"/>
  <c r="M366" i="13"/>
  <c r="M365" i="13"/>
  <c r="M364" i="13"/>
  <c r="M363" i="13"/>
  <c r="M362" i="13"/>
  <c r="M361" i="13"/>
  <c r="M360" i="13"/>
  <c r="M359" i="13"/>
  <c r="M358" i="13"/>
  <c r="M357" i="13"/>
  <c r="M356" i="13"/>
  <c r="M355" i="13"/>
  <c r="M354" i="13"/>
  <c r="M353" i="13"/>
  <c r="M352" i="13"/>
  <c r="M351" i="13"/>
  <c r="M350" i="13"/>
  <c r="M349" i="13"/>
  <c r="M348" i="13"/>
  <c r="M347" i="13"/>
  <c r="M346" i="13"/>
  <c r="M345" i="13"/>
  <c r="M344" i="13"/>
  <c r="M343" i="13"/>
  <c r="M342" i="13"/>
  <c r="M341" i="13"/>
  <c r="M340" i="13"/>
  <c r="M339" i="13"/>
  <c r="M338" i="13"/>
  <c r="M337" i="13"/>
  <c r="M336" i="13"/>
  <c r="M335" i="13"/>
  <c r="M334" i="13"/>
  <c r="M333" i="13"/>
  <c r="M332" i="13"/>
  <c r="M331" i="13"/>
  <c r="M330" i="13"/>
  <c r="M329" i="13"/>
  <c r="M328" i="13"/>
  <c r="M327" i="13"/>
  <c r="M326" i="13"/>
  <c r="M325" i="13"/>
  <c r="M324" i="13"/>
  <c r="M323" i="13"/>
  <c r="M322" i="13"/>
  <c r="M321" i="13"/>
  <c r="M320" i="13"/>
  <c r="M319" i="13"/>
  <c r="M318" i="13"/>
  <c r="M317" i="13"/>
  <c r="M316" i="13"/>
  <c r="M315" i="13"/>
  <c r="M314" i="13"/>
  <c r="M313" i="13"/>
  <c r="M312" i="13"/>
  <c r="M311" i="13"/>
  <c r="M310" i="13"/>
  <c r="M309" i="13"/>
  <c r="M308" i="13"/>
  <c r="M307" i="13"/>
  <c r="M306" i="13"/>
  <c r="M305" i="13"/>
  <c r="M304" i="13"/>
  <c r="M303" i="13"/>
  <c r="M302" i="13"/>
  <c r="M301" i="13"/>
  <c r="M300" i="13"/>
  <c r="M299" i="13"/>
  <c r="M298" i="13"/>
  <c r="M297" i="13"/>
  <c r="M296" i="13"/>
  <c r="M295" i="13"/>
  <c r="M294" i="13"/>
  <c r="M293" i="13"/>
  <c r="M292" i="13"/>
  <c r="M291" i="13"/>
  <c r="M290" i="13"/>
  <c r="M289" i="13"/>
  <c r="M288" i="13"/>
  <c r="M287" i="13"/>
  <c r="M286" i="13"/>
  <c r="M285" i="13"/>
  <c r="M284" i="13"/>
  <c r="M283" i="13"/>
  <c r="M282" i="13"/>
  <c r="M281" i="13"/>
  <c r="M280" i="13"/>
  <c r="M279" i="13"/>
  <c r="M278" i="13"/>
  <c r="M277" i="13"/>
  <c r="M276" i="13"/>
  <c r="M275" i="13"/>
  <c r="M274" i="13"/>
  <c r="M273" i="13"/>
  <c r="M272" i="13"/>
  <c r="M271" i="13"/>
  <c r="M270" i="13"/>
  <c r="M269" i="13"/>
  <c r="M268" i="13"/>
  <c r="M267" i="13"/>
  <c r="M266" i="13"/>
  <c r="M265" i="13"/>
  <c r="M264" i="13"/>
  <c r="M263" i="13"/>
  <c r="M262" i="13"/>
  <c r="M261" i="13"/>
  <c r="M260" i="13"/>
  <c r="M259" i="13"/>
  <c r="M258" i="13"/>
  <c r="M257" i="13"/>
  <c r="M256" i="13"/>
  <c r="M255" i="13"/>
  <c r="M254" i="13"/>
  <c r="M253" i="13"/>
  <c r="M252" i="13"/>
  <c r="M251" i="13"/>
  <c r="M250" i="13"/>
  <c r="M249" i="13"/>
  <c r="M248" i="13"/>
  <c r="M247" i="13"/>
  <c r="M246" i="13"/>
  <c r="M245" i="13"/>
  <c r="M244" i="13"/>
  <c r="M243" i="13"/>
  <c r="M241" i="13"/>
  <c r="M240" i="13"/>
  <c r="M239" i="13"/>
  <c r="M238" i="13"/>
  <c r="M237" i="13"/>
  <c r="M236" i="13"/>
  <c r="M235" i="13"/>
  <c r="M234" i="13"/>
  <c r="M233" i="13"/>
  <c r="M232" i="13"/>
  <c r="M231" i="13"/>
  <c r="M230" i="13"/>
  <c r="M229" i="13"/>
  <c r="M228" i="13"/>
  <c r="M227" i="13"/>
  <c r="M226" i="13"/>
  <c r="M225" i="13"/>
  <c r="M224" i="13"/>
  <c r="M223" i="13"/>
  <c r="M222" i="13"/>
  <c r="M221" i="13"/>
  <c r="M220" i="13"/>
  <c r="M219" i="13"/>
  <c r="M218" i="13"/>
  <c r="M217" i="13"/>
  <c r="M216" i="13"/>
  <c r="M215" i="13"/>
  <c r="M214" i="13"/>
  <c r="M213" i="13"/>
  <c r="M212" i="13"/>
  <c r="M211" i="13"/>
  <c r="M210" i="13"/>
  <c r="M209" i="13"/>
  <c r="M208" i="13"/>
  <c r="M207" i="13"/>
  <c r="M206" i="13"/>
  <c r="M205" i="13"/>
  <c r="M204" i="13"/>
  <c r="M203" i="13"/>
  <c r="M202" i="13"/>
  <c r="M201" i="13"/>
  <c r="M200" i="13"/>
  <c r="M199" i="13"/>
  <c r="M198" i="13"/>
  <c r="M197" i="13"/>
  <c r="M196" i="13"/>
  <c r="M195" i="13"/>
  <c r="M194" i="13"/>
  <c r="M193" i="13"/>
  <c r="M192" i="13"/>
  <c r="M191" i="13"/>
  <c r="M190" i="13"/>
  <c r="M189" i="13"/>
  <c r="M188" i="13"/>
  <c r="M187" i="13"/>
  <c r="M186" i="13"/>
  <c r="M185" i="13"/>
  <c r="M184" i="13"/>
  <c r="M183" i="13"/>
  <c r="M182" i="13"/>
  <c r="M181" i="13"/>
  <c r="M180" i="13"/>
  <c r="M179" i="13"/>
  <c r="M178" i="13"/>
  <c r="M177" i="13"/>
  <c r="M176" i="13"/>
  <c r="M175" i="13"/>
  <c r="M174" i="13"/>
  <c r="M173" i="13"/>
  <c r="M172" i="13"/>
  <c r="M171" i="13"/>
  <c r="M170" i="13"/>
  <c r="M169" i="13"/>
  <c r="M168" i="13"/>
  <c r="M167" i="13"/>
  <c r="M166" i="13"/>
  <c r="M165" i="13"/>
  <c r="M164" i="13"/>
  <c r="M163" i="13"/>
  <c r="M162" i="13"/>
  <c r="M161" i="13"/>
  <c r="M160" i="13"/>
  <c r="M159" i="13"/>
  <c r="M158" i="13"/>
  <c r="M157" i="13"/>
  <c r="M156" i="13"/>
  <c r="M155" i="13"/>
  <c r="M154" i="13"/>
  <c r="M153" i="13"/>
  <c r="M152" i="13"/>
  <c r="M151" i="13"/>
  <c r="M150" i="13"/>
  <c r="M149" i="13"/>
  <c r="M148" i="13"/>
  <c r="M147" i="13"/>
  <c r="M146" i="13"/>
  <c r="M145" i="13"/>
  <c r="M144" i="13"/>
  <c r="M143" i="13"/>
  <c r="M142" i="13"/>
  <c r="M141" i="13"/>
  <c r="M140" i="13"/>
  <c r="M139" i="13"/>
  <c r="M138" i="13"/>
  <c r="M137" i="13"/>
  <c r="M136" i="13"/>
  <c r="M135" i="13"/>
  <c r="M134" i="13"/>
  <c r="M133" i="13"/>
  <c r="M132" i="13"/>
  <c r="M131" i="13"/>
  <c r="M130" i="13"/>
  <c r="M129" i="13"/>
  <c r="M128" i="13"/>
  <c r="M127" i="13"/>
  <c r="M126" i="13"/>
  <c r="M125" i="13"/>
  <c r="M124" i="13"/>
  <c r="M123" i="13"/>
  <c r="M122" i="13"/>
  <c r="M121" i="13"/>
  <c r="M120" i="13"/>
  <c r="M119" i="13"/>
  <c r="M118" i="13"/>
  <c r="M117" i="13"/>
  <c r="M116" i="13"/>
  <c r="M115" i="13"/>
  <c r="M114" i="13"/>
  <c r="M113" i="13"/>
  <c r="M112" i="13"/>
  <c r="M111" i="13"/>
  <c r="M110" i="13"/>
  <c r="M109" i="13"/>
  <c r="M108" i="13"/>
  <c r="M107" i="13"/>
  <c r="M106" i="13"/>
  <c r="M105" i="13"/>
  <c r="M104" i="13"/>
  <c r="M103" i="13"/>
  <c r="M102" i="13"/>
  <c r="M101" i="13"/>
  <c r="M100" i="13"/>
  <c r="M99" i="13"/>
  <c r="M98" i="13"/>
  <c r="M97" i="13"/>
  <c r="M96" i="13"/>
  <c r="M95" i="13"/>
  <c r="M94" i="13"/>
  <c r="M93" i="13"/>
  <c r="M92" i="13"/>
  <c r="M91" i="13"/>
  <c r="M90" i="13"/>
  <c r="M89" i="13"/>
  <c r="M88" i="13"/>
  <c r="M87" i="13"/>
  <c r="M86" i="13"/>
  <c r="M85" i="13"/>
  <c r="M84" i="13"/>
  <c r="M83" i="13"/>
  <c r="M82" i="13"/>
  <c r="M81" i="13"/>
  <c r="M80" i="13"/>
  <c r="M79" i="13"/>
  <c r="M78" i="13"/>
  <c r="M77" i="13"/>
  <c r="M76" i="13"/>
  <c r="M75" i="13"/>
  <c r="M74" i="13"/>
  <c r="M73" i="13"/>
  <c r="M72" i="13"/>
  <c r="M71" i="13"/>
  <c r="M70" i="13"/>
  <c r="M69" i="13"/>
  <c r="M68" i="13"/>
  <c r="M67" i="13"/>
  <c r="M66" i="13"/>
  <c r="M65" i="13"/>
  <c r="M64" i="13"/>
  <c r="M63" i="13"/>
  <c r="M62" i="13"/>
  <c r="M61" i="13"/>
  <c r="M60" i="13"/>
  <c r="M59" i="13"/>
  <c r="M58" i="13"/>
  <c r="M57" i="13"/>
  <c r="M56" i="13"/>
  <c r="M55" i="13"/>
  <c r="M54" i="13"/>
  <c r="M53" i="13"/>
  <c r="M52" i="13"/>
  <c r="M51" i="13"/>
  <c r="M50" i="13"/>
  <c r="M49" i="13"/>
  <c r="M48" i="13"/>
  <c r="M47" i="13"/>
  <c r="M46" i="13"/>
  <c r="M45" i="13"/>
  <c r="M44" i="13"/>
  <c r="M43" i="13"/>
  <c r="M42" i="13"/>
  <c r="M41" i="13"/>
  <c r="M40" i="13"/>
  <c r="M39" i="13"/>
  <c r="M38" i="13"/>
  <c r="M37" i="13"/>
  <c r="M36" i="13"/>
  <c r="M35" i="13"/>
  <c r="M34" i="13"/>
  <c r="M33" i="13"/>
  <c r="M32" i="13"/>
  <c r="M31" i="13"/>
  <c r="M30" i="13"/>
  <c r="M29" i="13"/>
  <c r="M28" i="13"/>
  <c r="M27" i="13"/>
  <c r="M26" i="13"/>
  <c r="M25" i="13"/>
  <c r="M24" i="13"/>
  <c r="M23" i="13"/>
  <c r="M22" i="13"/>
  <c r="M21" i="13"/>
  <c r="M20" i="13"/>
  <c r="M19" i="13"/>
  <c r="M18" i="13"/>
  <c r="M17" i="13"/>
  <c r="M16" i="13"/>
  <c r="M15" i="13"/>
  <c r="M14" i="13"/>
  <c r="M13" i="13"/>
  <c r="M12" i="13"/>
  <c r="M11" i="13"/>
  <c r="M10" i="13"/>
  <c r="M9" i="13"/>
  <c r="M8" i="13"/>
  <c r="M7" i="13"/>
  <c r="M6" i="13"/>
  <c r="J1267" i="13"/>
  <c r="K1267" i="13" s="1"/>
  <c r="L1267" i="13" s="1"/>
  <c r="J1266" i="13"/>
  <c r="J1265" i="13"/>
  <c r="J1264" i="13"/>
  <c r="J1263" i="13"/>
  <c r="J1262" i="13"/>
  <c r="J1261" i="13"/>
  <c r="J1260" i="13"/>
  <c r="J1259" i="13"/>
  <c r="J1258" i="13"/>
  <c r="J1257" i="13"/>
  <c r="J1256" i="13"/>
  <c r="J1255" i="13"/>
  <c r="J1254" i="13"/>
  <c r="J1253" i="13"/>
  <c r="J1252" i="13"/>
  <c r="J1251" i="13"/>
  <c r="J1250" i="13"/>
  <c r="J1249" i="13"/>
  <c r="J1248" i="13"/>
  <c r="J1247" i="13"/>
  <c r="J1246" i="13"/>
  <c r="J1245" i="13"/>
  <c r="J1244" i="13"/>
  <c r="J1243" i="13"/>
  <c r="J1242" i="13"/>
  <c r="J1241" i="13"/>
  <c r="J1240" i="13"/>
  <c r="J1239" i="13"/>
  <c r="J1238" i="13"/>
  <c r="J1237" i="13"/>
  <c r="J1236" i="13"/>
  <c r="J1235" i="13"/>
  <c r="J1234" i="13"/>
  <c r="J1233" i="13"/>
  <c r="J1232" i="13"/>
  <c r="J1231" i="13"/>
  <c r="J1230" i="13"/>
  <c r="J1229" i="13"/>
  <c r="J1228" i="13"/>
  <c r="J1227" i="13"/>
  <c r="J1226" i="13"/>
  <c r="J1225" i="13"/>
  <c r="J1224" i="13"/>
  <c r="J1223" i="13"/>
  <c r="J1222" i="13"/>
  <c r="J1221" i="13"/>
  <c r="J1220" i="13"/>
  <c r="J1219" i="13"/>
  <c r="J1218" i="13"/>
  <c r="J1217" i="13"/>
  <c r="J1216" i="13"/>
  <c r="J1215" i="13"/>
  <c r="J1214" i="13"/>
  <c r="J1213" i="13"/>
  <c r="J1212" i="13"/>
  <c r="J1211" i="13"/>
  <c r="J1210" i="13"/>
  <c r="J1209" i="13"/>
  <c r="J1208" i="13"/>
  <c r="J1207" i="13"/>
  <c r="J1206" i="13"/>
  <c r="J1205" i="13"/>
  <c r="J1204" i="13"/>
  <c r="J1203" i="13"/>
  <c r="J1202" i="13"/>
  <c r="J1201" i="13"/>
  <c r="J1200" i="13"/>
  <c r="J1199" i="13"/>
  <c r="J1198" i="13"/>
  <c r="J1197" i="13"/>
  <c r="J1196" i="13"/>
  <c r="J1195" i="13"/>
  <c r="J1194" i="13"/>
  <c r="J1193" i="13"/>
  <c r="J1192" i="13"/>
  <c r="J1191" i="13"/>
  <c r="J1190" i="13"/>
  <c r="J1189" i="13"/>
  <c r="J1188" i="13"/>
  <c r="J1187" i="13"/>
  <c r="J1186" i="13"/>
  <c r="J1185" i="13"/>
  <c r="J1184" i="13"/>
  <c r="J1183" i="13"/>
  <c r="J1182" i="13"/>
  <c r="J1181" i="13"/>
  <c r="J1180" i="13"/>
  <c r="J1179" i="13"/>
  <c r="J1178" i="13"/>
  <c r="J1177" i="13"/>
  <c r="J1176" i="13"/>
  <c r="J1175" i="13"/>
  <c r="J1174" i="13"/>
  <c r="J1173" i="13"/>
  <c r="J1172" i="13"/>
  <c r="J1171" i="13"/>
  <c r="J1170" i="13"/>
  <c r="J1169" i="13"/>
  <c r="J1168" i="13"/>
  <c r="J1167" i="13"/>
  <c r="J1166" i="13"/>
  <c r="J1165" i="13"/>
  <c r="J1164" i="13"/>
  <c r="J1163" i="13"/>
  <c r="J1162" i="13"/>
  <c r="J1161" i="13"/>
  <c r="J1160" i="13"/>
  <c r="J1159" i="13"/>
  <c r="J1158" i="13"/>
  <c r="J1157" i="13"/>
  <c r="J1156" i="13"/>
  <c r="J1155" i="13"/>
  <c r="J1154" i="13"/>
  <c r="J1153" i="13"/>
  <c r="J1152" i="13"/>
  <c r="J1151" i="13"/>
  <c r="J1150" i="13"/>
  <c r="J1149" i="13"/>
  <c r="J1148" i="13"/>
  <c r="J1147" i="13"/>
  <c r="J1146" i="13"/>
  <c r="J1145" i="13"/>
  <c r="J1144" i="13"/>
  <c r="J1143" i="13"/>
  <c r="J1142" i="13"/>
  <c r="J1141" i="13"/>
  <c r="J1140" i="13"/>
  <c r="J1139" i="13"/>
  <c r="J1138" i="13"/>
  <c r="J1137" i="13"/>
  <c r="J1136" i="13"/>
  <c r="J1135" i="13"/>
  <c r="J1134" i="13"/>
  <c r="J1133" i="13"/>
  <c r="J1132" i="13"/>
  <c r="J1131" i="13"/>
  <c r="J1130" i="13"/>
  <c r="J1129" i="13"/>
  <c r="J1128" i="13"/>
  <c r="J1127" i="13"/>
  <c r="J1126" i="13"/>
  <c r="J1125" i="13"/>
  <c r="J1124" i="13"/>
  <c r="J1123" i="13"/>
  <c r="J1122" i="13"/>
  <c r="J1121" i="13"/>
  <c r="J1120" i="13"/>
  <c r="J1119" i="13"/>
  <c r="J1118" i="13"/>
  <c r="J1117" i="13"/>
  <c r="J1116" i="13"/>
  <c r="J1115" i="13"/>
  <c r="J1114" i="13"/>
  <c r="J1113" i="13"/>
  <c r="J1112" i="13"/>
  <c r="J1111" i="13"/>
  <c r="J1110" i="13"/>
  <c r="J1109" i="13"/>
  <c r="J1108" i="13"/>
  <c r="J1107" i="13"/>
  <c r="J1106" i="13"/>
  <c r="J1105" i="13"/>
  <c r="J1104" i="13"/>
  <c r="J1103" i="13"/>
  <c r="J1102" i="13"/>
  <c r="J1101" i="13"/>
  <c r="J1100" i="13"/>
  <c r="J1099" i="13"/>
  <c r="J1098" i="13"/>
  <c r="J1097" i="13"/>
  <c r="J1096" i="13"/>
  <c r="J1095" i="13"/>
  <c r="J1094" i="13"/>
  <c r="J1093" i="13"/>
  <c r="J1092" i="13"/>
  <c r="J1091" i="13"/>
  <c r="J1090" i="13"/>
  <c r="J1089" i="13"/>
  <c r="J1088" i="13"/>
  <c r="J1087" i="13"/>
  <c r="J1086" i="13"/>
  <c r="J1085" i="13"/>
  <c r="J1084" i="13"/>
  <c r="J1083" i="13"/>
  <c r="J1082" i="13"/>
  <c r="J1081" i="13"/>
  <c r="J1080" i="13"/>
  <c r="J1079" i="13"/>
  <c r="J1078" i="13"/>
  <c r="J1077" i="13"/>
  <c r="J1076" i="13"/>
  <c r="J1075" i="13"/>
  <c r="J1074" i="13"/>
  <c r="J1073" i="13"/>
  <c r="J1072" i="13"/>
  <c r="J1071" i="13"/>
  <c r="J1070" i="13"/>
  <c r="J1069" i="13"/>
  <c r="J1068" i="13"/>
  <c r="J1067" i="13"/>
  <c r="J1066" i="13"/>
  <c r="J1065" i="13"/>
  <c r="J1064" i="13"/>
  <c r="J1063" i="13"/>
  <c r="J1062" i="13"/>
  <c r="J1061" i="13"/>
  <c r="J1060" i="13"/>
  <c r="J1059" i="13"/>
  <c r="J1058" i="13"/>
  <c r="J1057" i="13"/>
  <c r="J1056" i="13"/>
  <c r="J1055" i="13"/>
  <c r="J1054" i="13"/>
  <c r="J1053" i="13"/>
  <c r="J1052" i="13"/>
  <c r="J1051" i="13"/>
  <c r="J1050" i="13"/>
  <c r="J1049" i="13"/>
  <c r="J1048" i="13"/>
  <c r="J1047" i="13"/>
  <c r="J1046" i="13"/>
  <c r="J1045" i="13"/>
  <c r="J1044" i="13"/>
  <c r="J1043" i="13"/>
  <c r="J1042" i="13"/>
  <c r="J1041" i="13"/>
  <c r="J1040" i="13"/>
  <c r="J1039" i="13"/>
  <c r="J1038" i="13"/>
  <c r="J1037" i="13"/>
  <c r="J1036" i="13"/>
  <c r="J1035" i="13"/>
  <c r="J1034" i="13"/>
  <c r="J1033" i="13"/>
  <c r="J1032" i="13"/>
  <c r="J1031" i="13"/>
  <c r="J1030" i="13"/>
  <c r="J1029" i="13"/>
  <c r="J1028" i="13"/>
  <c r="J1027" i="13"/>
  <c r="J1026" i="13"/>
  <c r="J1025" i="13"/>
  <c r="J1024" i="13"/>
  <c r="J1023" i="13"/>
  <c r="J1022" i="13"/>
  <c r="J1021" i="13"/>
  <c r="J1020" i="13"/>
  <c r="J1019" i="13"/>
  <c r="J1018" i="13"/>
  <c r="J1017" i="13"/>
  <c r="J1016" i="13"/>
  <c r="J1015" i="13"/>
  <c r="J1014" i="13"/>
  <c r="J1013" i="13"/>
  <c r="J1012" i="13"/>
  <c r="J1011" i="13"/>
  <c r="J1010" i="13"/>
  <c r="J1009" i="13"/>
  <c r="J1008" i="13"/>
  <c r="J1007" i="13"/>
  <c r="J1006" i="13"/>
  <c r="J1005" i="13"/>
  <c r="J1004" i="13"/>
  <c r="J1003" i="13"/>
  <c r="J1002" i="13"/>
  <c r="J1001" i="13"/>
  <c r="J1000" i="13"/>
  <c r="J999" i="13"/>
  <c r="J998" i="13"/>
  <c r="J997" i="13"/>
  <c r="J996" i="13"/>
  <c r="J995" i="13"/>
  <c r="J994" i="13"/>
  <c r="J993" i="13"/>
  <c r="J992" i="13"/>
  <c r="J991" i="13"/>
  <c r="J990" i="13"/>
  <c r="J989" i="13"/>
  <c r="J988" i="13"/>
  <c r="J987" i="13"/>
  <c r="J986" i="13"/>
  <c r="J985" i="13"/>
  <c r="J984" i="13"/>
  <c r="J983" i="13"/>
  <c r="J982" i="13"/>
  <c r="J981" i="13"/>
  <c r="J980" i="13"/>
  <c r="J979" i="13"/>
  <c r="J978" i="13"/>
  <c r="J977" i="13"/>
  <c r="J976" i="13"/>
  <c r="J975" i="13"/>
  <c r="J974" i="13"/>
  <c r="J973" i="13"/>
  <c r="J972" i="13"/>
  <c r="J971" i="13"/>
  <c r="J970" i="13"/>
  <c r="J969" i="13"/>
  <c r="J968" i="13"/>
  <c r="J967" i="13"/>
  <c r="J966" i="13"/>
  <c r="J965" i="13"/>
  <c r="J964" i="13"/>
  <c r="J963" i="13"/>
  <c r="J962" i="13"/>
  <c r="J961" i="13"/>
  <c r="J960" i="13"/>
  <c r="J959" i="13"/>
  <c r="J958" i="13"/>
  <c r="J957" i="13"/>
  <c r="J956" i="13"/>
  <c r="J955" i="13"/>
  <c r="J954" i="13"/>
  <c r="J953" i="13"/>
  <c r="J952" i="13"/>
  <c r="J951" i="13"/>
  <c r="J950" i="13"/>
  <c r="J949" i="13"/>
  <c r="J948" i="13"/>
  <c r="J947" i="13"/>
  <c r="J946" i="13"/>
  <c r="J945" i="13"/>
  <c r="J944" i="13"/>
  <c r="J943" i="13"/>
  <c r="J942" i="13"/>
  <c r="J941" i="13"/>
  <c r="J940" i="13"/>
  <c r="J939" i="13"/>
  <c r="J938" i="13"/>
  <c r="J937" i="13"/>
  <c r="J936" i="13"/>
  <c r="J935" i="13"/>
  <c r="J934" i="13"/>
  <c r="J933" i="13"/>
  <c r="J932" i="13"/>
  <c r="J931" i="13"/>
  <c r="J930" i="13"/>
  <c r="J929" i="13"/>
  <c r="J928" i="13"/>
  <c r="J927" i="13"/>
  <c r="J926" i="13"/>
  <c r="J925" i="13"/>
  <c r="J924" i="13"/>
  <c r="J923" i="13"/>
  <c r="J922" i="13"/>
  <c r="J921" i="13"/>
  <c r="J920" i="13"/>
  <c r="J919" i="13"/>
  <c r="J918" i="13"/>
  <c r="J917" i="13"/>
  <c r="J916" i="13"/>
  <c r="J915" i="13"/>
  <c r="J914" i="13"/>
  <c r="J913" i="13"/>
  <c r="J912" i="13"/>
  <c r="J911" i="13"/>
  <c r="J910" i="13"/>
  <c r="J909" i="13"/>
  <c r="J908" i="13"/>
  <c r="J907" i="13"/>
  <c r="J906" i="13"/>
  <c r="J905" i="13"/>
  <c r="J904" i="13"/>
  <c r="J903" i="13"/>
  <c r="J902" i="13"/>
  <c r="J901" i="13"/>
  <c r="J900" i="13"/>
  <c r="J899" i="13"/>
  <c r="J898" i="13"/>
  <c r="J897" i="13"/>
  <c r="J896" i="13"/>
  <c r="J895" i="13"/>
  <c r="J894" i="13"/>
  <c r="J893" i="13"/>
  <c r="J892" i="13"/>
  <c r="J891" i="13"/>
  <c r="J890" i="13"/>
  <c r="J889" i="13"/>
  <c r="J888" i="13"/>
  <c r="J887" i="13"/>
  <c r="J886" i="13"/>
  <c r="J885" i="13"/>
  <c r="J884" i="13"/>
  <c r="J883" i="13"/>
  <c r="J882" i="13"/>
  <c r="J881" i="13"/>
  <c r="J880" i="13"/>
  <c r="J879" i="13"/>
  <c r="J878" i="13"/>
  <c r="J877" i="13"/>
  <c r="J876" i="13"/>
  <c r="J875" i="13"/>
  <c r="J874" i="13"/>
  <c r="J873" i="13"/>
  <c r="J872" i="13"/>
  <c r="J871" i="13"/>
  <c r="J870" i="13"/>
  <c r="J869" i="13"/>
  <c r="J868" i="13"/>
  <c r="J867" i="13"/>
  <c r="J866" i="13"/>
  <c r="J865" i="13"/>
  <c r="J864" i="13"/>
  <c r="J863" i="13"/>
  <c r="J862" i="13"/>
  <c r="J861" i="13"/>
  <c r="J860" i="13"/>
  <c r="J859" i="13"/>
  <c r="J858" i="13"/>
  <c r="J857" i="13"/>
  <c r="J856" i="13"/>
  <c r="J855" i="13"/>
  <c r="J854" i="13"/>
  <c r="J853" i="13"/>
  <c r="J852" i="13"/>
  <c r="J851" i="13"/>
  <c r="J850" i="13"/>
  <c r="J849" i="13"/>
  <c r="J848" i="13"/>
  <c r="J847" i="13"/>
  <c r="J846" i="13"/>
  <c r="J845" i="13"/>
  <c r="J844" i="13"/>
  <c r="J843" i="13"/>
  <c r="J842" i="13"/>
  <c r="J841" i="13"/>
  <c r="J840" i="13"/>
  <c r="J839" i="13"/>
  <c r="J838" i="13"/>
  <c r="J837" i="13"/>
  <c r="J836" i="13"/>
  <c r="J835" i="13"/>
  <c r="J834" i="13"/>
  <c r="J833" i="13"/>
  <c r="J832" i="13"/>
  <c r="J831" i="13"/>
  <c r="J830" i="13"/>
  <c r="J829" i="13"/>
  <c r="J828" i="13"/>
  <c r="J827" i="13"/>
  <c r="J826" i="13"/>
  <c r="J825" i="13"/>
  <c r="J824" i="13"/>
  <c r="J823" i="13"/>
  <c r="J822" i="13"/>
  <c r="J821" i="13"/>
  <c r="J820" i="13"/>
  <c r="J819" i="13"/>
  <c r="J818" i="13"/>
  <c r="J817" i="13"/>
  <c r="J816" i="13"/>
  <c r="J815" i="13"/>
  <c r="J814" i="13"/>
  <c r="J813" i="13"/>
  <c r="J812" i="13"/>
  <c r="J811" i="13"/>
  <c r="J810" i="13"/>
  <c r="J809" i="13"/>
  <c r="J808" i="13"/>
  <c r="J807" i="13"/>
  <c r="J806" i="13"/>
  <c r="J805" i="13"/>
  <c r="J804" i="13"/>
  <c r="J803" i="13"/>
  <c r="J802" i="13"/>
  <c r="J801" i="13"/>
  <c r="J800" i="13"/>
  <c r="J799" i="13"/>
  <c r="J798" i="13"/>
  <c r="J797" i="13"/>
  <c r="J796" i="13"/>
  <c r="J795" i="13"/>
  <c r="J794" i="13"/>
  <c r="J793" i="13"/>
  <c r="J792" i="13"/>
  <c r="J791" i="13"/>
  <c r="J790" i="13"/>
  <c r="J789" i="13"/>
  <c r="J788" i="13"/>
  <c r="J787" i="13"/>
  <c r="J786" i="13"/>
  <c r="J785" i="13"/>
  <c r="J784" i="13"/>
  <c r="J783" i="13"/>
  <c r="J782" i="13"/>
  <c r="J781" i="13"/>
  <c r="J780" i="13"/>
  <c r="J779" i="13"/>
  <c r="J778" i="13"/>
  <c r="J777" i="13"/>
  <c r="J776" i="13"/>
  <c r="J775" i="13"/>
  <c r="J774" i="13"/>
  <c r="J773" i="13"/>
  <c r="J772" i="13"/>
  <c r="J771" i="13"/>
  <c r="J770" i="13"/>
  <c r="J769" i="13"/>
  <c r="J768" i="13"/>
  <c r="J767" i="13"/>
  <c r="J766" i="13"/>
  <c r="J765" i="13"/>
  <c r="J764" i="13"/>
  <c r="J763" i="13"/>
  <c r="J762" i="13"/>
  <c r="J761" i="13"/>
  <c r="J760" i="13"/>
  <c r="J759" i="13"/>
  <c r="J758" i="13"/>
  <c r="J757" i="13"/>
  <c r="J756" i="13"/>
  <c r="J755" i="13"/>
  <c r="J754" i="13"/>
  <c r="J753" i="13"/>
  <c r="J752" i="13"/>
  <c r="J751" i="13"/>
  <c r="J750" i="13"/>
  <c r="J749" i="13"/>
  <c r="J748" i="13"/>
  <c r="J747" i="13"/>
  <c r="J746" i="13"/>
  <c r="J745" i="13"/>
  <c r="J744" i="13"/>
  <c r="J743" i="13"/>
  <c r="J742" i="13"/>
  <c r="J741" i="13"/>
  <c r="J740" i="13"/>
  <c r="J739" i="13"/>
  <c r="J738" i="13"/>
  <c r="J737" i="13"/>
  <c r="J736" i="13"/>
  <c r="J735" i="13"/>
  <c r="J734" i="13"/>
  <c r="J733" i="13"/>
  <c r="J732" i="13"/>
  <c r="J731" i="13"/>
  <c r="J730" i="13"/>
  <c r="J729" i="13"/>
  <c r="J728" i="13"/>
  <c r="J727" i="13"/>
  <c r="J726" i="13"/>
  <c r="J725" i="13"/>
  <c r="J724" i="13"/>
  <c r="J723" i="13"/>
  <c r="J722" i="13"/>
  <c r="J721" i="13"/>
  <c r="J720" i="13"/>
  <c r="J719" i="13"/>
  <c r="J718" i="13"/>
  <c r="J717" i="13"/>
  <c r="J716" i="13"/>
  <c r="J715" i="13"/>
  <c r="J714" i="13"/>
  <c r="J713" i="13"/>
  <c r="J712" i="13"/>
  <c r="J711" i="13"/>
  <c r="J710" i="13"/>
  <c r="J709" i="13"/>
  <c r="J708" i="13"/>
  <c r="J707" i="13"/>
  <c r="J706" i="13"/>
  <c r="J705" i="13"/>
  <c r="J704" i="13"/>
  <c r="J703" i="13"/>
  <c r="J702" i="13"/>
  <c r="J701" i="13"/>
  <c r="J700" i="13"/>
  <c r="J699" i="13"/>
  <c r="J698" i="13"/>
  <c r="J697" i="13"/>
  <c r="J696" i="13"/>
  <c r="J695" i="13"/>
  <c r="J694" i="13"/>
  <c r="J693" i="13"/>
  <c r="J692" i="13"/>
  <c r="J691" i="13"/>
  <c r="J690" i="13"/>
  <c r="J689" i="13"/>
  <c r="J688" i="13"/>
  <c r="J687" i="13"/>
  <c r="J686" i="13"/>
  <c r="J685" i="13"/>
  <c r="J684" i="13"/>
  <c r="J683" i="13"/>
  <c r="J682" i="13"/>
  <c r="J681" i="13"/>
  <c r="J680" i="13"/>
  <c r="J679" i="13"/>
  <c r="J678" i="13"/>
  <c r="J677" i="13"/>
  <c r="J676" i="13"/>
  <c r="J675" i="13"/>
  <c r="J674" i="13"/>
  <c r="J673" i="13"/>
  <c r="J672" i="13"/>
  <c r="J671" i="13"/>
  <c r="J670" i="13"/>
  <c r="J669" i="13"/>
  <c r="J668" i="13"/>
  <c r="J667" i="13"/>
  <c r="J666" i="13"/>
  <c r="J665" i="13"/>
  <c r="J664" i="13"/>
  <c r="J663" i="13"/>
  <c r="J662" i="13"/>
  <c r="J661" i="13"/>
  <c r="J660" i="13"/>
  <c r="J659" i="13"/>
  <c r="J658" i="13"/>
  <c r="J657" i="13"/>
  <c r="J656" i="13"/>
  <c r="J655" i="13"/>
  <c r="J654" i="13"/>
  <c r="J653" i="13"/>
  <c r="J652" i="13"/>
  <c r="J651" i="13"/>
  <c r="J650" i="13"/>
  <c r="J649" i="13"/>
  <c r="J648" i="13"/>
  <c r="J647" i="13"/>
  <c r="J646" i="13"/>
  <c r="J645" i="13"/>
  <c r="J644" i="13"/>
  <c r="J643" i="13"/>
  <c r="J642" i="13"/>
  <c r="J641" i="13"/>
  <c r="J640" i="13"/>
  <c r="J639" i="13"/>
  <c r="J638" i="13"/>
  <c r="J637" i="13"/>
  <c r="J636" i="13"/>
  <c r="J635" i="13"/>
  <c r="J634" i="13"/>
  <c r="J633" i="13"/>
  <c r="J632" i="13"/>
  <c r="J631" i="13"/>
  <c r="J630" i="13"/>
  <c r="J629" i="13"/>
  <c r="J628" i="13"/>
  <c r="J627" i="13"/>
  <c r="J626" i="13"/>
  <c r="J625" i="13"/>
  <c r="J624" i="13"/>
  <c r="J623" i="13"/>
  <c r="J622" i="13"/>
  <c r="J621" i="13"/>
  <c r="J620" i="13"/>
  <c r="J619" i="13"/>
  <c r="J618" i="13"/>
  <c r="J617" i="13"/>
  <c r="J616" i="13"/>
  <c r="J615" i="13"/>
  <c r="J614" i="13"/>
  <c r="J613" i="13"/>
  <c r="J612" i="13"/>
  <c r="J611" i="13"/>
  <c r="J610" i="13"/>
  <c r="J609" i="13"/>
  <c r="J608" i="13"/>
  <c r="J607" i="13"/>
  <c r="J606" i="13"/>
  <c r="J605" i="13"/>
  <c r="J604" i="13"/>
  <c r="J603" i="13"/>
  <c r="J602" i="13"/>
  <c r="J601" i="13"/>
  <c r="J600" i="13"/>
  <c r="J599" i="13"/>
  <c r="J598" i="13"/>
  <c r="J597" i="13"/>
  <c r="J596" i="13"/>
  <c r="J595" i="13"/>
  <c r="J594" i="13"/>
  <c r="J593" i="13"/>
  <c r="J592" i="13"/>
  <c r="J591" i="13"/>
  <c r="J590" i="13"/>
  <c r="J589" i="13"/>
  <c r="J588" i="13"/>
  <c r="J587" i="13"/>
  <c r="J586" i="13"/>
  <c r="J585" i="13"/>
  <c r="J584" i="13"/>
  <c r="J583" i="13"/>
  <c r="J582" i="13"/>
  <c r="J581" i="13"/>
  <c r="J580" i="13"/>
  <c r="J579" i="13"/>
  <c r="J578" i="13"/>
  <c r="J577" i="13"/>
  <c r="J576" i="13"/>
  <c r="J575" i="13"/>
  <c r="J574" i="13"/>
  <c r="J573" i="13"/>
  <c r="J572" i="13"/>
  <c r="J571" i="13"/>
  <c r="J570" i="13"/>
  <c r="J569" i="13"/>
  <c r="J568" i="13"/>
  <c r="J567" i="13"/>
  <c r="J566" i="13"/>
  <c r="J565" i="13"/>
  <c r="J564" i="13"/>
  <c r="J563" i="13"/>
  <c r="J562" i="13"/>
  <c r="J561" i="13"/>
  <c r="J560" i="13"/>
  <c r="J559" i="13"/>
  <c r="J558" i="13"/>
  <c r="J557" i="13"/>
  <c r="J556" i="13"/>
  <c r="J555" i="13"/>
  <c r="J554" i="13"/>
  <c r="J553" i="13"/>
  <c r="J552" i="13"/>
  <c r="J551" i="13"/>
  <c r="J550" i="13"/>
  <c r="J549" i="13"/>
  <c r="J548" i="13"/>
  <c r="J547" i="13"/>
  <c r="J546" i="13"/>
  <c r="J545" i="13"/>
  <c r="J544" i="13"/>
  <c r="J543" i="13"/>
  <c r="J542" i="13"/>
  <c r="J541" i="13"/>
  <c r="J540" i="13"/>
  <c r="J539" i="13"/>
  <c r="J538" i="13"/>
  <c r="J537" i="13"/>
  <c r="J536" i="13"/>
  <c r="J535" i="13"/>
  <c r="J534" i="13"/>
  <c r="J533" i="13"/>
  <c r="J532" i="13"/>
  <c r="J531" i="13"/>
  <c r="J530" i="13"/>
  <c r="J529" i="13"/>
  <c r="J528" i="13"/>
  <c r="J527" i="13"/>
  <c r="J526" i="13"/>
  <c r="J525" i="13"/>
  <c r="J524" i="13"/>
  <c r="J523" i="13"/>
  <c r="J522" i="13"/>
  <c r="J521" i="13"/>
  <c r="J520" i="13"/>
  <c r="J519" i="13"/>
  <c r="J518" i="13"/>
  <c r="J517" i="13"/>
  <c r="J516" i="13"/>
  <c r="J515" i="13"/>
  <c r="J514" i="13"/>
  <c r="J513" i="13"/>
  <c r="J512" i="13"/>
  <c r="J511" i="13"/>
  <c r="J510" i="13"/>
  <c r="J509" i="13"/>
  <c r="J508" i="13"/>
  <c r="J507" i="13"/>
  <c r="J506" i="13"/>
  <c r="J505" i="13"/>
  <c r="J504" i="13"/>
  <c r="J503" i="13"/>
  <c r="J502" i="13"/>
  <c r="J501" i="13"/>
  <c r="J500" i="13"/>
  <c r="J499" i="13"/>
  <c r="J498" i="13"/>
  <c r="J497" i="13"/>
  <c r="J496" i="13"/>
  <c r="J495" i="13"/>
  <c r="J494" i="13"/>
  <c r="J493" i="13"/>
  <c r="J492" i="13"/>
  <c r="J491" i="13"/>
  <c r="J490" i="13"/>
  <c r="J489" i="13"/>
  <c r="J488" i="13"/>
  <c r="J487" i="13"/>
  <c r="J486" i="13"/>
  <c r="J485" i="13"/>
  <c r="J484" i="13"/>
  <c r="J483" i="13"/>
  <c r="J482" i="13"/>
  <c r="J481" i="13"/>
  <c r="J480" i="13"/>
  <c r="J479" i="13"/>
  <c r="J478" i="13"/>
  <c r="J477" i="13"/>
  <c r="J476" i="13"/>
  <c r="J475" i="13"/>
  <c r="J474" i="13"/>
  <c r="J473" i="13"/>
  <c r="J472" i="13"/>
  <c r="J471" i="13"/>
  <c r="J470" i="13"/>
  <c r="J469" i="13"/>
  <c r="J468" i="13"/>
  <c r="J467" i="13"/>
  <c r="J466" i="13"/>
  <c r="J465" i="13"/>
  <c r="J464" i="13"/>
  <c r="J463" i="13"/>
  <c r="J462" i="13"/>
  <c r="J461" i="13"/>
  <c r="J460" i="13"/>
  <c r="J459" i="13"/>
  <c r="J458" i="13"/>
  <c r="J457" i="13"/>
  <c r="J456" i="13"/>
  <c r="J455" i="13"/>
  <c r="J454" i="13"/>
  <c r="J453" i="13"/>
  <c r="J452" i="13"/>
  <c r="J451" i="13"/>
  <c r="J450" i="13"/>
  <c r="J449" i="13"/>
  <c r="J448" i="13"/>
  <c r="J447" i="13"/>
  <c r="J446" i="13"/>
  <c r="J445" i="13"/>
  <c r="J444" i="13"/>
  <c r="J443" i="13"/>
  <c r="J442" i="13"/>
  <c r="J441" i="13"/>
  <c r="J440" i="13"/>
  <c r="J439" i="13"/>
  <c r="J438" i="13"/>
  <c r="J437" i="13"/>
  <c r="J436" i="13"/>
  <c r="J435" i="13"/>
  <c r="J434" i="13"/>
  <c r="J433" i="13"/>
  <c r="J432" i="13"/>
  <c r="J431" i="13"/>
  <c r="J430" i="13"/>
  <c r="J429" i="13"/>
  <c r="J428" i="13"/>
  <c r="J427" i="13"/>
  <c r="J426" i="13"/>
  <c r="J425" i="13"/>
  <c r="J424" i="13"/>
  <c r="J423" i="13"/>
  <c r="J422" i="13"/>
  <c r="J421" i="13"/>
  <c r="J420" i="13"/>
  <c r="J419" i="13"/>
  <c r="J418" i="13"/>
  <c r="J417" i="13"/>
  <c r="J416" i="13"/>
  <c r="J415" i="13"/>
  <c r="J414" i="13"/>
  <c r="J413" i="13"/>
  <c r="J412" i="13"/>
  <c r="J411" i="13"/>
  <c r="J410" i="13"/>
  <c r="J409" i="13"/>
  <c r="J408" i="13"/>
  <c r="J407" i="13"/>
  <c r="J406" i="13"/>
  <c r="J405" i="13"/>
  <c r="J404" i="13"/>
  <c r="J403" i="13"/>
  <c r="J402" i="13"/>
  <c r="J401" i="13"/>
  <c r="J400" i="13"/>
  <c r="J399" i="13"/>
  <c r="J398" i="13"/>
  <c r="J397" i="13"/>
  <c r="J396" i="13"/>
  <c r="J395" i="13"/>
  <c r="J394" i="13"/>
  <c r="J393" i="13"/>
  <c r="J392" i="13"/>
  <c r="J391" i="13"/>
  <c r="J390" i="13"/>
  <c r="J389" i="13"/>
  <c r="J388" i="13"/>
  <c r="J387" i="13"/>
  <c r="J386" i="13"/>
  <c r="J385" i="13"/>
  <c r="J384" i="13"/>
  <c r="J383" i="13"/>
  <c r="J382" i="13"/>
  <c r="J381" i="13"/>
  <c r="J380" i="13"/>
  <c r="J379" i="13"/>
  <c r="J378" i="13"/>
  <c r="J377" i="13"/>
  <c r="J376" i="13"/>
  <c r="J375" i="13"/>
  <c r="J374" i="13"/>
  <c r="J373" i="13"/>
  <c r="J372" i="13"/>
  <c r="J371" i="13"/>
  <c r="J370" i="13"/>
  <c r="J369" i="13"/>
  <c r="J368" i="13"/>
  <c r="J367" i="13"/>
  <c r="J366" i="13"/>
  <c r="J365" i="13"/>
  <c r="J364" i="13"/>
  <c r="J363" i="13"/>
  <c r="J362" i="13"/>
  <c r="J361" i="13"/>
  <c r="J360" i="13"/>
  <c r="J359" i="13"/>
  <c r="J358" i="13"/>
  <c r="J357" i="13"/>
  <c r="J356" i="13"/>
  <c r="J355" i="13"/>
  <c r="J354" i="13"/>
  <c r="J353" i="13"/>
  <c r="J352" i="13"/>
  <c r="J351" i="13"/>
  <c r="J350" i="13"/>
  <c r="J349" i="13"/>
  <c r="J348" i="13"/>
  <c r="J347" i="13"/>
  <c r="J346" i="13"/>
  <c r="J345" i="13"/>
  <c r="J344" i="13"/>
  <c r="J343" i="13"/>
  <c r="J342" i="13"/>
  <c r="J341" i="13"/>
  <c r="J340" i="13"/>
  <c r="J339" i="13"/>
  <c r="J338" i="13"/>
  <c r="J337" i="13"/>
  <c r="J336" i="13"/>
  <c r="J335" i="13"/>
  <c r="J334" i="13"/>
  <c r="J333" i="13"/>
  <c r="J332" i="13"/>
  <c r="J331" i="13"/>
  <c r="J330" i="13"/>
  <c r="J329" i="13"/>
  <c r="J328" i="13"/>
  <c r="J327" i="13"/>
  <c r="J326" i="13"/>
  <c r="J325" i="13"/>
  <c r="J324" i="13"/>
  <c r="J323" i="13"/>
  <c r="J322" i="13"/>
  <c r="J321" i="13"/>
  <c r="J320" i="13"/>
  <c r="J319" i="13"/>
  <c r="J318" i="13"/>
  <c r="J317" i="13"/>
  <c r="J316" i="13"/>
  <c r="J315" i="13"/>
  <c r="J314" i="13"/>
  <c r="J313" i="13"/>
  <c r="J312" i="13"/>
  <c r="J311" i="13"/>
  <c r="J310" i="13"/>
  <c r="J309" i="13"/>
  <c r="J308" i="13"/>
  <c r="J307" i="13"/>
  <c r="J306" i="13"/>
  <c r="J305" i="13"/>
  <c r="J304" i="13"/>
  <c r="J303" i="13"/>
  <c r="J302" i="13"/>
  <c r="J301" i="13"/>
  <c r="J300" i="13"/>
  <c r="J299" i="13"/>
  <c r="J298" i="13"/>
  <c r="J297" i="13"/>
  <c r="J296" i="13"/>
  <c r="J295" i="13"/>
  <c r="J294" i="13"/>
  <c r="J293" i="13"/>
  <c r="J292" i="13"/>
  <c r="J291" i="13"/>
  <c r="J290" i="13"/>
  <c r="J289" i="13"/>
  <c r="J288" i="13"/>
  <c r="J287" i="13"/>
  <c r="J286" i="13"/>
  <c r="J285" i="13"/>
  <c r="J284" i="13"/>
  <c r="J283" i="13"/>
  <c r="J282" i="13"/>
  <c r="J281" i="13"/>
  <c r="J280" i="13"/>
  <c r="J279" i="13"/>
  <c r="J278" i="13"/>
  <c r="J277" i="13"/>
  <c r="J276" i="13"/>
  <c r="J275" i="13"/>
  <c r="J274" i="13"/>
  <c r="J273" i="13"/>
  <c r="J272" i="13"/>
  <c r="J271" i="13"/>
  <c r="J270" i="13"/>
  <c r="J269" i="13"/>
  <c r="J268" i="13"/>
  <c r="J267" i="13"/>
  <c r="J266" i="13"/>
  <c r="J265" i="13"/>
  <c r="J264" i="13"/>
  <c r="J263" i="13"/>
  <c r="J262" i="13"/>
  <c r="J261" i="13"/>
  <c r="J260" i="13"/>
  <c r="J259" i="13"/>
  <c r="J258" i="13"/>
  <c r="J257" i="13"/>
  <c r="J256" i="13"/>
  <c r="J255" i="13"/>
  <c r="J254" i="13"/>
  <c r="J253" i="13"/>
  <c r="J252" i="13"/>
  <c r="J251" i="13"/>
  <c r="J250" i="13"/>
  <c r="J249" i="13"/>
  <c r="J248" i="13"/>
  <c r="J247" i="13"/>
  <c r="J246" i="13"/>
  <c r="J245" i="13"/>
  <c r="J244" i="13"/>
  <c r="J243" i="13"/>
  <c r="J241" i="13"/>
  <c r="J240" i="13"/>
  <c r="J239" i="13"/>
  <c r="J238" i="13"/>
  <c r="J237" i="13"/>
  <c r="J236" i="13"/>
  <c r="J235" i="13"/>
  <c r="J234" i="13"/>
  <c r="J233" i="13"/>
  <c r="J232" i="13"/>
  <c r="J231" i="13"/>
  <c r="J230" i="13"/>
  <c r="J229" i="13"/>
  <c r="J228" i="13"/>
  <c r="J227" i="13"/>
  <c r="J226" i="13"/>
  <c r="J225" i="13"/>
  <c r="J224" i="13"/>
  <c r="J223" i="13"/>
  <c r="J222" i="13"/>
  <c r="J221" i="13"/>
  <c r="J220" i="13"/>
  <c r="J219" i="13"/>
  <c r="J218" i="13"/>
  <c r="J217" i="13"/>
  <c r="J216" i="13"/>
  <c r="J215" i="13"/>
  <c r="J214" i="13"/>
  <c r="J213" i="13"/>
  <c r="J212" i="13"/>
  <c r="J211" i="13"/>
  <c r="J210" i="13"/>
  <c r="J209" i="13"/>
  <c r="J208" i="13"/>
  <c r="J207" i="13"/>
  <c r="J206" i="13"/>
  <c r="J205" i="13"/>
  <c r="J204" i="13"/>
  <c r="J203" i="13"/>
  <c r="J202" i="13"/>
  <c r="J201" i="13"/>
  <c r="J200" i="13"/>
  <c r="J199" i="13"/>
  <c r="J198" i="13"/>
  <c r="J197" i="13"/>
  <c r="J196" i="13"/>
  <c r="J195" i="13"/>
  <c r="J194" i="13"/>
  <c r="J193" i="13"/>
  <c r="J192" i="13"/>
  <c r="J191" i="13"/>
  <c r="J190" i="13"/>
  <c r="J189" i="13"/>
  <c r="J188" i="13"/>
  <c r="J187" i="13"/>
  <c r="J186" i="13"/>
  <c r="J185" i="13"/>
  <c r="J184" i="13"/>
  <c r="J183" i="13"/>
  <c r="J182" i="13"/>
  <c r="J181" i="13"/>
  <c r="J180" i="13"/>
  <c r="J179" i="13"/>
  <c r="J178" i="13"/>
  <c r="J177" i="13"/>
  <c r="J176" i="13"/>
  <c r="J175" i="13"/>
  <c r="J174" i="13"/>
  <c r="J173" i="13"/>
  <c r="J172" i="13"/>
  <c r="J171" i="13"/>
  <c r="J170" i="13"/>
  <c r="J169" i="13"/>
  <c r="J168" i="13"/>
  <c r="J167" i="13"/>
  <c r="J166" i="13"/>
  <c r="J165" i="13"/>
  <c r="J164" i="13"/>
  <c r="J163" i="13"/>
  <c r="J162" i="13"/>
  <c r="J161" i="13"/>
  <c r="J160" i="13"/>
  <c r="J159" i="13"/>
  <c r="J158" i="13"/>
  <c r="J157" i="13"/>
  <c r="J156" i="13"/>
  <c r="J155" i="13"/>
  <c r="J154" i="13"/>
  <c r="J153" i="13"/>
  <c r="J152" i="13"/>
  <c r="J151" i="13"/>
  <c r="J150" i="13"/>
  <c r="J149" i="13"/>
  <c r="J148" i="13"/>
  <c r="J147" i="13"/>
  <c r="J146" i="13"/>
  <c r="J145" i="13"/>
  <c r="J144" i="13"/>
  <c r="J143" i="13"/>
  <c r="J142" i="13"/>
  <c r="J141" i="13"/>
  <c r="J140" i="13"/>
  <c r="J139" i="13"/>
  <c r="J138" i="13"/>
  <c r="J137" i="13"/>
  <c r="J136" i="13"/>
  <c r="J135" i="13"/>
  <c r="J134" i="13"/>
  <c r="J133" i="13"/>
  <c r="J132" i="13"/>
  <c r="J131" i="13"/>
  <c r="J130" i="13"/>
  <c r="J129" i="13"/>
  <c r="J128" i="13"/>
  <c r="J127" i="13"/>
  <c r="J126" i="13"/>
  <c r="J125" i="13"/>
  <c r="J124" i="13"/>
  <c r="J123" i="13"/>
  <c r="J122" i="13"/>
  <c r="J121" i="13"/>
  <c r="J120" i="13"/>
  <c r="J119" i="13"/>
  <c r="J118" i="13"/>
  <c r="J117" i="13"/>
  <c r="J116" i="13"/>
  <c r="J115" i="13"/>
  <c r="J114" i="13"/>
  <c r="J113" i="13"/>
  <c r="J112" i="13"/>
  <c r="J111" i="13"/>
  <c r="J110" i="13"/>
  <c r="J109" i="13"/>
  <c r="J108" i="13"/>
  <c r="J107" i="13"/>
  <c r="J106" i="13"/>
  <c r="J105" i="13"/>
  <c r="J104" i="13"/>
  <c r="J103" i="13"/>
  <c r="J102" i="13"/>
  <c r="J101" i="13"/>
  <c r="J100" i="13"/>
  <c r="J99" i="13"/>
  <c r="J98" i="13"/>
  <c r="J97" i="13"/>
  <c r="J96" i="13"/>
  <c r="J95" i="13"/>
  <c r="J94" i="13"/>
  <c r="J93" i="13"/>
  <c r="J92" i="13"/>
  <c r="J91" i="13"/>
  <c r="J90" i="13"/>
  <c r="J89" i="13"/>
  <c r="J88" i="13"/>
  <c r="J87" i="13"/>
  <c r="J86" i="13"/>
  <c r="J85" i="13"/>
  <c r="J84" i="13"/>
  <c r="J83" i="13"/>
  <c r="J82" i="13"/>
  <c r="J81" i="13"/>
  <c r="J80" i="13"/>
  <c r="J79" i="13"/>
  <c r="J78" i="13"/>
  <c r="J77" i="13"/>
  <c r="J76" i="13"/>
  <c r="J75" i="13"/>
  <c r="J74" i="13"/>
  <c r="J73" i="13"/>
  <c r="J72" i="13"/>
  <c r="J71" i="13"/>
  <c r="J70" i="13"/>
  <c r="J69" i="13"/>
  <c r="J68" i="13"/>
  <c r="J67" i="13"/>
  <c r="J66" i="13"/>
  <c r="J65" i="13"/>
  <c r="J64" i="13"/>
  <c r="J63" i="13"/>
  <c r="J62" i="13"/>
  <c r="J61" i="13"/>
  <c r="J60" i="13"/>
  <c r="J59" i="13"/>
  <c r="J58" i="13"/>
  <c r="J57" i="13"/>
  <c r="J56" i="13"/>
  <c r="J55" i="13"/>
  <c r="J54" i="13"/>
  <c r="J53" i="13"/>
  <c r="J52" i="13"/>
  <c r="J51" i="13"/>
  <c r="J50" i="13"/>
  <c r="J49" i="13"/>
  <c r="J48" i="13"/>
  <c r="J47" i="13"/>
  <c r="J46" i="13"/>
  <c r="J45" i="13"/>
  <c r="J44" i="13"/>
  <c r="J43" i="13"/>
  <c r="J42" i="13"/>
  <c r="J41" i="13"/>
  <c r="J40" i="13"/>
  <c r="J39" i="13"/>
  <c r="J38" i="13"/>
  <c r="J37" i="13"/>
  <c r="J36" i="13"/>
  <c r="J35" i="13"/>
  <c r="J34" i="13"/>
  <c r="J33" i="13"/>
  <c r="J32" i="13"/>
  <c r="J31" i="13"/>
  <c r="J30" i="13"/>
  <c r="J29" i="13"/>
  <c r="J28" i="13"/>
  <c r="J27" i="13"/>
  <c r="J26" i="13"/>
  <c r="J25" i="13"/>
  <c r="J24" i="13"/>
  <c r="J23" i="13"/>
  <c r="J22" i="13"/>
  <c r="J21" i="13"/>
  <c r="J20" i="13"/>
  <c r="J19" i="13"/>
  <c r="J18" i="13"/>
  <c r="J17" i="13"/>
  <c r="J16" i="13"/>
  <c r="J15" i="13"/>
  <c r="J14" i="13"/>
  <c r="J13" i="13"/>
  <c r="J12" i="13"/>
  <c r="J11" i="13"/>
  <c r="J10" i="13"/>
  <c r="J9" i="13"/>
  <c r="J8" i="13"/>
  <c r="J7" i="13"/>
  <c r="J6" i="13"/>
  <c r="K835" i="13" l="1"/>
  <c r="K839" i="13"/>
  <c r="K843" i="13"/>
  <c r="K847" i="13"/>
  <c r="K851" i="13"/>
  <c r="K855" i="13"/>
  <c r="K859" i="13"/>
  <c r="K863" i="13"/>
  <c r="K867" i="13"/>
  <c r="K871" i="13"/>
  <c r="K875" i="13"/>
  <c r="K879" i="13"/>
  <c r="K883" i="13"/>
  <c r="K887" i="13"/>
  <c r="K891" i="13"/>
  <c r="K895" i="13"/>
  <c r="K899" i="13"/>
  <c r="K903" i="13"/>
  <c r="K907" i="13"/>
  <c r="K911" i="13"/>
  <c r="K915" i="13"/>
  <c r="K919" i="13"/>
  <c r="K923" i="13"/>
  <c r="K927" i="13"/>
  <c r="K931" i="13"/>
  <c r="K935" i="13"/>
  <c r="K939" i="13"/>
  <c r="K943" i="13"/>
  <c r="K947" i="13"/>
  <c r="K951" i="13"/>
  <c r="K955" i="13"/>
  <c r="K959" i="13"/>
  <c r="K963" i="13"/>
  <c r="K967" i="13"/>
  <c r="K971" i="13"/>
  <c r="K975" i="13"/>
  <c r="K979" i="13"/>
  <c r="K983" i="13"/>
  <c r="K987" i="13"/>
  <c r="K991" i="13"/>
  <c r="K995" i="13"/>
  <c r="K999" i="13"/>
  <c r="K1003" i="13"/>
  <c r="K1007" i="13"/>
  <c r="K1011" i="13"/>
  <c r="K1015" i="13"/>
  <c r="K1019" i="13"/>
  <c r="K1023" i="13"/>
  <c r="K1027" i="13"/>
  <c r="K1031" i="13"/>
  <c r="K1035" i="13"/>
  <c r="K1039" i="13"/>
  <c r="K1043" i="13"/>
  <c r="K1047" i="13"/>
  <c r="K1051" i="13"/>
  <c r="K1055" i="13"/>
  <c r="K1059" i="13"/>
  <c r="K1063" i="13"/>
  <c r="K1067" i="13"/>
  <c r="K1071" i="13"/>
  <c r="K1075" i="13"/>
  <c r="K1079" i="13"/>
  <c r="K1083" i="13"/>
  <c r="K1087" i="13"/>
  <c r="K1091" i="13"/>
  <c r="K1095" i="13"/>
  <c r="K1099" i="13"/>
  <c r="K1103" i="13"/>
  <c r="K1107" i="13"/>
  <c r="K1111" i="13"/>
  <c r="K1115" i="13"/>
  <c r="K1119" i="13"/>
  <c r="K1123" i="13"/>
  <c r="K1127" i="13"/>
  <c r="K1131" i="13"/>
  <c r="K1135" i="13"/>
  <c r="K1139" i="13"/>
  <c r="K1143" i="13"/>
  <c r="K1147" i="13"/>
  <c r="K1151" i="13"/>
  <c r="K1155" i="13"/>
  <c r="K1159" i="13"/>
  <c r="K1163" i="13"/>
  <c r="K1167" i="13"/>
  <c r="K1171" i="13"/>
  <c r="K1175" i="13"/>
  <c r="K1179" i="13"/>
  <c r="K1183" i="13"/>
  <c r="K1187" i="13"/>
  <c r="K1191" i="13"/>
  <c r="K1195" i="13"/>
  <c r="K1199" i="13"/>
  <c r="K1203" i="13"/>
  <c r="K1207" i="13"/>
  <c r="K1211" i="13"/>
  <c r="K1215" i="13"/>
  <c r="K1219" i="13"/>
  <c r="K1223" i="13"/>
  <c r="K1227" i="13"/>
  <c r="K1231" i="13"/>
  <c r="K1235" i="13"/>
  <c r="K1239" i="13"/>
  <c r="K1243" i="13"/>
  <c r="K1247" i="13"/>
  <c r="K1251" i="13"/>
  <c r="K1255" i="13"/>
  <c r="K1259" i="13"/>
  <c r="K1263" i="13"/>
  <c r="K7" i="13"/>
  <c r="K11" i="13"/>
  <c r="K15" i="13"/>
  <c r="K19" i="13"/>
  <c r="K23" i="13"/>
  <c r="K27" i="13"/>
  <c r="K31" i="13"/>
  <c r="K35" i="13"/>
  <c r="K39" i="13"/>
  <c r="K43" i="13"/>
  <c r="K47" i="13"/>
  <c r="K51" i="13"/>
  <c r="K55" i="13"/>
  <c r="K59" i="13"/>
  <c r="K63" i="13"/>
  <c r="K67" i="13"/>
  <c r="K71" i="13"/>
  <c r="K75" i="13"/>
  <c r="K79" i="13"/>
  <c r="K83" i="13"/>
  <c r="K87" i="13"/>
  <c r="K91" i="13"/>
  <c r="K95" i="13"/>
  <c r="K99" i="13"/>
  <c r="K103" i="13"/>
  <c r="K107" i="13"/>
  <c r="K111" i="13"/>
  <c r="K115" i="13"/>
  <c r="K119" i="13"/>
  <c r="K123" i="13"/>
  <c r="K127" i="13"/>
  <c r="K131" i="13"/>
  <c r="K135" i="13"/>
  <c r="K139" i="13"/>
  <c r="K143" i="13"/>
  <c r="K147" i="13"/>
  <c r="K151" i="13"/>
  <c r="K155" i="13"/>
  <c r="K159" i="13"/>
  <c r="K163" i="13"/>
  <c r="K167" i="13"/>
  <c r="K171" i="13"/>
  <c r="K175" i="13"/>
  <c r="K179" i="13"/>
  <c r="K183" i="13"/>
  <c r="K187" i="13"/>
  <c r="K191" i="13"/>
  <c r="K195" i="13"/>
  <c r="K199" i="13"/>
  <c r="K203" i="13"/>
  <c r="K207" i="13"/>
  <c r="K211" i="13"/>
  <c r="K215" i="13"/>
  <c r="K219" i="13"/>
  <c r="K223" i="13"/>
  <c r="K227" i="13"/>
  <c r="K231" i="13"/>
  <c r="K235" i="13"/>
  <c r="K239" i="13"/>
  <c r="K243" i="13"/>
  <c r="K247" i="13"/>
  <c r="K251" i="13"/>
  <c r="K255" i="13"/>
  <c r="K259" i="13"/>
  <c r="K263" i="13"/>
  <c r="K267" i="13"/>
  <c r="K271" i="13"/>
  <c r="K275" i="13"/>
  <c r="K279" i="13"/>
  <c r="K283" i="13"/>
  <c r="K287" i="13"/>
  <c r="K291" i="13"/>
  <c r="K295" i="13"/>
  <c r="K299" i="13"/>
  <c r="K303" i="13"/>
  <c r="K307" i="13"/>
  <c r="K311" i="13"/>
  <c r="K315" i="13"/>
  <c r="K319" i="13"/>
  <c r="K323" i="13"/>
  <c r="K327" i="13"/>
  <c r="K331" i="13"/>
  <c r="K335" i="13"/>
  <c r="K339" i="13"/>
  <c r="K343" i="13"/>
  <c r="K347" i="13"/>
  <c r="K351" i="13"/>
  <c r="K355" i="13"/>
  <c r="K359" i="13"/>
  <c r="K363" i="13"/>
  <c r="K367" i="13"/>
  <c r="K371" i="13"/>
  <c r="K375" i="13"/>
  <c r="K379" i="13"/>
  <c r="K383" i="13"/>
  <c r="K387" i="13"/>
  <c r="K391" i="13"/>
  <c r="K395" i="13"/>
  <c r="K399" i="13"/>
  <c r="K403" i="13"/>
  <c r="K407" i="13"/>
  <c r="K411" i="13"/>
  <c r="K415" i="13"/>
  <c r="K419" i="13"/>
  <c r="K423" i="13"/>
  <c r="K427" i="13"/>
  <c r="K431" i="13"/>
  <c r="K435" i="13"/>
  <c r="K439" i="13"/>
  <c r="K443" i="13"/>
  <c r="K447" i="13"/>
  <c r="K451" i="13"/>
  <c r="K455" i="13"/>
  <c r="K459" i="13"/>
  <c r="K463" i="13"/>
  <c r="K467" i="13"/>
  <c r="K471" i="13"/>
  <c r="K475" i="13"/>
  <c r="K479" i="13"/>
  <c r="K483" i="13"/>
  <c r="K487" i="13"/>
  <c r="K491" i="13"/>
  <c r="K495" i="13"/>
  <c r="K499" i="13"/>
  <c r="K503" i="13"/>
  <c r="K507" i="13"/>
  <c r="K511" i="13"/>
  <c r="K515" i="13"/>
  <c r="K519" i="13"/>
  <c r="K523" i="13"/>
  <c r="K527" i="13"/>
  <c r="K531" i="13"/>
  <c r="K535" i="13"/>
  <c r="K539" i="13"/>
  <c r="K543" i="13"/>
  <c r="K547" i="13"/>
  <c r="K551" i="13"/>
  <c r="K555" i="13"/>
  <c r="K559" i="13"/>
  <c r="K563" i="13"/>
  <c r="K567" i="13"/>
  <c r="K571" i="13"/>
  <c r="K575" i="13"/>
  <c r="K579" i="13"/>
  <c r="K583" i="13"/>
  <c r="K587" i="13"/>
  <c r="K591" i="13"/>
  <c r="K595" i="13"/>
  <c r="K599" i="13"/>
  <c r="K603" i="13"/>
  <c r="K607" i="13"/>
  <c r="K611" i="13"/>
  <c r="K615" i="13"/>
  <c r="K619" i="13"/>
  <c r="K623" i="13"/>
  <c r="K627" i="13"/>
  <c r="K631" i="13"/>
  <c r="K635" i="13"/>
  <c r="K639" i="13"/>
  <c r="K643" i="13"/>
  <c r="K647" i="13"/>
  <c r="K651" i="13"/>
  <c r="K655" i="13"/>
  <c r="K659" i="13"/>
  <c r="K663" i="13"/>
  <c r="K667" i="13"/>
  <c r="K671" i="13"/>
  <c r="K675" i="13"/>
  <c r="K679" i="13"/>
  <c r="K683" i="13"/>
  <c r="K687" i="13"/>
  <c r="K691" i="13"/>
  <c r="K695" i="13"/>
  <c r="K699" i="13"/>
  <c r="K703" i="13"/>
  <c r="K707" i="13"/>
  <c r="K711" i="13"/>
  <c r="K715" i="13"/>
  <c r="K719" i="13"/>
  <c r="K723" i="13"/>
  <c r="K727" i="13"/>
  <c r="K731" i="13"/>
  <c r="K735" i="13"/>
  <c r="K739" i="13"/>
  <c r="K743" i="13"/>
  <c r="K747" i="13"/>
  <c r="K751" i="13"/>
  <c r="K755" i="13"/>
  <c r="K759" i="13"/>
  <c r="K763" i="13"/>
  <c r="K767" i="13"/>
  <c r="K771" i="13"/>
  <c r="K775" i="13"/>
  <c r="K779" i="13"/>
  <c r="K783" i="13"/>
  <c r="K787" i="13"/>
  <c r="K791" i="13"/>
  <c r="K795" i="13"/>
  <c r="K799" i="13"/>
  <c r="K803" i="13"/>
  <c r="K807" i="13"/>
  <c r="K811" i="13"/>
  <c r="K815" i="13"/>
  <c r="K819" i="13"/>
  <c r="K823" i="13"/>
  <c r="K827" i="13"/>
  <c r="K831" i="13"/>
  <c r="N9" i="13"/>
  <c r="N13" i="13"/>
  <c r="N17" i="13"/>
  <c r="N21" i="13"/>
  <c r="N25" i="13"/>
  <c r="N29" i="13"/>
  <c r="N33" i="13"/>
  <c r="N37" i="13"/>
  <c r="N41" i="13"/>
  <c r="N45" i="13"/>
  <c r="N49" i="13"/>
  <c r="N53" i="13"/>
  <c r="N57" i="13"/>
  <c r="N61" i="13"/>
  <c r="N65" i="13"/>
  <c r="N69" i="13"/>
  <c r="N73" i="13"/>
  <c r="N77" i="13"/>
  <c r="N81" i="13"/>
  <c r="N85" i="13"/>
  <c r="N89" i="13"/>
  <c r="N93" i="13"/>
  <c r="N97" i="13"/>
  <c r="N101" i="13"/>
  <c r="N105" i="13"/>
  <c r="N109" i="13"/>
  <c r="N113" i="13"/>
  <c r="N117" i="13"/>
  <c r="N121" i="13"/>
  <c r="N125" i="13"/>
  <c r="N129" i="13"/>
  <c r="N133" i="13"/>
  <c r="N137" i="13"/>
  <c r="N141" i="13"/>
  <c r="N145" i="13"/>
  <c r="N149" i="13"/>
  <c r="N153" i="13"/>
  <c r="N157" i="13"/>
  <c r="N161" i="13"/>
  <c r="N165" i="13"/>
  <c r="N169" i="13"/>
  <c r="N173" i="13"/>
  <c r="N177" i="13"/>
  <c r="N181" i="13"/>
  <c r="N185" i="13"/>
  <c r="N189" i="13"/>
  <c r="N193" i="13"/>
  <c r="N197" i="13"/>
  <c r="N201" i="13"/>
  <c r="N205" i="13"/>
  <c r="N209" i="13"/>
  <c r="N213" i="13"/>
  <c r="N217" i="13"/>
  <c r="N221" i="13"/>
  <c r="N225" i="13"/>
  <c r="N229" i="13"/>
  <c r="N233" i="13"/>
  <c r="N237" i="13"/>
  <c r="N241" i="13"/>
  <c r="N245" i="13"/>
  <c r="N249" i="13"/>
  <c r="N253" i="13"/>
  <c r="N257" i="13"/>
  <c r="N261" i="13"/>
  <c r="N265" i="13"/>
  <c r="N269" i="13"/>
  <c r="N273" i="13"/>
  <c r="N277" i="13"/>
  <c r="N281" i="13"/>
  <c r="N285" i="13"/>
  <c r="N289" i="13"/>
  <c r="N293" i="13"/>
  <c r="N297" i="13"/>
  <c r="N301" i="13"/>
  <c r="N305" i="13"/>
  <c r="N309" i="13"/>
  <c r="N313" i="13"/>
  <c r="N317" i="13"/>
  <c r="N321" i="13"/>
  <c r="N325" i="13"/>
  <c r="N329" i="13"/>
  <c r="N333" i="13"/>
  <c r="N337" i="13"/>
  <c r="N341" i="13"/>
  <c r="N345" i="13"/>
  <c r="N349" i="13"/>
  <c r="N353" i="13"/>
  <c r="N357" i="13"/>
  <c r="N361" i="13"/>
  <c r="N365" i="13"/>
  <c r="N369" i="13"/>
  <c r="N373" i="13"/>
  <c r="N377" i="13"/>
  <c r="N381" i="13"/>
  <c r="N385" i="13"/>
  <c r="N389" i="13"/>
  <c r="N393" i="13"/>
  <c r="N397" i="13"/>
  <c r="N401" i="13"/>
  <c r="N405" i="13"/>
  <c r="N409" i="13"/>
  <c r="N413" i="13"/>
  <c r="N417" i="13"/>
  <c r="N421" i="13"/>
  <c r="N425" i="13"/>
  <c r="N429" i="13"/>
  <c r="N433" i="13"/>
  <c r="N437" i="13"/>
  <c r="N441" i="13"/>
  <c r="N445" i="13"/>
  <c r="N449" i="13"/>
  <c r="N453" i="13"/>
  <c r="N457" i="13"/>
  <c r="N461" i="13"/>
  <c r="N465" i="13"/>
  <c r="N469" i="13"/>
  <c r="N473" i="13"/>
  <c r="N477" i="13"/>
  <c r="N481" i="13"/>
  <c r="N485" i="13"/>
  <c r="N489" i="13"/>
  <c r="N493" i="13"/>
  <c r="N497" i="13"/>
  <c r="N501" i="13"/>
  <c r="N505" i="13"/>
  <c r="N509" i="13"/>
  <c r="N513" i="13"/>
  <c r="N517" i="13"/>
  <c r="N521" i="13"/>
  <c r="N525" i="13"/>
  <c r="N529" i="13"/>
  <c r="N533" i="13"/>
  <c r="N537" i="13"/>
  <c r="N541" i="13"/>
  <c r="N545" i="13"/>
  <c r="N549" i="13"/>
  <c r="N553" i="13"/>
  <c r="N561" i="13"/>
  <c r="N565" i="13"/>
  <c r="N569" i="13"/>
  <c r="N573" i="13"/>
  <c r="N577" i="13"/>
  <c r="N581" i="13"/>
  <c r="N1265" i="13"/>
  <c r="O1265" i="13" s="1"/>
  <c r="N585" i="13"/>
  <c r="N589" i="13"/>
  <c r="N593" i="13"/>
  <c r="N597" i="13"/>
  <c r="N601" i="13"/>
  <c r="N605" i="13"/>
  <c r="N609" i="13"/>
  <c r="N613" i="13"/>
  <c r="N617" i="13"/>
  <c r="N621" i="13"/>
  <c r="N625" i="13"/>
  <c r="N629" i="13"/>
  <c r="N633" i="13"/>
  <c r="N637" i="13"/>
  <c r="N641" i="13"/>
  <c r="N645" i="13"/>
  <c r="N649" i="13"/>
  <c r="N653" i="13"/>
  <c r="N657" i="13"/>
  <c r="N661" i="13"/>
  <c r="N665" i="13"/>
  <c r="N669" i="13"/>
  <c r="N673" i="13"/>
  <c r="N677" i="13"/>
  <c r="N681" i="13"/>
  <c r="N685" i="13"/>
  <c r="N689" i="13"/>
  <c r="N693" i="13"/>
  <c r="N697" i="13"/>
  <c r="N701" i="13"/>
  <c r="N705" i="13"/>
  <c r="N709" i="13"/>
  <c r="N713" i="13"/>
  <c r="N717" i="13"/>
  <c r="N721" i="13"/>
  <c r="N725" i="13"/>
  <c r="N729" i="13"/>
  <c r="N733" i="13"/>
  <c r="N737" i="13"/>
  <c r="N741" i="13"/>
  <c r="N745" i="13"/>
  <c r="N749" i="13"/>
  <c r="N753" i="13"/>
  <c r="N757" i="13"/>
  <c r="N761" i="13"/>
  <c r="N765" i="13"/>
  <c r="N769" i="13"/>
  <c r="N773" i="13"/>
  <c r="N777" i="13"/>
  <c r="N781" i="13"/>
  <c r="N785" i="13"/>
  <c r="N789" i="13"/>
  <c r="N1157" i="13"/>
  <c r="N1161" i="13"/>
  <c r="N1165" i="13"/>
  <c r="N1169" i="13"/>
  <c r="N1173" i="13"/>
  <c r="N1177" i="13"/>
  <c r="N1181" i="13"/>
  <c r="N1185" i="13"/>
  <c r="N1189" i="13"/>
  <c r="N1193" i="13"/>
  <c r="N1197" i="13"/>
  <c r="N1201" i="13"/>
  <c r="N1205" i="13"/>
  <c r="N1213" i="13"/>
  <c r="N1217" i="13"/>
  <c r="N1221" i="13"/>
  <c r="N1253" i="13"/>
  <c r="N1257" i="13"/>
  <c r="N1261" i="13"/>
  <c r="M4" i="6"/>
  <c r="N557" i="13"/>
  <c r="N1209" i="13"/>
  <c r="N1225" i="13"/>
  <c r="N1229" i="13"/>
  <c r="N1233" i="13"/>
  <c r="N1241" i="13"/>
  <c r="N1245" i="13"/>
  <c r="N1249" i="13"/>
  <c r="N793" i="13"/>
  <c r="N797" i="13"/>
  <c r="N801" i="13"/>
  <c r="N805" i="13"/>
  <c r="N809" i="13"/>
  <c r="N813" i="13"/>
  <c r="N817" i="13"/>
  <c r="N821" i="13"/>
  <c r="N825" i="13"/>
  <c r="N829" i="13"/>
  <c r="N833" i="13"/>
  <c r="N837" i="13"/>
  <c r="N841" i="13"/>
  <c r="N845" i="13"/>
  <c r="N849" i="13"/>
  <c r="N853" i="13"/>
  <c r="N857" i="13"/>
  <c r="N861" i="13"/>
  <c r="N865" i="13"/>
  <c r="N869" i="13"/>
  <c r="N873" i="13"/>
  <c r="N877" i="13"/>
  <c r="N881" i="13"/>
  <c r="N885" i="13"/>
  <c r="N889" i="13"/>
  <c r="N893" i="13"/>
  <c r="N897" i="13"/>
  <c r="N901" i="13"/>
  <c r="N905" i="13"/>
  <c r="N909" i="13"/>
  <c r="N913" i="13"/>
  <c r="N917" i="13"/>
  <c r="N921" i="13"/>
  <c r="N925" i="13"/>
  <c r="N929" i="13"/>
  <c r="N933" i="13"/>
  <c r="N937" i="13"/>
  <c r="N941" i="13"/>
  <c r="N945" i="13"/>
  <c r="N949" i="13"/>
  <c r="N953" i="13"/>
  <c r="N957" i="13"/>
  <c r="N961" i="13"/>
  <c r="N965" i="13"/>
  <c r="N969" i="13"/>
  <c r="N973" i="13"/>
  <c r="N977" i="13"/>
  <c r="N981" i="13"/>
  <c r="N985" i="13"/>
  <c r="N989" i="13"/>
  <c r="N993" i="13"/>
  <c r="N997" i="13"/>
  <c r="N1001" i="13"/>
  <c r="N1005" i="13"/>
  <c r="N1009" i="13"/>
  <c r="N1013" i="13"/>
  <c r="N1017" i="13"/>
  <c r="N1021" i="13"/>
  <c r="N1025" i="13"/>
  <c r="N1029" i="13"/>
  <c r="N1033" i="13"/>
  <c r="N1037" i="13"/>
  <c r="N1041" i="13"/>
  <c r="N1045" i="13"/>
  <c r="N1049" i="13"/>
  <c r="N1053" i="13"/>
  <c r="N1057" i="13"/>
  <c r="N1061" i="13"/>
  <c r="N1065" i="13"/>
  <c r="N1069" i="13"/>
  <c r="N1073" i="13"/>
  <c r="N1077" i="13"/>
  <c r="N1081" i="13"/>
  <c r="N1085" i="13"/>
  <c r="N1089" i="13"/>
  <c r="N1093" i="13"/>
  <c r="N1097" i="13"/>
  <c r="N1101" i="13"/>
  <c r="N1105" i="13"/>
  <c r="N1109" i="13"/>
  <c r="N1113" i="13"/>
  <c r="N1117" i="13"/>
  <c r="N1121" i="13"/>
  <c r="N1125" i="13"/>
  <c r="N1129" i="13"/>
  <c r="N1133" i="13"/>
  <c r="N1137" i="13"/>
  <c r="N1141" i="13"/>
  <c r="N1145" i="13"/>
  <c r="N1149" i="13"/>
  <c r="N1153" i="13"/>
  <c r="N1237" i="13"/>
  <c r="K6" i="13"/>
  <c r="K10" i="13"/>
  <c r="K14" i="13"/>
  <c r="K18" i="13"/>
  <c r="K22" i="13"/>
  <c r="K26" i="13"/>
  <c r="K30" i="13"/>
  <c r="K34" i="13"/>
  <c r="K38" i="13"/>
  <c r="K42" i="13"/>
  <c r="K46" i="13"/>
  <c r="K50" i="13"/>
  <c r="K54" i="13"/>
  <c r="K58" i="13"/>
  <c r="K62" i="13"/>
  <c r="K66" i="13"/>
  <c r="K70" i="13"/>
  <c r="K74" i="13"/>
  <c r="K78" i="13"/>
  <c r="K82" i="13"/>
  <c r="K86" i="13"/>
  <c r="K90" i="13"/>
  <c r="K94" i="13"/>
  <c r="K98" i="13"/>
  <c r="K102" i="13"/>
  <c r="K106" i="13"/>
  <c r="K110" i="13"/>
  <c r="K114" i="13"/>
  <c r="K118" i="13"/>
  <c r="K122" i="13"/>
  <c r="K126" i="13"/>
  <c r="K130" i="13"/>
  <c r="K134" i="13"/>
  <c r="K138" i="13"/>
  <c r="K142" i="13"/>
  <c r="K146" i="13"/>
  <c r="K150" i="13"/>
  <c r="K154" i="13"/>
  <c r="K158" i="13"/>
  <c r="K162" i="13"/>
  <c r="K166" i="13"/>
  <c r="K170" i="13"/>
  <c r="K174" i="13"/>
  <c r="K178" i="13"/>
  <c r="K182" i="13"/>
  <c r="K186" i="13"/>
  <c r="K190" i="13"/>
  <c r="K194" i="13"/>
  <c r="K198" i="13"/>
  <c r="K202" i="13"/>
  <c r="K206" i="13"/>
  <c r="K210" i="13"/>
  <c r="K214" i="13"/>
  <c r="K218" i="13"/>
  <c r="K222" i="13"/>
  <c r="K226" i="13"/>
  <c r="K230" i="13"/>
  <c r="K234" i="13"/>
  <c r="K238" i="13"/>
  <c r="K242" i="13"/>
  <c r="K246" i="13"/>
  <c r="K250" i="13"/>
  <c r="K254" i="13"/>
  <c r="K258" i="13"/>
  <c r="K262" i="13"/>
  <c r="K266" i="13"/>
  <c r="K270" i="13"/>
  <c r="K274" i="13"/>
  <c r="K278" i="13"/>
  <c r="K282" i="13"/>
  <c r="K286" i="13"/>
  <c r="K290" i="13"/>
  <c r="K294" i="13"/>
  <c r="K298" i="13"/>
  <c r="K302" i="13"/>
  <c r="K306" i="13"/>
  <c r="K310" i="13"/>
  <c r="K314" i="13"/>
  <c r="K318" i="13"/>
  <c r="K322" i="13"/>
  <c r="K326" i="13"/>
  <c r="K330" i="13"/>
  <c r="K334" i="13"/>
  <c r="K338" i="13"/>
  <c r="K342" i="13"/>
  <c r="K346" i="13"/>
  <c r="K350" i="13"/>
  <c r="K354" i="13"/>
  <c r="K358" i="13"/>
  <c r="K362" i="13"/>
  <c r="K366" i="13"/>
  <c r="K370" i="13"/>
  <c r="K374" i="13"/>
  <c r="K378" i="13"/>
  <c r="K382" i="13"/>
  <c r="K386" i="13"/>
  <c r="K390" i="13"/>
  <c r="K394" i="13"/>
  <c r="K398" i="13"/>
  <c r="K402" i="13"/>
  <c r="K406" i="13"/>
  <c r="K410" i="13"/>
  <c r="K414" i="13"/>
  <c r="K418" i="13"/>
  <c r="K422" i="13"/>
  <c r="K426" i="13"/>
  <c r="K430" i="13"/>
  <c r="K434" i="13"/>
  <c r="K438" i="13"/>
  <c r="K442" i="13"/>
  <c r="K446" i="13"/>
  <c r="K450" i="13"/>
  <c r="K454" i="13"/>
  <c r="K458" i="13"/>
  <c r="K462" i="13"/>
  <c r="K466" i="13"/>
  <c r="K470" i="13"/>
  <c r="K474" i="13"/>
  <c r="K478" i="13"/>
  <c r="K482" i="13"/>
  <c r="K486" i="13"/>
  <c r="K490" i="13"/>
  <c r="K494" i="13"/>
  <c r="K498" i="13"/>
  <c r="K502" i="13"/>
  <c r="K506" i="13"/>
  <c r="K510" i="13"/>
  <c r="K514" i="13"/>
  <c r="K518" i="13"/>
  <c r="K522" i="13"/>
  <c r="K526" i="13"/>
  <c r="K530" i="13"/>
  <c r="K534" i="13"/>
  <c r="K538" i="13"/>
  <c r="K542" i="13"/>
  <c r="K546" i="13"/>
  <c r="K550" i="13"/>
  <c r="K554" i="13"/>
  <c r="K558" i="13"/>
  <c r="K562" i="13"/>
  <c r="K566" i="13"/>
  <c r="K570" i="13"/>
  <c r="K574" i="13"/>
  <c r="K578" i="13"/>
  <c r="K582" i="13"/>
  <c r="K586" i="13"/>
  <c r="K590" i="13"/>
  <c r="K594" i="13"/>
  <c r="K598" i="13"/>
  <c r="K602" i="13"/>
  <c r="K606" i="13"/>
  <c r="K610" i="13"/>
  <c r="K614" i="13"/>
  <c r="K618" i="13"/>
  <c r="K622" i="13"/>
  <c r="K626" i="13"/>
  <c r="K630" i="13"/>
  <c r="K634" i="13"/>
  <c r="K638" i="13"/>
  <c r="K642" i="13"/>
  <c r="K646" i="13"/>
  <c r="K650" i="13"/>
  <c r="K654" i="13"/>
  <c r="K658" i="13"/>
  <c r="K662" i="13"/>
  <c r="K666" i="13"/>
  <c r="K670" i="13"/>
  <c r="K674" i="13"/>
  <c r="K678" i="13"/>
  <c r="K682" i="13"/>
  <c r="K686" i="13"/>
  <c r="K690" i="13"/>
  <c r="K694" i="13"/>
  <c r="K698" i="13"/>
  <c r="K702" i="13"/>
  <c r="K706" i="13"/>
  <c r="K710" i="13"/>
  <c r="K714" i="13"/>
  <c r="K718" i="13"/>
  <c r="K722" i="13"/>
  <c r="K726" i="13"/>
  <c r="K730" i="13"/>
  <c r="K734" i="13"/>
  <c r="K738" i="13"/>
  <c r="K742" i="13"/>
  <c r="K746" i="13"/>
  <c r="K750" i="13"/>
  <c r="K754" i="13"/>
  <c r="K758" i="13"/>
  <c r="K762" i="13"/>
  <c r="K766" i="13"/>
  <c r="K770" i="13"/>
  <c r="K774" i="13"/>
  <c r="K778" i="13"/>
  <c r="K782" i="13"/>
  <c r="K786" i="13"/>
  <c r="K790" i="13"/>
  <c r="K794" i="13"/>
  <c r="K798" i="13"/>
  <c r="K802" i="13"/>
  <c r="K806" i="13"/>
  <c r="K810" i="13"/>
  <c r="K814" i="13"/>
  <c r="K818" i="13"/>
  <c r="K822" i="13"/>
  <c r="K826" i="13"/>
  <c r="K830" i="13"/>
  <c r="K834" i="13"/>
  <c r="K838" i="13"/>
  <c r="K842" i="13"/>
  <c r="K846" i="13"/>
  <c r="K850" i="13"/>
  <c r="K854" i="13"/>
  <c r="K858" i="13"/>
  <c r="K862" i="13"/>
  <c r="K866" i="13"/>
  <c r="K870" i="13"/>
  <c r="K874" i="13"/>
  <c r="K878" i="13"/>
  <c r="K882" i="13"/>
  <c r="K886" i="13"/>
  <c r="K890" i="13"/>
  <c r="K894" i="13"/>
  <c r="K898" i="13"/>
  <c r="K902" i="13"/>
  <c r="K906" i="13"/>
  <c r="K910" i="13"/>
  <c r="K914" i="13"/>
  <c r="K918" i="13"/>
  <c r="K922" i="13"/>
  <c r="K926" i="13"/>
  <c r="K930" i="13"/>
  <c r="K934" i="13"/>
  <c r="K938" i="13"/>
  <c r="K942" i="13"/>
  <c r="K946" i="13"/>
  <c r="K950" i="13"/>
  <c r="K954" i="13"/>
  <c r="K958" i="13"/>
  <c r="K962" i="13"/>
  <c r="K966" i="13"/>
  <c r="K970" i="13"/>
  <c r="K974" i="13"/>
  <c r="K978" i="13"/>
  <c r="K982" i="13"/>
  <c r="K986" i="13"/>
  <c r="K990" i="13"/>
  <c r="K994" i="13"/>
  <c r="K998" i="13"/>
  <c r="K1002" i="13"/>
  <c r="K1006" i="13"/>
  <c r="K1010" i="13"/>
  <c r="K1014" i="13"/>
  <c r="K1018" i="13"/>
  <c r="K1022" i="13"/>
  <c r="K1026" i="13"/>
  <c r="K1030" i="13"/>
  <c r="K1034" i="13"/>
  <c r="K1038" i="13"/>
  <c r="K1042" i="13"/>
  <c r="K1046" i="13"/>
  <c r="K1050" i="13"/>
  <c r="K1054" i="13"/>
  <c r="K1058" i="13"/>
  <c r="K1062" i="13"/>
  <c r="K1066" i="13"/>
  <c r="K1070" i="13"/>
  <c r="K1074" i="13"/>
  <c r="K1078" i="13"/>
  <c r="K1082" i="13"/>
  <c r="K1086" i="13"/>
  <c r="K1090" i="13"/>
  <c r="K1094" i="13"/>
  <c r="K1098" i="13"/>
  <c r="K1102" i="13"/>
  <c r="K1106" i="13"/>
  <c r="K1110" i="13"/>
  <c r="K1114" i="13"/>
  <c r="K1118" i="13"/>
  <c r="K1122" i="13"/>
  <c r="K1126" i="13"/>
  <c r="K1130" i="13"/>
  <c r="K1134" i="13"/>
  <c r="K1138" i="13"/>
  <c r="K1142" i="13"/>
  <c r="K1146" i="13"/>
  <c r="K1150" i="13"/>
  <c r="K1154" i="13"/>
  <c r="K1158" i="13"/>
  <c r="K1162" i="13"/>
  <c r="K1166" i="13"/>
  <c r="K1170" i="13"/>
  <c r="K1174" i="13"/>
  <c r="K1178" i="13"/>
  <c r="K1182" i="13"/>
  <c r="K1186" i="13"/>
  <c r="K1190" i="13"/>
  <c r="K1194" i="13"/>
  <c r="K1198" i="13"/>
  <c r="K1202" i="13"/>
  <c r="K1206" i="13"/>
  <c r="K1210" i="13"/>
  <c r="K1214" i="13"/>
  <c r="K1218" i="13"/>
  <c r="K1222" i="13"/>
  <c r="K1226" i="13"/>
  <c r="K1230" i="13"/>
  <c r="K1234" i="13"/>
  <c r="K1238" i="13"/>
  <c r="K1242" i="13"/>
  <c r="K1246" i="13"/>
  <c r="K1250" i="13"/>
  <c r="K1254" i="13"/>
  <c r="K1258" i="13"/>
  <c r="K1262" i="13"/>
  <c r="K1266" i="13"/>
  <c r="L1266" i="13" s="1"/>
  <c r="N8" i="13"/>
  <c r="N12" i="13"/>
  <c r="N16" i="13"/>
  <c r="N20" i="13"/>
  <c r="N24" i="13"/>
  <c r="N28" i="13"/>
  <c r="N32" i="13"/>
  <c r="N36" i="13"/>
  <c r="N40" i="13"/>
  <c r="N44" i="13"/>
  <c r="N48" i="13"/>
  <c r="N52" i="13"/>
  <c r="N56" i="13"/>
  <c r="N60" i="13"/>
  <c r="N64" i="13"/>
  <c r="N68" i="13"/>
  <c r="N72" i="13"/>
  <c r="N76" i="13"/>
  <c r="N80" i="13"/>
  <c r="N84" i="13"/>
  <c r="N88" i="13"/>
  <c r="N92" i="13"/>
  <c r="N96" i="13"/>
  <c r="N100" i="13"/>
  <c r="N104" i="13"/>
  <c r="N108" i="13"/>
  <c r="N112" i="13"/>
  <c r="N116" i="13"/>
  <c r="N120" i="13"/>
  <c r="N124" i="13"/>
  <c r="N128" i="13"/>
  <c r="N132" i="13"/>
  <c r="N136" i="13"/>
  <c r="N140" i="13"/>
  <c r="N144" i="13"/>
  <c r="N148" i="13"/>
  <c r="N152" i="13"/>
  <c r="N156" i="13"/>
  <c r="N160" i="13"/>
  <c r="N164" i="13"/>
  <c r="N168" i="13"/>
  <c r="N172" i="13"/>
  <c r="N176" i="13"/>
  <c r="N180" i="13"/>
  <c r="N184" i="13"/>
  <c r="N188" i="13"/>
  <c r="N192" i="13"/>
  <c r="N196" i="13"/>
  <c r="N200" i="13"/>
  <c r="N204" i="13"/>
  <c r="N208" i="13"/>
  <c r="N212" i="13"/>
  <c r="N216" i="13"/>
  <c r="N220" i="13"/>
  <c r="N224" i="13"/>
  <c r="N228" i="13"/>
  <c r="N232" i="13"/>
  <c r="N236" i="13"/>
  <c r="N240" i="13"/>
  <c r="N244" i="13"/>
  <c r="N248" i="13"/>
  <c r="N252" i="13"/>
  <c r="N256" i="13"/>
  <c r="N260" i="13"/>
  <c r="N264" i="13"/>
  <c r="N268" i="13"/>
  <c r="N272" i="13"/>
  <c r="N276" i="13"/>
  <c r="N280" i="13"/>
  <c r="N284" i="13"/>
  <c r="N288" i="13"/>
  <c r="N292" i="13"/>
  <c r="N296" i="13"/>
  <c r="N300" i="13"/>
  <c r="N304" i="13"/>
  <c r="N308" i="13"/>
  <c r="N312" i="13"/>
  <c r="N316" i="13"/>
  <c r="N320" i="13"/>
  <c r="N324" i="13"/>
  <c r="N328" i="13"/>
  <c r="N332" i="13"/>
  <c r="N336" i="13"/>
  <c r="N340" i="13"/>
  <c r="N344" i="13"/>
  <c r="N348" i="13"/>
  <c r="N352" i="13"/>
  <c r="N356" i="13"/>
  <c r="N360" i="13"/>
  <c r="N364" i="13"/>
  <c r="N368" i="13"/>
  <c r="N372" i="13"/>
  <c r="N376" i="13"/>
  <c r="N380" i="13"/>
  <c r="N384" i="13"/>
  <c r="N388" i="13"/>
  <c r="N392" i="13"/>
  <c r="N396" i="13"/>
  <c r="N400" i="13"/>
  <c r="N404" i="13"/>
  <c r="N408" i="13"/>
  <c r="N412" i="13"/>
  <c r="N416" i="13"/>
  <c r="N420" i="13"/>
  <c r="N424" i="13"/>
  <c r="N428" i="13"/>
  <c r="N432" i="13"/>
  <c r="N436" i="13"/>
  <c r="N440" i="13"/>
  <c r="N444" i="13"/>
  <c r="N448" i="13"/>
  <c r="N452" i="13"/>
  <c r="N456" i="13"/>
  <c r="N460" i="13"/>
  <c r="N464" i="13"/>
  <c r="N468" i="13"/>
  <c r="N472" i="13"/>
  <c r="N476" i="13"/>
  <c r="N480" i="13"/>
  <c r="N484" i="13"/>
  <c r="N488" i="13"/>
  <c r="N492" i="13"/>
  <c r="N496" i="13"/>
  <c r="N500" i="13"/>
  <c r="N504" i="13"/>
  <c r="N508" i="13"/>
  <c r="N512" i="13"/>
  <c r="N516" i="13"/>
  <c r="N520" i="13"/>
  <c r="N524" i="13"/>
  <c r="N528" i="13"/>
  <c r="N532" i="13"/>
  <c r="N536" i="13"/>
  <c r="N540" i="13"/>
  <c r="N544" i="13"/>
  <c r="N548" i="13"/>
  <c r="N552" i="13"/>
  <c r="N556" i="13"/>
  <c r="N560" i="13"/>
  <c r="N564" i="13"/>
  <c r="N568" i="13"/>
  <c r="N572" i="13"/>
  <c r="N576" i="13"/>
  <c r="N580" i="13"/>
  <c r="N584" i="13"/>
  <c r="N588" i="13"/>
  <c r="N592" i="13"/>
  <c r="N596" i="13"/>
  <c r="N600" i="13"/>
  <c r="N604" i="13"/>
  <c r="N608" i="13"/>
  <c r="N612" i="13"/>
  <c r="N616" i="13"/>
  <c r="N620" i="13"/>
  <c r="N624" i="13"/>
  <c r="N628" i="13"/>
  <c r="N632" i="13"/>
  <c r="N636" i="13"/>
  <c r="N640" i="13"/>
  <c r="N644" i="13"/>
  <c r="N648" i="13"/>
  <c r="N652" i="13"/>
  <c r="N656" i="13"/>
  <c r="N660" i="13"/>
  <c r="N664" i="13"/>
  <c r="N668" i="13"/>
  <c r="N672" i="13"/>
  <c r="N676" i="13"/>
  <c r="N680" i="13"/>
  <c r="N684" i="13"/>
  <c r="N688" i="13"/>
  <c r="N692" i="13"/>
  <c r="N696" i="13"/>
  <c r="N700" i="13"/>
  <c r="N704" i="13"/>
  <c r="N708" i="13"/>
  <c r="N712" i="13"/>
  <c r="N716" i="13"/>
  <c r="N720" i="13"/>
  <c r="N724" i="13"/>
  <c r="N728" i="13"/>
  <c r="N732" i="13"/>
  <c r="N736" i="13"/>
  <c r="N740" i="13"/>
  <c r="N743" i="13"/>
  <c r="N747" i="13"/>
  <c r="N751" i="13"/>
  <c r="N755" i="13"/>
  <c r="N759" i="13"/>
  <c r="N763" i="13"/>
  <c r="N767" i="13"/>
  <c r="N771" i="13"/>
  <c r="N775" i="13"/>
  <c r="N779" i="13"/>
  <c r="N783" i="13"/>
  <c r="N787" i="13"/>
  <c r="N791" i="13"/>
  <c r="N795" i="13"/>
  <c r="N799" i="13"/>
  <c r="N803" i="13"/>
  <c r="N807" i="13"/>
  <c r="N811" i="13"/>
  <c r="N815" i="13"/>
  <c r="N819" i="13"/>
  <c r="N823" i="13"/>
  <c r="N827" i="13"/>
  <c r="N831" i="13"/>
  <c r="N835" i="13"/>
  <c r="N839" i="13"/>
  <c r="N843" i="13"/>
  <c r="N847" i="13"/>
  <c r="N851" i="13"/>
  <c r="N855" i="13"/>
  <c r="N859" i="13"/>
  <c r="N863" i="13"/>
  <c r="N867" i="13"/>
  <c r="N871" i="13"/>
  <c r="N875" i="13"/>
  <c r="N879" i="13"/>
  <c r="N883" i="13"/>
  <c r="N887" i="13"/>
  <c r="N891" i="13"/>
  <c r="N895" i="13"/>
  <c r="N899" i="13"/>
  <c r="N903" i="13"/>
  <c r="N907" i="13"/>
  <c r="N911" i="13"/>
  <c r="N915" i="13"/>
  <c r="N919" i="13"/>
  <c r="N923" i="13"/>
  <c r="N927" i="13"/>
  <c r="N931" i="13"/>
  <c r="N935" i="13"/>
  <c r="N939" i="13"/>
  <c r="N943" i="13"/>
  <c r="N947" i="13"/>
  <c r="N951" i="13"/>
  <c r="N955" i="13"/>
  <c r="N959" i="13"/>
  <c r="N963" i="13"/>
  <c r="N967" i="13"/>
  <c r="N971" i="13"/>
  <c r="N975" i="13"/>
  <c r="N979" i="13"/>
  <c r="N983" i="13"/>
  <c r="N987" i="13"/>
  <c r="N991" i="13"/>
  <c r="N995" i="13"/>
  <c r="N999" i="13"/>
  <c r="N1003" i="13"/>
  <c r="N1007" i="13"/>
  <c r="N1011" i="13"/>
  <c r="N1015" i="13"/>
  <c r="N1019" i="13"/>
  <c r="N1023" i="13"/>
  <c r="N1027" i="13"/>
  <c r="N1031" i="13"/>
  <c r="N1035" i="13"/>
  <c r="N1039" i="13"/>
  <c r="N1043" i="13"/>
  <c r="N1047" i="13"/>
  <c r="N1051" i="13"/>
  <c r="N1055" i="13"/>
  <c r="N1059" i="13"/>
  <c r="N1063" i="13"/>
  <c r="N1067" i="13"/>
  <c r="N1071" i="13"/>
  <c r="N1075" i="13"/>
  <c r="N1079" i="13"/>
  <c r="N1083" i="13"/>
  <c r="N1087" i="13"/>
  <c r="N1091" i="13"/>
  <c r="N1095" i="13"/>
  <c r="N1099" i="13"/>
  <c r="N1103" i="13"/>
  <c r="N1107" i="13"/>
  <c r="N1111" i="13"/>
  <c r="N1115" i="13"/>
  <c r="N1119" i="13"/>
  <c r="N1123" i="13"/>
  <c r="N1127" i="13"/>
  <c r="N1131" i="13"/>
  <c r="N1135" i="13"/>
  <c r="N1139" i="13"/>
  <c r="N1143" i="13"/>
  <c r="N1147" i="13"/>
  <c r="N1151" i="13"/>
  <c r="N1155" i="13"/>
  <c r="N1159" i="13"/>
  <c r="N1163" i="13"/>
  <c r="N1167" i="13"/>
  <c r="N1171" i="13"/>
  <c r="N1175" i="13"/>
  <c r="N1179" i="13"/>
  <c r="N1183" i="13"/>
  <c r="N1187" i="13"/>
  <c r="N1191" i="13"/>
  <c r="N1195" i="13"/>
  <c r="N1199" i="13"/>
  <c r="N1203" i="13"/>
  <c r="N1207" i="13"/>
  <c r="N1211" i="13"/>
  <c r="N1215" i="13"/>
  <c r="N1219" i="13"/>
  <c r="N1223" i="13"/>
  <c r="N1227" i="13"/>
  <c r="N1231" i="13"/>
  <c r="N1235" i="13"/>
  <c r="N1239" i="13"/>
  <c r="N1243" i="13"/>
  <c r="N1247" i="13"/>
  <c r="N1251" i="13"/>
  <c r="N1255" i="13"/>
  <c r="N1259" i="13"/>
  <c r="N1263" i="13"/>
  <c r="K8" i="13"/>
  <c r="K12" i="13"/>
  <c r="K16" i="13"/>
  <c r="K20" i="13"/>
  <c r="K24" i="13"/>
  <c r="K28" i="13"/>
  <c r="K32" i="13"/>
  <c r="K36" i="13"/>
  <c r="K40" i="13"/>
  <c r="K44" i="13"/>
  <c r="K48" i="13"/>
  <c r="K52" i="13"/>
  <c r="K56" i="13"/>
  <c r="K60" i="13"/>
  <c r="K64" i="13"/>
  <c r="K68" i="13"/>
  <c r="K72" i="13"/>
  <c r="K76" i="13"/>
  <c r="K80" i="13"/>
  <c r="K84" i="13"/>
  <c r="K88" i="13"/>
  <c r="K92" i="13"/>
  <c r="K96" i="13"/>
  <c r="K100" i="13"/>
  <c r="K104" i="13"/>
  <c r="K108" i="13"/>
  <c r="K112" i="13"/>
  <c r="K116" i="13"/>
  <c r="K120" i="13"/>
  <c r="K124" i="13"/>
  <c r="K128" i="13"/>
  <c r="K132" i="13"/>
  <c r="K136" i="13"/>
  <c r="K140" i="13"/>
  <c r="K144" i="13"/>
  <c r="K148" i="13"/>
  <c r="K152" i="13"/>
  <c r="K156" i="13"/>
  <c r="K160" i="13"/>
  <c r="K164" i="13"/>
  <c r="K168" i="13"/>
  <c r="K172" i="13"/>
  <c r="K176" i="13"/>
  <c r="K180" i="13"/>
  <c r="K184" i="13"/>
  <c r="K188" i="13"/>
  <c r="K192" i="13"/>
  <c r="K196" i="13"/>
  <c r="K200" i="13"/>
  <c r="K204" i="13"/>
  <c r="K208" i="13"/>
  <c r="K212" i="13"/>
  <c r="K216" i="13"/>
  <c r="K220" i="13"/>
  <c r="K224" i="13"/>
  <c r="K228" i="13"/>
  <c r="K232" i="13"/>
  <c r="K236" i="13"/>
  <c r="K240" i="13"/>
  <c r="K244" i="13"/>
  <c r="K248" i="13"/>
  <c r="K252" i="13"/>
  <c r="K256" i="13"/>
  <c r="K260" i="13"/>
  <c r="K264" i="13"/>
  <c r="K268" i="13"/>
  <c r="K272" i="13"/>
  <c r="K276" i="13"/>
  <c r="K280" i="13"/>
  <c r="K284" i="13"/>
  <c r="K288" i="13"/>
  <c r="K292" i="13"/>
  <c r="K296" i="13"/>
  <c r="K300" i="13"/>
  <c r="K304" i="13"/>
  <c r="K308" i="13"/>
  <c r="K312" i="13"/>
  <c r="K316" i="13"/>
  <c r="K320" i="13"/>
  <c r="K324" i="13"/>
  <c r="K328" i="13"/>
  <c r="K332" i="13"/>
  <c r="K336" i="13"/>
  <c r="K340" i="13"/>
  <c r="K344" i="13"/>
  <c r="K348" i="13"/>
  <c r="K352" i="13"/>
  <c r="K356" i="13"/>
  <c r="K360" i="13"/>
  <c r="K364" i="13"/>
  <c r="K368" i="13"/>
  <c r="K372" i="13"/>
  <c r="K376" i="13"/>
  <c r="K380" i="13"/>
  <c r="K384" i="13"/>
  <c r="K388" i="13"/>
  <c r="K392" i="13"/>
  <c r="K396" i="13"/>
  <c r="K400" i="13"/>
  <c r="K404" i="13"/>
  <c r="K408" i="13"/>
  <c r="K412" i="13"/>
  <c r="K416" i="13"/>
  <c r="K420" i="13"/>
  <c r="K424" i="13"/>
  <c r="K428" i="13"/>
  <c r="K432" i="13"/>
  <c r="K436" i="13"/>
  <c r="K440" i="13"/>
  <c r="K444" i="13"/>
  <c r="K448" i="13"/>
  <c r="K452" i="13"/>
  <c r="K456" i="13"/>
  <c r="K460" i="13"/>
  <c r="K464" i="13"/>
  <c r="K468" i="13"/>
  <c r="K472" i="13"/>
  <c r="K476" i="13"/>
  <c r="K480" i="13"/>
  <c r="K484" i="13"/>
  <c r="K488" i="13"/>
  <c r="K492" i="13"/>
  <c r="K496" i="13"/>
  <c r="K500" i="13"/>
  <c r="K504" i="13"/>
  <c r="K508" i="13"/>
  <c r="K512" i="13"/>
  <c r="K516" i="13"/>
  <c r="K520" i="13"/>
  <c r="K524" i="13"/>
  <c r="K528" i="13"/>
  <c r="K532" i="13"/>
  <c r="K536" i="13"/>
  <c r="K540" i="13"/>
  <c r="K544" i="13"/>
  <c r="K548" i="13"/>
  <c r="K552" i="13"/>
  <c r="K9" i="13"/>
  <c r="K13" i="13"/>
  <c r="K17" i="13"/>
  <c r="K21" i="13"/>
  <c r="K25" i="13"/>
  <c r="K29" i="13"/>
  <c r="K33" i="13"/>
  <c r="K37" i="13"/>
  <c r="K41" i="13"/>
  <c r="K45" i="13"/>
  <c r="K49" i="13"/>
  <c r="K53" i="13"/>
  <c r="K57" i="13"/>
  <c r="K61" i="13"/>
  <c r="K65" i="13"/>
  <c r="K69" i="13"/>
  <c r="K73" i="13"/>
  <c r="K77" i="13"/>
  <c r="K81" i="13"/>
  <c r="K85" i="13"/>
  <c r="K89" i="13"/>
  <c r="K93" i="13"/>
  <c r="K97" i="13"/>
  <c r="K101" i="13"/>
  <c r="K105" i="13"/>
  <c r="K109" i="13"/>
  <c r="K113" i="13"/>
  <c r="K117" i="13"/>
  <c r="K121" i="13"/>
  <c r="K125" i="13"/>
  <c r="K129" i="13"/>
  <c r="K133" i="13"/>
  <c r="K137" i="13"/>
  <c r="K141" i="13"/>
  <c r="K145" i="13"/>
  <c r="K149" i="13"/>
  <c r="K153" i="13"/>
  <c r="K157" i="13"/>
  <c r="K161" i="13"/>
  <c r="K165" i="13"/>
  <c r="K169" i="13"/>
  <c r="K173" i="13"/>
  <c r="K177" i="13"/>
  <c r="K181" i="13"/>
  <c r="K185" i="13"/>
  <c r="K189" i="13"/>
  <c r="K193" i="13"/>
  <c r="K197" i="13"/>
  <c r="K201" i="13"/>
  <c r="K205" i="13"/>
  <c r="K209" i="13"/>
  <c r="K213" i="13"/>
  <c r="K217" i="13"/>
  <c r="K221" i="13"/>
  <c r="K225" i="13"/>
  <c r="K229" i="13"/>
  <c r="K233" i="13"/>
  <c r="K237" i="13"/>
  <c r="K241" i="13"/>
  <c r="K245" i="13"/>
  <c r="K249" i="13"/>
  <c r="K253" i="13"/>
  <c r="K257" i="13"/>
  <c r="K261" i="13"/>
  <c r="K265" i="13"/>
  <c r="K269" i="13"/>
  <c r="K273" i="13"/>
  <c r="K277" i="13"/>
  <c r="K281" i="13"/>
  <c r="K285" i="13"/>
  <c r="K289" i="13"/>
  <c r="K293" i="13"/>
  <c r="K297" i="13"/>
  <c r="K301" i="13"/>
  <c r="K305" i="13"/>
  <c r="K309" i="13"/>
  <c r="K313" i="13"/>
  <c r="K317" i="13"/>
  <c r="K321" i="13"/>
  <c r="K325" i="13"/>
  <c r="K329" i="13"/>
  <c r="K333" i="13"/>
  <c r="K337" i="13"/>
  <c r="K341" i="13"/>
  <c r="K345" i="13"/>
  <c r="K349" i="13"/>
  <c r="K353" i="13"/>
  <c r="K357" i="13"/>
  <c r="K361" i="13"/>
  <c r="K365" i="13"/>
  <c r="K369" i="13"/>
  <c r="K373" i="13"/>
  <c r="K377" i="13"/>
  <c r="K381" i="13"/>
  <c r="K385" i="13"/>
  <c r="K389" i="13"/>
  <c r="K393" i="13"/>
  <c r="K397" i="13"/>
  <c r="K401" i="13"/>
  <c r="K405" i="13"/>
  <c r="K409" i="13"/>
  <c r="K413" i="13"/>
  <c r="K417" i="13"/>
  <c r="K421" i="13"/>
  <c r="K425" i="13"/>
  <c r="K429" i="13"/>
  <c r="K433" i="13"/>
  <c r="K437" i="13"/>
  <c r="K441" i="13"/>
  <c r="K445" i="13"/>
  <c r="K449" i="13"/>
  <c r="K453" i="13"/>
  <c r="K457" i="13"/>
  <c r="K461" i="13"/>
  <c r="K465" i="13"/>
  <c r="K469" i="13"/>
  <c r="K473" i="13"/>
  <c r="K477" i="13"/>
  <c r="K481" i="13"/>
  <c r="K485" i="13"/>
  <c r="K489" i="13"/>
  <c r="K493" i="13"/>
  <c r="K497" i="13"/>
  <c r="K501" i="13"/>
  <c r="K505" i="13"/>
  <c r="K509" i="13"/>
  <c r="K513" i="13"/>
  <c r="K517" i="13"/>
  <c r="K521" i="13"/>
  <c r="K525" i="13"/>
  <c r="K529" i="13"/>
  <c r="K533" i="13"/>
  <c r="K537" i="13"/>
  <c r="K541" i="13"/>
  <c r="K545" i="13"/>
  <c r="K549" i="13"/>
  <c r="K553" i="13"/>
  <c r="K557" i="13"/>
  <c r="K561" i="13"/>
  <c r="K565" i="13"/>
  <c r="K569" i="13"/>
  <c r="K573" i="13"/>
  <c r="K577" i="13"/>
  <c r="K581" i="13"/>
  <c r="K585" i="13"/>
  <c r="K589" i="13"/>
  <c r="K593" i="13"/>
  <c r="K597" i="13"/>
  <c r="K601" i="13"/>
  <c r="K605" i="13"/>
  <c r="K609" i="13"/>
  <c r="K613" i="13"/>
  <c r="K617" i="13"/>
  <c r="K621" i="13"/>
  <c r="K625" i="13"/>
  <c r="K629" i="13"/>
  <c r="K633" i="13"/>
  <c r="K637" i="13"/>
  <c r="K641" i="13"/>
  <c r="K645" i="13"/>
  <c r="K649" i="13"/>
  <c r="K653" i="13"/>
  <c r="K657" i="13"/>
  <c r="K661" i="13"/>
  <c r="K665" i="13"/>
  <c r="K669" i="13"/>
  <c r="K673" i="13"/>
  <c r="K677" i="13"/>
  <c r="K681" i="13"/>
  <c r="K685" i="13"/>
  <c r="K689" i="13"/>
  <c r="K556" i="13"/>
  <c r="K560" i="13"/>
  <c r="K564" i="13"/>
  <c r="K568" i="13"/>
  <c r="K572" i="13"/>
  <c r="K576" i="13"/>
  <c r="K580" i="13"/>
  <c r="K584" i="13"/>
  <c r="K588" i="13"/>
  <c r="K592" i="13"/>
  <c r="K596" i="13"/>
  <c r="K600" i="13"/>
  <c r="K604" i="13"/>
  <c r="K608" i="13"/>
  <c r="K612" i="13"/>
  <c r="K616" i="13"/>
  <c r="K620" i="13"/>
  <c r="K624" i="13"/>
  <c r="K628" i="13"/>
  <c r="K632" i="13"/>
  <c r="K636" i="13"/>
  <c r="K640" i="13"/>
  <c r="K644" i="13"/>
  <c r="K648" i="13"/>
  <c r="K652" i="13"/>
  <c r="K656" i="13"/>
  <c r="K660" i="13"/>
  <c r="K664" i="13"/>
  <c r="K668" i="13"/>
  <c r="K672" i="13"/>
  <c r="K676" i="13"/>
  <c r="K680" i="13"/>
  <c r="K684" i="13"/>
  <c r="K688" i="13"/>
  <c r="K692" i="13"/>
  <c r="K696" i="13"/>
  <c r="K700" i="13"/>
  <c r="K704" i="13"/>
  <c r="K708" i="13"/>
  <c r="K712" i="13"/>
  <c r="K716" i="13"/>
  <c r="K720" i="13"/>
  <c r="K724" i="13"/>
  <c r="K728" i="13"/>
  <c r="K732" i="13"/>
  <c r="K736" i="13"/>
  <c r="K740" i="13"/>
  <c r="K744" i="13"/>
  <c r="K748" i="13"/>
  <c r="K752" i="13"/>
  <c r="K756" i="13"/>
  <c r="K760" i="13"/>
  <c r="K764" i="13"/>
  <c r="K768" i="13"/>
  <c r="K772" i="13"/>
  <c r="K776" i="13"/>
  <c r="K780" i="13"/>
  <c r="K784" i="13"/>
  <c r="K788" i="13"/>
  <c r="K792" i="13"/>
  <c r="K796" i="13"/>
  <c r="K800" i="13"/>
  <c r="K804" i="13"/>
  <c r="K808" i="13"/>
  <c r="K812" i="13"/>
  <c r="K816" i="13"/>
  <c r="K820" i="13"/>
  <c r="K824" i="13"/>
  <c r="K828" i="13"/>
  <c r="K832" i="13"/>
  <c r="K836" i="13"/>
  <c r="K840" i="13"/>
  <c r="K844" i="13"/>
  <c r="K848" i="13"/>
  <c r="K852" i="13"/>
  <c r="K856" i="13"/>
  <c r="K860" i="13"/>
  <c r="K864" i="13"/>
  <c r="K868" i="13"/>
  <c r="K872" i="13"/>
  <c r="K876" i="13"/>
  <c r="K880" i="13"/>
  <c r="K884" i="13"/>
  <c r="K888" i="13"/>
  <c r="K892" i="13"/>
  <c r="K896" i="13"/>
  <c r="K900" i="13"/>
  <c r="K904" i="13"/>
  <c r="K908" i="13"/>
  <c r="K912" i="13"/>
  <c r="K916" i="13"/>
  <c r="K920" i="13"/>
  <c r="K924" i="13"/>
  <c r="K928" i="13"/>
  <c r="K932" i="13"/>
  <c r="K936" i="13"/>
  <c r="K940" i="13"/>
  <c r="K944" i="13"/>
  <c r="K948" i="13"/>
  <c r="K952" i="13"/>
  <c r="K956" i="13"/>
  <c r="K960" i="13"/>
  <c r="K964" i="13"/>
  <c r="K968" i="13"/>
  <c r="K972" i="13"/>
  <c r="K976" i="13"/>
  <c r="K980" i="13"/>
  <c r="K984" i="13"/>
  <c r="K988" i="13"/>
  <c r="K992" i="13"/>
  <c r="K996" i="13"/>
  <c r="K1000" i="13"/>
  <c r="K1004" i="13"/>
  <c r="K1008" i="13"/>
  <c r="K1012" i="13"/>
  <c r="K1016" i="13"/>
  <c r="K1020" i="13"/>
  <c r="K1024" i="13"/>
  <c r="K1028" i="13"/>
  <c r="K1032" i="13"/>
  <c r="K1036" i="13"/>
  <c r="K1040" i="13"/>
  <c r="K1044" i="13"/>
  <c r="K1048" i="13"/>
  <c r="K1052" i="13"/>
  <c r="K1056" i="13"/>
  <c r="K1060" i="13"/>
  <c r="K1064" i="13"/>
  <c r="K1068" i="13"/>
  <c r="K1072" i="13"/>
  <c r="K1076" i="13"/>
  <c r="K1080" i="13"/>
  <c r="K1084" i="13"/>
  <c r="K1088" i="13"/>
  <c r="K1092" i="13"/>
  <c r="K1096" i="13"/>
  <c r="K1100" i="13"/>
  <c r="K1104" i="13"/>
  <c r="K1108" i="13"/>
  <c r="K1112" i="13"/>
  <c r="K1116" i="13"/>
  <c r="K1120" i="13"/>
  <c r="K1124" i="13"/>
  <c r="K1128" i="13"/>
  <c r="K1132" i="13"/>
  <c r="K1136" i="13"/>
  <c r="K1140" i="13"/>
  <c r="K1144" i="13"/>
  <c r="K1148" i="13"/>
  <c r="K1152" i="13"/>
  <c r="K1156" i="13"/>
  <c r="K1160" i="13"/>
  <c r="K1164" i="13"/>
  <c r="K1168" i="13"/>
  <c r="K1172" i="13"/>
  <c r="K1176" i="13"/>
  <c r="K1180" i="13"/>
  <c r="K1184" i="13"/>
  <c r="K1188" i="13"/>
  <c r="K1192" i="13"/>
  <c r="K1196" i="13"/>
  <c r="K1200" i="13"/>
  <c r="K1204" i="13"/>
  <c r="K1208" i="13"/>
  <c r="K1212" i="13"/>
  <c r="K1216" i="13"/>
  <c r="K1220" i="13"/>
  <c r="K1224" i="13"/>
  <c r="K1228" i="13"/>
  <c r="K1232" i="13"/>
  <c r="K1236" i="13"/>
  <c r="K1240" i="13"/>
  <c r="K1244" i="13"/>
  <c r="K1248" i="13"/>
  <c r="K1252" i="13"/>
  <c r="K1256" i="13"/>
  <c r="K1260" i="13"/>
  <c r="K1264" i="13"/>
  <c r="N6" i="13"/>
  <c r="N10" i="13"/>
  <c r="N14" i="13"/>
  <c r="N18" i="13"/>
  <c r="N22" i="13"/>
  <c r="N26" i="13"/>
  <c r="N30" i="13"/>
  <c r="N34" i="13"/>
  <c r="N38" i="13"/>
  <c r="N42" i="13"/>
  <c r="N46" i="13"/>
  <c r="N50" i="13"/>
  <c r="N54" i="13"/>
  <c r="N58" i="13"/>
  <c r="N62" i="13"/>
  <c r="N66" i="13"/>
  <c r="N70" i="13"/>
  <c r="N74" i="13"/>
  <c r="N78" i="13"/>
  <c r="N82" i="13"/>
  <c r="N86" i="13"/>
  <c r="N90" i="13"/>
  <c r="N94" i="13"/>
  <c r="N98" i="13"/>
  <c r="N102" i="13"/>
  <c r="N106" i="13"/>
  <c r="N110" i="13"/>
  <c r="N114" i="13"/>
  <c r="N118" i="13"/>
  <c r="N122" i="13"/>
  <c r="N126" i="13"/>
  <c r="N130" i="13"/>
  <c r="N134" i="13"/>
  <c r="N138" i="13"/>
  <c r="N142" i="13"/>
  <c r="N146" i="13"/>
  <c r="N150" i="13"/>
  <c r="N154" i="13"/>
  <c r="N158" i="13"/>
  <c r="N162" i="13"/>
  <c r="N166" i="13"/>
  <c r="N170" i="13"/>
  <c r="N174" i="13"/>
  <c r="N178" i="13"/>
  <c r="N182" i="13"/>
  <c r="N186" i="13"/>
  <c r="N190" i="13"/>
  <c r="N194" i="13"/>
  <c r="N198" i="13"/>
  <c r="N202" i="13"/>
  <c r="N206" i="13"/>
  <c r="N210" i="13"/>
  <c r="N214" i="13"/>
  <c r="N218" i="13"/>
  <c r="N222" i="13"/>
  <c r="N226" i="13"/>
  <c r="N230" i="13"/>
  <c r="N234" i="13"/>
  <c r="N238" i="13"/>
  <c r="N242" i="13"/>
  <c r="N246" i="13"/>
  <c r="N250" i="13"/>
  <c r="N254" i="13"/>
  <c r="N258" i="13"/>
  <c r="N262" i="13"/>
  <c r="N266" i="13"/>
  <c r="N270" i="13"/>
  <c r="N274" i="13"/>
  <c r="N278" i="13"/>
  <c r="N282" i="13"/>
  <c r="N286" i="13"/>
  <c r="N290" i="13"/>
  <c r="N294" i="13"/>
  <c r="N298" i="13"/>
  <c r="N302" i="13"/>
  <c r="N306" i="13"/>
  <c r="N310" i="13"/>
  <c r="N314" i="13"/>
  <c r="N318" i="13"/>
  <c r="N322" i="13"/>
  <c r="N326" i="13"/>
  <c r="N330" i="13"/>
  <c r="N334" i="13"/>
  <c r="N338" i="13"/>
  <c r="N342" i="13"/>
  <c r="N346" i="13"/>
  <c r="N350" i="13"/>
  <c r="N354" i="13"/>
  <c r="N358" i="13"/>
  <c r="N362" i="13"/>
  <c r="N366" i="13"/>
  <c r="N370" i="13"/>
  <c r="N374" i="13"/>
  <c r="N378" i="13"/>
  <c r="N382" i="13"/>
  <c r="N386" i="13"/>
  <c r="N390" i="13"/>
  <c r="N394" i="13"/>
  <c r="N398" i="13"/>
  <c r="N402" i="13"/>
  <c r="N406" i="13"/>
  <c r="N410" i="13"/>
  <c r="N414" i="13"/>
  <c r="N418" i="13"/>
  <c r="N422" i="13"/>
  <c r="N426" i="13"/>
  <c r="N430" i="13"/>
  <c r="N434" i="13"/>
  <c r="N438" i="13"/>
  <c r="N442" i="13"/>
  <c r="N446" i="13"/>
  <c r="N450" i="13"/>
  <c r="N454" i="13"/>
  <c r="N458" i="13"/>
  <c r="N462" i="13"/>
  <c r="N466" i="13"/>
  <c r="N470" i="13"/>
  <c r="N474" i="13"/>
  <c r="N478" i="13"/>
  <c r="N482" i="13"/>
  <c r="N486" i="13"/>
  <c r="N490" i="13"/>
  <c r="N494" i="13"/>
  <c r="N498" i="13"/>
  <c r="N502" i="13"/>
  <c r="N506" i="13"/>
  <c r="N510" i="13"/>
  <c r="N514" i="13"/>
  <c r="N518" i="13"/>
  <c r="N522" i="13"/>
  <c r="N526" i="13"/>
  <c r="N530" i="13"/>
  <c r="N534" i="13"/>
  <c r="N538" i="13"/>
  <c r="N542" i="13"/>
  <c r="N546" i="13"/>
  <c r="N550" i="13"/>
  <c r="N554" i="13"/>
  <c r="N558" i="13"/>
  <c r="N562" i="13"/>
  <c r="N566" i="13"/>
  <c r="N570" i="13"/>
  <c r="N574" i="13"/>
  <c r="N578" i="13"/>
  <c r="N582" i="13"/>
  <c r="N586" i="13"/>
  <c r="N590" i="13"/>
  <c r="N594" i="13"/>
  <c r="N598" i="13"/>
  <c r="N602" i="13"/>
  <c r="N606" i="13"/>
  <c r="N610" i="13"/>
  <c r="N614" i="13"/>
  <c r="N618" i="13"/>
  <c r="N622" i="13"/>
  <c r="N626" i="13"/>
  <c r="N630" i="13"/>
  <c r="N634" i="13"/>
  <c r="N638" i="13"/>
  <c r="N642" i="13"/>
  <c r="N646" i="13"/>
  <c r="N650" i="13"/>
  <c r="N654" i="13"/>
  <c r="K693" i="13"/>
  <c r="K697" i="13"/>
  <c r="K701" i="13"/>
  <c r="K705" i="13"/>
  <c r="K709" i="13"/>
  <c r="K713" i="13"/>
  <c r="K717" i="13"/>
  <c r="K721" i="13"/>
  <c r="K725" i="13"/>
  <c r="K729" i="13"/>
  <c r="K733" i="13"/>
  <c r="K737" i="13"/>
  <c r="K741" i="13"/>
  <c r="K745" i="13"/>
  <c r="K749" i="13"/>
  <c r="K753" i="13"/>
  <c r="K757" i="13"/>
  <c r="K761" i="13"/>
  <c r="K765" i="13"/>
  <c r="K769" i="13"/>
  <c r="K773" i="13"/>
  <c r="K777" i="13"/>
  <c r="K781" i="13"/>
  <c r="K785" i="13"/>
  <c r="K789" i="13"/>
  <c r="K793" i="13"/>
  <c r="K797" i="13"/>
  <c r="K801" i="13"/>
  <c r="K805" i="13"/>
  <c r="K809" i="13"/>
  <c r="K813" i="13"/>
  <c r="K817" i="13"/>
  <c r="K821" i="13"/>
  <c r="K825" i="13"/>
  <c r="K829" i="13"/>
  <c r="K833" i="13"/>
  <c r="K837" i="13"/>
  <c r="K841" i="13"/>
  <c r="K845" i="13"/>
  <c r="K849" i="13"/>
  <c r="K853" i="13"/>
  <c r="K857" i="13"/>
  <c r="K861" i="13"/>
  <c r="K865" i="13"/>
  <c r="K869" i="13"/>
  <c r="K873" i="13"/>
  <c r="K877" i="13"/>
  <c r="K881" i="13"/>
  <c r="K885" i="13"/>
  <c r="K889" i="13"/>
  <c r="K893" i="13"/>
  <c r="K897" i="13"/>
  <c r="K901" i="13"/>
  <c r="K905" i="13"/>
  <c r="K909" i="13"/>
  <c r="K913" i="13"/>
  <c r="K917" i="13"/>
  <c r="K921" i="13"/>
  <c r="K925" i="13"/>
  <c r="K929" i="13"/>
  <c r="K933" i="13"/>
  <c r="K937" i="13"/>
  <c r="K941" i="13"/>
  <c r="K945" i="13"/>
  <c r="K949" i="13"/>
  <c r="K953" i="13"/>
  <c r="K957" i="13"/>
  <c r="K961" i="13"/>
  <c r="K965" i="13"/>
  <c r="K969" i="13"/>
  <c r="K973" i="13"/>
  <c r="K977" i="13"/>
  <c r="K981" i="13"/>
  <c r="K985" i="13"/>
  <c r="K989" i="13"/>
  <c r="K993" i="13"/>
  <c r="K997" i="13"/>
  <c r="K1001" i="13"/>
  <c r="K1005" i="13"/>
  <c r="K1009" i="13"/>
  <c r="K1013" i="13"/>
  <c r="K1017" i="13"/>
  <c r="K1021" i="13"/>
  <c r="K1025" i="13"/>
  <c r="K1029" i="13"/>
  <c r="K1033" i="13"/>
  <c r="K1037" i="13"/>
  <c r="K1041" i="13"/>
  <c r="K1045" i="13"/>
  <c r="K1049" i="13"/>
  <c r="K1053" i="13"/>
  <c r="K1057" i="13"/>
  <c r="K1061" i="13"/>
  <c r="K1065" i="13"/>
  <c r="K1069" i="13"/>
  <c r="K1073" i="13"/>
  <c r="K1077" i="13"/>
  <c r="K1081" i="13"/>
  <c r="K1085" i="13"/>
  <c r="K1089" i="13"/>
  <c r="K1093" i="13"/>
  <c r="K1097" i="13"/>
  <c r="K1101" i="13"/>
  <c r="K1105" i="13"/>
  <c r="K1109" i="13"/>
  <c r="K1113" i="13"/>
  <c r="K1117" i="13"/>
  <c r="K1121" i="13"/>
  <c r="K1125" i="13"/>
  <c r="K1129" i="13"/>
  <c r="K1133" i="13"/>
  <c r="K1137" i="13"/>
  <c r="K1141" i="13"/>
  <c r="K1145" i="13"/>
  <c r="K1149" i="13"/>
  <c r="K1153" i="13"/>
  <c r="K1157" i="13"/>
  <c r="K1161" i="13"/>
  <c r="K1165" i="13"/>
  <c r="K1169" i="13"/>
  <c r="K1173" i="13"/>
  <c r="K1177" i="13"/>
  <c r="K1181" i="13"/>
  <c r="K1185" i="13"/>
  <c r="K1189" i="13"/>
  <c r="K1193" i="13"/>
  <c r="K1197" i="13"/>
  <c r="K1201" i="13"/>
  <c r="K1205" i="13"/>
  <c r="K1209" i="13"/>
  <c r="K1213" i="13"/>
  <c r="K1217" i="13"/>
  <c r="K1221" i="13"/>
  <c r="K1225" i="13"/>
  <c r="K1229" i="13"/>
  <c r="K1233" i="13"/>
  <c r="K1237" i="13"/>
  <c r="K1241" i="13"/>
  <c r="K1245" i="13"/>
  <c r="K1249" i="13"/>
  <c r="K1253" i="13"/>
  <c r="K1257" i="13"/>
  <c r="K1261" i="13"/>
  <c r="K1265" i="13"/>
  <c r="L1265" i="13" s="1"/>
  <c r="N7" i="13"/>
  <c r="N11" i="13"/>
  <c r="N15" i="13"/>
  <c r="N19" i="13"/>
  <c r="N23" i="13"/>
  <c r="N27" i="13"/>
  <c r="N31" i="13"/>
  <c r="N35" i="13"/>
  <c r="N39" i="13"/>
  <c r="N43" i="13"/>
  <c r="N47" i="13"/>
  <c r="N51" i="13"/>
  <c r="N55" i="13"/>
  <c r="N59" i="13"/>
  <c r="N63" i="13"/>
  <c r="N67" i="13"/>
  <c r="N71" i="13"/>
  <c r="N75" i="13"/>
  <c r="N79" i="13"/>
  <c r="N83" i="13"/>
  <c r="N87" i="13"/>
  <c r="N91" i="13"/>
  <c r="N95" i="13"/>
  <c r="N99" i="13"/>
  <c r="N103" i="13"/>
  <c r="N107" i="13"/>
  <c r="N111" i="13"/>
  <c r="N115" i="13"/>
  <c r="N119" i="13"/>
  <c r="N123" i="13"/>
  <c r="N127" i="13"/>
  <c r="N131" i="13"/>
  <c r="N135" i="13"/>
  <c r="N139" i="13"/>
  <c r="N143" i="13"/>
  <c r="N147" i="13"/>
  <c r="N151" i="13"/>
  <c r="N155" i="13"/>
  <c r="N159" i="13"/>
  <c r="N163" i="13"/>
  <c r="N167" i="13"/>
  <c r="N171" i="13"/>
  <c r="N175" i="13"/>
  <c r="N179" i="13"/>
  <c r="N183" i="13"/>
  <c r="N187" i="13"/>
  <c r="N191" i="13"/>
  <c r="N195" i="13"/>
  <c r="N199" i="13"/>
  <c r="N203" i="13"/>
  <c r="N207" i="13"/>
  <c r="N211" i="13"/>
  <c r="N215" i="13"/>
  <c r="N219" i="13"/>
  <c r="N223" i="13"/>
  <c r="N227" i="13"/>
  <c r="N231" i="13"/>
  <c r="N235" i="13"/>
  <c r="N239" i="13"/>
  <c r="N243" i="13"/>
  <c r="N247" i="13"/>
  <c r="N251" i="13"/>
  <c r="N255" i="13"/>
  <c r="N259" i="13"/>
  <c r="N263" i="13"/>
  <c r="N267" i="13"/>
  <c r="N271" i="13"/>
  <c r="N275" i="13"/>
  <c r="N279" i="13"/>
  <c r="N283" i="13"/>
  <c r="N287" i="13"/>
  <c r="N291" i="13"/>
  <c r="N295" i="13"/>
  <c r="N299" i="13"/>
  <c r="N303" i="13"/>
  <c r="N307" i="13"/>
  <c r="N311" i="13"/>
  <c r="N315" i="13"/>
  <c r="N319" i="13"/>
  <c r="N323" i="13"/>
  <c r="N327" i="13"/>
  <c r="N331" i="13"/>
  <c r="N335" i="13"/>
  <c r="N339" i="13"/>
  <c r="N343" i="13"/>
  <c r="N347" i="13"/>
  <c r="N351" i="13"/>
  <c r="N355" i="13"/>
  <c r="N359" i="13"/>
  <c r="N363" i="13"/>
  <c r="N367" i="13"/>
  <c r="N371" i="13"/>
  <c r="N375" i="13"/>
  <c r="N379" i="13"/>
  <c r="N383" i="13"/>
  <c r="N387" i="13"/>
  <c r="N391" i="13"/>
  <c r="N395" i="13"/>
  <c r="N399" i="13"/>
  <c r="N403" i="13"/>
  <c r="N407" i="13"/>
  <c r="N411" i="13"/>
  <c r="N415" i="13"/>
  <c r="N419" i="13"/>
  <c r="N423" i="13"/>
  <c r="N427" i="13"/>
  <c r="N431" i="13"/>
  <c r="N435" i="13"/>
  <c r="N439" i="13"/>
  <c r="N443" i="13"/>
  <c r="N447" i="13"/>
  <c r="N451" i="13"/>
  <c r="N455" i="13"/>
  <c r="N459" i="13"/>
  <c r="N463" i="13"/>
  <c r="N467" i="13"/>
  <c r="N471" i="13"/>
  <c r="N475" i="13"/>
  <c r="N479" i="13"/>
  <c r="N483" i="13"/>
  <c r="N487" i="13"/>
  <c r="N491" i="13"/>
  <c r="N495" i="13"/>
  <c r="N499" i="13"/>
  <c r="N503" i="13"/>
  <c r="N507" i="13"/>
  <c r="N511" i="13"/>
  <c r="N515" i="13"/>
  <c r="N519" i="13"/>
  <c r="N523" i="13"/>
  <c r="N527" i="13"/>
  <c r="N531" i="13"/>
  <c r="N535" i="13"/>
  <c r="N539" i="13"/>
  <c r="N543" i="13"/>
  <c r="N547" i="13"/>
  <c r="N551" i="13"/>
  <c r="N555" i="13"/>
  <c r="N559" i="13"/>
  <c r="N563" i="13"/>
  <c r="N567" i="13"/>
  <c r="N571" i="13"/>
  <c r="N575" i="13"/>
  <c r="N579" i="13"/>
  <c r="N583" i="13"/>
  <c r="N587" i="13"/>
  <c r="N591" i="13"/>
  <c r="N595" i="13"/>
  <c r="N599" i="13"/>
  <c r="N603" i="13"/>
  <c r="N607" i="13"/>
  <c r="N611" i="13"/>
  <c r="N615" i="13"/>
  <c r="N619" i="13"/>
  <c r="N623" i="13"/>
  <c r="N627" i="13"/>
  <c r="N631" i="13"/>
  <c r="N635" i="13"/>
  <c r="N639" i="13"/>
  <c r="N643" i="13"/>
  <c r="N647" i="13"/>
  <c r="N651" i="13"/>
  <c r="N655" i="13"/>
  <c r="N659" i="13"/>
  <c r="N663" i="13"/>
  <c r="N667" i="13"/>
  <c r="N671" i="13"/>
  <c r="N675" i="13"/>
  <c r="N679" i="13"/>
  <c r="N683" i="13"/>
  <c r="N687" i="13"/>
  <c r="N691" i="13"/>
  <c r="N695" i="13"/>
  <c r="N699" i="13"/>
  <c r="N703" i="13"/>
  <c r="N707" i="13"/>
  <c r="N711" i="13"/>
  <c r="N715" i="13"/>
  <c r="N719" i="13"/>
  <c r="N723" i="13"/>
  <c r="N727" i="13"/>
  <c r="N731" i="13"/>
  <c r="N735" i="13"/>
  <c r="N739" i="13"/>
  <c r="N744" i="13"/>
  <c r="N748" i="13"/>
  <c r="N752" i="13"/>
  <c r="N756" i="13"/>
  <c r="N760" i="13"/>
  <c r="N764" i="13"/>
  <c r="N768" i="13"/>
  <c r="N772" i="13"/>
  <c r="N776" i="13"/>
  <c r="N780" i="13"/>
  <c r="N784" i="13"/>
  <c r="N788" i="13"/>
  <c r="N792" i="13"/>
  <c r="N796" i="13"/>
  <c r="N800" i="13"/>
  <c r="N804" i="13"/>
  <c r="N808" i="13"/>
  <c r="N812" i="13"/>
  <c r="N816" i="13"/>
  <c r="N820" i="13"/>
  <c r="N824" i="13"/>
  <c r="N828" i="13"/>
  <c r="N832" i="13"/>
  <c r="N836" i="13"/>
  <c r="N840" i="13"/>
  <c r="N844" i="13"/>
  <c r="N848" i="13"/>
  <c r="N852" i="13"/>
  <c r="N856" i="13"/>
  <c r="N860" i="13"/>
  <c r="N864" i="13"/>
  <c r="N868" i="13"/>
  <c r="N872" i="13"/>
  <c r="N876" i="13"/>
  <c r="N880" i="13"/>
  <c r="N884" i="13"/>
  <c r="N888" i="13"/>
  <c r="N892" i="13"/>
  <c r="N896" i="13"/>
  <c r="N900" i="13"/>
  <c r="N904" i="13"/>
  <c r="N908" i="13"/>
  <c r="N912" i="13"/>
  <c r="N916" i="13"/>
  <c r="N920" i="13"/>
  <c r="N924" i="13"/>
  <c r="N928" i="13"/>
  <c r="N932" i="13"/>
  <c r="N936" i="13"/>
  <c r="N940" i="13"/>
  <c r="N944" i="13"/>
  <c r="N948" i="13"/>
  <c r="N952" i="13"/>
  <c r="N956" i="13"/>
  <c r="N960" i="13"/>
  <c r="N964" i="13"/>
  <c r="N968" i="13"/>
  <c r="N972" i="13"/>
  <c r="N976" i="13"/>
  <c r="N980" i="13"/>
  <c r="N984" i="13"/>
  <c r="N988" i="13"/>
  <c r="N992" i="13"/>
  <c r="N996" i="13"/>
  <c r="N1000" i="13"/>
  <c r="N1004" i="13"/>
  <c r="N1008" i="13"/>
  <c r="N1012" i="13"/>
  <c r="N1016" i="13"/>
  <c r="N1020" i="13"/>
  <c r="N1024" i="13"/>
  <c r="N1028" i="13"/>
  <c r="N1032" i="13"/>
  <c r="N1036" i="13"/>
  <c r="N1040" i="13"/>
  <c r="N1044" i="13"/>
  <c r="N1048" i="13"/>
  <c r="N1052" i="13"/>
  <c r="N1056" i="13"/>
  <c r="N1060" i="13"/>
  <c r="N1064" i="13"/>
  <c r="N1068" i="13"/>
  <c r="N1072" i="13"/>
  <c r="N1076" i="13"/>
  <c r="N1080" i="13"/>
  <c r="N1084" i="13"/>
  <c r="N1088" i="13"/>
  <c r="N1092" i="13"/>
  <c r="N1096" i="13"/>
  <c r="N1100" i="13"/>
  <c r="N1104" i="13"/>
  <c r="N1108" i="13"/>
  <c r="N1112" i="13"/>
  <c r="N1116" i="13"/>
  <c r="N1120" i="13"/>
  <c r="N1124" i="13"/>
  <c r="N1128" i="13"/>
  <c r="N1132" i="13"/>
  <c r="N1136" i="13"/>
  <c r="N1140" i="13"/>
  <c r="N1144" i="13"/>
  <c r="N1148" i="13"/>
  <c r="N1152" i="13"/>
  <c r="N1156" i="13"/>
  <c r="N1160" i="13"/>
  <c r="N1164" i="13"/>
  <c r="N1168" i="13"/>
  <c r="N1172" i="13"/>
  <c r="N1176" i="13"/>
  <c r="N1180" i="13"/>
  <c r="N1184" i="13"/>
  <c r="N1188" i="13"/>
  <c r="N1192" i="13"/>
  <c r="N1196" i="13"/>
  <c r="N1200" i="13"/>
  <c r="N1204" i="13"/>
  <c r="N1208" i="13"/>
  <c r="N1212" i="13"/>
  <c r="N1216" i="13"/>
  <c r="N1220" i="13"/>
  <c r="N1224" i="13"/>
  <c r="N1228" i="13"/>
  <c r="N1232" i="13"/>
  <c r="N1236" i="13"/>
  <c r="N1240" i="13"/>
  <c r="N1244" i="13"/>
  <c r="N1248" i="13"/>
  <c r="N1252" i="13"/>
  <c r="N1256" i="13"/>
  <c r="N1260" i="13"/>
  <c r="N1264" i="13"/>
  <c r="O1264" i="13" s="1"/>
  <c r="N658" i="13"/>
  <c r="N662" i="13"/>
  <c r="N666" i="13"/>
  <c r="N670" i="13"/>
  <c r="N674" i="13"/>
  <c r="N678" i="13"/>
  <c r="N682" i="13"/>
  <c r="N686" i="13"/>
  <c r="N690" i="13"/>
  <c r="N694" i="13"/>
  <c r="N698" i="13"/>
  <c r="N702" i="13"/>
  <c r="N706" i="13"/>
  <c r="N710" i="13"/>
  <c r="N714" i="13"/>
  <c r="N718" i="13"/>
  <c r="N722" i="13"/>
  <c r="N726" i="13"/>
  <c r="N730" i="13"/>
  <c r="N734" i="13"/>
  <c r="N738" i="13"/>
  <c r="N742" i="13"/>
  <c r="N746" i="13"/>
  <c r="N750" i="13"/>
  <c r="N754" i="13"/>
  <c r="N758" i="13"/>
  <c r="N762" i="13"/>
  <c r="N766" i="13"/>
  <c r="N770" i="13"/>
  <c r="N774" i="13"/>
  <c r="N778" i="13"/>
  <c r="N782" i="13"/>
  <c r="N786" i="13"/>
  <c r="N790" i="13"/>
  <c r="N794" i="13"/>
  <c r="N798" i="13"/>
  <c r="N802" i="13"/>
  <c r="N806" i="13"/>
  <c r="N810" i="13"/>
  <c r="N814" i="13"/>
  <c r="N818" i="13"/>
  <c r="N822" i="13"/>
  <c r="N826" i="13"/>
  <c r="N830" i="13"/>
  <c r="N834" i="13"/>
  <c r="N838" i="13"/>
  <c r="N842" i="13"/>
  <c r="N846" i="13"/>
  <c r="N850" i="13"/>
  <c r="N854" i="13"/>
  <c r="N858" i="13"/>
  <c r="N862" i="13"/>
  <c r="N866" i="13"/>
  <c r="N870" i="13"/>
  <c r="N874" i="13"/>
  <c r="N878" i="13"/>
  <c r="N882" i="13"/>
  <c r="N886" i="13"/>
  <c r="N890" i="13"/>
  <c r="N894" i="13"/>
  <c r="N898" i="13"/>
  <c r="N902" i="13"/>
  <c r="N906" i="13"/>
  <c r="N910" i="13"/>
  <c r="N914" i="13"/>
  <c r="N918" i="13"/>
  <c r="N922" i="13"/>
  <c r="N926" i="13"/>
  <c r="N930" i="13"/>
  <c r="N934" i="13"/>
  <c r="N938" i="13"/>
  <c r="N942" i="13"/>
  <c r="N946" i="13"/>
  <c r="N950" i="13"/>
  <c r="N954" i="13"/>
  <c r="N958" i="13"/>
  <c r="N962" i="13"/>
  <c r="N966" i="13"/>
  <c r="N970" i="13"/>
  <c r="N974" i="13"/>
  <c r="N978" i="13"/>
  <c r="N982" i="13"/>
  <c r="N986" i="13"/>
  <c r="N990" i="13"/>
  <c r="N994" i="13"/>
  <c r="N998" i="13"/>
  <c r="N1002" i="13"/>
  <c r="N1006" i="13"/>
  <c r="N1010" i="13"/>
  <c r="N1014" i="13"/>
  <c r="N1018" i="13"/>
  <c r="N1022" i="13"/>
  <c r="N1026" i="13"/>
  <c r="N1030" i="13"/>
  <c r="N1034" i="13"/>
  <c r="N1038" i="13"/>
  <c r="N1042" i="13"/>
  <c r="N1046" i="13"/>
  <c r="N1050" i="13"/>
  <c r="N1054" i="13"/>
  <c r="N1058" i="13"/>
  <c r="N1062" i="13"/>
  <c r="N1066" i="13"/>
  <c r="N1070" i="13"/>
  <c r="N1074" i="13"/>
  <c r="N1078" i="13"/>
  <c r="N1082" i="13"/>
  <c r="N1086" i="13"/>
  <c r="N1090" i="13"/>
  <c r="N1094" i="13"/>
  <c r="N1098" i="13"/>
  <c r="N1102" i="13"/>
  <c r="N1106" i="13"/>
  <c r="N1110" i="13"/>
  <c r="N1114" i="13"/>
  <c r="N1118" i="13"/>
  <c r="N1122" i="13"/>
  <c r="N1126" i="13"/>
  <c r="N1130" i="13"/>
  <c r="N1134" i="13"/>
  <c r="N1138" i="13"/>
  <c r="N1142" i="13"/>
  <c r="N1146" i="13"/>
  <c r="N1150" i="13"/>
  <c r="N1154" i="13"/>
  <c r="N1158" i="13"/>
  <c r="N1162" i="13"/>
  <c r="N1166" i="13"/>
  <c r="N1170" i="13"/>
  <c r="N1174" i="13"/>
  <c r="N1178" i="13"/>
  <c r="N1182" i="13"/>
  <c r="N1186" i="13"/>
  <c r="N1190" i="13"/>
  <c r="N1194" i="13"/>
  <c r="N1198" i="13"/>
  <c r="N1202" i="13"/>
  <c r="N1206" i="13"/>
  <c r="N1210" i="13"/>
  <c r="N1214" i="13"/>
  <c r="N1218" i="13"/>
  <c r="N1222" i="13"/>
  <c r="N1226" i="13"/>
  <c r="N1230" i="13"/>
  <c r="N1234" i="13"/>
  <c r="N1238" i="13"/>
  <c r="N1242" i="13"/>
  <c r="N1246" i="13"/>
  <c r="N1250" i="13"/>
  <c r="N1254" i="13"/>
  <c r="N1258" i="13"/>
  <c r="N1262" i="13"/>
  <c r="N1266" i="13"/>
  <c r="O1266" i="13" s="1"/>
  <c r="L1261" i="13" l="1"/>
  <c r="G4" i="13"/>
  <c r="B34" i="1" s="1"/>
  <c r="B38" i="1"/>
  <c r="G2" i="13"/>
  <c r="O1238" i="13"/>
  <c r="O1126" i="13"/>
  <c r="O1062" i="13"/>
  <c r="O934" i="13"/>
  <c r="O806" i="13"/>
  <c r="O1142" i="13"/>
  <c r="O1078" i="13"/>
  <c r="O1046" i="13"/>
  <c r="O998" i="13"/>
  <c r="O982" i="13"/>
  <c r="O870" i="13"/>
  <c r="O838" i="13"/>
  <c r="L4" i="15"/>
  <c r="O1110" i="13"/>
  <c r="O1030" i="13"/>
  <c r="O902" i="13"/>
  <c r="O615" i="13"/>
  <c r="O583" i="13"/>
  <c r="O519" i="13"/>
  <c r="O1222" i="13"/>
  <c r="O1221" i="13"/>
  <c r="O1190" i="13"/>
  <c r="O1189" i="13"/>
  <c r="O1014" i="13"/>
  <c r="O950" i="13"/>
  <c r="O918" i="13"/>
  <c r="O886" i="13"/>
  <c r="O854" i="13"/>
  <c r="O822" i="13"/>
  <c r="O790" i="13"/>
  <c r="O789" i="13"/>
  <c r="O758" i="13"/>
  <c r="O757" i="13"/>
  <c r="O726" i="13"/>
  <c r="O725" i="13"/>
  <c r="O694" i="13"/>
  <c r="O693" i="13"/>
  <c r="O662" i="13"/>
  <c r="O661" i="13"/>
  <c r="O1240" i="13"/>
  <c r="O1208" i="13"/>
  <c r="O1192" i="13"/>
  <c r="O1144" i="13"/>
  <c r="O1112" i="13"/>
  <c r="O1080" i="13"/>
  <c r="O1048" i="13"/>
  <c r="O1016" i="13"/>
  <c r="O984" i="13"/>
  <c r="O952" i="13"/>
  <c r="O920" i="13"/>
  <c r="O888" i="13"/>
  <c r="O840" i="13"/>
  <c r="O808" i="13"/>
  <c r="O792" i="13"/>
  <c r="O744" i="13"/>
  <c r="O727" i="13"/>
  <c r="O695" i="13"/>
  <c r="O663" i="13"/>
  <c r="O631" i="13"/>
  <c r="O599" i="13"/>
  <c r="O567" i="13"/>
  <c r="O551" i="13"/>
  <c r="O535" i="13"/>
  <c r="O503" i="13"/>
  <c r="O487" i="13"/>
  <c r="O471" i="13"/>
  <c r="O455" i="13"/>
  <c r="O1254" i="13"/>
  <c r="O1253" i="13"/>
  <c r="O1094" i="13"/>
  <c r="O966" i="13"/>
  <c r="O774" i="13"/>
  <c r="O773" i="13"/>
  <c r="O742" i="13"/>
  <c r="O741" i="13"/>
  <c r="O710" i="13"/>
  <c r="O709" i="13"/>
  <c r="O678" i="13"/>
  <c r="O677" i="13"/>
  <c r="O1256" i="13"/>
  <c r="O1224" i="13"/>
  <c r="O1176" i="13"/>
  <c r="O1160" i="13"/>
  <c r="O1128" i="13"/>
  <c r="O1096" i="13"/>
  <c r="O1064" i="13"/>
  <c r="O1032" i="13"/>
  <c r="O1000" i="13"/>
  <c r="O968" i="13"/>
  <c r="O936" i="13"/>
  <c r="O904" i="13"/>
  <c r="O872" i="13"/>
  <c r="O856" i="13"/>
  <c r="O824" i="13"/>
  <c r="O776" i="13"/>
  <c r="O760" i="13"/>
  <c r="O711" i="13"/>
  <c r="O679" i="13"/>
  <c r="O647" i="13"/>
  <c r="O1250" i="13"/>
  <c r="O1234" i="13"/>
  <c r="O1218" i="13"/>
  <c r="O1217" i="13"/>
  <c r="O1202" i="13"/>
  <c r="O1201" i="13"/>
  <c r="O1186" i="13"/>
  <c r="O1185" i="13"/>
  <c r="O1170" i="13"/>
  <c r="O1169" i="13"/>
  <c r="O1154" i="13"/>
  <c r="O1138" i="13"/>
  <c r="O1122" i="13"/>
  <c r="O1106" i="13"/>
  <c r="O1090" i="13"/>
  <c r="O1074" i="13"/>
  <c r="O1058" i="13"/>
  <c r="O1042" i="13"/>
  <c r="O1026" i="13"/>
  <c r="O1010" i="13"/>
  <c r="O994" i="13"/>
  <c r="O978" i="13"/>
  <c r="O962" i="13"/>
  <c r="O946" i="13"/>
  <c r="O930" i="13"/>
  <c r="O914" i="13"/>
  <c r="O898" i="13"/>
  <c r="O882" i="13"/>
  <c r="O866" i="13"/>
  <c r="O850" i="13"/>
  <c r="O834" i="13"/>
  <c r="O818" i="13"/>
  <c r="O1246" i="13"/>
  <c r="O1214" i="13"/>
  <c r="O1213" i="13"/>
  <c r="O1182" i="13"/>
  <c r="O1181" i="13"/>
  <c r="O1166" i="13"/>
  <c r="O1165" i="13"/>
  <c r="O1134" i="13"/>
  <c r="O1102" i="13"/>
  <c r="O1070" i="13"/>
  <c r="O1038" i="13"/>
  <c r="O1006" i="13"/>
  <c r="O974" i="13"/>
  <c r="O942" i="13"/>
  <c r="O910" i="13"/>
  <c r="O878" i="13"/>
  <c r="O846" i="13"/>
  <c r="O798" i="13"/>
  <c r="O766" i="13"/>
  <c r="O765" i="13"/>
  <c r="O734" i="13"/>
  <c r="O733" i="13"/>
  <c r="O702" i="13"/>
  <c r="O701" i="13"/>
  <c r="O1232" i="13"/>
  <c r="O1200" i="13"/>
  <c r="O1168" i="13"/>
  <c r="O1136" i="13"/>
  <c r="O1104" i="13"/>
  <c r="O1072" i="13"/>
  <c r="O1040" i="13"/>
  <c r="O1008" i="13"/>
  <c r="O976" i="13"/>
  <c r="O944" i="13"/>
  <c r="O912" i="13"/>
  <c r="O880" i="13"/>
  <c r="O848" i="13"/>
  <c r="O816" i="13"/>
  <c r="O784" i="13"/>
  <c r="O752" i="13"/>
  <c r="O719" i="13"/>
  <c r="O687" i="13"/>
  <c r="O655" i="13"/>
  <c r="O623" i="13"/>
  <c r="O591" i="13"/>
  <c r="O559" i="13"/>
  <c r="O527" i="13"/>
  <c r="O511" i="13"/>
  <c r="O495" i="13"/>
  <c r="O479" i="13"/>
  <c r="O447" i="13"/>
  <c r="O431" i="13"/>
  <c r="O415" i="13"/>
  <c r="O399" i="13"/>
  <c r="O383" i="13"/>
  <c r="O367" i="13"/>
  <c r="O351" i="13"/>
  <c r="O335" i="13"/>
  <c r="O319" i="13"/>
  <c r="O303" i="13"/>
  <c r="O287" i="13"/>
  <c r="O271" i="13"/>
  <c r="O255" i="13"/>
  <c r="O239" i="13"/>
  <c r="O223" i="13"/>
  <c r="O1206" i="13"/>
  <c r="O1205" i="13"/>
  <c r="O1174" i="13"/>
  <c r="O1173" i="13"/>
  <c r="O1158" i="13"/>
  <c r="O1157" i="13"/>
  <c r="O1262" i="13"/>
  <c r="O1261" i="13"/>
  <c r="O1230" i="13"/>
  <c r="O1198" i="13"/>
  <c r="O1197" i="13"/>
  <c r="O1150" i="13"/>
  <c r="O1118" i="13"/>
  <c r="O1086" i="13"/>
  <c r="O1054" i="13"/>
  <c r="O1022" i="13"/>
  <c r="O990" i="13"/>
  <c r="O958" i="13"/>
  <c r="O926" i="13"/>
  <c r="O894" i="13"/>
  <c r="O862" i="13"/>
  <c r="O830" i="13"/>
  <c r="O814" i="13"/>
  <c r="O782" i="13"/>
  <c r="O781" i="13"/>
  <c r="O750" i="13"/>
  <c r="O749" i="13"/>
  <c r="O718" i="13"/>
  <c r="O717" i="13"/>
  <c r="O686" i="13"/>
  <c r="O685" i="13"/>
  <c r="O670" i="13"/>
  <c r="O669" i="13"/>
  <c r="O1248" i="13"/>
  <c r="O1216" i="13"/>
  <c r="O1184" i="13"/>
  <c r="O1152" i="13"/>
  <c r="O1120" i="13"/>
  <c r="O1088" i="13"/>
  <c r="O1056" i="13"/>
  <c r="O1024" i="13"/>
  <c r="O992" i="13"/>
  <c r="O960" i="13"/>
  <c r="O928" i="13"/>
  <c r="O896" i="13"/>
  <c r="O864" i="13"/>
  <c r="O832" i="13"/>
  <c r="O800" i="13"/>
  <c r="O768" i="13"/>
  <c r="O735" i="13"/>
  <c r="O703" i="13"/>
  <c r="O671" i="13"/>
  <c r="O639" i="13"/>
  <c r="O607" i="13"/>
  <c r="O575" i="13"/>
  <c r="O543" i="13"/>
  <c r="O463" i="13"/>
  <c r="O1258" i="13"/>
  <c r="O1257" i="13"/>
  <c r="O1242" i="13"/>
  <c r="O1226" i="13"/>
  <c r="O1210" i="13"/>
  <c r="O1194" i="13"/>
  <c r="O1193" i="13"/>
  <c r="O1178" i="13"/>
  <c r="O1177" i="13"/>
  <c r="O1162" i="13"/>
  <c r="O1161" i="13"/>
  <c r="O1146" i="13"/>
  <c r="O1130" i="13"/>
  <c r="O1114" i="13"/>
  <c r="O1098" i="13"/>
  <c r="O1082" i="13"/>
  <c r="O1066" i="13"/>
  <c r="O1050" i="13"/>
  <c r="O1034" i="13"/>
  <c r="O1018" i="13"/>
  <c r="O1002" i="13"/>
  <c r="O986" i="13"/>
  <c r="O970" i="13"/>
  <c r="O954" i="13"/>
  <c r="O938" i="13"/>
  <c r="O922" i="13"/>
  <c r="O906" i="13"/>
  <c r="O890" i="13"/>
  <c r="O874" i="13"/>
  <c r="O858" i="13"/>
  <c r="O842" i="13"/>
  <c r="O826" i="13"/>
  <c r="O810" i="13"/>
  <c r="O794" i="13"/>
  <c r="O778" i="13"/>
  <c r="O777" i="13"/>
  <c r="O762" i="13"/>
  <c r="O761" i="13"/>
  <c r="O746" i="13"/>
  <c r="O745" i="13"/>
  <c r="O730" i="13"/>
  <c r="O729" i="13"/>
  <c r="O714" i="13"/>
  <c r="O713" i="13"/>
  <c r="O698" i="13"/>
  <c r="O697" i="13"/>
  <c r="O682" i="13"/>
  <c r="O681" i="13"/>
  <c r="O666" i="13"/>
  <c r="O665" i="13"/>
  <c r="O1260" i="13"/>
  <c r="O1244" i="13"/>
  <c r="O439" i="13"/>
  <c r="O423" i="13"/>
  <c r="O407" i="13"/>
  <c r="O391" i="13"/>
  <c r="O375" i="13"/>
  <c r="O359" i="13"/>
  <c r="O343" i="13"/>
  <c r="O327" i="13"/>
  <c r="O311" i="13"/>
  <c r="O295" i="13"/>
  <c r="O279" i="13"/>
  <c r="O263" i="13"/>
  <c r="O247" i="13"/>
  <c r="O231" i="13"/>
  <c r="O215" i="13"/>
  <c r="O199" i="13"/>
  <c r="O183" i="13"/>
  <c r="O167" i="13"/>
  <c r="O151" i="13"/>
  <c r="O135" i="13"/>
  <c r="O119" i="13"/>
  <c r="O103" i="13"/>
  <c r="O87" i="13"/>
  <c r="O71" i="13"/>
  <c r="O55" i="13"/>
  <c r="O39" i="13"/>
  <c r="O23" i="13"/>
  <c r="O7" i="13"/>
  <c r="L1253" i="13"/>
  <c r="L1237" i="13"/>
  <c r="L1221" i="13"/>
  <c r="L1205" i="13"/>
  <c r="L1189" i="13"/>
  <c r="L1173" i="13"/>
  <c r="L1157" i="13"/>
  <c r="L1141" i="13"/>
  <c r="L1125" i="13"/>
  <c r="L1109" i="13"/>
  <c r="L1093" i="13"/>
  <c r="L1077" i="13"/>
  <c r="L1061" i="13"/>
  <c r="L1045" i="13"/>
  <c r="L1029" i="13"/>
  <c r="L1013" i="13"/>
  <c r="L997" i="13"/>
  <c r="L981" i="13"/>
  <c r="L965" i="13"/>
  <c r="L949" i="13"/>
  <c r="L933" i="13"/>
  <c r="L917" i="13"/>
  <c r="L901" i="13"/>
  <c r="L885" i="13"/>
  <c r="L869" i="13"/>
  <c r="L853" i="13"/>
  <c r="L837" i="13"/>
  <c r="L821" i="13"/>
  <c r="L805" i="13"/>
  <c r="L789" i="13"/>
  <c r="L773" i="13"/>
  <c r="L757" i="13"/>
  <c r="L741" i="13"/>
  <c r="L725" i="13"/>
  <c r="L709" i="13"/>
  <c r="L693" i="13"/>
  <c r="O642" i="13"/>
  <c r="O641" i="13"/>
  <c r="O626" i="13"/>
  <c r="O625" i="13"/>
  <c r="O610" i="13"/>
  <c r="O609" i="13"/>
  <c r="O594" i="13"/>
  <c r="O593" i="13"/>
  <c r="O578" i="13"/>
  <c r="O577" i="13"/>
  <c r="O562" i="13"/>
  <c r="O561" i="13"/>
  <c r="O546" i="13"/>
  <c r="O545" i="13"/>
  <c r="O530" i="13"/>
  <c r="O529" i="13"/>
  <c r="O514" i="13"/>
  <c r="O513" i="13"/>
  <c r="O498" i="13"/>
  <c r="O497" i="13"/>
  <c r="O482" i="13"/>
  <c r="O481" i="13"/>
  <c r="O466" i="13"/>
  <c r="O465" i="13"/>
  <c r="O450" i="13"/>
  <c r="O449" i="13"/>
  <c r="O434" i="13"/>
  <c r="O433" i="13"/>
  <c r="O418" i="13"/>
  <c r="O417" i="13"/>
  <c r="O402" i="13"/>
  <c r="O401" i="13"/>
  <c r="O386" i="13"/>
  <c r="O385" i="13"/>
  <c r="O370" i="13"/>
  <c r="O369" i="13"/>
  <c r="O354" i="13"/>
  <c r="O353" i="13"/>
  <c r="O338" i="13"/>
  <c r="O337" i="13"/>
  <c r="O322" i="13"/>
  <c r="O321" i="13"/>
  <c r="O306" i="13"/>
  <c r="O305" i="13"/>
  <c r="O290" i="13"/>
  <c r="O289" i="13"/>
  <c r="O274" i="13"/>
  <c r="O273" i="13"/>
  <c r="O258" i="13"/>
  <c r="O257" i="13"/>
  <c r="O242" i="13"/>
  <c r="O241" i="13"/>
  <c r="O226" i="13"/>
  <c r="O225" i="13"/>
  <c r="O210" i="13"/>
  <c r="O209" i="13"/>
  <c r="O194" i="13"/>
  <c r="O193" i="13"/>
  <c r="O178" i="13"/>
  <c r="O177" i="13"/>
  <c r="O162" i="13"/>
  <c r="O161" i="13"/>
  <c r="O146" i="13"/>
  <c r="O145" i="13"/>
  <c r="O130" i="13"/>
  <c r="O129" i="13"/>
  <c r="O114" i="13"/>
  <c r="O113" i="13"/>
  <c r="O98" i="13"/>
  <c r="O97" i="13"/>
  <c r="O82" i="13"/>
  <c r="O81" i="13"/>
  <c r="O66" i="13"/>
  <c r="O65" i="13"/>
  <c r="O50" i="13"/>
  <c r="O49" i="13"/>
  <c r="O34" i="13"/>
  <c r="O33" i="13"/>
  <c r="O18" i="13"/>
  <c r="O17" i="13"/>
  <c r="L1264" i="13"/>
  <c r="L1263" i="13"/>
  <c r="L1248" i="13"/>
  <c r="L1247" i="13"/>
  <c r="L1232" i="13"/>
  <c r="L1231" i="13"/>
  <c r="L1216" i="13"/>
  <c r="L1215" i="13"/>
  <c r="L1200" i="13"/>
  <c r="L1199" i="13"/>
  <c r="L1184" i="13"/>
  <c r="L1183" i="13"/>
  <c r="L1168" i="13"/>
  <c r="L1167" i="13"/>
  <c r="L1152" i="13"/>
  <c r="L1151" i="13"/>
  <c r="L1136" i="13"/>
  <c r="L1135" i="13"/>
  <c r="L1120" i="13"/>
  <c r="L1119" i="13"/>
  <c r="L1104" i="13"/>
  <c r="L1103" i="13"/>
  <c r="L1088" i="13"/>
  <c r="L1087" i="13"/>
  <c r="L1072" i="13"/>
  <c r="L1071" i="13"/>
  <c r="L1056" i="13"/>
  <c r="L1055" i="13"/>
  <c r="L1040" i="13"/>
  <c r="L1039" i="13"/>
  <c r="L1024" i="13"/>
  <c r="L1023" i="13"/>
  <c r="L1008" i="13"/>
  <c r="L1007" i="13"/>
  <c r="L992" i="13"/>
  <c r="L991" i="13"/>
  <c r="L976" i="13"/>
  <c r="L975" i="13"/>
  <c r="L960" i="13"/>
  <c r="L959" i="13"/>
  <c r="L944" i="13"/>
  <c r="L943" i="13"/>
  <c r="L928" i="13"/>
  <c r="L927" i="13"/>
  <c r="L912" i="13"/>
  <c r="L911" i="13"/>
  <c r="L896" i="13"/>
  <c r="L895" i="13"/>
  <c r="L880" i="13"/>
  <c r="L879" i="13"/>
  <c r="L864" i="13"/>
  <c r="L863" i="13"/>
  <c r="L848" i="13"/>
  <c r="L847" i="13"/>
  <c r="L832" i="13"/>
  <c r="L831" i="13"/>
  <c r="L816" i="13"/>
  <c r="L815" i="13"/>
  <c r="L800" i="13"/>
  <c r="L799" i="13"/>
  <c r="L784" i="13"/>
  <c r="L783" i="13"/>
  <c r="L768" i="13"/>
  <c r="L767" i="13"/>
  <c r="L752" i="13"/>
  <c r="L751" i="13"/>
  <c r="L736" i="13"/>
  <c r="L735" i="13"/>
  <c r="L720" i="13"/>
  <c r="L719" i="13"/>
  <c r="L704" i="13"/>
  <c r="L703" i="13"/>
  <c r="L688" i="13"/>
  <c r="L687" i="13"/>
  <c r="L672" i="13"/>
  <c r="L671" i="13"/>
  <c r="L656" i="13"/>
  <c r="L655" i="13"/>
  <c r="L640" i="13"/>
  <c r="L639" i="13"/>
  <c r="L624" i="13"/>
  <c r="L623" i="13"/>
  <c r="L608" i="13"/>
  <c r="L607" i="13"/>
  <c r="L592" i="13"/>
  <c r="L591" i="13"/>
  <c r="L576" i="13"/>
  <c r="L575" i="13"/>
  <c r="L560" i="13"/>
  <c r="L559" i="13"/>
  <c r="L681" i="13"/>
  <c r="L665" i="13"/>
  <c r="L649" i="13"/>
  <c r="L633" i="13"/>
  <c r="L617" i="13"/>
  <c r="L601" i="13"/>
  <c r="L585" i="13"/>
  <c r="L569" i="13"/>
  <c r="L553" i="13"/>
  <c r="L537" i="13"/>
  <c r="L521" i="13"/>
  <c r="L505" i="13"/>
  <c r="L489" i="13"/>
  <c r="L473" i="13"/>
  <c r="L457" i="13"/>
  <c r="L441" i="13"/>
  <c r="L425" i="13"/>
  <c r="L409" i="13"/>
  <c r="L393" i="13"/>
  <c r="L377" i="13"/>
  <c r="L361" i="13"/>
  <c r="L345" i="13"/>
  <c r="L329" i="13"/>
  <c r="L313" i="13"/>
  <c r="L297" i="13"/>
  <c r="L281" i="13"/>
  <c r="L265" i="13"/>
  <c r="L249" i="13"/>
  <c r="L233" i="13"/>
  <c r="L217" i="13"/>
  <c r="L201" i="13"/>
  <c r="L185" i="13"/>
  <c r="L169" i="13"/>
  <c r="L153" i="13"/>
  <c r="L137" i="13"/>
  <c r="L121" i="13"/>
  <c r="L105" i="13"/>
  <c r="L89" i="13"/>
  <c r="L73" i="13"/>
  <c r="L57" i="13"/>
  <c r="L41" i="13"/>
  <c r="L25" i="13"/>
  <c r="L9" i="13"/>
  <c r="L540" i="13"/>
  <c r="L539" i="13"/>
  <c r="L524" i="13"/>
  <c r="L523" i="13"/>
  <c r="L508" i="13"/>
  <c r="L507" i="13"/>
  <c r="L492" i="13"/>
  <c r="L491" i="13"/>
  <c r="L476" i="13"/>
  <c r="L475" i="13"/>
  <c r="L460" i="13"/>
  <c r="L459" i="13"/>
  <c r="L444" i="13"/>
  <c r="L443" i="13"/>
  <c r="L428" i="13"/>
  <c r="L427" i="13"/>
  <c r="L412" i="13"/>
  <c r="L411" i="13"/>
  <c r="L396" i="13"/>
  <c r="L395" i="13"/>
  <c r="L380" i="13"/>
  <c r="L379" i="13"/>
  <c r="L364" i="13"/>
  <c r="L363" i="13"/>
  <c r="L348" i="13"/>
  <c r="L347" i="13"/>
  <c r="L332" i="13"/>
  <c r="L331" i="13"/>
  <c r="L316" i="13"/>
  <c r="L315" i="13"/>
  <c r="L300" i="13"/>
  <c r="L299" i="13"/>
  <c r="L284" i="13"/>
  <c r="L283" i="13"/>
  <c r="L268" i="13"/>
  <c r="L267" i="13"/>
  <c r="L252" i="13"/>
  <c r="L251" i="13"/>
  <c r="L236" i="13"/>
  <c r="L235" i="13"/>
  <c r="L220" i="13"/>
  <c r="L219" i="13"/>
  <c r="L204" i="13"/>
  <c r="L203" i="13"/>
  <c r="L188" i="13"/>
  <c r="L187" i="13"/>
  <c r="L172" i="13"/>
  <c r="L171" i="13"/>
  <c r="L156" i="13"/>
  <c r="L155" i="13"/>
  <c r="L140" i="13"/>
  <c r="L139" i="13"/>
  <c r="L124" i="13"/>
  <c r="L123" i="13"/>
  <c r="L108" i="13"/>
  <c r="L107" i="13"/>
  <c r="L92" i="13"/>
  <c r="L91" i="13"/>
  <c r="L76" i="13"/>
  <c r="L75" i="13"/>
  <c r="L60" i="13"/>
  <c r="L59" i="13"/>
  <c r="L44" i="13"/>
  <c r="L43" i="13"/>
  <c r="L28" i="13"/>
  <c r="L27" i="13"/>
  <c r="L12" i="13"/>
  <c r="L11" i="13"/>
  <c r="O1255" i="13"/>
  <c r="O1239" i="13"/>
  <c r="O1223" i="13"/>
  <c r="O1207" i="13"/>
  <c r="O1191" i="13"/>
  <c r="O1175" i="13"/>
  <c r="O1159" i="13"/>
  <c r="O1143" i="13"/>
  <c r="O1127" i="13"/>
  <c r="O1111" i="13"/>
  <c r="O1095" i="13"/>
  <c r="O1079" i="13"/>
  <c r="O1063" i="13"/>
  <c r="O1047" i="13"/>
  <c r="O1031" i="13"/>
  <c r="O1015" i="13"/>
  <c r="O999" i="13"/>
  <c r="O983" i="13"/>
  <c r="O967" i="13"/>
  <c r="O951" i="13"/>
  <c r="O935" i="13"/>
  <c r="O919" i="13"/>
  <c r="O903" i="13"/>
  <c r="O887" i="13"/>
  <c r="O871" i="13"/>
  <c r="O855" i="13"/>
  <c r="O839" i="13"/>
  <c r="O823" i="13"/>
  <c r="O807" i="13"/>
  <c r="O791" i="13"/>
  <c r="O775" i="13"/>
  <c r="O759" i="13"/>
  <c r="O743" i="13"/>
  <c r="O728" i="13"/>
  <c r="O712" i="13"/>
  <c r="O696" i="13"/>
  <c r="O680" i="13"/>
  <c r="O664" i="13"/>
  <c r="O648" i="13"/>
  <c r="O632" i="13"/>
  <c r="O616" i="13"/>
  <c r="O600" i="13"/>
  <c r="O584" i="13"/>
  <c r="O568" i="13"/>
  <c r="O552" i="13"/>
  <c r="O536" i="13"/>
  <c r="O520" i="13"/>
  <c r="O504" i="13"/>
  <c r="O488" i="13"/>
  <c r="O472" i="13"/>
  <c r="O456" i="13"/>
  <c r="O440" i="13"/>
  <c r="O424" i="13"/>
  <c r="O408" i="13"/>
  <c r="O392" i="13"/>
  <c r="O376" i="13"/>
  <c r="O360" i="13"/>
  <c r="O344" i="13"/>
  <c r="O328" i="13"/>
  <c r="O312" i="13"/>
  <c r="O296" i="13"/>
  <c r="O280" i="13"/>
  <c r="O264" i="13"/>
  <c r="O248" i="13"/>
  <c r="O232" i="13"/>
  <c r="O216" i="13"/>
  <c r="O200" i="13"/>
  <c r="O184" i="13"/>
  <c r="O168" i="13"/>
  <c r="O152" i="13"/>
  <c r="O136" i="13"/>
  <c r="O120" i="13"/>
  <c r="O104" i="13"/>
  <c r="O88" i="13"/>
  <c r="O72" i="13"/>
  <c r="O56" i="13"/>
  <c r="O40" i="13"/>
  <c r="O24" i="13"/>
  <c r="O8" i="13"/>
  <c r="L1254" i="13"/>
  <c r="L1238" i="13"/>
  <c r="L1222" i="13"/>
  <c r="L1206" i="13"/>
  <c r="L1190" i="13"/>
  <c r="L1174" i="13"/>
  <c r="L1158" i="13"/>
  <c r="L1142" i="13"/>
  <c r="L1126" i="13"/>
  <c r="L1110" i="13"/>
  <c r="L1094" i="13"/>
  <c r="L1078" i="13"/>
  <c r="L1062" i="13"/>
  <c r="L1046" i="13"/>
  <c r="L1030" i="13"/>
  <c r="L1014" i="13"/>
  <c r="L998" i="13"/>
  <c r="L982" i="13"/>
  <c r="L966" i="13"/>
  <c r="L950" i="13"/>
  <c r="L934" i="13"/>
  <c r="L918" i="13"/>
  <c r="L902" i="13"/>
  <c r="L886" i="13"/>
  <c r="L870" i="13"/>
  <c r="L854" i="13"/>
  <c r="L838" i="13"/>
  <c r="L822" i="13"/>
  <c r="L806" i="13"/>
  <c r="L790" i="13"/>
  <c r="L774" i="13"/>
  <c r="L758" i="13"/>
  <c r="L742" i="13"/>
  <c r="L726" i="13"/>
  <c r="L710" i="13"/>
  <c r="L694" i="13"/>
  <c r="L678" i="13"/>
  <c r="L662" i="13"/>
  <c r="L646" i="13"/>
  <c r="L630" i="13"/>
  <c r="L614" i="13"/>
  <c r="L598" i="13"/>
  <c r="L582" i="13"/>
  <c r="L566" i="13"/>
  <c r="L550" i="13"/>
  <c r="L534" i="13"/>
  <c r="L518" i="13"/>
  <c r="L502" i="13"/>
  <c r="L486" i="13"/>
  <c r="L470" i="13"/>
  <c r="L454" i="13"/>
  <c r="L438" i="13"/>
  <c r="L422" i="13"/>
  <c r="L406" i="13"/>
  <c r="L390" i="13"/>
  <c r="L374" i="13"/>
  <c r="L358" i="13"/>
  <c r="L342" i="13"/>
  <c r="L326" i="13"/>
  <c r="L310" i="13"/>
  <c r="L294" i="13"/>
  <c r="L278" i="13"/>
  <c r="L262" i="13"/>
  <c r="L246" i="13"/>
  <c r="L230" i="13"/>
  <c r="L214" i="13"/>
  <c r="O802" i="13"/>
  <c r="O786" i="13"/>
  <c r="O785" i="13"/>
  <c r="O770" i="13"/>
  <c r="O769" i="13"/>
  <c r="O754" i="13"/>
  <c r="O753" i="13"/>
  <c r="O738" i="13"/>
  <c r="O737" i="13"/>
  <c r="O722" i="13"/>
  <c r="O721" i="13"/>
  <c r="O706" i="13"/>
  <c r="O705" i="13"/>
  <c r="O690" i="13"/>
  <c r="O689" i="13"/>
  <c r="O674" i="13"/>
  <c r="O673" i="13"/>
  <c r="O658" i="13"/>
  <c r="O657" i="13"/>
  <c r="O1252" i="13"/>
  <c r="O1236" i="13"/>
  <c r="O1220" i="13"/>
  <c r="O1204" i="13"/>
  <c r="O1188" i="13"/>
  <c r="O1172" i="13"/>
  <c r="O1156" i="13"/>
  <c r="O1140" i="13"/>
  <c r="O1124" i="13"/>
  <c r="O1108" i="13"/>
  <c r="O1092" i="13"/>
  <c r="O1076" i="13"/>
  <c r="O1060" i="13"/>
  <c r="O1044" i="13"/>
  <c r="O1028" i="13"/>
  <c r="O1012" i="13"/>
  <c r="O996" i="13"/>
  <c r="O980" i="13"/>
  <c r="O964" i="13"/>
  <c r="O948" i="13"/>
  <c r="O932" i="13"/>
  <c r="O916" i="13"/>
  <c r="O900" i="13"/>
  <c r="O884" i="13"/>
  <c r="O868" i="13"/>
  <c r="O852" i="13"/>
  <c r="O836" i="13"/>
  <c r="O820" i="13"/>
  <c r="O804" i="13"/>
  <c r="O788" i="13"/>
  <c r="O772" i="13"/>
  <c r="O756" i="13"/>
  <c r="O739" i="13"/>
  <c r="O723" i="13"/>
  <c r="O707" i="13"/>
  <c r="O691" i="13"/>
  <c r="O675" i="13"/>
  <c r="O659" i="13"/>
  <c r="O643" i="13"/>
  <c r="O627" i="13"/>
  <c r="O611" i="13"/>
  <c r="O595" i="13"/>
  <c r="O579" i="13"/>
  <c r="O563" i="13"/>
  <c r="O547" i="13"/>
  <c r="O531" i="13"/>
  <c r="O515" i="13"/>
  <c r="O499" i="13"/>
  <c r="O483" i="13"/>
  <c r="O467" i="13"/>
  <c r="O451" i="13"/>
  <c r="O435" i="13"/>
  <c r="O419" i="13"/>
  <c r="O403" i="13"/>
  <c r="O387" i="13"/>
  <c r="O371" i="13"/>
  <c r="O355" i="13"/>
  <c r="O339" i="13"/>
  <c r="O323" i="13"/>
  <c r="O307" i="13"/>
  <c r="O291" i="13"/>
  <c r="O275" i="13"/>
  <c r="O259" i="13"/>
  <c r="O243" i="13"/>
  <c r="O227" i="13"/>
  <c r="O211" i="13"/>
  <c r="O195" i="13"/>
  <c r="O179" i="13"/>
  <c r="O163" i="13"/>
  <c r="O147" i="13"/>
  <c r="O131" i="13"/>
  <c r="O115" i="13"/>
  <c r="O99" i="13"/>
  <c r="O83" i="13"/>
  <c r="O67" i="13"/>
  <c r="O51" i="13"/>
  <c r="O35" i="13"/>
  <c r="O19" i="13"/>
  <c r="L1249" i="13"/>
  <c r="L1233" i="13"/>
  <c r="L1217" i="13"/>
  <c r="L1201" i="13"/>
  <c r="L1185" i="13"/>
  <c r="L1169" i="13"/>
  <c r="L1153" i="13"/>
  <c r="L1137" i="13"/>
  <c r="L1121" i="13"/>
  <c r="L1105" i="13"/>
  <c r="L1089" i="13"/>
  <c r="L1073" i="13"/>
  <c r="L1057" i="13"/>
  <c r="L1041" i="13"/>
  <c r="L1025" i="13"/>
  <c r="L1009" i="13"/>
  <c r="L993" i="13"/>
  <c r="L977" i="13"/>
  <c r="L961" i="13"/>
  <c r="L945" i="13"/>
  <c r="L929" i="13"/>
  <c r="L913" i="13"/>
  <c r="L897" i="13"/>
  <c r="L881" i="13"/>
  <c r="L865" i="13"/>
  <c r="L849" i="13"/>
  <c r="L833" i="13"/>
  <c r="L817" i="13"/>
  <c r="L801" i="13"/>
  <c r="L785" i="13"/>
  <c r="L769" i="13"/>
  <c r="L753" i="13"/>
  <c r="L737" i="13"/>
  <c r="L721" i="13"/>
  <c r="L705" i="13"/>
  <c r="O654" i="13"/>
  <c r="O653" i="13"/>
  <c r="O638" i="13"/>
  <c r="O637" i="13"/>
  <c r="O622" i="13"/>
  <c r="O621" i="13"/>
  <c r="O606" i="13"/>
  <c r="O605" i="13"/>
  <c r="O590" i="13"/>
  <c r="O589" i="13"/>
  <c r="O574" i="13"/>
  <c r="O573" i="13"/>
  <c r="O558" i="13"/>
  <c r="O557" i="13"/>
  <c r="O542" i="13"/>
  <c r="O541" i="13"/>
  <c r="O526" i="13"/>
  <c r="O525" i="13"/>
  <c r="O510" i="13"/>
  <c r="O509" i="13"/>
  <c r="O494" i="13"/>
  <c r="O493" i="13"/>
  <c r="O478" i="13"/>
  <c r="O477" i="13"/>
  <c r="O462" i="13"/>
  <c r="O461" i="13"/>
  <c r="O446" i="13"/>
  <c r="O445" i="13"/>
  <c r="O430" i="13"/>
  <c r="O429" i="13"/>
  <c r="O414" i="13"/>
  <c r="O413" i="13"/>
  <c r="O398" i="13"/>
  <c r="O397" i="13"/>
  <c r="O382" i="13"/>
  <c r="O381" i="13"/>
  <c r="O366" i="13"/>
  <c r="O365" i="13"/>
  <c r="O350" i="13"/>
  <c r="O349" i="13"/>
  <c r="O334" i="13"/>
  <c r="O333" i="13"/>
  <c r="O318" i="13"/>
  <c r="O317" i="13"/>
  <c r="O302" i="13"/>
  <c r="O301" i="13"/>
  <c r="O286" i="13"/>
  <c r="O285" i="13"/>
  <c r="O270" i="13"/>
  <c r="O269" i="13"/>
  <c r="O254" i="13"/>
  <c r="O253" i="13"/>
  <c r="O238" i="13"/>
  <c r="O237" i="13"/>
  <c r="O222" i="13"/>
  <c r="O221" i="13"/>
  <c r="O206" i="13"/>
  <c r="O205" i="13"/>
  <c r="O190" i="13"/>
  <c r="O189" i="13"/>
  <c r="O174" i="13"/>
  <c r="O173" i="13"/>
  <c r="O158" i="13"/>
  <c r="O157" i="13"/>
  <c r="O142" i="13"/>
  <c r="O141" i="13"/>
  <c r="O126" i="13"/>
  <c r="O125" i="13"/>
  <c r="O110" i="13"/>
  <c r="O109" i="13"/>
  <c r="O94" i="13"/>
  <c r="O93" i="13"/>
  <c r="O78" i="13"/>
  <c r="O77" i="13"/>
  <c r="O62" i="13"/>
  <c r="O61" i="13"/>
  <c r="O46" i="13"/>
  <c r="O45" i="13"/>
  <c r="O30" i="13"/>
  <c r="O29" i="13"/>
  <c r="O14" i="13"/>
  <c r="O13" i="13"/>
  <c r="L1260" i="13"/>
  <c r="L1259" i="13"/>
  <c r="L1244" i="13"/>
  <c r="L1243" i="13"/>
  <c r="L1228" i="13"/>
  <c r="L1227" i="13"/>
  <c r="L1212" i="13"/>
  <c r="L1211" i="13"/>
  <c r="L1196" i="13"/>
  <c r="L1195" i="13"/>
  <c r="L1180" i="13"/>
  <c r="L1179" i="13"/>
  <c r="L1164" i="13"/>
  <c r="L1163" i="13"/>
  <c r="L1148" i="13"/>
  <c r="L1147" i="13"/>
  <c r="L1132" i="13"/>
  <c r="L1131" i="13"/>
  <c r="L1116" i="13"/>
  <c r="L1115" i="13"/>
  <c r="L1100" i="13"/>
  <c r="L1099" i="13"/>
  <c r="L1084" i="13"/>
  <c r="L1083" i="13"/>
  <c r="L1068" i="13"/>
  <c r="L1067" i="13"/>
  <c r="L1052" i="13"/>
  <c r="L1051" i="13"/>
  <c r="L1036" i="13"/>
  <c r="L1035" i="13"/>
  <c r="L1020" i="13"/>
  <c r="L1019" i="13"/>
  <c r="L1004" i="13"/>
  <c r="L1003" i="13"/>
  <c r="L988" i="13"/>
  <c r="L987" i="13"/>
  <c r="L972" i="13"/>
  <c r="L971" i="13"/>
  <c r="L956" i="13"/>
  <c r="L955" i="13"/>
  <c r="L940" i="13"/>
  <c r="L939" i="13"/>
  <c r="L924" i="13"/>
  <c r="L923" i="13"/>
  <c r="L908" i="13"/>
  <c r="L907" i="13"/>
  <c r="L892" i="13"/>
  <c r="L891" i="13"/>
  <c r="L876" i="13"/>
  <c r="L875" i="13"/>
  <c r="L860" i="13"/>
  <c r="L859" i="13"/>
  <c r="L844" i="13"/>
  <c r="L843" i="13"/>
  <c r="L828" i="13"/>
  <c r="L827" i="13"/>
  <c r="L812" i="13"/>
  <c r="L811" i="13"/>
  <c r="L796" i="13"/>
  <c r="L795" i="13"/>
  <c r="L780" i="13"/>
  <c r="L779" i="13"/>
  <c r="L764" i="13"/>
  <c r="L763" i="13"/>
  <c r="L748" i="13"/>
  <c r="L747" i="13"/>
  <c r="L732" i="13"/>
  <c r="L731" i="13"/>
  <c r="L716" i="13"/>
  <c r="L715" i="13"/>
  <c r="L700" i="13"/>
  <c r="L699" i="13"/>
  <c r="L684" i="13"/>
  <c r="L683" i="13"/>
  <c r="L668" i="13"/>
  <c r="L667" i="13"/>
  <c r="L652" i="13"/>
  <c r="L651" i="13"/>
  <c r="L636" i="13"/>
  <c r="L635" i="13"/>
  <c r="L620" i="13"/>
  <c r="L619" i="13"/>
  <c r="L604" i="13"/>
  <c r="L603" i="13"/>
  <c r="L588" i="13"/>
  <c r="L587" i="13"/>
  <c r="L572" i="13"/>
  <c r="L571" i="13"/>
  <c r="L556" i="13"/>
  <c r="L555" i="13"/>
  <c r="L677" i="13"/>
  <c r="L661" i="13"/>
  <c r="L645" i="13"/>
  <c r="L629" i="13"/>
  <c r="L613" i="13"/>
  <c r="L597" i="13"/>
  <c r="L581" i="13"/>
  <c r="L565" i="13"/>
  <c r="L549" i="13"/>
  <c r="L533" i="13"/>
  <c r="L517" i="13"/>
  <c r="L501" i="13"/>
  <c r="L485" i="13"/>
  <c r="L469" i="13"/>
  <c r="L453" i="13"/>
  <c r="L437" i="13"/>
  <c r="L421" i="13"/>
  <c r="L405" i="13"/>
  <c r="L389" i="13"/>
  <c r="L373" i="13"/>
  <c r="L357" i="13"/>
  <c r="L341" i="13"/>
  <c r="L325" i="13"/>
  <c r="L309" i="13"/>
  <c r="L293" i="13"/>
  <c r="L277" i="13"/>
  <c r="L261" i="13"/>
  <c r="L245" i="13"/>
  <c r="L229" i="13"/>
  <c r="L213" i="13"/>
  <c r="L197" i="13"/>
  <c r="L181" i="13"/>
  <c r="L165" i="13"/>
  <c r="L149" i="13"/>
  <c r="L133" i="13"/>
  <c r="L117" i="13"/>
  <c r="L101" i="13"/>
  <c r="L85" i="13"/>
  <c r="L69" i="13"/>
  <c r="L53" i="13"/>
  <c r="L37" i="13"/>
  <c r="L21" i="13"/>
  <c r="L552" i="13"/>
  <c r="L551" i="13"/>
  <c r="L536" i="13"/>
  <c r="L535" i="13"/>
  <c r="L520" i="13"/>
  <c r="L519" i="13"/>
  <c r="L504" i="13"/>
  <c r="L503" i="13"/>
  <c r="L488" i="13"/>
  <c r="L487" i="13"/>
  <c r="L472" i="13"/>
  <c r="L471" i="13"/>
  <c r="L456" i="13"/>
  <c r="L455" i="13"/>
  <c r="L440" i="13"/>
  <c r="L439" i="13"/>
  <c r="L424" i="13"/>
  <c r="L423" i="13"/>
  <c r="L408" i="13"/>
  <c r="L407" i="13"/>
  <c r="L392" i="13"/>
  <c r="L391" i="13"/>
  <c r="L376" i="13"/>
  <c r="L375" i="13"/>
  <c r="L360" i="13"/>
  <c r="L359" i="13"/>
  <c r="L344" i="13"/>
  <c r="L343" i="13"/>
  <c r="L328" i="13"/>
  <c r="L327" i="13"/>
  <c r="L312" i="13"/>
  <c r="L311" i="13"/>
  <c r="L296" i="13"/>
  <c r="L295" i="13"/>
  <c r="L280" i="13"/>
  <c r="L279" i="13"/>
  <c r="L264" i="13"/>
  <c r="L263" i="13"/>
  <c r="L248" i="13"/>
  <c r="L247" i="13"/>
  <c r="L232" i="13"/>
  <c r="L231" i="13"/>
  <c r="L216" i="13"/>
  <c r="L215" i="13"/>
  <c r="L200" i="13"/>
  <c r="L199" i="13"/>
  <c r="L184" i="13"/>
  <c r="L183" i="13"/>
  <c r="L168" i="13"/>
  <c r="L167" i="13"/>
  <c r="L152" i="13"/>
  <c r="L151" i="13"/>
  <c r="L136" i="13"/>
  <c r="L135" i="13"/>
  <c r="L120" i="13"/>
  <c r="L119" i="13"/>
  <c r="L104" i="13"/>
  <c r="L103" i="13"/>
  <c r="L88" i="13"/>
  <c r="L87" i="13"/>
  <c r="L72" i="13"/>
  <c r="L71" i="13"/>
  <c r="L56" i="13"/>
  <c r="L55" i="13"/>
  <c r="L40" i="13"/>
  <c r="L39" i="13"/>
  <c r="L24" i="13"/>
  <c r="L23" i="13"/>
  <c r="L8" i="13"/>
  <c r="L7" i="13"/>
  <c r="O1251" i="13"/>
  <c r="O1235" i="13"/>
  <c r="O1219" i="13"/>
  <c r="O1203" i="13"/>
  <c r="O1187" i="13"/>
  <c r="O1171" i="13"/>
  <c r="O1155" i="13"/>
  <c r="O1139" i="13"/>
  <c r="O1123" i="13"/>
  <c r="O1107" i="13"/>
  <c r="O1091" i="13"/>
  <c r="O1075" i="13"/>
  <c r="O1059" i="13"/>
  <c r="O1043" i="13"/>
  <c r="O1027" i="13"/>
  <c r="O1011" i="13"/>
  <c r="O995" i="13"/>
  <c r="O979" i="13"/>
  <c r="O963" i="13"/>
  <c r="O947" i="13"/>
  <c r="O931" i="13"/>
  <c r="O915" i="13"/>
  <c r="O899" i="13"/>
  <c r="O883" i="13"/>
  <c r="O867" i="13"/>
  <c r="O851" i="13"/>
  <c r="O835" i="13"/>
  <c r="O819" i="13"/>
  <c r="O803" i="13"/>
  <c r="O787" i="13"/>
  <c r="O771" i="13"/>
  <c r="O755" i="13"/>
  <c r="O740" i="13"/>
  <c r="O724" i="13"/>
  <c r="O708" i="13"/>
  <c r="O692" i="13"/>
  <c r="O676" i="13"/>
  <c r="O660" i="13"/>
  <c r="O644" i="13"/>
  <c r="O628" i="13"/>
  <c r="O612" i="13"/>
  <c r="O596" i="13"/>
  <c r="O580" i="13"/>
  <c r="O564" i="13"/>
  <c r="O548" i="13"/>
  <c r="O532" i="13"/>
  <c r="O516" i="13"/>
  <c r="O500" i="13"/>
  <c r="O484" i="13"/>
  <c r="O468" i="13"/>
  <c r="O452" i="13"/>
  <c r="O436" i="13"/>
  <c r="O420" i="13"/>
  <c r="O404" i="13"/>
  <c r="O388" i="13"/>
  <c r="O372" i="13"/>
  <c r="O356" i="13"/>
  <c r="O340" i="13"/>
  <c r="O324" i="13"/>
  <c r="O308" i="13"/>
  <c r="O292" i="13"/>
  <c r="O276" i="13"/>
  <c r="O260" i="13"/>
  <c r="O244" i="13"/>
  <c r="O228" i="13"/>
  <c r="O212" i="13"/>
  <c r="O196" i="13"/>
  <c r="O180" i="13"/>
  <c r="O164" i="13"/>
  <c r="O148" i="13"/>
  <c r="O132" i="13"/>
  <c r="O116" i="13"/>
  <c r="O100" i="13"/>
  <c r="O84" i="13"/>
  <c r="O68" i="13"/>
  <c r="O52" i="13"/>
  <c r="O36" i="13"/>
  <c r="O20" i="13"/>
  <c r="L1250" i="13"/>
  <c r="L1234" i="13"/>
  <c r="L1218" i="13"/>
  <c r="L1202" i="13"/>
  <c r="L1186" i="13"/>
  <c r="L1170" i="13"/>
  <c r="L1154" i="13"/>
  <c r="L1138" i="13"/>
  <c r="L1122" i="13"/>
  <c r="L1106" i="13"/>
  <c r="L1090" i="13"/>
  <c r="L1074" i="13"/>
  <c r="L1058" i="13"/>
  <c r="L1042" i="13"/>
  <c r="L1026" i="13"/>
  <c r="L1010" i="13"/>
  <c r="L994" i="13"/>
  <c r="L978" i="13"/>
  <c r="L962" i="13"/>
  <c r="L946" i="13"/>
  <c r="L930" i="13"/>
  <c r="L914" i="13"/>
  <c r="L898" i="13"/>
  <c r="L882" i="13"/>
  <c r="L866" i="13"/>
  <c r="L850" i="13"/>
  <c r="L834" i="13"/>
  <c r="L818" i="13"/>
  <c r="L802" i="13"/>
  <c r="L786" i="13"/>
  <c r="L770" i="13"/>
  <c r="L754" i="13"/>
  <c r="L738" i="13"/>
  <c r="L722" i="13"/>
  <c r="L706" i="13"/>
  <c r="L690" i="13"/>
  <c r="L674" i="13"/>
  <c r="O207" i="13"/>
  <c r="O191" i="13"/>
  <c r="O175" i="13"/>
  <c r="O159" i="13"/>
  <c r="O143" i="13"/>
  <c r="O127" i="13"/>
  <c r="O111" i="13"/>
  <c r="O95" i="13"/>
  <c r="O79" i="13"/>
  <c r="O63" i="13"/>
  <c r="O47" i="13"/>
  <c r="O31" i="13"/>
  <c r="O15" i="13"/>
  <c r="L1245" i="13"/>
  <c r="L1229" i="13"/>
  <c r="L1213" i="13"/>
  <c r="L1197" i="13"/>
  <c r="L1181" i="13"/>
  <c r="L1165" i="13"/>
  <c r="L1149" i="13"/>
  <c r="L1133" i="13"/>
  <c r="L1117" i="13"/>
  <c r="L1101" i="13"/>
  <c r="L1085" i="13"/>
  <c r="L1069" i="13"/>
  <c r="L1053" i="13"/>
  <c r="L1037" i="13"/>
  <c r="L1021" i="13"/>
  <c r="L1005" i="13"/>
  <c r="L989" i="13"/>
  <c r="L973" i="13"/>
  <c r="L957" i="13"/>
  <c r="L941" i="13"/>
  <c r="L925" i="13"/>
  <c r="L909" i="13"/>
  <c r="L893" i="13"/>
  <c r="L877" i="13"/>
  <c r="L861" i="13"/>
  <c r="L845" i="13"/>
  <c r="L829" i="13"/>
  <c r="L813" i="13"/>
  <c r="L797" i="13"/>
  <c r="L781" i="13"/>
  <c r="L765" i="13"/>
  <c r="L749" i="13"/>
  <c r="L733" i="13"/>
  <c r="L717" i="13"/>
  <c r="L701" i="13"/>
  <c r="O650" i="13"/>
  <c r="O649" i="13"/>
  <c r="O634" i="13"/>
  <c r="O633" i="13"/>
  <c r="O618" i="13"/>
  <c r="O617" i="13"/>
  <c r="O602" i="13"/>
  <c r="O601" i="13"/>
  <c r="O586" i="13"/>
  <c r="O585" i="13"/>
  <c r="O570" i="13"/>
  <c r="O569" i="13"/>
  <c r="O554" i="13"/>
  <c r="O553" i="13"/>
  <c r="O538" i="13"/>
  <c r="O537" i="13"/>
  <c r="O522" i="13"/>
  <c r="O521" i="13"/>
  <c r="O506" i="13"/>
  <c r="O505" i="13"/>
  <c r="O490" i="13"/>
  <c r="O489" i="13"/>
  <c r="O474" i="13"/>
  <c r="O473" i="13"/>
  <c r="O458" i="13"/>
  <c r="O457" i="13"/>
  <c r="O442" i="13"/>
  <c r="O441" i="13"/>
  <c r="O426" i="13"/>
  <c r="O425" i="13"/>
  <c r="O410" i="13"/>
  <c r="O409" i="13"/>
  <c r="O394" i="13"/>
  <c r="O393" i="13"/>
  <c r="O378" i="13"/>
  <c r="O377" i="13"/>
  <c r="O362" i="13"/>
  <c r="O361" i="13"/>
  <c r="O346" i="13"/>
  <c r="O345" i="13"/>
  <c r="O330" i="13"/>
  <c r="O329" i="13"/>
  <c r="O314" i="13"/>
  <c r="O313" i="13"/>
  <c r="O298" i="13"/>
  <c r="O297" i="13"/>
  <c r="O282" i="13"/>
  <c r="O281" i="13"/>
  <c r="O266" i="13"/>
  <c r="O265" i="13"/>
  <c r="O250" i="13"/>
  <c r="O249" i="13"/>
  <c r="O234" i="13"/>
  <c r="O233" i="13"/>
  <c r="O218" i="13"/>
  <c r="O217" i="13"/>
  <c r="O202" i="13"/>
  <c r="O201" i="13"/>
  <c r="O186" i="13"/>
  <c r="O185" i="13"/>
  <c r="O170" i="13"/>
  <c r="O169" i="13"/>
  <c r="O154" i="13"/>
  <c r="O153" i="13"/>
  <c r="O138" i="13"/>
  <c r="O137" i="13"/>
  <c r="O122" i="13"/>
  <c r="O121" i="13"/>
  <c r="O106" i="13"/>
  <c r="O105" i="13"/>
  <c r="O90" i="13"/>
  <c r="O89" i="13"/>
  <c r="O74" i="13"/>
  <c r="O73" i="13"/>
  <c r="O58" i="13"/>
  <c r="O57" i="13"/>
  <c r="O42" i="13"/>
  <c r="O41" i="13"/>
  <c r="O26" i="13"/>
  <c r="O25" i="13"/>
  <c r="O10" i="13"/>
  <c r="O9" i="13"/>
  <c r="L1256" i="13"/>
  <c r="L1255" i="13"/>
  <c r="L1240" i="13"/>
  <c r="L1239" i="13"/>
  <c r="L1224" i="13"/>
  <c r="L1223" i="13"/>
  <c r="L1208" i="13"/>
  <c r="L1207" i="13"/>
  <c r="L1192" i="13"/>
  <c r="L1191" i="13"/>
  <c r="L1176" i="13"/>
  <c r="L1175" i="13"/>
  <c r="L1160" i="13"/>
  <c r="L1159" i="13"/>
  <c r="L1144" i="13"/>
  <c r="L1143" i="13"/>
  <c r="L1128" i="13"/>
  <c r="L1127" i="13"/>
  <c r="L1112" i="13"/>
  <c r="L1111" i="13"/>
  <c r="L1096" i="13"/>
  <c r="L1095" i="13"/>
  <c r="L1080" i="13"/>
  <c r="L1079" i="13"/>
  <c r="L1064" i="13"/>
  <c r="L1063" i="13"/>
  <c r="L1048" i="13"/>
  <c r="L1047" i="13"/>
  <c r="L1032" i="13"/>
  <c r="L1031" i="13"/>
  <c r="L1016" i="13"/>
  <c r="L1015" i="13"/>
  <c r="L1000" i="13"/>
  <c r="L999" i="13"/>
  <c r="L984" i="13"/>
  <c r="L983" i="13"/>
  <c r="L968" i="13"/>
  <c r="L967" i="13"/>
  <c r="L952" i="13"/>
  <c r="L951" i="13"/>
  <c r="L936" i="13"/>
  <c r="L935" i="13"/>
  <c r="L920" i="13"/>
  <c r="L919" i="13"/>
  <c r="L904" i="13"/>
  <c r="L903" i="13"/>
  <c r="L888" i="13"/>
  <c r="L887" i="13"/>
  <c r="L872" i="13"/>
  <c r="L871" i="13"/>
  <c r="L856" i="13"/>
  <c r="L855" i="13"/>
  <c r="L840" i="13"/>
  <c r="L839" i="13"/>
  <c r="L824" i="13"/>
  <c r="L823" i="13"/>
  <c r="L808" i="13"/>
  <c r="L807" i="13"/>
  <c r="L792" i="13"/>
  <c r="L791" i="13"/>
  <c r="L776" i="13"/>
  <c r="L775" i="13"/>
  <c r="L760" i="13"/>
  <c r="L759" i="13"/>
  <c r="L744" i="13"/>
  <c r="L743" i="13"/>
  <c r="L728" i="13"/>
  <c r="L727" i="13"/>
  <c r="L712" i="13"/>
  <c r="L711" i="13"/>
  <c r="L696" i="13"/>
  <c r="L695" i="13"/>
  <c r="L680" i="13"/>
  <c r="L679" i="13"/>
  <c r="L664" i="13"/>
  <c r="L663" i="13"/>
  <c r="L648" i="13"/>
  <c r="L647" i="13"/>
  <c r="L632" i="13"/>
  <c r="L631" i="13"/>
  <c r="L616" i="13"/>
  <c r="L615" i="13"/>
  <c r="L600" i="13"/>
  <c r="L599" i="13"/>
  <c r="L584" i="13"/>
  <c r="L583" i="13"/>
  <c r="L568" i="13"/>
  <c r="L567" i="13"/>
  <c r="L689" i="13"/>
  <c r="L673" i="13"/>
  <c r="L657" i="13"/>
  <c r="L641" i="13"/>
  <c r="L625" i="13"/>
  <c r="L609" i="13"/>
  <c r="L593" i="13"/>
  <c r="L577" i="13"/>
  <c r="L561" i="13"/>
  <c r="L545" i="13"/>
  <c r="L529" i="13"/>
  <c r="L513" i="13"/>
  <c r="L497" i="13"/>
  <c r="L481" i="13"/>
  <c r="L465" i="13"/>
  <c r="L449" i="13"/>
  <c r="L433" i="13"/>
  <c r="L417" i="13"/>
  <c r="L401" i="13"/>
  <c r="L385" i="13"/>
  <c r="L369" i="13"/>
  <c r="L353" i="13"/>
  <c r="L337" i="13"/>
  <c r="L321" i="13"/>
  <c r="L305" i="13"/>
  <c r="L289" i="13"/>
  <c r="L273" i="13"/>
  <c r="L257" i="13"/>
  <c r="L241" i="13"/>
  <c r="L225" i="13"/>
  <c r="L209" i="13"/>
  <c r="L193" i="13"/>
  <c r="L177" i="13"/>
  <c r="L161" i="13"/>
  <c r="L145" i="13"/>
  <c r="L129" i="13"/>
  <c r="L113" i="13"/>
  <c r="L97" i="13"/>
  <c r="L81" i="13"/>
  <c r="L65" i="13"/>
  <c r="L49" i="13"/>
  <c r="L33" i="13"/>
  <c r="L17" i="13"/>
  <c r="L548" i="13"/>
  <c r="L547" i="13"/>
  <c r="L532" i="13"/>
  <c r="L531" i="13"/>
  <c r="L516" i="13"/>
  <c r="L515" i="13"/>
  <c r="L500" i="13"/>
  <c r="L499" i="13"/>
  <c r="L484" i="13"/>
  <c r="L483" i="13"/>
  <c r="L468" i="13"/>
  <c r="L467" i="13"/>
  <c r="L452" i="13"/>
  <c r="L451" i="13"/>
  <c r="L436" i="13"/>
  <c r="L435" i="13"/>
  <c r="L420" i="13"/>
  <c r="L419" i="13"/>
  <c r="L404" i="13"/>
  <c r="L403" i="13"/>
  <c r="L388" i="13"/>
  <c r="L387" i="13"/>
  <c r="L372" i="13"/>
  <c r="L371" i="13"/>
  <c r="L356" i="13"/>
  <c r="L355" i="13"/>
  <c r="L340" i="13"/>
  <c r="L339" i="13"/>
  <c r="L324" i="13"/>
  <c r="L323" i="13"/>
  <c r="L308" i="13"/>
  <c r="L307" i="13"/>
  <c r="L292" i="13"/>
  <c r="L291" i="13"/>
  <c r="L276" i="13"/>
  <c r="L275" i="13"/>
  <c r="L260" i="13"/>
  <c r="L259" i="13"/>
  <c r="L244" i="13"/>
  <c r="L243" i="13"/>
  <c r="L228" i="13"/>
  <c r="L227" i="13"/>
  <c r="L212" i="13"/>
  <c r="L211" i="13"/>
  <c r="L196" i="13"/>
  <c r="L195" i="13"/>
  <c r="L180" i="13"/>
  <c r="L179" i="13"/>
  <c r="L164" i="13"/>
  <c r="L163" i="13"/>
  <c r="L148" i="13"/>
  <c r="L147" i="13"/>
  <c r="L132" i="13"/>
  <c r="L131" i="13"/>
  <c r="L116" i="13"/>
  <c r="L115" i="13"/>
  <c r="L100" i="13"/>
  <c r="L99" i="13"/>
  <c r="L84" i="13"/>
  <c r="L83" i="13"/>
  <c r="L68" i="13"/>
  <c r="L67" i="13"/>
  <c r="L52" i="13"/>
  <c r="L51" i="13"/>
  <c r="L36" i="13"/>
  <c r="L35" i="13"/>
  <c r="L20" i="13"/>
  <c r="L19" i="13"/>
  <c r="O1263" i="13"/>
  <c r="O1247" i="13"/>
  <c r="O1231" i="13"/>
  <c r="O1215" i="13"/>
  <c r="O1199" i="13"/>
  <c r="O1183" i="13"/>
  <c r="O1167" i="13"/>
  <c r="O1151" i="13"/>
  <c r="O1135" i="13"/>
  <c r="O1119" i="13"/>
  <c r="O1103" i="13"/>
  <c r="O1087" i="13"/>
  <c r="O1071" i="13"/>
  <c r="O1055" i="13"/>
  <c r="O1039" i="13"/>
  <c r="O1023" i="13"/>
  <c r="O1007" i="13"/>
  <c r="O991" i="13"/>
  <c r="O975" i="13"/>
  <c r="O959" i="13"/>
  <c r="O943" i="13"/>
  <c r="O927" i="13"/>
  <c r="O911" i="13"/>
  <c r="O895" i="13"/>
  <c r="O879" i="13"/>
  <c r="O863" i="13"/>
  <c r="O847" i="13"/>
  <c r="O831" i="13"/>
  <c r="O815" i="13"/>
  <c r="O799" i="13"/>
  <c r="O783" i="13"/>
  <c r="O767" i="13"/>
  <c r="O751" i="13"/>
  <c r="O736" i="13"/>
  <c r="O720" i="13"/>
  <c r="O704" i="13"/>
  <c r="O688" i="13"/>
  <c r="O672" i="13"/>
  <c r="O656" i="13"/>
  <c r="O640" i="13"/>
  <c r="O624" i="13"/>
  <c r="O608" i="13"/>
  <c r="O592" i="13"/>
  <c r="O576" i="13"/>
  <c r="O560" i="13"/>
  <c r="O544" i="13"/>
  <c r="O528" i="13"/>
  <c r="O512" i="13"/>
  <c r="O496" i="13"/>
  <c r="O480" i="13"/>
  <c r="O464" i="13"/>
  <c r="O448" i="13"/>
  <c r="O432" i="13"/>
  <c r="O416" i="13"/>
  <c r="O400" i="13"/>
  <c r="O384" i="13"/>
  <c r="O368" i="13"/>
  <c r="O352" i="13"/>
  <c r="O336" i="13"/>
  <c r="O320" i="13"/>
  <c r="O304" i="13"/>
  <c r="O288" i="13"/>
  <c r="O272" i="13"/>
  <c r="O256" i="13"/>
  <c r="O240" i="13"/>
  <c r="O224" i="13"/>
  <c r="O208" i="13"/>
  <c r="O192" i="13"/>
  <c r="O176" i="13"/>
  <c r="O160" i="13"/>
  <c r="O144" i="13"/>
  <c r="O128" i="13"/>
  <c r="O112" i="13"/>
  <c r="O96" i="13"/>
  <c r="O80" i="13"/>
  <c r="O64" i="13"/>
  <c r="O48" i="13"/>
  <c r="O32" i="13"/>
  <c r="O16" i="13"/>
  <c r="L1262" i="13"/>
  <c r="L1246" i="13"/>
  <c r="L1230" i="13"/>
  <c r="L1214" i="13"/>
  <c r="L1198" i="13"/>
  <c r="L1182" i="13"/>
  <c r="L1166" i="13"/>
  <c r="L1150" i="13"/>
  <c r="L1134" i="13"/>
  <c r="L1118" i="13"/>
  <c r="L1102" i="13"/>
  <c r="L1086" i="13"/>
  <c r="L1070" i="13"/>
  <c r="L1054" i="13"/>
  <c r="L1038" i="13"/>
  <c r="L1022" i="13"/>
  <c r="L1006" i="13"/>
  <c r="L990" i="13"/>
  <c r="L974" i="13"/>
  <c r="L958" i="13"/>
  <c r="L942" i="13"/>
  <c r="L926" i="13"/>
  <c r="L910" i="13"/>
  <c r="L894" i="13"/>
  <c r="L878" i="13"/>
  <c r="L862" i="13"/>
  <c r="L846" i="13"/>
  <c r="L830" i="13"/>
  <c r="L814" i="13"/>
  <c r="L798" i="13"/>
  <c r="L782" i="13"/>
  <c r="L766" i="13"/>
  <c r="L750" i="13"/>
  <c r="L734" i="13"/>
  <c r="L718" i="13"/>
  <c r="L702" i="13"/>
  <c r="L686" i="13"/>
  <c r="L670" i="13"/>
  <c r="L654" i="13"/>
  <c r="L638" i="13"/>
  <c r="L622" i="13"/>
  <c r="L606" i="13"/>
  <c r="L590" i="13"/>
  <c r="L574" i="13"/>
  <c r="L558" i="13"/>
  <c r="L542" i="13"/>
  <c r="L526" i="13"/>
  <c r="L510" i="13"/>
  <c r="L494" i="13"/>
  <c r="L478" i="13"/>
  <c r="L462" i="13"/>
  <c r="L446" i="13"/>
  <c r="L430" i="13"/>
  <c r="L414" i="13"/>
  <c r="L398" i="13"/>
  <c r="L382" i="13"/>
  <c r="L366" i="13"/>
  <c r="L350" i="13"/>
  <c r="L334" i="13"/>
  <c r="L318" i="13"/>
  <c r="L302" i="13"/>
  <c r="L286" i="13"/>
  <c r="L270" i="13"/>
  <c r="L254" i="13"/>
  <c r="L238" i="13"/>
  <c r="L222" i="13"/>
  <c r="L206" i="13"/>
  <c r="L190" i="13"/>
  <c r="L174" i="13"/>
  <c r="L158" i="13"/>
  <c r="L142" i="13"/>
  <c r="L126" i="13"/>
  <c r="L110" i="13"/>
  <c r="L94" i="13"/>
  <c r="L78" i="13"/>
  <c r="L62" i="13"/>
  <c r="L46" i="13"/>
  <c r="L30" i="13"/>
  <c r="L14" i="13"/>
  <c r="O1153" i="13"/>
  <c r="O1137" i="13"/>
  <c r="O1121" i="13"/>
  <c r="O1105" i="13"/>
  <c r="O1089" i="13"/>
  <c r="O1073" i="13"/>
  <c r="O1057" i="13"/>
  <c r="O1041" i="13"/>
  <c r="O1228" i="13"/>
  <c r="O1212" i="13"/>
  <c r="O1196" i="13"/>
  <c r="O1180" i="13"/>
  <c r="O1164" i="13"/>
  <c r="O1148" i="13"/>
  <c r="O1132" i="13"/>
  <c r="O1116" i="13"/>
  <c r="O1100" i="13"/>
  <c r="O1084" i="13"/>
  <c r="O1068" i="13"/>
  <c r="O1052" i="13"/>
  <c r="O1036" i="13"/>
  <c r="O1020" i="13"/>
  <c r="O1004" i="13"/>
  <c r="O988" i="13"/>
  <c r="O972" i="13"/>
  <c r="O956" i="13"/>
  <c r="O940" i="13"/>
  <c r="O924" i="13"/>
  <c r="O908" i="13"/>
  <c r="O892" i="13"/>
  <c r="O876" i="13"/>
  <c r="O860" i="13"/>
  <c r="O844" i="13"/>
  <c r="O828" i="13"/>
  <c r="O812" i="13"/>
  <c r="O796" i="13"/>
  <c r="O780" i="13"/>
  <c r="O764" i="13"/>
  <c r="O748" i="13"/>
  <c r="O731" i="13"/>
  <c r="O715" i="13"/>
  <c r="O699" i="13"/>
  <c r="O683" i="13"/>
  <c r="O667" i="13"/>
  <c r="O651" i="13"/>
  <c r="O635" i="13"/>
  <c r="O619" i="13"/>
  <c r="O603" i="13"/>
  <c r="O587" i="13"/>
  <c r="O571" i="13"/>
  <c r="O555" i="13"/>
  <c r="O539" i="13"/>
  <c r="O523" i="13"/>
  <c r="O507" i="13"/>
  <c r="O491" i="13"/>
  <c r="O475" i="13"/>
  <c r="O459" i="13"/>
  <c r="O443" i="13"/>
  <c r="O427" i="13"/>
  <c r="O411" i="13"/>
  <c r="O395" i="13"/>
  <c r="O379" i="13"/>
  <c r="O363" i="13"/>
  <c r="O347" i="13"/>
  <c r="O331" i="13"/>
  <c r="O315" i="13"/>
  <c r="O299" i="13"/>
  <c r="O283" i="13"/>
  <c r="O267" i="13"/>
  <c r="O251" i="13"/>
  <c r="O235" i="13"/>
  <c r="O219" i="13"/>
  <c r="O203" i="13"/>
  <c r="O187" i="13"/>
  <c r="O171" i="13"/>
  <c r="O155" i="13"/>
  <c r="O139" i="13"/>
  <c r="O123" i="13"/>
  <c r="O107" i="13"/>
  <c r="O91" i="13"/>
  <c r="O75" i="13"/>
  <c r="O59" i="13"/>
  <c r="O43" i="13"/>
  <c r="O27" i="13"/>
  <c r="O11" i="13"/>
  <c r="L1257" i="13"/>
  <c r="L1241" i="13"/>
  <c r="L1225" i="13"/>
  <c r="L1209" i="13"/>
  <c r="L1193" i="13"/>
  <c r="L1177" i="13"/>
  <c r="L1161" i="13"/>
  <c r="L1145" i="13"/>
  <c r="L1129" i="13"/>
  <c r="L1113" i="13"/>
  <c r="L1097" i="13"/>
  <c r="L1081" i="13"/>
  <c r="L1065" i="13"/>
  <c r="L1049" i="13"/>
  <c r="L1033" i="13"/>
  <c r="L1017" i="13"/>
  <c r="L1001" i="13"/>
  <c r="L985" i="13"/>
  <c r="L969" i="13"/>
  <c r="L953" i="13"/>
  <c r="L937" i="13"/>
  <c r="L921" i="13"/>
  <c r="L905" i="13"/>
  <c r="L889" i="13"/>
  <c r="L873" i="13"/>
  <c r="L857" i="13"/>
  <c r="L841" i="13"/>
  <c r="L825" i="13"/>
  <c r="L809" i="13"/>
  <c r="L793" i="13"/>
  <c r="L777" i="13"/>
  <c r="L761" i="13"/>
  <c r="L745" i="13"/>
  <c r="L729" i="13"/>
  <c r="L713" i="13"/>
  <c r="L697" i="13"/>
  <c r="O646" i="13"/>
  <c r="O645" i="13"/>
  <c r="O630" i="13"/>
  <c r="O629" i="13"/>
  <c r="O614" i="13"/>
  <c r="O613" i="13"/>
  <c r="O598" i="13"/>
  <c r="O597" i="13"/>
  <c r="O582" i="13"/>
  <c r="O581" i="13"/>
  <c r="O566" i="13"/>
  <c r="O565" i="13"/>
  <c r="O550" i="13"/>
  <c r="O549" i="13"/>
  <c r="O534" i="13"/>
  <c r="O533" i="13"/>
  <c r="O518" i="13"/>
  <c r="O517" i="13"/>
  <c r="O502" i="13"/>
  <c r="O501" i="13"/>
  <c r="O486" i="13"/>
  <c r="O485" i="13"/>
  <c r="O470" i="13"/>
  <c r="O469" i="13"/>
  <c r="O454" i="13"/>
  <c r="O453" i="13"/>
  <c r="O438" i="13"/>
  <c r="O437" i="13"/>
  <c r="O422" i="13"/>
  <c r="O421" i="13"/>
  <c r="O406" i="13"/>
  <c r="O405" i="13"/>
  <c r="O390" i="13"/>
  <c r="O389" i="13"/>
  <c r="O374" i="13"/>
  <c r="O373" i="13"/>
  <c r="O358" i="13"/>
  <c r="O357" i="13"/>
  <c r="O342" i="13"/>
  <c r="O341" i="13"/>
  <c r="O326" i="13"/>
  <c r="O325" i="13"/>
  <c r="O310" i="13"/>
  <c r="O309" i="13"/>
  <c r="O294" i="13"/>
  <c r="O293" i="13"/>
  <c r="O278" i="13"/>
  <c r="O277" i="13"/>
  <c r="O262" i="13"/>
  <c r="O261" i="13"/>
  <c r="O246" i="13"/>
  <c r="O245" i="13"/>
  <c r="O230" i="13"/>
  <c r="O229" i="13"/>
  <c r="O214" i="13"/>
  <c r="O213" i="13"/>
  <c r="O198" i="13"/>
  <c r="O197" i="13"/>
  <c r="O182" i="13"/>
  <c r="O181" i="13"/>
  <c r="O166" i="13"/>
  <c r="O165" i="13"/>
  <c r="O150" i="13"/>
  <c r="O149" i="13"/>
  <c r="O134" i="13"/>
  <c r="O133" i="13"/>
  <c r="O118" i="13"/>
  <c r="O117" i="13"/>
  <c r="O102" i="13"/>
  <c r="O101" i="13"/>
  <c r="O86" i="13"/>
  <c r="O85" i="13"/>
  <c r="O70" i="13"/>
  <c r="O69" i="13"/>
  <c r="O54" i="13"/>
  <c r="O53" i="13"/>
  <c r="O38" i="13"/>
  <c r="O37" i="13"/>
  <c r="O22" i="13"/>
  <c r="O21" i="13"/>
  <c r="O6" i="13"/>
  <c r="L1252" i="13"/>
  <c r="L1251" i="13"/>
  <c r="L1236" i="13"/>
  <c r="L1235" i="13"/>
  <c r="L1220" i="13"/>
  <c r="L1219" i="13"/>
  <c r="L1204" i="13"/>
  <c r="L1203" i="13"/>
  <c r="L1188" i="13"/>
  <c r="L1187" i="13"/>
  <c r="L1172" i="13"/>
  <c r="L1171" i="13"/>
  <c r="L1156" i="13"/>
  <c r="L1155" i="13"/>
  <c r="L1140" i="13"/>
  <c r="L1139" i="13"/>
  <c r="L1124" i="13"/>
  <c r="L1123" i="13"/>
  <c r="L1108" i="13"/>
  <c r="L1107" i="13"/>
  <c r="L1092" i="13"/>
  <c r="L1091" i="13"/>
  <c r="L1076" i="13"/>
  <c r="L1075" i="13"/>
  <c r="L1060" i="13"/>
  <c r="L1059" i="13"/>
  <c r="L1044" i="13"/>
  <c r="L1043" i="13"/>
  <c r="L1028" i="13"/>
  <c r="L1027" i="13"/>
  <c r="L1012" i="13"/>
  <c r="L1011" i="13"/>
  <c r="L996" i="13"/>
  <c r="L995" i="13"/>
  <c r="L980" i="13"/>
  <c r="L979" i="13"/>
  <c r="L964" i="13"/>
  <c r="L963" i="13"/>
  <c r="L948" i="13"/>
  <c r="L947" i="13"/>
  <c r="L932" i="13"/>
  <c r="L931" i="13"/>
  <c r="L916" i="13"/>
  <c r="L915" i="13"/>
  <c r="L900" i="13"/>
  <c r="L899" i="13"/>
  <c r="L884" i="13"/>
  <c r="L883" i="13"/>
  <c r="L868" i="13"/>
  <c r="L867" i="13"/>
  <c r="L852" i="13"/>
  <c r="L851" i="13"/>
  <c r="L836" i="13"/>
  <c r="L835" i="13"/>
  <c r="L820" i="13"/>
  <c r="L819" i="13"/>
  <c r="L804" i="13"/>
  <c r="L803" i="13"/>
  <c r="L788" i="13"/>
  <c r="L787" i="13"/>
  <c r="L772" i="13"/>
  <c r="L771" i="13"/>
  <c r="L756" i="13"/>
  <c r="L755" i="13"/>
  <c r="L740" i="13"/>
  <c r="L739" i="13"/>
  <c r="L724" i="13"/>
  <c r="L723" i="13"/>
  <c r="L708" i="13"/>
  <c r="L707" i="13"/>
  <c r="L692" i="13"/>
  <c r="L691" i="13"/>
  <c r="L676" i="13"/>
  <c r="L675" i="13"/>
  <c r="L660" i="13"/>
  <c r="L659" i="13"/>
  <c r="L644" i="13"/>
  <c r="L643" i="13"/>
  <c r="L628" i="13"/>
  <c r="L627" i="13"/>
  <c r="L612" i="13"/>
  <c r="L611" i="13"/>
  <c r="L596" i="13"/>
  <c r="L595" i="13"/>
  <c r="L580" i="13"/>
  <c r="L579" i="13"/>
  <c r="L564" i="13"/>
  <c r="L563" i="13"/>
  <c r="L685" i="13"/>
  <c r="L669" i="13"/>
  <c r="L653" i="13"/>
  <c r="L637" i="13"/>
  <c r="L621" i="13"/>
  <c r="L605" i="13"/>
  <c r="L589" i="13"/>
  <c r="L573" i="13"/>
  <c r="L557" i="13"/>
  <c r="L541" i="13"/>
  <c r="L525" i="13"/>
  <c r="L509" i="13"/>
  <c r="L493" i="13"/>
  <c r="L477" i="13"/>
  <c r="L461" i="13"/>
  <c r="L445" i="13"/>
  <c r="L429" i="13"/>
  <c r="L413" i="13"/>
  <c r="L397" i="13"/>
  <c r="L381" i="13"/>
  <c r="L365" i="13"/>
  <c r="L349" i="13"/>
  <c r="L333" i="13"/>
  <c r="L317" i="13"/>
  <c r="L301" i="13"/>
  <c r="L285" i="13"/>
  <c r="L269" i="13"/>
  <c r="L253" i="13"/>
  <c r="L237" i="13"/>
  <c r="L221" i="13"/>
  <c r="L205" i="13"/>
  <c r="L189" i="13"/>
  <c r="L173" i="13"/>
  <c r="L157" i="13"/>
  <c r="L141" i="13"/>
  <c r="L125" i="13"/>
  <c r="L109" i="13"/>
  <c r="L93" i="13"/>
  <c r="L77" i="13"/>
  <c r="L61" i="13"/>
  <c r="L45" i="13"/>
  <c r="L29" i="13"/>
  <c r="L13" i="13"/>
  <c r="L544" i="13"/>
  <c r="L543" i="13"/>
  <c r="L528" i="13"/>
  <c r="L527" i="13"/>
  <c r="L512" i="13"/>
  <c r="L511" i="13"/>
  <c r="L496" i="13"/>
  <c r="L495" i="13"/>
  <c r="L480" i="13"/>
  <c r="L479" i="13"/>
  <c r="L464" i="13"/>
  <c r="L463" i="13"/>
  <c r="L448" i="13"/>
  <c r="L447" i="13"/>
  <c r="L432" i="13"/>
  <c r="L431" i="13"/>
  <c r="L416" i="13"/>
  <c r="L415" i="13"/>
  <c r="L400" i="13"/>
  <c r="L399" i="13"/>
  <c r="L384" i="13"/>
  <c r="L383" i="13"/>
  <c r="L368" i="13"/>
  <c r="L367" i="13"/>
  <c r="L352" i="13"/>
  <c r="L351" i="13"/>
  <c r="L336" i="13"/>
  <c r="L335" i="13"/>
  <c r="L320" i="13"/>
  <c r="L319" i="13"/>
  <c r="L304" i="13"/>
  <c r="L303" i="13"/>
  <c r="L288" i="13"/>
  <c r="L287" i="13"/>
  <c r="L272" i="13"/>
  <c r="L271" i="13"/>
  <c r="L256" i="13"/>
  <c r="L255" i="13"/>
  <c r="L240" i="13"/>
  <c r="L239" i="13"/>
  <c r="L224" i="13"/>
  <c r="L223" i="13"/>
  <c r="L208" i="13"/>
  <c r="L207" i="13"/>
  <c r="L192" i="13"/>
  <c r="L191" i="13"/>
  <c r="L176" i="13"/>
  <c r="L175" i="13"/>
  <c r="L160" i="13"/>
  <c r="L159" i="13"/>
  <c r="L144" i="13"/>
  <c r="L143" i="13"/>
  <c r="L128" i="13"/>
  <c r="L127" i="13"/>
  <c r="L112" i="13"/>
  <c r="L111" i="13"/>
  <c r="L96" i="13"/>
  <c r="L95" i="13"/>
  <c r="L80" i="13"/>
  <c r="L79" i="13"/>
  <c r="L64" i="13"/>
  <c r="L63" i="13"/>
  <c r="L48" i="13"/>
  <c r="L47" i="13"/>
  <c r="L32" i="13"/>
  <c r="L31" i="13"/>
  <c r="L16" i="13"/>
  <c r="L15" i="13"/>
  <c r="O1259" i="13"/>
  <c r="O1243" i="13"/>
  <c r="O1227" i="13"/>
  <c r="O1211" i="13"/>
  <c r="O1195" i="13"/>
  <c r="O1179" i="13"/>
  <c r="O1163" i="13"/>
  <c r="O1147" i="13"/>
  <c r="O1131" i="13"/>
  <c r="O1115" i="13"/>
  <c r="O1099" i="13"/>
  <c r="O1083" i="13"/>
  <c r="O1067" i="13"/>
  <c r="O1051" i="13"/>
  <c r="O1035" i="13"/>
  <c r="O1019" i="13"/>
  <c r="O1003" i="13"/>
  <c r="O987" i="13"/>
  <c r="O971" i="13"/>
  <c r="O955" i="13"/>
  <c r="O939" i="13"/>
  <c r="O923" i="13"/>
  <c r="O907" i="13"/>
  <c r="O891" i="13"/>
  <c r="O875" i="13"/>
  <c r="O859" i="13"/>
  <c r="O843" i="13"/>
  <c r="O827" i="13"/>
  <c r="O811" i="13"/>
  <c r="O795" i="13"/>
  <c r="O779" i="13"/>
  <c r="O763" i="13"/>
  <c r="O747" i="13"/>
  <c r="O732" i="13"/>
  <c r="O716" i="13"/>
  <c r="O700" i="13"/>
  <c r="O684" i="13"/>
  <c r="O668" i="13"/>
  <c r="O652" i="13"/>
  <c r="O636" i="13"/>
  <c r="O620" i="13"/>
  <c r="O604" i="13"/>
  <c r="O588" i="13"/>
  <c r="O572" i="13"/>
  <c r="O556" i="13"/>
  <c r="O540" i="13"/>
  <c r="O524" i="13"/>
  <c r="O508" i="13"/>
  <c r="O492" i="13"/>
  <c r="O476" i="13"/>
  <c r="O460" i="13"/>
  <c r="O444" i="13"/>
  <c r="O428" i="13"/>
  <c r="O412" i="13"/>
  <c r="O396" i="13"/>
  <c r="O380" i="13"/>
  <c r="O364" i="13"/>
  <c r="O348" i="13"/>
  <c r="O332" i="13"/>
  <c r="O316" i="13"/>
  <c r="O300" i="13"/>
  <c r="O284" i="13"/>
  <c r="O268" i="13"/>
  <c r="O252" i="13"/>
  <c r="O236" i="13"/>
  <c r="O220" i="13"/>
  <c r="O204" i="13"/>
  <c r="O188" i="13"/>
  <c r="O172" i="13"/>
  <c r="O156" i="13"/>
  <c r="O140" i="13"/>
  <c r="O124" i="13"/>
  <c r="O108" i="13"/>
  <c r="O92" i="13"/>
  <c r="O76" i="13"/>
  <c r="O60" i="13"/>
  <c r="O44" i="13"/>
  <c r="O28" i="13"/>
  <c r="O12" i="13"/>
  <c r="L1258" i="13"/>
  <c r="L1242" i="13"/>
  <c r="L1226" i="13"/>
  <c r="L1210" i="13"/>
  <c r="L1194" i="13"/>
  <c r="L1178" i="13"/>
  <c r="L1162" i="13"/>
  <c r="L1146" i="13"/>
  <c r="L1130" i="13"/>
  <c r="L1114" i="13"/>
  <c r="L1098" i="13"/>
  <c r="L1082" i="13"/>
  <c r="L1066" i="13"/>
  <c r="L1050" i="13"/>
  <c r="L1034" i="13"/>
  <c r="L1018" i="13"/>
  <c r="L1002" i="13"/>
  <c r="L986" i="13"/>
  <c r="L970" i="13"/>
  <c r="L954" i="13"/>
  <c r="L938" i="13"/>
  <c r="L922" i="13"/>
  <c r="L906" i="13"/>
  <c r="L890" i="13"/>
  <c r="L874" i="13"/>
  <c r="L858" i="13"/>
  <c r="L842" i="13"/>
  <c r="L826" i="13"/>
  <c r="L810" i="13"/>
  <c r="L794" i="13"/>
  <c r="L778" i="13"/>
  <c r="L762" i="13"/>
  <c r="L746" i="13"/>
  <c r="L730" i="13"/>
  <c r="L714" i="13"/>
  <c r="L698" i="13"/>
  <c r="L682" i="13"/>
  <c r="L666" i="13"/>
  <c r="L650" i="13"/>
  <c r="L634" i="13"/>
  <c r="L618" i="13"/>
  <c r="L602" i="13"/>
  <c r="L586" i="13"/>
  <c r="L570" i="13"/>
  <c r="L554" i="13"/>
  <c r="L538" i="13"/>
  <c r="L522" i="13"/>
  <c r="L506" i="13"/>
  <c r="L490" i="13"/>
  <c r="L474" i="13"/>
  <c r="L458" i="13"/>
  <c r="L442" i="13"/>
  <c r="L426" i="13"/>
  <c r="L410" i="13"/>
  <c r="L394" i="13"/>
  <c r="L378" i="13"/>
  <c r="L362" i="13"/>
  <c r="L346" i="13"/>
  <c r="L330" i="13"/>
  <c r="L314" i="13"/>
  <c r="L298" i="13"/>
  <c r="L282" i="13"/>
  <c r="L266" i="13"/>
  <c r="L250" i="13"/>
  <c r="L234" i="13"/>
  <c r="L218" i="13"/>
  <c r="O1025" i="13"/>
  <c r="O1009" i="13"/>
  <c r="O993" i="13"/>
  <c r="O977" i="13"/>
  <c r="O961" i="13"/>
  <c r="O945" i="13"/>
  <c r="O929" i="13"/>
  <c r="O913" i="13"/>
  <c r="O897" i="13"/>
  <c r="O881" i="13"/>
  <c r="O865" i="13"/>
  <c r="O849" i="13"/>
  <c r="O833" i="13"/>
  <c r="O817" i="13"/>
  <c r="O801" i="13"/>
  <c r="O1245" i="13"/>
  <c r="O1225" i="13"/>
  <c r="L202" i="13"/>
  <c r="L186" i="13"/>
  <c r="L170" i="13"/>
  <c r="L154" i="13"/>
  <c r="L138" i="13"/>
  <c r="L122" i="13"/>
  <c r="L106" i="13"/>
  <c r="L90" i="13"/>
  <c r="L74" i="13"/>
  <c r="L58" i="13"/>
  <c r="L42" i="13"/>
  <c r="L26" i="13"/>
  <c r="L10" i="13"/>
  <c r="O1149" i="13"/>
  <c r="O1133" i="13"/>
  <c r="O1117" i="13"/>
  <c r="O1101" i="13"/>
  <c r="O1085" i="13"/>
  <c r="O1069" i="13"/>
  <c r="O1053" i="13"/>
  <c r="O1037" i="13"/>
  <c r="O1021" i="13"/>
  <c r="O1005" i="13"/>
  <c r="O989" i="13"/>
  <c r="O973" i="13"/>
  <c r="O957" i="13"/>
  <c r="O941" i="13"/>
  <c r="O925" i="13"/>
  <c r="O909" i="13"/>
  <c r="O893" i="13"/>
  <c r="O877" i="13"/>
  <c r="O861" i="13"/>
  <c r="O845" i="13"/>
  <c r="O829" i="13"/>
  <c r="O813" i="13"/>
  <c r="O797" i="13"/>
  <c r="O1241" i="13"/>
  <c r="O1209" i="13"/>
  <c r="L198" i="13"/>
  <c r="L182" i="13"/>
  <c r="L166" i="13"/>
  <c r="L150" i="13"/>
  <c r="L134" i="13"/>
  <c r="L118" i="13"/>
  <c r="L102" i="13"/>
  <c r="L86" i="13"/>
  <c r="L70" i="13"/>
  <c r="L54" i="13"/>
  <c r="L38" i="13"/>
  <c r="L22" i="13"/>
  <c r="L6" i="13"/>
  <c r="O1145" i="13"/>
  <c r="O1129" i="13"/>
  <c r="O1113" i="13"/>
  <c r="O1097" i="13"/>
  <c r="O1081" i="13"/>
  <c r="O1065" i="13"/>
  <c r="O1049" i="13"/>
  <c r="O1033" i="13"/>
  <c r="O1017" i="13"/>
  <c r="O1001" i="13"/>
  <c r="O985" i="13"/>
  <c r="O969" i="13"/>
  <c r="O953" i="13"/>
  <c r="O937" i="13"/>
  <c r="O921" i="13"/>
  <c r="O905" i="13"/>
  <c r="O889" i="13"/>
  <c r="O873" i="13"/>
  <c r="O857" i="13"/>
  <c r="O841" i="13"/>
  <c r="O825" i="13"/>
  <c r="O809" i="13"/>
  <c r="O793" i="13"/>
  <c r="O1233" i="13"/>
  <c r="L658" i="13"/>
  <c r="L642" i="13"/>
  <c r="L626" i="13"/>
  <c r="L610" i="13"/>
  <c r="L594" i="13"/>
  <c r="L578" i="13"/>
  <c r="L562" i="13"/>
  <c r="L546" i="13"/>
  <c r="L530" i="13"/>
  <c r="L514" i="13"/>
  <c r="L498" i="13"/>
  <c r="L482" i="13"/>
  <c r="L466" i="13"/>
  <c r="L450" i="13"/>
  <c r="L434" i="13"/>
  <c r="L418" i="13"/>
  <c r="L402" i="13"/>
  <c r="L386" i="13"/>
  <c r="L370" i="13"/>
  <c r="L354" i="13"/>
  <c r="L338" i="13"/>
  <c r="L322" i="13"/>
  <c r="L306" i="13"/>
  <c r="L290" i="13"/>
  <c r="L274" i="13"/>
  <c r="L258" i="13"/>
  <c r="L242" i="13"/>
  <c r="L226" i="13"/>
  <c r="L210" i="13"/>
  <c r="L194" i="13"/>
  <c r="L178" i="13"/>
  <c r="L162" i="13"/>
  <c r="L146" i="13"/>
  <c r="L130" i="13"/>
  <c r="L114" i="13"/>
  <c r="L98" i="13"/>
  <c r="L82" i="13"/>
  <c r="L66" i="13"/>
  <c r="L50" i="13"/>
  <c r="L34" i="13"/>
  <c r="L18" i="13"/>
  <c r="O1237" i="13"/>
  <c r="O1141" i="13"/>
  <c r="O1125" i="13"/>
  <c r="O1109" i="13"/>
  <c r="O1093" i="13"/>
  <c r="O1077" i="13"/>
  <c r="O1061" i="13"/>
  <c r="O1045" i="13"/>
  <c r="O1029" i="13"/>
  <c r="O1013" i="13"/>
  <c r="O997" i="13"/>
  <c r="O981" i="13"/>
  <c r="O965" i="13"/>
  <c r="O949" i="13"/>
  <c r="O933" i="13"/>
  <c r="O917" i="13"/>
  <c r="O901" i="13"/>
  <c r="O885" i="13"/>
  <c r="O869" i="13"/>
  <c r="O853" i="13"/>
  <c r="O837" i="13"/>
  <c r="O821" i="13"/>
  <c r="O805" i="13"/>
  <c r="O1249" i="13"/>
  <c r="O1229" i="13"/>
  <c r="B22" i="8"/>
  <c r="AK3" i="2"/>
  <c r="AJ3" i="2"/>
  <c r="AI3" i="2"/>
  <c r="AH3" i="2"/>
  <c r="AG3" i="2"/>
  <c r="AF3" i="2"/>
  <c r="AE3" i="2"/>
  <c r="AD3" i="2"/>
  <c r="AC3" i="2"/>
  <c r="AB3" i="2"/>
  <c r="AA3" i="2"/>
  <c r="Z2" i="2"/>
  <c r="W3" i="2"/>
  <c r="V3" i="2"/>
  <c r="U3" i="2"/>
  <c r="T3" i="2"/>
  <c r="S3" i="2"/>
  <c r="R3" i="2"/>
  <c r="Q3" i="2"/>
  <c r="P3" i="2"/>
  <c r="O3" i="2"/>
  <c r="X3" i="2"/>
  <c r="J10" i="8"/>
  <c r="B18" i="6"/>
  <c r="I15" i="11"/>
  <c r="H15" i="11"/>
  <c r="G15" i="11"/>
  <c r="F15" i="11"/>
  <c r="E15" i="11"/>
  <c r="D15" i="11"/>
  <c r="C15" i="11"/>
  <c r="B15" i="11"/>
  <c r="J15" i="11"/>
  <c r="K15" i="11"/>
  <c r="F20" i="8"/>
  <c r="F19" i="8"/>
  <c r="F18" i="8"/>
  <c r="B27" i="1"/>
  <c r="F22" i="8"/>
  <c r="D22" i="8"/>
  <c r="B19" i="1"/>
  <c r="F22" i="11"/>
  <c r="N2" i="2"/>
  <c r="B18" i="1" l="1"/>
  <c r="B3" i="15" s="1"/>
  <c r="B30" i="1"/>
  <c r="B4" i="15" s="1"/>
  <c r="C4" i="15" s="1"/>
  <c r="B8" i="15"/>
  <c r="B8" i="14"/>
  <c r="B8" i="6"/>
  <c r="B29" i="1"/>
  <c r="G7" i="13"/>
  <c r="B31" i="1"/>
  <c r="B9" i="15" s="1"/>
  <c r="J19" i="11"/>
  <c r="H19" i="11"/>
  <c r="B26" i="1"/>
  <c r="C27" i="11"/>
  <c r="C26" i="11"/>
  <c r="G27" i="11"/>
  <c r="G26" i="11"/>
  <c r="D27" i="1"/>
  <c r="K27" i="11"/>
  <c r="K26" i="11"/>
  <c r="I36" i="1"/>
  <c r="D17" i="1"/>
  <c r="F36" i="1" s="1"/>
  <c r="D14" i="1"/>
  <c r="D26" i="11"/>
  <c r="D27" i="11"/>
  <c r="H26" i="11"/>
  <c r="H27" i="11"/>
  <c r="B20" i="15"/>
  <c r="B21" i="6"/>
  <c r="D18" i="1"/>
  <c r="D25" i="1"/>
  <c r="F41" i="1" s="1"/>
  <c r="D29" i="1"/>
  <c r="E26" i="11"/>
  <c r="E27" i="11"/>
  <c r="I26" i="11"/>
  <c r="I27" i="11"/>
  <c r="F24" i="11"/>
  <c r="F23" i="11"/>
  <c r="B27" i="11"/>
  <c r="B26" i="11"/>
  <c r="F27" i="11"/>
  <c r="F26" i="11"/>
  <c r="J27" i="11"/>
  <c r="J26" i="11"/>
  <c r="D19" i="8"/>
  <c r="H24" i="11"/>
  <c r="H20" i="11"/>
  <c r="H22" i="11"/>
  <c r="H23" i="11"/>
  <c r="F21" i="8"/>
  <c r="G21" i="8" s="1"/>
  <c r="D26" i="1"/>
  <c r="F20" i="1" s="1"/>
  <c r="B19" i="8"/>
  <c r="I19" i="11"/>
  <c r="D20" i="8"/>
  <c r="I24" i="11"/>
  <c r="I20" i="11"/>
  <c r="I23" i="11"/>
  <c r="I22" i="11"/>
  <c r="G19" i="8"/>
  <c r="M21" i="11"/>
  <c r="B18" i="8"/>
  <c r="D21" i="8"/>
  <c r="J23" i="11"/>
  <c r="J22" i="11"/>
  <c r="J24" i="11"/>
  <c r="J20" i="11"/>
  <c r="G20" i="8"/>
  <c r="B3" i="14"/>
  <c r="C3" i="14" s="1"/>
  <c r="C8" i="14" s="1"/>
  <c r="B20" i="8"/>
  <c r="B21" i="8"/>
  <c r="B20" i="1"/>
  <c r="G19" i="11"/>
  <c r="D18" i="8"/>
  <c r="G22" i="11"/>
  <c r="G20" i="11"/>
  <c r="G23" i="11"/>
  <c r="G24" i="11"/>
  <c r="D23" i="1"/>
  <c r="F39" i="1" s="1"/>
  <c r="D24" i="1"/>
  <c r="K22" i="11"/>
  <c r="K24" i="11"/>
  <c r="K23" i="11"/>
  <c r="K20" i="11"/>
  <c r="B28" i="1"/>
  <c r="B3" i="6"/>
  <c r="F7" i="8"/>
  <c r="F17" i="8"/>
  <c r="D22" i="1"/>
  <c r="J5" i="8" s="1"/>
  <c r="F13" i="8"/>
  <c r="G24" i="8" s="1"/>
  <c r="A2" i="2"/>
  <c r="C20" i="8" l="1"/>
  <c r="D31" i="1"/>
  <c r="B30" i="6" s="1"/>
  <c r="C30" i="6" s="1"/>
  <c r="B9" i="14"/>
  <c r="B9" i="6"/>
  <c r="E21" i="8"/>
  <c r="M26" i="11"/>
  <c r="M27" i="11"/>
  <c r="H43" i="1" s="1"/>
  <c r="H36" i="1"/>
  <c r="D13" i="1"/>
  <c r="F40" i="1"/>
  <c r="B7" i="8"/>
  <c r="B29" i="6"/>
  <c r="C29" i="6" s="1"/>
  <c r="F42" i="1"/>
  <c r="F19" i="1"/>
  <c r="F25" i="1"/>
  <c r="B4" i="14" s="1"/>
  <c r="C4" i="14" s="1"/>
  <c r="D4" i="14" s="1"/>
  <c r="E4" i="14" s="1"/>
  <c r="F4" i="14" s="1"/>
  <c r="G4" i="14" s="1"/>
  <c r="H4" i="14" s="1"/>
  <c r="I4" i="14" s="1"/>
  <c r="J4" i="14" s="1"/>
  <c r="K4" i="14" s="1"/>
  <c r="F31" i="1"/>
  <c r="D10" i="1"/>
  <c r="C19" i="8"/>
  <c r="E19" i="8"/>
  <c r="B4" i="6"/>
  <c r="L26" i="11"/>
  <c r="B3" i="8"/>
  <c r="B6" i="8"/>
  <c r="E22" i="8"/>
  <c r="B6" i="14"/>
  <c r="C6" i="14" s="1"/>
  <c r="D6" i="14" s="1"/>
  <c r="E6" i="14" s="1"/>
  <c r="F6" i="14" s="1"/>
  <c r="G6" i="14" s="1"/>
  <c r="H6" i="14" s="1"/>
  <c r="I6" i="14" s="1"/>
  <c r="J6" i="14" s="1"/>
  <c r="K6" i="14" s="1"/>
  <c r="L6" i="14" s="1"/>
  <c r="E20" i="8"/>
  <c r="B4" i="8"/>
  <c r="B5" i="8"/>
  <c r="D20" i="1"/>
  <c r="F37" i="1" s="1"/>
  <c r="B5" i="14"/>
  <c r="B5" i="15"/>
  <c r="B5" i="6"/>
  <c r="D21" i="1"/>
  <c r="F38" i="1" s="1"/>
  <c r="G36" i="1"/>
  <c r="N26" i="11"/>
  <c r="B21" i="14"/>
  <c r="L27" i="11"/>
  <c r="G43" i="1" s="1"/>
  <c r="N27" i="11"/>
  <c r="I43" i="1" s="1"/>
  <c r="J9" i="8"/>
  <c r="J15" i="8" s="1"/>
  <c r="B20" i="14"/>
  <c r="B20" i="6"/>
  <c r="B21" i="15"/>
  <c r="D3" i="14"/>
  <c r="D8" i="14" s="1"/>
  <c r="D9" i="14" s="1"/>
  <c r="D14" i="14" s="1"/>
  <c r="D28" i="1"/>
  <c r="B6" i="6"/>
  <c r="C6" i="6" s="1"/>
  <c r="D6" i="6" s="1"/>
  <c r="E6" i="6" s="1"/>
  <c r="F6" i="6" s="1"/>
  <c r="G6" i="6" s="1"/>
  <c r="H6" i="6" s="1"/>
  <c r="I6" i="6" s="1"/>
  <c r="J6" i="6" s="1"/>
  <c r="K6" i="6" s="1"/>
  <c r="L6" i="6" s="1"/>
  <c r="B6" i="15"/>
  <c r="C6" i="15" s="1"/>
  <c r="D6" i="15" s="1"/>
  <c r="E6" i="15" s="1"/>
  <c r="F6" i="15" s="1"/>
  <c r="G6" i="15" s="1"/>
  <c r="H6" i="15" s="1"/>
  <c r="I6" i="15" s="1"/>
  <c r="J6" i="15" s="1"/>
  <c r="K6" i="15" s="1"/>
  <c r="L6" i="15" s="1"/>
  <c r="C21" i="8"/>
  <c r="J8" i="8"/>
  <c r="J14" i="8" s="1"/>
  <c r="C29" i="15"/>
  <c r="D29" i="15" s="1"/>
  <c r="E29" i="15" s="1"/>
  <c r="F29" i="15" s="1"/>
  <c r="G29" i="15" s="1"/>
  <c r="H29" i="15" s="1"/>
  <c r="I29" i="15" s="1"/>
  <c r="J29" i="15" s="1"/>
  <c r="K29" i="15" s="1"/>
  <c r="B31" i="6"/>
  <c r="B30" i="15"/>
  <c r="B30" i="14"/>
  <c r="C30" i="14" s="1"/>
  <c r="E24" i="11"/>
  <c r="E20" i="11"/>
  <c r="E23" i="11"/>
  <c r="E22" i="11"/>
  <c r="F4" i="8"/>
  <c r="F14" i="8"/>
  <c r="G14" i="8" s="1"/>
  <c r="B22" i="11"/>
  <c r="B24" i="11"/>
  <c r="B20" i="11"/>
  <c r="B23" i="11"/>
  <c r="D24" i="11"/>
  <c r="D20" i="11"/>
  <c r="I38" i="1" s="1"/>
  <c r="D23" i="11"/>
  <c r="D22" i="11"/>
  <c r="B17" i="8"/>
  <c r="C18" i="8" s="1"/>
  <c r="F20" i="11"/>
  <c r="E19" i="11"/>
  <c r="F6" i="8"/>
  <c r="G7" i="8" s="1"/>
  <c r="F16" i="8"/>
  <c r="G17" i="8" s="1"/>
  <c r="C22" i="8"/>
  <c r="N21" i="11"/>
  <c r="D19" i="11"/>
  <c r="I37" i="1" s="1"/>
  <c r="F5" i="8"/>
  <c r="F15" i="8"/>
  <c r="F19" i="11"/>
  <c r="G22" i="8"/>
  <c r="B19" i="11"/>
  <c r="G18" i="8"/>
  <c r="C19" i="11"/>
  <c r="H37" i="1" s="1"/>
  <c r="C22" i="11"/>
  <c r="C24" i="11"/>
  <c r="C23" i="11"/>
  <c r="C20" i="11"/>
  <c r="H38" i="1" s="1"/>
  <c r="C9" i="14"/>
  <c r="C14" i="14" s="1"/>
  <c r="D4" i="15"/>
  <c r="D7" i="8"/>
  <c r="D17" i="8"/>
  <c r="D3" i="8"/>
  <c r="D13" i="8"/>
  <c r="E24" i="8" s="1"/>
  <c r="D4" i="8"/>
  <c r="D14" i="8"/>
  <c r="D5" i="8"/>
  <c r="D15" i="8"/>
  <c r="B13" i="8"/>
  <c r="C24" i="8" s="1"/>
  <c r="F3" i="8"/>
  <c r="G9" i="8" s="1"/>
  <c r="B14" i="8"/>
  <c r="B15" i="8"/>
  <c r="B16" i="8"/>
  <c r="D6" i="8"/>
  <c r="D16" i="8"/>
  <c r="G30" i="6" l="1"/>
  <c r="D30" i="6"/>
  <c r="E30" i="6" s="1"/>
  <c r="F30" i="6"/>
  <c r="B7" i="15"/>
  <c r="D29" i="6"/>
  <c r="E29" i="6" s="1"/>
  <c r="F29" i="6" s="1"/>
  <c r="G29" i="6" s="1"/>
  <c r="H29" i="6" s="1"/>
  <c r="I29" i="6" s="1"/>
  <c r="J29" i="6" s="1"/>
  <c r="K29" i="6" s="1"/>
  <c r="C7" i="8"/>
  <c r="C5" i="14"/>
  <c r="C7" i="14" s="1"/>
  <c r="C31" i="14" s="1"/>
  <c r="G5" i="8"/>
  <c r="C9" i="8"/>
  <c r="M24" i="11"/>
  <c r="H41" i="1" s="1"/>
  <c r="M22" i="11"/>
  <c r="H39" i="1" s="1"/>
  <c r="M23" i="11"/>
  <c r="H40" i="1" s="1"/>
  <c r="G37" i="1"/>
  <c r="M19" i="11"/>
  <c r="G11" i="13"/>
  <c r="F43" i="1"/>
  <c r="L25" i="11"/>
  <c r="G42" i="1" s="1"/>
  <c r="M25" i="11"/>
  <c r="H42" i="1" s="1"/>
  <c r="G38" i="1"/>
  <c r="M20" i="11"/>
  <c r="N25" i="11"/>
  <c r="I42" i="1" s="1"/>
  <c r="G6" i="8"/>
  <c r="D5" i="14"/>
  <c r="D7" i="14" s="1"/>
  <c r="B7" i="6"/>
  <c r="B32" i="6" s="1"/>
  <c r="N20" i="11"/>
  <c r="B7" i="14"/>
  <c r="B31" i="14" s="1"/>
  <c r="G3" i="13"/>
  <c r="B33" i="1" s="1"/>
  <c r="B14" i="13"/>
  <c r="B16" i="13"/>
  <c r="G18" i="13" s="1"/>
  <c r="E3" i="14"/>
  <c r="E8" i="14" s="1"/>
  <c r="E9" i="14" s="1"/>
  <c r="E14" i="14" s="1"/>
  <c r="L21" i="11"/>
  <c r="N24" i="11"/>
  <c r="I41" i="1" s="1"/>
  <c r="N22" i="11"/>
  <c r="I39" i="1" s="1"/>
  <c r="J16" i="8"/>
  <c r="G5" i="13"/>
  <c r="L24" i="11"/>
  <c r="G41" i="1" s="1"/>
  <c r="G8" i="13"/>
  <c r="B36" i="1" s="1"/>
  <c r="G14" i="13"/>
  <c r="B40" i="1" s="1"/>
  <c r="L22" i="11"/>
  <c r="G39" i="1" s="1"/>
  <c r="G15" i="8"/>
  <c r="L20" i="11"/>
  <c r="E15" i="8"/>
  <c r="B31" i="15"/>
  <c r="N19" i="11"/>
  <c r="L19" i="11"/>
  <c r="C15" i="8"/>
  <c r="E5" i="8"/>
  <c r="G16" i="8"/>
  <c r="N23" i="11"/>
  <c r="I40" i="1" s="1"/>
  <c r="L23" i="11"/>
  <c r="G40" i="1" s="1"/>
  <c r="C4" i="8"/>
  <c r="E9" i="8"/>
  <c r="D30" i="14"/>
  <c r="E4" i="15"/>
  <c r="E6" i="8"/>
  <c r="E4" i="8"/>
  <c r="C6" i="8"/>
  <c r="C14" i="8"/>
  <c r="C5" i="8"/>
  <c r="E7" i="8"/>
  <c r="G4" i="8"/>
  <c r="E16" i="8"/>
  <c r="C16" i="8"/>
  <c r="E14" i="8"/>
  <c r="E17" i="8"/>
  <c r="E18" i="8"/>
  <c r="C17" i="8"/>
  <c r="L4" i="6"/>
  <c r="C4" i="6" s="1"/>
  <c r="I30" i="6" l="1"/>
  <c r="J30" i="6"/>
  <c r="K30" i="6"/>
  <c r="H30" i="6"/>
  <c r="D31" i="14"/>
  <c r="G8" i="8"/>
  <c r="E8" i="8"/>
  <c r="I32" i="1"/>
  <c r="H26" i="1"/>
  <c r="I26" i="1"/>
  <c r="H20" i="1"/>
  <c r="I20" i="1"/>
  <c r="H32" i="1"/>
  <c r="I30" i="1"/>
  <c r="I18" i="1"/>
  <c r="H24" i="1"/>
  <c r="I24" i="1"/>
  <c r="H30" i="1"/>
  <c r="F3" i="14"/>
  <c r="G3" i="14" s="1"/>
  <c r="G12" i="13"/>
  <c r="B39" i="1" s="1"/>
  <c r="E5" i="14"/>
  <c r="E7" i="14" s="1"/>
  <c r="G23" i="8"/>
  <c r="C8" i="8"/>
  <c r="G9" i="13"/>
  <c r="G15" i="13"/>
  <c r="B41" i="1" s="1"/>
  <c r="G6" i="13"/>
  <c r="B35" i="1" s="1"/>
  <c r="C23" i="8"/>
  <c r="I25" i="1"/>
  <c r="D19" i="1"/>
  <c r="H25" i="1"/>
  <c r="I31" i="1"/>
  <c r="H31" i="1"/>
  <c r="I19" i="1"/>
  <c r="H19" i="1"/>
  <c r="E23" i="8"/>
  <c r="E30" i="14"/>
  <c r="F4" i="15"/>
  <c r="D4" i="6"/>
  <c r="B37" i="1" l="1"/>
  <c r="D7" i="1"/>
  <c r="J12" i="8" s="1"/>
  <c r="J17" i="8" s="1"/>
  <c r="F5" i="14"/>
  <c r="F7" i="14" s="1"/>
  <c r="F8" i="14"/>
  <c r="F9" i="14" s="1"/>
  <c r="F14" i="14" s="1"/>
  <c r="D11" i="1"/>
  <c r="F18" i="1"/>
  <c r="C2" i="6" s="1"/>
  <c r="G2" i="6" s="1"/>
  <c r="D30" i="1"/>
  <c r="G5" i="14"/>
  <c r="G7" i="14" s="1"/>
  <c r="H3" i="14"/>
  <c r="G8" i="14"/>
  <c r="G9" i="14" s="1"/>
  <c r="G14" i="14" s="1"/>
  <c r="E31" i="14"/>
  <c r="G4" i="15"/>
  <c r="E4" i="6"/>
  <c r="J4" i="8" l="1"/>
  <c r="F2" i="6"/>
  <c r="F30" i="14"/>
  <c r="G30" i="14" s="1"/>
  <c r="H18" i="1"/>
  <c r="F21" i="1"/>
  <c r="C3" i="15"/>
  <c r="C5" i="15" s="1"/>
  <c r="C7" i="15" s="1"/>
  <c r="C3" i="6"/>
  <c r="C8" i="6" s="1"/>
  <c r="D2" i="6"/>
  <c r="E2" i="6" s="1"/>
  <c r="I3" i="14"/>
  <c r="H5" i="14"/>
  <c r="H7" i="14" s="1"/>
  <c r="H8" i="14"/>
  <c r="H9" i="14" s="1"/>
  <c r="H14" i="14" s="1"/>
  <c r="H4" i="15"/>
  <c r="F4" i="6"/>
  <c r="F31" i="14" l="1"/>
  <c r="L2" i="6"/>
  <c r="K2" i="6"/>
  <c r="I2" i="6"/>
  <c r="J2" i="6"/>
  <c r="H2" i="6"/>
  <c r="D3" i="15"/>
  <c r="D5" i="15" s="1"/>
  <c r="D7" i="15" s="1"/>
  <c r="C8" i="15"/>
  <c r="C9" i="15" s="1"/>
  <c r="C12" i="6"/>
  <c r="C12" i="15"/>
  <c r="C31" i="6"/>
  <c r="D3" i="6"/>
  <c r="D8" i="6" s="1"/>
  <c r="C5" i="6"/>
  <c r="C7" i="6" s="1"/>
  <c r="H30" i="14"/>
  <c r="H31" i="14" s="1"/>
  <c r="I5" i="14"/>
  <c r="I7" i="14" s="1"/>
  <c r="I8" i="14"/>
  <c r="I9" i="14" s="1"/>
  <c r="I14" i="14" s="1"/>
  <c r="J3" i="14"/>
  <c r="G31" i="14"/>
  <c r="I4" i="15"/>
  <c r="G4" i="6"/>
  <c r="D8" i="15" l="1"/>
  <c r="E3" i="15"/>
  <c r="E8" i="15" s="1"/>
  <c r="C30" i="15"/>
  <c r="D30" i="15" s="1"/>
  <c r="D31" i="15" s="1"/>
  <c r="C13" i="15"/>
  <c r="D12" i="15"/>
  <c r="E12" i="15" s="1"/>
  <c r="F12" i="15" s="1"/>
  <c r="G12" i="15" s="1"/>
  <c r="H12" i="15" s="1"/>
  <c r="I12" i="15" s="1"/>
  <c r="J12" i="15" s="1"/>
  <c r="K12" i="15" s="1"/>
  <c r="L12" i="15" s="1"/>
  <c r="M31" i="15" s="1"/>
  <c r="D12" i="6"/>
  <c r="E12" i="6" s="1"/>
  <c r="F12" i="6" s="1"/>
  <c r="G12" i="6" s="1"/>
  <c r="H12" i="6" s="1"/>
  <c r="I12" i="6" s="1"/>
  <c r="J12" i="6" s="1"/>
  <c r="K12" i="6" s="1"/>
  <c r="L12" i="6" s="1"/>
  <c r="M32" i="6" s="1"/>
  <c r="C13" i="6"/>
  <c r="C9" i="6"/>
  <c r="C32" i="6"/>
  <c r="E3" i="6"/>
  <c r="E8" i="6" s="1"/>
  <c r="D5" i="6"/>
  <c r="D7" i="6" s="1"/>
  <c r="D31" i="6"/>
  <c r="I30" i="14"/>
  <c r="J5" i="14"/>
  <c r="J7" i="14" s="1"/>
  <c r="K3" i="14"/>
  <c r="J8" i="14"/>
  <c r="J9" i="14" s="1"/>
  <c r="J14" i="14" s="1"/>
  <c r="D9" i="15"/>
  <c r="J4" i="15"/>
  <c r="H4" i="6"/>
  <c r="F3" i="15" l="1"/>
  <c r="G3" i="15" s="1"/>
  <c r="E5" i="15"/>
  <c r="E7" i="15" s="1"/>
  <c r="C31" i="15"/>
  <c r="C14" i="6"/>
  <c r="D13" i="15"/>
  <c r="E13" i="15" s="1"/>
  <c r="F13" i="15" s="1"/>
  <c r="G13" i="15" s="1"/>
  <c r="D32" i="6"/>
  <c r="D13" i="6"/>
  <c r="E13" i="6" s="1"/>
  <c r="F13" i="6" s="1"/>
  <c r="G13" i="6" s="1"/>
  <c r="H13" i="6" s="1"/>
  <c r="I13" i="6" s="1"/>
  <c r="C14" i="15"/>
  <c r="D9" i="6"/>
  <c r="F3" i="6"/>
  <c r="F8" i="6" s="1"/>
  <c r="E5" i="6"/>
  <c r="E7" i="6" s="1"/>
  <c r="E9" i="15"/>
  <c r="J30" i="14"/>
  <c r="K5" i="14"/>
  <c r="K7" i="14" s="1"/>
  <c r="L3" i="14"/>
  <c r="K8" i="14"/>
  <c r="K9" i="14" s="1"/>
  <c r="K14" i="14" s="1"/>
  <c r="I31" i="14"/>
  <c r="E30" i="15"/>
  <c r="K4" i="15"/>
  <c r="I4" i="6"/>
  <c r="F5" i="15" l="1"/>
  <c r="F7" i="15" s="1"/>
  <c r="F8" i="15"/>
  <c r="F9" i="15" s="1"/>
  <c r="F14" i="15" s="1"/>
  <c r="E14" i="15"/>
  <c r="D14" i="6"/>
  <c r="D14" i="15"/>
  <c r="E9" i="6"/>
  <c r="E14" i="6" s="1"/>
  <c r="E31" i="6"/>
  <c r="E32" i="6" s="1"/>
  <c r="G3" i="6"/>
  <c r="G8" i="6" s="1"/>
  <c r="F5" i="6"/>
  <c r="F7" i="6" s="1"/>
  <c r="K30" i="14"/>
  <c r="K31" i="14" s="1"/>
  <c r="E31" i="15"/>
  <c r="L8" i="14"/>
  <c r="L9" i="14" s="1"/>
  <c r="M3" i="14"/>
  <c r="M5" i="14" s="1"/>
  <c r="M7" i="14" s="1"/>
  <c r="M9" i="14" s="1"/>
  <c r="L10" i="14" s="1"/>
  <c r="L5" i="14"/>
  <c r="L7" i="14" s="1"/>
  <c r="J31" i="14"/>
  <c r="H3" i="15"/>
  <c r="G8" i="15"/>
  <c r="G5" i="15"/>
  <c r="G7" i="15" s="1"/>
  <c r="H13" i="15"/>
  <c r="J13" i="6"/>
  <c r="J4" i="6"/>
  <c r="F30" i="15" l="1"/>
  <c r="F31" i="15" s="1"/>
  <c r="F9" i="6"/>
  <c r="F14" i="6" s="1"/>
  <c r="H3" i="6"/>
  <c r="H8" i="6" s="1"/>
  <c r="G5" i="6"/>
  <c r="G7" i="6" s="1"/>
  <c r="F31" i="6"/>
  <c r="L30" i="14"/>
  <c r="L31" i="14" s="1"/>
  <c r="G9" i="15"/>
  <c r="G14" i="15" s="1"/>
  <c r="G30" i="15"/>
  <c r="G31" i="15" s="1"/>
  <c r="I3" i="15"/>
  <c r="H8" i="15"/>
  <c r="H5" i="15"/>
  <c r="H7" i="15" s="1"/>
  <c r="L14" i="14"/>
  <c r="B16" i="14" s="1"/>
  <c r="B19" i="14" s="1"/>
  <c r="B22" i="14" s="1"/>
  <c r="B24" i="14" s="1"/>
  <c r="B26" i="14" s="1"/>
  <c r="I13" i="15"/>
  <c r="K4" i="6"/>
  <c r="K13" i="6"/>
  <c r="G9" i="6" l="1"/>
  <c r="G14" i="6" s="1"/>
  <c r="F32" i="6"/>
  <c r="G31" i="6"/>
  <c r="I3" i="6"/>
  <c r="I8" i="6" s="1"/>
  <c r="H5" i="6"/>
  <c r="H7" i="6" s="1"/>
  <c r="H9" i="15"/>
  <c r="H14" i="15" s="1"/>
  <c r="J3" i="15"/>
  <c r="I8" i="15"/>
  <c r="I5" i="15"/>
  <c r="I7" i="15" s="1"/>
  <c r="H30" i="15"/>
  <c r="J13" i="15"/>
  <c r="L13" i="6"/>
  <c r="H9" i="6" l="1"/>
  <c r="H14" i="6" s="1"/>
  <c r="J3" i="6"/>
  <c r="J8" i="6" s="1"/>
  <c r="I5" i="6"/>
  <c r="I7" i="6" s="1"/>
  <c r="G32" i="6"/>
  <c r="H31" i="6"/>
  <c r="I30" i="15"/>
  <c r="I31" i="15" s="1"/>
  <c r="H31" i="15"/>
  <c r="K3" i="15"/>
  <c r="J8" i="15"/>
  <c r="J5" i="15"/>
  <c r="J7" i="15" s="1"/>
  <c r="I9" i="15"/>
  <c r="I14" i="15" s="1"/>
  <c r="K13" i="15"/>
  <c r="I9" i="6" l="1"/>
  <c r="I14" i="6" s="1"/>
  <c r="J5" i="6"/>
  <c r="J7" i="6" s="1"/>
  <c r="K3" i="6"/>
  <c r="K8" i="6" s="1"/>
  <c r="J30" i="15"/>
  <c r="J31" i="15" s="1"/>
  <c r="H32" i="6"/>
  <c r="I31" i="6"/>
  <c r="L3" i="15"/>
  <c r="K8" i="15"/>
  <c r="K5" i="15"/>
  <c r="K7" i="15" s="1"/>
  <c r="J9" i="15"/>
  <c r="J14" i="15" s="1"/>
  <c r="L13" i="15"/>
  <c r="J9" i="6" l="1"/>
  <c r="J14" i="6" s="1"/>
  <c r="J31" i="6"/>
  <c r="J32" i="6" s="1"/>
  <c r="L3" i="6"/>
  <c r="K5" i="6"/>
  <c r="K7" i="6" s="1"/>
  <c r="I32" i="6"/>
  <c r="L8" i="15"/>
  <c r="M3" i="15"/>
  <c r="M5" i="15" s="1"/>
  <c r="M7" i="15" s="1"/>
  <c r="M8" i="15" s="1"/>
  <c r="M9" i="15" s="1"/>
  <c r="L10" i="15" s="1"/>
  <c r="L5" i="15"/>
  <c r="L7" i="15" s="1"/>
  <c r="K9" i="15"/>
  <c r="K14" i="15" s="1"/>
  <c r="K30" i="15"/>
  <c r="L8" i="6" l="1"/>
  <c r="K9" i="6"/>
  <c r="K14" i="6" s="1"/>
  <c r="K31" i="6"/>
  <c r="L5" i="6"/>
  <c r="L7" i="6" s="1"/>
  <c r="M3" i="6"/>
  <c r="M5" i="6" s="1"/>
  <c r="M7" i="6" s="1"/>
  <c r="M8" i="6" s="1"/>
  <c r="M9" i="6" s="1"/>
  <c r="L10" i="6" s="1"/>
  <c r="L30" i="15"/>
  <c r="L31" i="15" s="1"/>
  <c r="L9" i="15"/>
  <c r="L14" i="15" s="1"/>
  <c r="B16" i="15" s="1"/>
  <c r="B19" i="15" s="1"/>
  <c r="B22" i="15" s="1"/>
  <c r="B24" i="15" s="1"/>
  <c r="B26" i="15" s="1"/>
  <c r="K31" i="15"/>
  <c r="L9" i="6" l="1"/>
  <c r="L14" i="6"/>
  <c r="B16" i="6" s="1"/>
  <c r="B19" i="6" s="1"/>
  <c r="B22" i="6" s="1"/>
  <c r="B24" i="6" s="1"/>
  <c r="B26" i="6" s="1"/>
  <c r="K32" i="6"/>
  <c r="L31" i="6"/>
  <c r="L32"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Hartmann</author>
  </authors>
  <commentList>
    <comment ref="D9" authorId="0" shapeId="0" xr:uid="{CA700782-E63F-BA48-87CB-9D8B66F0262D}">
      <text>
        <r>
          <rPr>
            <sz val="10"/>
            <color rgb="FF000000"/>
            <rFont val="Tahoma"/>
            <family val="2"/>
          </rPr>
          <t>Anything above zero is good, and any company with a market price lower than this is a an easy buy.</t>
        </r>
      </text>
    </comment>
    <comment ref="D10" authorId="0" shapeId="0" xr:uid="{1EE2E94D-A5FB-AE49-A036-B940E72A8A07}">
      <text>
        <r>
          <rPr>
            <sz val="10"/>
            <color rgb="FF000000"/>
            <rFont val="Tahoma"/>
            <family val="2"/>
          </rPr>
          <t>Look for a LOW ratio here.</t>
        </r>
      </text>
    </comment>
    <comment ref="D11" authorId="0" shapeId="0" xr:uid="{57496742-6243-A94B-9A5B-08AA61801387}">
      <text>
        <r>
          <rPr>
            <sz val="10"/>
            <color rgb="FF000000"/>
            <rFont val="Tahoma"/>
            <family val="2"/>
          </rPr>
          <t>Look for a HIGH value here. While "low and slow" companies are less risky in general, this fugure beside these other numbers can reveal hidden gems.</t>
        </r>
      </text>
    </comment>
    <comment ref="D12" authorId="0" shapeId="0" xr:uid="{0CC7E62F-D5D0-0C47-BAA7-6EDFF4E64097}">
      <text>
        <r>
          <rPr>
            <sz val="10"/>
            <color rgb="FF000000"/>
            <rFont val="Tahoma"/>
            <family val="2"/>
          </rPr>
          <t>Look for a LOW COE here.</t>
        </r>
      </text>
    </comment>
    <comment ref="D13" authorId="0" shapeId="0" xr:uid="{277200AB-36A6-924E-B128-7C30F12EC87F}">
      <text>
        <r>
          <rPr>
            <sz val="10"/>
            <color rgb="FF000000"/>
            <rFont val="Tahoma"/>
            <family val="2"/>
          </rPr>
          <t>Look for a high number here. You always want to maximize your ROE for a given risk.</t>
        </r>
      </text>
    </comment>
    <comment ref="D14" authorId="0" shapeId="0" xr:uid="{7DFAA6A5-5B41-CA44-B742-B15DE2C2B1D4}">
      <text>
        <r>
          <rPr>
            <sz val="10"/>
            <color rgb="FF000000"/>
            <rFont val="Tahoma"/>
            <family val="2"/>
          </rPr>
          <t>If there are "leftovers" this is a sign of a healthy balance sheet. If this number is too high however there may be cause for concern.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Chen Liu</author>
  </authors>
  <commentList>
    <comment ref="A9" authorId="0" shapeId="0" xr:uid="{0CF9A1AB-7777-3C4C-8D43-B5BFA188AABF}">
      <text>
        <r>
          <rPr>
            <b/>
            <sz val="12"/>
            <color indexed="81"/>
            <rFont val="Tahoma"/>
            <family val="2"/>
          </rPr>
          <t>Chen Liu:</t>
        </r>
        <r>
          <rPr>
            <sz val="12"/>
            <color indexed="81"/>
            <rFont val="Tahoma"/>
            <family val="2"/>
          </rPr>
          <t xml:space="preserve">
FCFF (Free Cash Flow to Firm)
=EBIT(1-Tc) - Reinvestment 
EBIT = Revenue * operating margin
(i.e. operating margin = EBIT/ revenue)
Reinvesment include capital expenditure and investment in NWC</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Chen Liu</author>
  </authors>
  <commentList>
    <comment ref="A9" authorId="0" shapeId="0" xr:uid="{CDEAA929-6EA5-7A43-ADD7-E2BCAF902119}">
      <text>
        <r>
          <rPr>
            <b/>
            <sz val="12"/>
            <color indexed="81"/>
            <rFont val="Tahoma"/>
            <family val="2"/>
          </rPr>
          <t>Chen Liu:</t>
        </r>
        <r>
          <rPr>
            <sz val="12"/>
            <color indexed="81"/>
            <rFont val="Tahoma"/>
            <family val="2"/>
          </rPr>
          <t xml:space="preserve">
FCFF (Free Cash Flow to Firm)
=EBIT(1-Tc) - Reinvestment 
EBIT = Revenue * operating margin
(i.e. operating margin = EBIT/ revenue)
Reinvesment include capital expenditure and investment in NWC</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Chen Liu</author>
  </authors>
  <commentList>
    <comment ref="A9" authorId="0" shapeId="0" xr:uid="{8BA49C82-4E72-DF41-AF00-EBEB08F97199}">
      <text>
        <r>
          <rPr>
            <b/>
            <sz val="12"/>
            <color rgb="FF000000"/>
            <rFont val="Tahoma"/>
            <family val="2"/>
          </rPr>
          <t>Chen Liu:</t>
        </r>
        <r>
          <rPr>
            <sz val="12"/>
            <color rgb="FF000000"/>
            <rFont val="Tahoma"/>
            <family val="2"/>
          </rPr>
          <t xml:space="preserve">
</t>
        </r>
        <r>
          <rPr>
            <sz val="12"/>
            <color rgb="FF000000"/>
            <rFont val="Tahoma"/>
            <family val="2"/>
          </rPr>
          <t xml:space="preserve">FCFF (Free Cash Flow to Firm)
</t>
        </r>
        <r>
          <rPr>
            <sz val="12"/>
            <color rgb="FF000000"/>
            <rFont val="Tahoma"/>
            <family val="2"/>
          </rPr>
          <t xml:space="preserve">=EBIT(1-Tc) - Reinvestment 
</t>
        </r>
        <r>
          <rPr>
            <sz val="12"/>
            <color rgb="FF000000"/>
            <rFont val="Tahoma"/>
            <family val="2"/>
          </rPr>
          <t xml:space="preserve">EBIT = Revenue * operating margin
</t>
        </r>
        <r>
          <rPr>
            <sz val="12"/>
            <color rgb="FF000000"/>
            <rFont val="Tahoma"/>
            <family val="2"/>
          </rPr>
          <t xml:space="preserve">(i.e. operating margin = EBIT/ revenue)
</t>
        </r>
        <r>
          <rPr>
            <sz val="12"/>
            <color rgb="FF000000"/>
            <rFont val="Tahoma"/>
            <family val="2"/>
          </rPr>
          <t>Reinvesment include capital expenditure and investment in NWC</t>
        </r>
        <r>
          <rPr>
            <sz val="9"/>
            <color rgb="FF000000"/>
            <rFont val="Tahoma"/>
            <family val="2"/>
          </rPr>
          <t xml:space="preserve">
</t>
        </r>
      </text>
    </comment>
  </commentList>
</comments>
</file>

<file path=xl/sharedStrings.xml><?xml version="1.0" encoding="utf-8"?>
<sst xmlns="http://schemas.openxmlformats.org/spreadsheetml/2006/main" count="843" uniqueCount="522">
  <si>
    <t>Company Name</t>
  </si>
  <si>
    <t>Ticker</t>
  </si>
  <si>
    <t>Exchange</t>
  </si>
  <si>
    <t>Country</t>
  </si>
  <si>
    <t>Industry</t>
  </si>
  <si>
    <t>Weight</t>
  </si>
  <si>
    <t>Current Price</t>
  </si>
  <si>
    <t>YoY Price Change</t>
  </si>
  <si>
    <t>Industry Data</t>
  </si>
  <si>
    <t>Financial Information</t>
  </si>
  <si>
    <t>Financial Ratios</t>
  </si>
  <si>
    <t>Revenue (TTM)</t>
  </si>
  <si>
    <t>EBIT</t>
  </si>
  <si>
    <t>EBITDA</t>
  </si>
  <si>
    <t>Book Value Debt</t>
  </si>
  <si>
    <t>Market Value Equity</t>
  </si>
  <si>
    <t>Effective Tax Rate</t>
  </si>
  <si>
    <t>WACC</t>
  </si>
  <si>
    <t>Gross Profit Margin</t>
  </si>
  <si>
    <t>Operating Profit Margin</t>
  </si>
  <si>
    <t>Free Cash Flow to Firm</t>
  </si>
  <si>
    <t>Current Ratio</t>
  </si>
  <si>
    <t>ROA</t>
  </si>
  <si>
    <t>ROE</t>
  </si>
  <si>
    <t>ROC</t>
  </si>
  <si>
    <t>EV/EBITDA</t>
  </si>
  <si>
    <t>Quick Value Indicators</t>
  </si>
  <si>
    <t>Cash &amp; AR - Liabilities</t>
  </si>
  <si>
    <t>P/E Ratio</t>
  </si>
  <si>
    <t>Expected Growth</t>
  </si>
  <si>
    <t>Cost of Equity</t>
  </si>
  <si>
    <t>Return on Equity</t>
  </si>
  <si>
    <t>Cash Leftovers</t>
  </si>
  <si>
    <t>Risk Free Rate</t>
  </si>
  <si>
    <t>Equity Risk Premium</t>
  </si>
  <si>
    <t>Actual Credit Rating</t>
  </si>
  <si>
    <t>Pure B/U Beta</t>
  </si>
  <si>
    <t>Actual B/U Beta</t>
  </si>
  <si>
    <t>Various Betas</t>
  </si>
  <si>
    <t>Revenue Growth</t>
  </si>
  <si>
    <t>Year</t>
  </si>
  <si>
    <t>Average Growth</t>
  </si>
  <si>
    <t>Industry Name</t>
  </si>
  <si>
    <t>Number of firms</t>
  </si>
  <si>
    <t>CAGR in Revenues- Last 5 years</t>
  </si>
  <si>
    <t>Pre-tax Operating Margin</t>
  </si>
  <si>
    <t>Market D/E (unadjusted)</t>
  </si>
  <si>
    <t>Average Levered Beta</t>
  </si>
  <si>
    <t>Average Unlevered Beta</t>
  </si>
  <si>
    <t>Std Dev in Stock</t>
  </si>
  <si>
    <t>Cost of Debt</t>
  </si>
  <si>
    <t>Market Debt to Capital</t>
  </si>
  <si>
    <t>Cost of Capital</t>
  </si>
  <si>
    <t>Sales/Capital</t>
  </si>
  <si>
    <t>EV/Sales</t>
  </si>
  <si>
    <t>EV/EBIT</t>
  </si>
  <si>
    <t>Trailing PE</t>
  </si>
  <si>
    <t>Net Cap Ex/Sales</t>
  </si>
  <si>
    <t>Reinvestment Rate</t>
  </si>
  <si>
    <t>ROE (adjusted for R&amp;D)</t>
  </si>
  <si>
    <t>Dividend Payout</t>
  </si>
  <si>
    <t>StanDev of OpMarg (10 years)</t>
  </si>
  <si>
    <t>Advertising</t>
  </si>
  <si>
    <t>Aerospace/Defense</t>
  </si>
  <si>
    <t>Air Transport</t>
  </si>
  <si>
    <t>Apparel</t>
  </si>
  <si>
    <t>Auto &amp; Truck</t>
  </si>
  <si>
    <t>Auto Parts</t>
  </si>
  <si>
    <t>Bank (Money Center)</t>
  </si>
  <si>
    <t>NA</t>
  </si>
  <si>
    <t>Banks (Regional)</t>
  </si>
  <si>
    <t>Beverage (Alcoholic)</t>
  </si>
  <si>
    <t>Beverage (Soft)</t>
  </si>
  <si>
    <t>Broadcasting</t>
  </si>
  <si>
    <t>Brokerage &amp; Investment Banking</t>
  </si>
  <si>
    <t>Building Materials</t>
  </si>
  <si>
    <t>Business &amp; Consumer Services</t>
  </si>
  <si>
    <t>Cable TV</t>
  </si>
  <si>
    <t>Chemical (Basic)</t>
  </si>
  <si>
    <t>Chemical (Diversified)</t>
  </si>
  <si>
    <t>Chemical (Specialty)</t>
  </si>
  <si>
    <t>Coal &amp; Related Energy</t>
  </si>
  <si>
    <t>Computer Services</t>
  </si>
  <si>
    <t>Computers/Peripherals</t>
  </si>
  <si>
    <t>Construction Supplies</t>
  </si>
  <si>
    <t>Diversified</t>
  </si>
  <si>
    <t>Drugs (Biotechnology)</t>
  </si>
  <si>
    <t>Drugs (Pharmaceutical)</t>
  </si>
  <si>
    <t>Education</t>
  </si>
  <si>
    <t>Electrical Equipment</t>
  </si>
  <si>
    <t>Electronics (Consumer &amp; Office)</t>
  </si>
  <si>
    <t>Electronics (General)</t>
  </si>
  <si>
    <t>Engineering/Construction</t>
  </si>
  <si>
    <t>Entertainment</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</si>
  <si>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</si>
  <si>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</si>
  <si>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</si>
  <si>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</si>
  <si>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</si>
  <si>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</si>
  <si>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</si>
  <si>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</si>
  <si>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</si>
  <si>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</si>
  <si>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</si>
  <si>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</si>
  <si>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</si>
  <si>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</si>
  <si>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</si>
  <si>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</si>
  <si>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</si>
  <si>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</si>
  <si>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</si>
  <si>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</si>
  <si>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Metals &amp; Mining</t>
  </si>
  <si>
    <t>Office Equipment &amp; Services</t>
  </si>
  <si>
    <t>Oil/Gas (Integrated)</t>
  </si>
  <si>
    <t>Oil/Gas (Production and Exploration)</t>
  </si>
  <si>
    <t>Oil/Gas Distribution</t>
  </si>
  <si>
    <t>Oilfield Svcs/Equip.</t>
  </si>
  <si>
    <t>Packaging &amp; Container</t>
  </si>
  <si>
    <t>Paper/Forest Products</t>
  </si>
  <si>
    <t>Power</t>
  </si>
  <si>
    <t>Precious Metals</t>
  </si>
  <si>
    <t>Publishing &amp; Newspapers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</si>
  <si>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</si>
  <si>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</si>
  <si>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</si>
  <si>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</si>
  <si>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</si>
  <si>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</si>
  <si>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</si>
  <si>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</si>
  <si>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</si>
  <si>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</si>
  <si>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(General)</t>
  </si>
  <si>
    <t>Retail (Grocery and Food)</t>
  </si>
  <si>
    <t>Retail (Online)</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</si>
  <si>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</si>
  <si>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</si>
  <si>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</si>
  <si>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</si>
  <si>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</si>
  <si>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</si>
  <si>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</si>
  <si>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</si>
  <si>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</si>
  <si>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</si>
  <si>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</si>
  <si>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</si>
  <si>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</si>
  <si>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</si>
  <si>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</si>
  <si>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</si>
  <si>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</si>
  <si>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</si>
  <si>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</si>
  <si>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Total Market</t>
  </si>
  <si>
    <t>Total Market (without financials)</t>
  </si>
  <si>
    <t>Base year</t>
    <phoneticPr fontId="0" type="noConversion"/>
  </si>
  <si>
    <t>Terminal year</t>
  </si>
  <si>
    <t>Revenue growth%</t>
  </si>
  <si>
    <t>Revenues</t>
  </si>
  <si>
    <t>Operating margin</t>
  </si>
  <si>
    <t>EBIT (Operating income)</t>
    <phoneticPr fontId="0" type="noConversion"/>
  </si>
  <si>
    <t>Tax rate</t>
  </si>
  <si>
    <t>EBIT(1-t)</t>
  </si>
  <si>
    <t xml:space="preserve"> - Reinvestment</t>
    <phoneticPr fontId="0" type="noConversion"/>
  </si>
  <si>
    <t>FCFF</t>
  </si>
  <si>
    <t>Terminal Value</t>
  </si>
  <si>
    <t>Cost of capital  (WACC)</t>
  </si>
  <si>
    <t>Cumulated discount factor</t>
  </si>
  <si>
    <t>PV(FCFF)</t>
    <phoneticPr fontId="0" type="noConversion"/>
  </si>
  <si>
    <t>Sum of PV(FCFF)</t>
  </si>
  <si>
    <t>Probability of failure =</t>
  </si>
  <si>
    <t>Proceeds if firm fails =</t>
  </si>
  <si>
    <t>Value of operating assets =</t>
  </si>
  <si>
    <t xml:space="preserve"> - Debt</t>
  </si>
  <si>
    <t xml:space="preserve"> +  Cash &amp; MKt Securities</t>
  </si>
  <si>
    <t>Value of equity</t>
  </si>
  <si>
    <t>Low</t>
  </si>
  <si>
    <t>Number of shares</t>
    <phoneticPr fontId="0" type="noConversion"/>
  </si>
  <si>
    <t>High</t>
  </si>
  <si>
    <t>Estimated value /share</t>
  </si>
  <si>
    <t>Price</t>
  </si>
  <si>
    <t>Price as % of value</t>
  </si>
  <si>
    <t>Implied variables</t>
    <phoneticPr fontId="0" type="noConversion"/>
  </si>
  <si>
    <t>After year 10</t>
  </si>
  <si>
    <t>Sales to capital ratio</t>
  </si>
  <si>
    <t>Invested capital</t>
    <phoneticPr fontId="0" type="noConversion"/>
  </si>
  <si>
    <t>ROIC</t>
    <phoneticPr fontId="0" type="noConversion"/>
  </si>
  <si>
    <t>Operating Margin</t>
  </si>
  <si>
    <t>Current</t>
  </si>
  <si>
    <t>Terminal</t>
  </si>
  <si>
    <t>Sales to Capital</t>
  </si>
  <si>
    <t>WACC Calculations</t>
  </si>
  <si>
    <t>Risk free rate</t>
  </si>
  <si>
    <t>Beta Used</t>
  </si>
  <si>
    <t>Interest Coverage Ratio</t>
  </si>
  <si>
    <t>Default Spread</t>
  </si>
  <si>
    <t>Tax Rate (Tc)</t>
  </si>
  <si>
    <t>Book Value (Debt)</t>
  </si>
  <si>
    <t>Market Value (Equity)</t>
  </si>
  <si>
    <t>Re</t>
  </si>
  <si>
    <t>Rd</t>
  </si>
  <si>
    <t>Debt %</t>
  </si>
  <si>
    <t>Equity %</t>
  </si>
  <si>
    <t>Quick Ratio</t>
  </si>
  <si>
    <t>Pre-Tax Operating Margin</t>
  </si>
  <si>
    <t>Net Income Margin</t>
  </si>
  <si>
    <t>Debt to Capital Ratio</t>
  </si>
  <si>
    <t>Debt to Equity Ratio</t>
  </si>
  <si>
    <t>PEG Ratio</t>
  </si>
  <si>
    <t>Industry Average</t>
  </si>
  <si>
    <t>Revenue growth</t>
  </si>
  <si>
    <t>Return on capital</t>
  </si>
  <si>
    <t>Cost of capital</t>
  </si>
  <si>
    <t>Revenue</t>
  </si>
  <si>
    <t>%CHNG[REV]</t>
  </si>
  <si>
    <t>Net Income</t>
  </si>
  <si>
    <t>%CHNG[NI]</t>
  </si>
  <si>
    <t>Annualized Growth</t>
  </si>
  <si>
    <t>Date of Valuation</t>
  </si>
  <si>
    <t>Rating is</t>
  </si>
  <si>
    <t>Spread is</t>
  </si>
  <si>
    <t>A1/A+</t>
  </si>
  <si>
    <t>A2/A</t>
  </si>
  <si>
    <t>A3/A-</t>
  </si>
  <si>
    <t>Aa2/AA</t>
  </si>
  <si>
    <t>Aaa/AAA</t>
  </si>
  <si>
    <t>B1/B+</t>
  </si>
  <si>
    <t>B2/B</t>
  </si>
  <si>
    <t>B3/B-</t>
  </si>
  <si>
    <t>Ba1/BB+</t>
  </si>
  <si>
    <t>Ba2/BB</t>
  </si>
  <si>
    <t>Baa2/BBB</t>
  </si>
  <si>
    <t>C2/C</t>
  </si>
  <si>
    <t>Ca2/CC</t>
  </si>
  <si>
    <t>Caa/CCC</t>
  </si>
  <si>
    <t>D2/D</t>
  </si>
  <si>
    <t>Number of Shares</t>
  </si>
  <si>
    <t>Tax Expense</t>
  </si>
  <si>
    <t>Interest Expense</t>
  </si>
  <si>
    <t>Total Assets</t>
  </si>
  <si>
    <t>Capital Expenditures</t>
  </si>
  <si>
    <t>Cash &amp; Cash Equiv.</t>
  </si>
  <si>
    <t>Unlevered Beta</t>
  </si>
  <si>
    <t>Levered Beta</t>
  </si>
  <si>
    <t>Gross profit</t>
  </si>
  <si>
    <t>Operating expenses</t>
  </si>
  <si>
    <t>Total operating expenses</t>
  </si>
  <si>
    <t>Operating income</t>
  </si>
  <si>
    <t>Interest expense</t>
  </si>
  <si>
    <t>Provision for income taxes</t>
  </si>
  <si>
    <t>Net income from continuing operations</t>
  </si>
  <si>
    <t>Net income</t>
  </si>
  <si>
    <t>Earnings per share</t>
  </si>
  <si>
    <t>Basic</t>
  </si>
  <si>
    <t>Diluted</t>
  </si>
  <si>
    <t>Weighted average shares outstanding</t>
  </si>
  <si>
    <t>Fiscal year ends in September. USD in millions except per share data.</t>
  </si>
  <si>
    <t>Sales, general and administrative</t>
  </si>
  <si>
    <t>Income before taxes</t>
  </si>
  <si>
    <t>Standardized Annual Income Statement</t>
  </si>
  <si>
    <t>Standardized Annual Balance Sheet</t>
  </si>
  <si>
    <t>Standardized Annual Cash Flow Statement</t>
  </si>
  <si>
    <t>Place unstandardized annual income statements in this black box. They will be automatically standardized.</t>
  </si>
  <si>
    <t>Annual Balance Sheet</t>
  </si>
  <si>
    <t>Place unstandardized annual balance sheets in this black box. They will be automatically standardized.</t>
  </si>
  <si>
    <t>Assets</t>
  </si>
  <si>
    <t>Current assets</t>
  </si>
  <si>
    <t>Cash</t>
  </si>
  <si>
    <t>Cash and cash equivalents</t>
  </si>
  <si>
    <t>Total cash and short-term investments</t>
  </si>
  <si>
    <t>Accounts receivable</t>
  </si>
  <si>
    <t>Inventories</t>
  </si>
  <si>
    <t>Total current assets</t>
  </si>
  <si>
    <t>Non-current assets</t>
  </si>
  <si>
    <t>Net property, plant and equipment</t>
  </si>
  <si>
    <t>Other long-term assets</t>
  </si>
  <si>
    <t>Total non-current assets</t>
  </si>
  <si>
    <t>Total assets</t>
  </si>
  <si>
    <t>Liabilities and stockholders' equity</t>
  </si>
  <si>
    <t>Liabilities</t>
  </si>
  <si>
    <t>Current liabilities</t>
  </si>
  <si>
    <t>Accounts payable</t>
  </si>
  <si>
    <t>Other current liabilities</t>
  </si>
  <si>
    <t>Total current liabilities</t>
  </si>
  <si>
    <t>Non-current liabilities</t>
  </si>
  <si>
    <t>Other long-term liabilities</t>
  </si>
  <si>
    <t>Total non-current liabilities</t>
  </si>
  <si>
    <t>Total liabilities</t>
  </si>
  <si>
    <t>Stockholders' equity</t>
  </si>
  <si>
    <t>Common stock &amp; additional paid-in capital</t>
  </si>
  <si>
    <t>Retained earnings</t>
  </si>
  <si>
    <t>Total stockholders' equity</t>
  </si>
  <si>
    <t>Total liabilities and stockholders' equity</t>
  </si>
  <si>
    <t>Fiscal year ends in December. USD in millions except per share data.</t>
  </si>
  <si>
    <t>Long-term debt</t>
  </si>
  <si>
    <t>EPS</t>
  </si>
  <si>
    <t>%CHNG[EPS]</t>
  </si>
  <si>
    <t>5 Year Annual Growth Worksheet Calculations</t>
  </si>
  <si>
    <t>Year 10</t>
  </si>
  <si>
    <t>Year 9</t>
  </si>
  <si>
    <t>Year 8</t>
  </si>
  <si>
    <t>Year 7</t>
  </si>
  <si>
    <t>Year 6</t>
  </si>
  <si>
    <t>Year 5</t>
  </si>
  <si>
    <t>Year 4</t>
  </si>
  <si>
    <t>Year 3</t>
  </si>
  <si>
    <t>Year 2</t>
  </si>
  <si>
    <t>Year 1</t>
  </si>
  <si>
    <t>Account</t>
  </si>
  <si>
    <t>Annual Cash Flow Statement</t>
  </si>
  <si>
    <t>Place unstandardized annual cash flow statements in this black box. They will be automatically standardized.</t>
  </si>
  <si>
    <t>Annual Income Statement</t>
  </si>
  <si>
    <t>Cash Flows From Operating Activities</t>
  </si>
  <si>
    <t>Cash used in operating activities</t>
  </si>
  <si>
    <t>Depreciation &amp; amortization</t>
  </si>
  <si>
    <t>Net changes in working capital</t>
  </si>
  <si>
    <t>Net cash provided by operating activities</t>
  </si>
  <si>
    <t>Cash Flows From Investing Activities</t>
  </si>
  <si>
    <t>Net Investments in property, plant, and equipment</t>
  </si>
  <si>
    <t>Net cash used for investing activities</t>
  </si>
  <si>
    <t>Cash Flows From Financing Activities</t>
  </si>
  <si>
    <t>Other financing activities</t>
  </si>
  <si>
    <t>Net cash provided by (used for) financing activities</t>
  </si>
  <si>
    <t>Net change in cash</t>
  </si>
  <si>
    <t>Cash at beginning of period</t>
  </si>
  <si>
    <t>Cash at end of period</t>
  </si>
  <si>
    <t>Free Cash Flow</t>
  </si>
  <si>
    <t>Operating cash flow</t>
  </si>
  <si>
    <t>Capital expenditure</t>
  </si>
  <si>
    <t>Free cash flow</t>
  </si>
  <si>
    <t>Column 2</t>
  </si>
  <si>
    <t>Column 3</t>
  </si>
  <si>
    <t>Column 4</t>
  </si>
  <si>
    <t>Column 5</t>
  </si>
  <si>
    <t>Column 6</t>
  </si>
  <si>
    <t>Column 7</t>
  </si>
  <si>
    <t>Column 8</t>
  </si>
  <si>
    <t>Column 9</t>
  </si>
  <si>
    <t>Column 10</t>
  </si>
  <si>
    <t>Column 11</t>
  </si>
  <si>
    <t>Column 12</t>
  </si>
  <si>
    <t>Yes</t>
  </si>
  <si>
    <t>10 Year Annual Growth Worksheet Calculations</t>
  </si>
  <si>
    <t>Assumptions and Required Questions</t>
  </si>
  <si>
    <t>Are you using 5 year or 10 year data from Morningstar?</t>
  </si>
  <si>
    <t>Yes or No</t>
  </si>
  <si>
    <t>No</t>
  </si>
  <si>
    <t>5 or 10 Year</t>
  </si>
  <si>
    <t>5 Year</t>
  </si>
  <si>
    <t>10 Year</t>
  </si>
  <si>
    <t>Profit Margin</t>
  </si>
  <si>
    <t>Date</t>
  </si>
  <si>
    <t>Open</t>
  </si>
  <si>
    <t>Close</t>
  </si>
  <si>
    <t>Volume</t>
  </si>
  <si>
    <t>5 Year Stock Price Data</t>
  </si>
  <si>
    <t>Copy and paste in data to match the columns below.</t>
  </si>
  <si>
    <t>5 S&amp;P500 Price Data</t>
  </si>
  <si>
    <t>Stock Price</t>
  </si>
  <si>
    <t>Change %</t>
  </si>
  <si>
    <t>S&amp;P 500</t>
  </si>
  <si>
    <t>Change%</t>
  </si>
  <si>
    <t>Price Data for Beta</t>
  </si>
  <si>
    <t>Nominal Tax Rate</t>
  </si>
  <si>
    <t>Daily Levered 1 Year Beta</t>
  </si>
  <si>
    <t>Daily Unlevered 1 Year Beta</t>
  </si>
  <si>
    <t>Daily Levered 3 Year Beta</t>
  </si>
  <si>
    <t>Monthly Levered 3 Year Beta</t>
  </si>
  <si>
    <t>Daily Unlevered 3 Year Beta</t>
  </si>
  <si>
    <t>Monthly Unlevered 3 Year Beta</t>
  </si>
  <si>
    <t>Daily Levered 5 Year Beta</t>
  </si>
  <si>
    <t>Monthly Levered 5 Year Beta</t>
  </si>
  <si>
    <t>Daily Unlevered 5 Year Beta</t>
  </si>
  <si>
    <t>Monthly Unlevered 5 Year Beta</t>
  </si>
  <si>
    <t>Sales to Capital Ratio</t>
  </si>
  <si>
    <t>Do you want WACC in Year 10 to equal risk free rate + 4.5%?</t>
  </si>
  <si>
    <t>If No, what do you want the terminal cost of capital to be?</t>
  </si>
  <si>
    <t>Is there a chance that this firm fails in the future?</t>
  </si>
  <si>
    <t>If Yes, what discount will be applied to the assets of the company?</t>
  </si>
  <si>
    <t>Do you want your effective tax rate to regress to the nominal tax rate?</t>
  </si>
  <si>
    <t>Monthly Ch%</t>
  </si>
  <si>
    <t>Weighted Average</t>
  </si>
  <si>
    <t>Notes and Information</t>
  </si>
  <si>
    <t>In the Base Case Valuation, both Operating Margin and Sales to Capital Ratio terminate with the industry average value. Changes to this can be made in all other scenarios.</t>
  </si>
  <si>
    <t>Would you like the ROIC to equal WACC in Year 10?</t>
  </si>
  <si>
    <t>If No, what would you like the terminal ROIC to be?</t>
  </si>
  <si>
    <t>Rd(1-Tc)</t>
  </si>
  <si>
    <t>DCF 1 (Base) Value Drivers</t>
  </si>
  <si>
    <t>DCF 2 (Best) Value Drivers</t>
  </si>
  <si>
    <t>DCF 3 (Worst) Value Drivers</t>
  </si>
  <si>
    <t>Average</t>
  </si>
  <si>
    <t>Standard Deviation</t>
  </si>
  <si>
    <t>Prob(c)</t>
  </si>
  <si>
    <t>Prob(t)</t>
  </si>
  <si>
    <t>Price to Book Ratio</t>
  </si>
  <si>
    <t>Weighted Unlevered Beta</t>
  </si>
  <si>
    <t>Weighted Debt/Equity</t>
  </si>
  <si>
    <t>Total Average</t>
  </si>
  <si>
    <t>Industry Weighted Bottom Up Beta Calculation</t>
  </si>
  <si>
    <t>A pure bottom up beta takes into account the market D/E Ratio while a company specific bottom up beta uses the companies D/E Ratio.</t>
  </si>
  <si>
    <t>Industry Unlevered Beta</t>
  </si>
  <si>
    <t>Industry Debt/Equity</t>
  </si>
  <si>
    <t>Firm Debt/Equity</t>
  </si>
  <si>
    <t>Pure B/U Levered Beta</t>
  </si>
  <si>
    <t>Actual B/U Levered Beta</t>
  </si>
  <si>
    <t>Weighted Mix Unlvered Monthly 3 Year Beta</t>
  </si>
  <si>
    <t>Weighted Mix Daily 3 Year Unlevered Beta</t>
  </si>
  <si>
    <t>Weighted Mix Daily 5 Year Unlevered Beta</t>
  </si>
  <si>
    <t>Weighted Mix Unlvered Monthly 5 Year Beta</t>
  </si>
  <si>
    <t>Beta Assumptions and Notes</t>
  </si>
  <si>
    <t>The "Weighted Mix" Betas are company-specific unlevered regression betas blended with the firm's bottom up beta. This way market sentiments still play a role in the bottom up beta but investor volatility is not as much of a factor in this model.</t>
  </si>
  <si>
    <t>What weigth would you like to give the unlevered regression beta?</t>
  </si>
  <si>
    <t>That would give the bottom up beta this rating:</t>
  </si>
  <si>
    <t>If No, what do you want your terminal tax rate to be?</t>
  </si>
  <si>
    <t>Do you want you terminal Sales to Capital to equal the industry average?</t>
  </si>
  <si>
    <t>If No, what would you like your terminal Sales to Capital to be?</t>
  </si>
  <si>
    <t>Do you want your operating margin in year 10 to equal the industry standard?</t>
  </si>
  <si>
    <t>Do you want your Year 1 revenue growth to equal the historical average?</t>
  </si>
  <si>
    <t>If No, what would you like your year 10 operating margin to be?</t>
  </si>
  <si>
    <t>If No, what would you like your starting revenue growth to be?</t>
  </si>
  <si>
    <t>10 Year Average Fundementals</t>
  </si>
  <si>
    <t>Median</t>
  </si>
  <si>
    <t>St. Dev.</t>
  </si>
  <si>
    <t>Market Debt/Cap</t>
  </si>
  <si>
    <t>Industry Peers Information and Links</t>
  </si>
  <si>
    <t>Name</t>
  </si>
  <si>
    <t>P/E</t>
  </si>
  <si>
    <t>Link</t>
  </si>
  <si>
    <t>Cost of Revenue</t>
  </si>
  <si>
    <t>Dark blue cells will be automatically calculated while light blue cells need to have manual input of some kind.</t>
  </si>
  <si>
    <t>Cells with orange/red labels are vital to the DCF. They are "minimum must complete" cells.</t>
  </si>
  <si>
    <t>Y Variable is S&amp;P 500, X Variable is Stock</t>
  </si>
  <si>
    <t>Beta Options</t>
  </si>
  <si>
    <t>Actual Beta Used</t>
  </si>
  <si>
    <t>Adj Close</t>
  </si>
  <si>
    <t>TTM</t>
  </si>
  <si>
    <t>Cost of revenue</t>
  </si>
  <si>
    <t>Sales, General and administrative</t>
  </si>
  <si>
    <t>Other operating expenses</t>
  </si>
  <si>
    <t>Other income (expense)</t>
  </si>
  <si>
    <t>Other</t>
  </si>
  <si>
    <t>Net income available to common shareholders</t>
  </si>
  <si>
    <t>Total cash</t>
  </si>
  <si>
    <t>Receivables</t>
  </si>
  <si>
    <t>Deferred income taxes</t>
  </si>
  <si>
    <t>Prepaid expenses</t>
  </si>
  <si>
    <t>Property, plant and equipment</t>
  </si>
  <si>
    <t>Gross property, plant and equipment</t>
  </si>
  <si>
    <t>Accumulated Depreciation</t>
  </si>
  <si>
    <t>Equity and other investments</t>
  </si>
  <si>
    <t>Goodwill</t>
  </si>
  <si>
    <t>Intangible assets</t>
  </si>
  <si>
    <t>Short-term debt</t>
  </si>
  <si>
    <t>Taxes payable</t>
  </si>
  <si>
    <t>Accrued liabilities</t>
  </si>
  <si>
    <t>Minority interest</t>
  </si>
  <si>
    <t>Common stock</t>
  </si>
  <si>
    <t>Additional paid-in capital</t>
  </si>
  <si>
    <t>Accumulated other comprehensive income</t>
  </si>
  <si>
    <t>Investment/asset impairment charges</t>
  </si>
  <si>
    <t>Inventory</t>
  </si>
  <si>
    <t>Income taxes payable</t>
  </si>
  <si>
    <t>Other working capital</t>
  </si>
  <si>
    <t>Other non-cash items</t>
  </si>
  <si>
    <t>Investments in property, plant, and equipment</t>
  </si>
  <si>
    <t>Property, plant, and equipment reductions</t>
  </si>
  <si>
    <t>Acquisitions, net</t>
  </si>
  <si>
    <t>Purchases of investments</t>
  </si>
  <si>
    <t>Sales/Maturities of investments</t>
  </si>
  <si>
    <t>Other investing activities</t>
  </si>
  <si>
    <t>Debt issued</t>
  </si>
  <si>
    <t>Debt repayment</t>
  </si>
  <si>
    <t>Common stock repurchased</t>
  </si>
  <si>
    <t>Dividend paid</t>
  </si>
  <si>
    <t>Effect of exchange rate changes</t>
  </si>
  <si>
    <t>Regression Analysis</t>
  </si>
  <si>
    <t>Net Profit</t>
  </si>
  <si>
    <t>Total Capital</t>
  </si>
  <si>
    <t>Revenue Change</t>
  </si>
  <si>
    <t>Net Profit Change</t>
  </si>
  <si>
    <t>Cap Ex. Change</t>
  </si>
  <si>
    <t>Total Capital Change</t>
  </si>
  <si>
    <t>Slope</t>
  </si>
  <si>
    <t>Restructuring, merger and acquisition</t>
  </si>
  <si>
    <t>Correlation</t>
  </si>
  <si>
    <t>PP&amp;A Investments</t>
  </si>
  <si>
    <t>PP&amp;A Change</t>
  </si>
  <si>
    <t>Regression and Correlation of Reinvestment Metrics</t>
  </si>
  <si>
    <t>Which multiplier would you like to use in calculating the reinvestment rate?</t>
  </si>
  <si>
    <t>Plant Property Equipment Change</t>
  </si>
  <si>
    <t>Reinvestment Rate Multipliers</t>
  </si>
  <si>
    <t>Operating Income</t>
  </si>
  <si>
    <t>Operating Income Change</t>
  </si>
  <si>
    <t>Would you like to use a 3 year or 5 year initial growth phase?</t>
  </si>
  <si>
    <t>3 or 5 Year</t>
  </si>
  <si>
    <t>3 Year</t>
  </si>
  <si>
    <t>Reinvestment Multiple</t>
  </si>
  <si>
    <t>If yes, would you like to use the industry average CapEx/Sales as the terminal value?</t>
  </si>
  <si>
    <t>If no, what would you like the terminal CapEx/Sales value to be?</t>
  </si>
  <si>
    <t>Shares Outstanding can ostensibly be retrieved from financial statements but are often wrong or in the wrong units. This entry MUST be double checked and should be the first place you look for values per share that are too high. Actual numbers can be retrieved from FinViz or similar.</t>
  </si>
  <si>
    <t>CapEx + WC / Operating Margin</t>
  </si>
  <si>
    <t>Canfor Corporation</t>
  </si>
  <si>
    <t>CFP or CFPZF</t>
  </si>
  <si>
    <t>TSX</t>
  </si>
  <si>
    <t>Canada</t>
  </si>
  <si>
    <t>Nov 30th, 2018</t>
  </si>
  <si>
    <t>CANFOR CORP  (CFP) CashFlowFlag INCOME STATEMENT</t>
  </si>
  <si>
    <t>Fiscal year ends in December. CAD in millions except per share data.</t>
  </si>
  <si>
    <t>CANFOR CORP  (CFP) CashFlowFlag BALANCE SHEET</t>
  </si>
  <si>
    <t>Other current assets</t>
  </si>
  <si>
    <t>Prepaid pension benefit</t>
  </si>
  <si>
    <t>Deferred taxes liabilities</t>
  </si>
  <si>
    <t>Pensions and other benefits</t>
  </si>
  <si>
    <t>CANFOR CORP  (CFP) Statement of  CASH FLOW</t>
  </si>
  <si>
    <t>Amortization of debt discount/premium and issuance costs</t>
  </si>
  <si>
    <t>Investments losses (gains)</t>
  </si>
  <si>
    <t>null</t>
  </si>
  <si>
    <t>Weighted Mix Unlevered Monthly 3 Year Beta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</si>
</sst>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quot;$&quot;#,##0.00_);[Red]\(&quot;$&quot;#,##0.00\)"/>
    <numFmt numFmtId="44" formatCode="_(&quot;$&quot;* #,##0.00_);_(&quot;$&quot;* \(#,##0.00\);_(&quot;$&quot;* &quot;-&quot;??_);_(@_)"/>
    <numFmt numFmtId="43" formatCode="_(* #,##0.00_);_(* \(#,##0.00\);_(* &quot;-&quot;??_);_(@_)"/>
    <numFmt numFmtId="164" formatCode="0.000%"/>
    <numFmt numFmtId="165" formatCode="_(* #,##0.0000_);_(* \(#,##0.0000\);_(* &quot;-&quot;??_);_(@_)"/>
    <numFmt numFmtId="166" formatCode="0.0000%"/>
    <numFmt numFmtId="167" formatCode="&quot;$&quot;#,##0.00"/>
    <numFmt numFmtId="168" formatCode="_(&quot;$&quot;* #,##0_);_(&quot;$&quot;* \(#,##0\);_(&quot;$&quot;* &quot;-&quot;??_);_(@_)"/>
    <numFmt numFmtId="169" formatCode="0.0000"/>
    <numFmt numFmtId="170" formatCode="&quot;$&quot;#,##0"/>
    <numFmt numFmtId="171" formatCode="0.0000000%"/>
    <numFmt numFmtId="172" formatCode="0.00000"/>
    <numFmt numFmtId="173" formatCode="0.00000%"/>
  </numFmts>
  <fonts count="36">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sz val="11"/>
      <color theme="1"/>
      <name val="Calibri"/>
      <family val="2"/>
      <scheme val="minor"/>
    </font>
    <font>
      <sz val="10"/>
      <name val="Arial"/>
      <family val="2"/>
    </font>
    <font>
      <sz val="11"/>
      <name val="Calibri"/>
      <family val="2"/>
      <scheme val="minor"/>
    </font>
    <font>
      <sz val="10"/>
      <color rgb="FF000000"/>
      <name val="Tahoma"/>
      <family val="2"/>
    </font>
    <font>
      <b/>
      <sz val="14"/>
      <color theme="1"/>
      <name val="Calibri"/>
      <family val="2"/>
      <scheme val="minor"/>
    </font>
    <font>
      <sz val="12"/>
      <name val="Calibri"/>
      <family val="2"/>
      <scheme val="minor"/>
    </font>
    <font>
      <i/>
      <sz val="12"/>
      <name val="Avenir Book"/>
      <family val="2"/>
    </font>
    <font>
      <i/>
      <sz val="12"/>
      <color theme="1"/>
      <name val="Avenir Book"/>
      <family val="2"/>
    </font>
    <font>
      <i/>
      <sz val="12"/>
      <color theme="1" tint="4.9989318521683403E-2"/>
      <name val="Avenir Book"/>
      <family val="2"/>
    </font>
    <font>
      <i/>
      <sz val="12"/>
      <color rgb="FF000000"/>
      <name val="Avenir Book"/>
      <family val="2"/>
    </font>
    <font>
      <sz val="12"/>
      <color theme="1"/>
      <name val="Avenir Book"/>
      <family val="2"/>
    </font>
    <font>
      <sz val="12"/>
      <color rgb="FF000000"/>
      <name val="Avenir Book"/>
      <family val="2"/>
    </font>
    <font>
      <sz val="10"/>
      <name val="Verdana"/>
      <family val="2"/>
    </font>
    <font>
      <sz val="12"/>
      <name val="Avenir Book"/>
      <family val="2"/>
    </font>
    <font>
      <i/>
      <sz val="12"/>
      <name val="Calibri"/>
      <family val="2"/>
      <scheme val="minor"/>
    </font>
    <font>
      <b/>
      <sz val="16"/>
      <color theme="1"/>
      <name val="Calibri"/>
      <family val="2"/>
      <scheme val="minor"/>
    </font>
    <font>
      <sz val="12"/>
      <name val="Times"/>
      <family val="1"/>
    </font>
    <font>
      <b/>
      <sz val="12"/>
      <name val="Calibri"/>
      <family val="2"/>
      <scheme val="minor"/>
    </font>
    <font>
      <i/>
      <u/>
      <sz val="12"/>
      <name val="Calibri"/>
      <family val="2"/>
      <scheme val="minor"/>
    </font>
    <font>
      <b/>
      <sz val="12"/>
      <color indexed="81"/>
      <name val="Tahoma"/>
      <family val="2"/>
    </font>
    <font>
      <sz val="12"/>
      <color indexed="81"/>
      <name val="Tahoma"/>
      <family val="2"/>
    </font>
    <font>
      <sz val="9"/>
      <color indexed="81"/>
      <name val="Tahoma"/>
      <family val="2"/>
    </font>
    <font>
      <b/>
      <sz val="11"/>
      <color theme="1"/>
      <name val="Calibri"/>
      <family val="2"/>
      <scheme val="minor"/>
    </font>
    <font>
      <sz val="10"/>
      <color theme="1"/>
      <name val="Calibri"/>
      <family val="2"/>
      <scheme val="minor"/>
    </font>
    <font>
      <sz val="10"/>
      <color rgb="FFFF0000"/>
      <name val="Calibri"/>
      <family val="2"/>
      <scheme val="minor"/>
    </font>
    <font>
      <sz val="12"/>
      <color theme="5" tint="-0.499984740745262"/>
      <name val="Calibri"/>
      <family val="2"/>
      <scheme val="minor"/>
    </font>
    <font>
      <i/>
      <sz val="12"/>
      <color theme="1"/>
      <name val="Calibri"/>
      <family val="2"/>
      <scheme val="minor"/>
    </font>
    <font>
      <b/>
      <sz val="12"/>
      <color rgb="FF000000"/>
      <name val="Tahoma"/>
      <family val="2"/>
    </font>
    <font>
      <sz val="12"/>
      <color rgb="FF000000"/>
      <name val="Tahoma"/>
      <family val="2"/>
    </font>
    <font>
      <sz val="9"/>
      <color rgb="FF000000"/>
      <name val="Tahoma"/>
      <family val="2"/>
    </font>
    <font>
      <sz val="14"/>
      <color theme="1"/>
      <name val="Calibri"/>
      <family val="2"/>
      <scheme val="minor"/>
    </font>
    <font>
      <sz val="12"/>
      <name val="Times New Roman"/>
      <family val="1"/>
    </font>
  </fonts>
  <fills count="20">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8" tint="-0.499984740745262"/>
        <bgColor indexed="64"/>
      </patternFill>
    </fill>
    <fill>
      <patternFill patternType="solid">
        <fgColor theme="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tint="-0.249977111117893"/>
        <bgColor indexed="64"/>
      </patternFill>
    </fill>
  </fills>
  <borders count="34">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bottom style="medium">
        <color indexed="64"/>
      </bottom>
      <diagonal/>
    </border>
    <border>
      <left style="thin">
        <color auto="1"/>
      </left>
      <right/>
      <top style="thin">
        <color auto="1"/>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indexed="64"/>
      </bottom>
      <diagonal/>
    </border>
    <border>
      <left style="medium">
        <color indexed="64"/>
      </left>
      <right/>
      <top/>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medium">
        <color indexed="64"/>
      </bottom>
      <diagonal/>
    </border>
    <border>
      <left style="thin">
        <color auto="1"/>
      </left>
      <right style="medium">
        <color indexed="64"/>
      </right>
      <top/>
      <bottom style="medium">
        <color indexed="64"/>
      </bottom>
      <diagonal/>
    </border>
    <border>
      <left style="thin">
        <color auto="1"/>
      </left>
      <right style="medium">
        <color indexed="64"/>
      </right>
      <top style="thin">
        <color auto="1"/>
      </top>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auto="1"/>
      </right>
      <top style="thin">
        <color auto="1"/>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s>
  <cellStyleXfs count="10">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4" fillId="0" borderId="0"/>
    <xf numFmtId="9" fontId="4" fillId="0" borderId="0" applyFont="0" applyFill="0" applyBorder="0" applyAlignment="0" applyProtection="0"/>
  </cellStyleXfs>
  <cellXfs count="394">
    <xf numFmtId="0" fontId="0" fillId="0" borderId="0" xfId="0"/>
    <xf numFmtId="0" fontId="0" fillId="2" borderId="1" xfId="0" applyFill="1" applyBorder="1"/>
    <xf numFmtId="0" fontId="3" fillId="2" borderId="1" xfId="0" applyFont="1" applyFill="1" applyBorder="1" applyAlignment="1">
      <alignment horizontal="center"/>
    </xf>
    <xf numFmtId="0" fontId="0" fillId="5" borderId="1" xfId="0" applyFill="1" applyBorder="1"/>
    <xf numFmtId="0" fontId="10" fillId="0" borderId="0" xfId="0" applyFont="1" applyFill="1" applyBorder="1" applyAlignment="1">
      <alignment horizontal="left" wrapText="1"/>
    </xf>
    <xf numFmtId="0" fontId="10" fillId="0" borderId="0" xfId="0" applyFont="1" applyFill="1" applyBorder="1" applyAlignment="1">
      <alignment horizontal="center" wrapText="1"/>
    </xf>
    <xf numFmtId="164" fontId="10" fillId="0" borderId="0" xfId="3" applyNumberFormat="1" applyFont="1" applyFill="1" applyBorder="1" applyAlignment="1">
      <alignment horizontal="center" wrapText="1"/>
    </xf>
    <xf numFmtId="0" fontId="11" fillId="0" borderId="0" xfId="0" applyFont="1" applyFill="1" applyBorder="1"/>
    <xf numFmtId="165" fontId="10" fillId="0" borderId="0" xfId="1" applyNumberFormat="1" applyFont="1" applyFill="1" applyBorder="1" applyAlignment="1">
      <alignment horizontal="center" wrapText="1"/>
    </xf>
    <xf numFmtId="10" fontId="10" fillId="0" borderId="0" xfId="3" applyNumberFormat="1" applyFont="1" applyFill="1" applyBorder="1" applyAlignment="1">
      <alignment horizontal="center" wrapText="1"/>
    </xf>
    <xf numFmtId="166" fontId="12" fillId="0" borderId="0" xfId="3" applyNumberFormat="1" applyFont="1" applyFill="1" applyBorder="1" applyAlignment="1">
      <alignment wrapText="1"/>
    </xf>
    <xf numFmtId="0" fontId="13" fillId="0" borderId="0" xfId="0" applyFont="1" applyFill="1" applyBorder="1"/>
    <xf numFmtId="0" fontId="11" fillId="0" borderId="0" xfId="0" applyFont="1" applyAlignment="1">
      <alignment wrapText="1"/>
    </xf>
    <xf numFmtId="0" fontId="10" fillId="0" borderId="0" xfId="0" applyFont="1" applyFill="1" applyBorder="1" applyAlignment="1">
      <alignment horizontal="left"/>
    </xf>
    <xf numFmtId="0" fontId="14" fillId="0" borderId="0" xfId="5" applyNumberFormat="1" applyFont="1" applyFill="1" applyBorder="1" applyAlignment="1">
      <alignment horizontal="center"/>
    </xf>
    <xf numFmtId="164" fontId="14" fillId="0" borderId="0" xfId="3" applyNumberFormat="1" applyFont="1" applyFill="1" applyBorder="1" applyAlignment="1">
      <alignment horizontal="center"/>
    </xf>
    <xf numFmtId="10" fontId="14" fillId="0" borderId="0" xfId="6" applyNumberFormat="1" applyFont="1" applyFill="1" applyBorder="1" applyAlignment="1">
      <alignment horizontal="center"/>
    </xf>
    <xf numFmtId="0" fontId="14" fillId="0" borderId="0" xfId="0" applyFont="1" applyFill="1" applyBorder="1"/>
    <xf numFmtId="2" fontId="14" fillId="0" borderId="0" xfId="5" applyNumberFormat="1" applyFont="1" applyFill="1" applyBorder="1" applyAlignment="1">
      <alignment horizontal="center"/>
    </xf>
    <xf numFmtId="10" fontId="14" fillId="0" borderId="0" xfId="5" applyNumberFormat="1" applyFont="1" applyFill="1" applyBorder="1" applyAlignment="1">
      <alignment horizontal="center"/>
    </xf>
    <xf numFmtId="165" fontId="14" fillId="0" borderId="0" xfId="1" applyNumberFormat="1" applyFont="1" applyFill="1" applyBorder="1" applyAlignment="1">
      <alignment horizontal="center"/>
    </xf>
    <xf numFmtId="10" fontId="14" fillId="0" borderId="0" xfId="3" applyNumberFormat="1" applyFont="1" applyFill="1" applyBorder="1" applyAlignment="1">
      <alignment horizontal="center"/>
    </xf>
    <xf numFmtId="166" fontId="14" fillId="0" borderId="0" xfId="3" applyNumberFormat="1" applyFont="1" applyFill="1" applyBorder="1"/>
    <xf numFmtId="165" fontId="14" fillId="0" borderId="0" xfId="1" applyNumberFormat="1" applyFont="1" applyFill="1" applyBorder="1"/>
    <xf numFmtId="0" fontId="15" fillId="0" borderId="0" xfId="0" applyFont="1" applyFill="1" applyBorder="1"/>
    <xf numFmtId="43" fontId="1" fillId="0" borderId="0" xfId="7" applyFont="1" applyBorder="1" applyAlignment="1">
      <alignment horizontal="center"/>
    </xf>
    <xf numFmtId="2" fontId="1" fillId="0" borderId="0" xfId="5" applyNumberFormat="1" applyBorder="1" applyAlignment="1">
      <alignment horizontal="center"/>
    </xf>
    <xf numFmtId="10" fontId="1" fillId="0" borderId="0" xfId="5" applyNumberFormat="1" applyBorder="1" applyAlignment="1">
      <alignment horizontal="center"/>
    </xf>
    <xf numFmtId="10" fontId="1" fillId="0" borderId="0" xfId="6" applyNumberFormat="1" applyFont="1" applyBorder="1" applyAlignment="1">
      <alignment horizontal="center"/>
    </xf>
    <xf numFmtId="10" fontId="1" fillId="0" borderId="0" xfId="5" applyNumberFormat="1" applyFont="1" applyBorder="1" applyAlignment="1">
      <alignment horizontal="center"/>
    </xf>
    <xf numFmtId="10" fontId="1" fillId="0" borderId="0" xfId="5" applyNumberFormat="1" applyBorder="1"/>
    <xf numFmtId="167" fontId="1" fillId="0" borderId="0" xfId="5" applyNumberFormat="1" applyBorder="1" applyAlignment="1">
      <alignment horizontal="center"/>
    </xf>
    <xf numFmtId="167" fontId="1" fillId="0" borderId="0" xfId="6" applyNumberFormat="1" applyFont="1" applyBorder="1" applyAlignment="1">
      <alignment horizontal="center"/>
    </xf>
    <xf numFmtId="2" fontId="16" fillId="0" borderId="0" xfId="0" applyNumberFormat="1" applyFont="1" applyBorder="1" applyAlignment="1">
      <alignment horizontal="center"/>
    </xf>
    <xf numFmtId="10" fontId="16" fillId="0" borderId="0" xfId="0" applyNumberFormat="1" applyFont="1" applyBorder="1" applyAlignment="1">
      <alignment horizontal="center"/>
    </xf>
    <xf numFmtId="0" fontId="0" fillId="0" borderId="0" xfId="0" applyFill="1"/>
    <xf numFmtId="10" fontId="1" fillId="0" borderId="0" xfId="5" applyNumberFormat="1" applyFont="1" applyBorder="1"/>
    <xf numFmtId="0" fontId="17" fillId="0" borderId="0" xfId="0" applyFont="1" applyFill="1" applyBorder="1" applyAlignment="1">
      <alignment horizontal="center"/>
    </xf>
    <xf numFmtId="164" fontId="17" fillId="0" borderId="0" xfId="3" applyNumberFormat="1" applyFont="1" applyFill="1" applyBorder="1" applyAlignment="1">
      <alignment horizontal="center"/>
    </xf>
    <xf numFmtId="165" fontId="17" fillId="0" borderId="0" xfId="1" applyNumberFormat="1" applyFont="1" applyFill="1" applyBorder="1" applyAlignment="1">
      <alignment horizontal="center"/>
    </xf>
    <xf numFmtId="10" fontId="17" fillId="0" borderId="0" xfId="3" applyNumberFormat="1" applyFont="1" applyFill="1" applyBorder="1" applyAlignment="1">
      <alignment horizontal="center"/>
    </xf>
    <xf numFmtId="165" fontId="17" fillId="0" borderId="0" xfId="1" applyNumberFormat="1" applyFont="1" applyFill="1" applyBorder="1"/>
    <xf numFmtId="0" fontId="18" fillId="0" borderId="0" xfId="0" applyFont="1" applyFill="1" applyBorder="1" applyAlignment="1">
      <alignment horizontal="left"/>
    </xf>
    <xf numFmtId="0" fontId="9" fillId="0" borderId="0" xfId="0" applyFont="1" applyFill="1" applyBorder="1" applyAlignment="1">
      <alignment horizontal="center"/>
    </xf>
    <xf numFmtId="164" fontId="9" fillId="0" borderId="0" xfId="3" applyNumberFormat="1" applyFont="1" applyFill="1" applyBorder="1" applyAlignment="1">
      <alignment horizontal="center"/>
    </xf>
    <xf numFmtId="10" fontId="9" fillId="0" borderId="0" xfId="3" applyNumberFormat="1" applyFont="1" applyFill="1" applyBorder="1" applyAlignment="1">
      <alignment horizontal="center"/>
    </xf>
    <xf numFmtId="165" fontId="9" fillId="0" borderId="0" xfId="1" applyNumberFormat="1" applyFont="1" applyFill="1" applyBorder="1" applyAlignment="1">
      <alignment horizontal="center"/>
    </xf>
    <xf numFmtId="0" fontId="9" fillId="0" borderId="0" xfId="0" applyFont="1" applyFill="1" applyBorder="1"/>
    <xf numFmtId="0" fontId="9" fillId="3" borderId="1" xfId="0" applyFont="1" applyFill="1" applyBorder="1"/>
    <xf numFmtId="10" fontId="9" fillId="3" borderId="1" xfId="3" applyNumberFormat="1" applyFont="1" applyFill="1" applyBorder="1" applyAlignment="1">
      <alignment horizontal="center"/>
    </xf>
    <xf numFmtId="168" fontId="9" fillId="3" borderId="1" xfId="2" applyNumberFormat="1" applyFont="1" applyFill="1" applyBorder="1" applyAlignment="1">
      <alignment horizontal="center"/>
    </xf>
    <xf numFmtId="10" fontId="20" fillId="3" borderId="1" xfId="3" applyNumberFormat="1" applyFont="1" applyFill="1" applyBorder="1" applyAlignment="1">
      <alignment horizontal="center"/>
    </xf>
    <xf numFmtId="10" fontId="9" fillId="3" borderId="1" xfId="2" applyNumberFormat="1" applyFont="1" applyFill="1" applyBorder="1" applyAlignment="1">
      <alignment horizontal="center"/>
    </xf>
    <xf numFmtId="168" fontId="20" fillId="3" borderId="1" xfId="2" applyNumberFormat="1" applyFont="1" applyFill="1" applyBorder="1"/>
    <xf numFmtId="168" fontId="20" fillId="3" borderId="1" xfId="2" applyNumberFormat="1" applyFont="1" applyFill="1" applyBorder="1" applyAlignment="1">
      <alignment horizontal="center"/>
    </xf>
    <xf numFmtId="168" fontId="9" fillId="3" borderId="1" xfId="0" applyNumberFormat="1" applyFont="1" applyFill="1" applyBorder="1" applyAlignment="1">
      <alignment horizontal="center"/>
    </xf>
    <xf numFmtId="169" fontId="9" fillId="3" borderId="1" xfId="0" applyNumberFormat="1" applyFont="1" applyFill="1" applyBorder="1" applyAlignment="1">
      <alignment horizontal="center"/>
    </xf>
    <xf numFmtId="0" fontId="9" fillId="0" borderId="0" xfId="0" applyFont="1" applyBorder="1"/>
    <xf numFmtId="0" fontId="9" fillId="0" borderId="0" xfId="0" applyFont="1" applyBorder="1" applyAlignment="1">
      <alignment horizontal="center"/>
    </xf>
    <xf numFmtId="168" fontId="9" fillId="3" borderId="3" xfId="0" applyNumberFormat="1" applyFont="1" applyFill="1" applyBorder="1"/>
    <xf numFmtId="170" fontId="9" fillId="3" borderId="5" xfId="0" applyNumberFormat="1" applyFont="1" applyFill="1" applyBorder="1"/>
    <xf numFmtId="170" fontId="9" fillId="3" borderId="5" xfId="2" applyNumberFormat="1" applyFont="1" applyFill="1" applyBorder="1"/>
    <xf numFmtId="170" fontId="9" fillId="0" borderId="0" xfId="0" applyNumberFormat="1" applyFont="1" applyBorder="1" applyAlignment="1">
      <alignment horizontal="center"/>
    </xf>
    <xf numFmtId="9" fontId="9" fillId="0" borderId="0" xfId="0" applyNumberFormat="1" applyFont="1" applyBorder="1" applyAlignment="1">
      <alignment horizontal="center"/>
    </xf>
    <xf numFmtId="10" fontId="9" fillId="3" borderId="7" xfId="2" applyNumberFormat="1" applyFont="1" applyFill="1" applyBorder="1"/>
    <xf numFmtId="2" fontId="9" fillId="3" borderId="1" xfId="0" applyNumberFormat="1" applyFont="1" applyFill="1" applyBorder="1" applyAlignment="1">
      <alignment horizontal="center"/>
    </xf>
    <xf numFmtId="0" fontId="0" fillId="3" borderId="1" xfId="0" applyFont="1" applyFill="1" applyBorder="1"/>
    <xf numFmtId="0" fontId="0" fillId="0" borderId="0" xfId="0" applyFont="1"/>
    <xf numFmtId="0" fontId="21" fillId="2" borderId="1" xfId="4" applyFont="1" applyFill="1" applyBorder="1" applyAlignment="1">
      <alignment horizontal="center" vertical="center"/>
    </xf>
    <xf numFmtId="44" fontId="4" fillId="3" borderId="1" xfId="8" applyNumberFormat="1" applyFont="1" applyFill="1" applyBorder="1" applyAlignment="1">
      <alignment horizontal="right"/>
    </xf>
    <xf numFmtId="10" fontId="26" fillId="3" borderId="1" xfId="8" applyNumberFormat="1" applyFont="1" applyFill="1" applyBorder="1" applyAlignment="1">
      <alignment horizontal="right"/>
    </xf>
    <xf numFmtId="0" fontId="0" fillId="0" borderId="0" xfId="0" applyFont="1" applyFill="1" applyBorder="1"/>
    <xf numFmtId="0" fontId="0" fillId="0" borderId="0" xfId="0" applyFill="1" applyBorder="1" applyAlignment="1"/>
    <xf numFmtId="0" fontId="0" fillId="2" borderId="1" xfId="0" applyFont="1" applyFill="1" applyBorder="1" applyAlignment="1">
      <alignment horizontal="left"/>
    </xf>
    <xf numFmtId="0" fontId="3" fillId="7" borderId="1" xfId="0" applyFont="1" applyFill="1" applyBorder="1" applyAlignment="1">
      <alignment horizontal="center" vertical="center"/>
    </xf>
    <xf numFmtId="10" fontId="0" fillId="4" borderId="1" xfId="0" applyNumberFormat="1" applyFill="1" applyBorder="1"/>
    <xf numFmtId="0" fontId="0" fillId="8" borderId="1" xfId="0" applyFill="1" applyBorder="1"/>
    <xf numFmtId="0" fontId="27" fillId="0" borderId="0" xfId="0" applyFont="1" applyFill="1"/>
    <xf numFmtId="0" fontId="28" fillId="0" borderId="0" xfId="0" applyFont="1" applyFill="1"/>
    <xf numFmtId="17" fontId="0" fillId="0" borderId="0" xfId="0" applyNumberFormat="1"/>
    <xf numFmtId="0" fontId="0" fillId="9" borderId="0" xfId="0" applyFill="1"/>
    <xf numFmtId="0" fontId="27" fillId="9" borderId="0" xfId="0" applyFont="1" applyFill="1"/>
    <xf numFmtId="0" fontId="8" fillId="9" borderId="0" xfId="0" applyFont="1" applyFill="1" applyAlignment="1"/>
    <xf numFmtId="0" fontId="0" fillId="9" borderId="0" xfId="0" applyFill="1" applyAlignment="1"/>
    <xf numFmtId="0" fontId="0" fillId="0" borderId="0" xfId="0" applyFont="1" applyFill="1"/>
    <xf numFmtId="17" fontId="0" fillId="0" borderId="0" xfId="0" applyNumberFormat="1" applyFont="1" applyFill="1"/>
    <xf numFmtId="0" fontId="3" fillId="0" borderId="0" xfId="0" applyFont="1" applyFill="1"/>
    <xf numFmtId="9" fontId="0" fillId="5" borderId="1" xfId="3" applyFont="1" applyFill="1" applyBorder="1"/>
    <xf numFmtId="10" fontId="0" fillId="5" borderId="1" xfId="3" applyNumberFormat="1" applyFont="1" applyFill="1" applyBorder="1"/>
    <xf numFmtId="10" fontId="0" fillId="5" borderId="1" xfId="0" applyNumberFormat="1" applyFill="1" applyBorder="1"/>
    <xf numFmtId="0" fontId="0" fillId="10" borderId="0" xfId="0" applyFill="1" applyAlignment="1">
      <alignment horizontal="center"/>
    </xf>
    <xf numFmtId="0" fontId="3" fillId="2" borderId="8" xfId="0" applyFont="1" applyFill="1" applyBorder="1" applyAlignment="1">
      <alignment horizontal="center"/>
    </xf>
    <xf numFmtId="0" fontId="8" fillId="2" borderId="8" xfId="0" applyFont="1" applyFill="1" applyBorder="1" applyAlignment="1">
      <alignment horizontal="center"/>
    </xf>
    <xf numFmtId="0" fontId="0" fillId="2" borderId="8" xfId="0" applyFill="1" applyBorder="1" applyAlignment="1">
      <alignment horizontal="center"/>
    </xf>
    <xf numFmtId="0" fontId="0" fillId="2" borderId="8" xfId="0" applyFill="1" applyBorder="1"/>
    <xf numFmtId="0" fontId="0" fillId="5" borderId="1" xfId="0" applyFont="1" applyFill="1" applyBorder="1" applyAlignment="1">
      <alignment horizontal="right" vertical="center"/>
    </xf>
    <xf numFmtId="44" fontId="0" fillId="5" borderId="1" xfId="2" applyFont="1" applyFill="1" applyBorder="1" applyAlignment="1">
      <alignment horizontal="right" vertical="center"/>
    </xf>
    <xf numFmtId="10" fontId="0" fillId="5" borderId="1" xfId="3" applyNumberFormat="1" applyFont="1" applyFill="1" applyBorder="1" applyAlignment="1">
      <alignment horizontal="right" vertical="center"/>
    </xf>
    <xf numFmtId="0" fontId="0" fillId="13" borderId="0" xfId="0" applyFill="1"/>
    <xf numFmtId="164" fontId="0" fillId="14" borderId="1" xfId="3" applyNumberFormat="1" applyFont="1" applyFill="1" applyBorder="1"/>
    <xf numFmtId="0" fontId="9" fillId="0" borderId="0" xfId="0" applyFont="1" applyFill="1" applyBorder="1" applyAlignment="1"/>
    <xf numFmtId="44" fontId="9" fillId="0" borderId="0" xfId="2" applyFont="1" applyFill="1" applyBorder="1" applyAlignment="1">
      <alignment horizontal="center"/>
    </xf>
    <xf numFmtId="43" fontId="0" fillId="0" borderId="0" xfId="1" applyFont="1" applyFill="1" applyBorder="1" applyAlignment="1">
      <alignment horizontal="center" vertical="center"/>
    </xf>
    <xf numFmtId="0" fontId="2" fillId="0" borderId="0" xfId="0" applyFont="1" applyFill="1" applyBorder="1" applyAlignment="1">
      <alignment horizontal="center"/>
    </xf>
    <xf numFmtId="10" fontId="9" fillId="0" borderId="0" xfId="0" applyNumberFormat="1" applyFont="1" applyFill="1" applyBorder="1" applyAlignment="1">
      <alignment horizontal="center"/>
    </xf>
    <xf numFmtId="166" fontId="9" fillId="0" borderId="0" xfId="0" applyNumberFormat="1" applyFont="1" applyFill="1" applyBorder="1" applyAlignment="1">
      <alignment horizontal="center"/>
    </xf>
    <xf numFmtId="0" fontId="21" fillId="0" borderId="0" xfId="0" applyFont="1" applyFill="1" applyBorder="1" applyAlignment="1"/>
    <xf numFmtId="44" fontId="9" fillId="0" borderId="0" xfId="0" applyNumberFormat="1" applyFont="1" applyFill="1" applyBorder="1" applyAlignment="1"/>
    <xf numFmtId="0" fontId="0" fillId="0" borderId="0" xfId="0" applyFont="1" applyFill="1" applyBorder="1" applyAlignment="1"/>
    <xf numFmtId="0" fontId="3" fillId="2" borderId="1" xfId="0" applyFont="1" applyFill="1" applyBorder="1" applyAlignment="1">
      <alignment horizontal="left"/>
    </xf>
    <xf numFmtId="0" fontId="0" fillId="6" borderId="1" xfId="0" applyFont="1" applyFill="1" applyBorder="1" applyAlignment="1">
      <alignment horizontal="left"/>
    </xf>
    <xf numFmtId="0" fontId="3" fillId="6" borderId="1" xfId="0" applyFont="1" applyFill="1" applyBorder="1" applyAlignment="1">
      <alignment horizontal="left"/>
    </xf>
    <xf numFmtId="0" fontId="0" fillId="5" borderId="1" xfId="0" applyFont="1" applyFill="1" applyBorder="1" applyAlignment="1">
      <alignment horizontal="right"/>
    </xf>
    <xf numFmtId="0" fontId="0" fillId="15" borderId="1" xfId="0" applyFont="1" applyFill="1" applyBorder="1" applyAlignment="1">
      <alignment horizontal="left"/>
    </xf>
    <xf numFmtId="0" fontId="3" fillId="15" borderId="1" xfId="0" applyFont="1" applyFill="1" applyBorder="1" applyAlignment="1">
      <alignment horizontal="left"/>
    </xf>
    <xf numFmtId="0" fontId="0" fillId="15" borderId="1" xfId="0" applyFont="1" applyFill="1" applyBorder="1" applyAlignment="1">
      <alignment horizontal="left" vertical="center"/>
    </xf>
    <xf numFmtId="0" fontId="1" fillId="15" borderId="1" xfId="4" applyFont="1" applyFill="1" applyBorder="1" applyAlignment="1">
      <alignment horizontal="left" vertical="center"/>
    </xf>
    <xf numFmtId="0" fontId="3" fillId="15" borderId="1" xfId="0" applyFont="1" applyFill="1" applyBorder="1" applyAlignment="1">
      <alignment horizontal="center"/>
    </xf>
    <xf numFmtId="0" fontId="9" fillId="15" borderId="1" xfId="4" applyFont="1" applyFill="1" applyBorder="1" applyAlignment="1">
      <alignment horizontal="left"/>
    </xf>
    <xf numFmtId="0" fontId="9" fillId="15" borderId="1" xfId="0" applyFont="1" applyFill="1" applyBorder="1"/>
    <xf numFmtId="0" fontId="0" fillId="5" borderId="1" xfId="0" applyFont="1" applyFill="1" applyBorder="1"/>
    <xf numFmtId="10" fontId="0" fillId="5" borderId="1" xfId="0" applyNumberFormat="1" applyFont="1" applyFill="1" applyBorder="1"/>
    <xf numFmtId="10" fontId="6" fillId="5" borderId="1" xfId="9" applyNumberFormat="1" applyFont="1" applyFill="1" applyBorder="1" applyAlignment="1">
      <alignment horizontal="right"/>
    </xf>
    <xf numFmtId="169" fontId="26" fillId="5" borderId="1" xfId="8" applyNumberFormat="1" applyFont="1" applyFill="1" applyBorder="1" applyAlignment="1">
      <alignment horizontal="right"/>
    </xf>
    <xf numFmtId="2" fontId="6" fillId="5" borderId="1" xfId="9" applyNumberFormat="1" applyFont="1" applyFill="1" applyBorder="1" applyAlignment="1">
      <alignment horizontal="right"/>
    </xf>
    <xf numFmtId="10" fontId="0" fillId="0" borderId="0" xfId="0" applyNumberFormat="1"/>
    <xf numFmtId="9" fontId="6" fillId="5" borderId="1" xfId="9" applyNumberFormat="1" applyFont="1" applyFill="1" applyBorder="1" applyAlignment="1">
      <alignment horizontal="right"/>
    </xf>
    <xf numFmtId="43" fontId="6" fillId="5" borderId="1" xfId="1" applyFont="1" applyFill="1" applyBorder="1" applyAlignment="1">
      <alignment horizontal="left"/>
    </xf>
    <xf numFmtId="10" fontId="6" fillId="5" borderId="1" xfId="9" applyNumberFormat="1" applyFont="1" applyFill="1" applyBorder="1"/>
    <xf numFmtId="10" fontId="6" fillId="5" borderId="1" xfId="3" applyNumberFormat="1" applyFont="1" applyFill="1" applyBorder="1"/>
    <xf numFmtId="171" fontId="4" fillId="5" borderId="1" xfId="8" applyNumberFormat="1" applyFont="1" applyFill="1" applyBorder="1"/>
    <xf numFmtId="0" fontId="0" fillId="2" borderId="0" xfId="0" applyFill="1" applyBorder="1"/>
    <xf numFmtId="164" fontId="0" fillId="14" borderId="9" xfId="3" applyNumberFormat="1" applyFont="1" applyFill="1" applyBorder="1"/>
    <xf numFmtId="0" fontId="0" fillId="0" borderId="0" xfId="0" applyFill="1" applyBorder="1"/>
    <xf numFmtId="0" fontId="0" fillId="0" borderId="0" xfId="0" applyBorder="1" applyAlignment="1">
      <alignment horizontal="center"/>
    </xf>
    <xf numFmtId="0" fontId="0" fillId="4" borderId="1" xfId="0" applyFill="1" applyBorder="1"/>
    <xf numFmtId="0" fontId="9" fillId="16" borderId="1" xfId="0" applyFont="1" applyFill="1" applyBorder="1"/>
    <xf numFmtId="10" fontId="9" fillId="8" borderId="1" xfId="3" applyNumberFormat="1" applyFont="1" applyFill="1" applyBorder="1"/>
    <xf numFmtId="172" fontId="9" fillId="8" borderId="1" xfId="3" applyNumberFormat="1" applyFont="1" applyFill="1" applyBorder="1"/>
    <xf numFmtId="10" fontId="9" fillId="3" borderId="1" xfId="0" applyNumberFormat="1" applyFont="1" applyFill="1" applyBorder="1"/>
    <xf numFmtId="172" fontId="9" fillId="3" borderId="1" xfId="0" applyNumberFormat="1" applyFont="1" applyFill="1" applyBorder="1"/>
    <xf numFmtId="0" fontId="29" fillId="15" borderId="1" xfId="0" applyFont="1" applyFill="1" applyBorder="1" applyAlignment="1">
      <alignment horizontal="left" vertical="center"/>
    </xf>
    <xf numFmtId="0" fontId="29" fillId="15" borderId="1" xfId="4" applyFont="1" applyFill="1" applyBorder="1" applyAlignment="1">
      <alignment horizontal="left" vertical="center"/>
    </xf>
    <xf numFmtId="0" fontId="29" fillId="15" borderId="1" xfId="4" applyFont="1" applyFill="1" applyBorder="1" applyAlignment="1">
      <alignment horizontal="left"/>
    </xf>
    <xf numFmtId="173" fontId="6" fillId="5" borderId="1" xfId="9" applyNumberFormat="1" applyFont="1" applyFill="1" applyBorder="1"/>
    <xf numFmtId="0" fontId="4" fillId="0" borderId="1" xfId="8" applyFont="1" applyFill="1" applyBorder="1" applyAlignment="1">
      <alignment horizontal="right"/>
    </xf>
    <xf numFmtId="43" fontId="6" fillId="0" borderId="1" xfId="1" applyFont="1" applyFill="1" applyBorder="1" applyAlignment="1">
      <alignment horizontal="left"/>
    </xf>
    <xf numFmtId="0" fontId="4" fillId="0" borderId="0" xfId="8" quotePrefix="1" applyFont="1" applyFill="1" applyBorder="1"/>
    <xf numFmtId="172" fontId="0" fillId="5" borderId="1" xfId="0" applyNumberFormat="1" applyFont="1" applyFill="1" applyBorder="1"/>
    <xf numFmtId="0" fontId="0" fillId="6" borderId="1" xfId="0" applyFont="1" applyFill="1" applyBorder="1" applyAlignment="1">
      <alignment horizontal="left" vertical="center"/>
    </xf>
    <xf numFmtId="0" fontId="9" fillId="6" borderId="1" xfId="4" applyFont="1" applyFill="1" applyBorder="1" applyAlignment="1">
      <alignment horizontal="left"/>
    </xf>
    <xf numFmtId="0" fontId="29" fillId="6" borderId="1" xfId="4" applyFont="1" applyFill="1" applyBorder="1" applyAlignment="1">
      <alignment horizontal="left"/>
    </xf>
    <xf numFmtId="0" fontId="0" fillId="6" borderId="1" xfId="0" applyFill="1" applyBorder="1"/>
    <xf numFmtId="17" fontId="0" fillId="6" borderId="1" xfId="0" applyNumberFormat="1" applyFill="1" applyBorder="1"/>
    <xf numFmtId="0" fontId="0" fillId="3" borderId="1" xfId="0" applyFill="1" applyBorder="1"/>
    <xf numFmtId="164" fontId="0" fillId="5" borderId="1" xfId="3" applyNumberFormat="1" applyFont="1" applyFill="1" applyBorder="1"/>
    <xf numFmtId="0" fontId="0" fillId="5" borderId="1" xfId="0" applyNumberFormat="1" applyFill="1" applyBorder="1"/>
    <xf numFmtId="0" fontId="0" fillId="5" borderId="1" xfId="3" applyNumberFormat="1" applyFont="1" applyFill="1" applyBorder="1"/>
    <xf numFmtId="10" fontId="0" fillId="0" borderId="0" xfId="3" applyNumberFormat="1" applyFont="1" applyFill="1" applyBorder="1"/>
    <xf numFmtId="10" fontId="0" fillId="0" borderId="0" xfId="0" applyNumberFormat="1" applyFill="1" applyBorder="1"/>
    <xf numFmtId="0" fontId="0" fillId="0" borderId="0" xfId="0" applyFill="1" applyBorder="1" applyAlignment="1">
      <alignment vertical="center"/>
    </xf>
    <xf numFmtId="0" fontId="8" fillId="0" borderId="0" xfId="0" applyFont="1" applyFill="1" applyBorder="1" applyAlignment="1"/>
    <xf numFmtId="164" fontId="0" fillId="5" borderId="1" xfId="0" applyNumberFormat="1" applyFill="1" applyBorder="1"/>
    <xf numFmtId="0" fontId="0" fillId="8" borderId="1" xfId="0" applyFill="1" applyBorder="1" applyAlignment="1"/>
    <xf numFmtId="10" fontId="9" fillId="5" borderId="1" xfId="3" applyNumberFormat="1" applyFont="1" applyFill="1" applyBorder="1" applyAlignment="1">
      <alignment horizontal="center"/>
    </xf>
    <xf numFmtId="168" fontId="9" fillId="5" borderId="1" xfId="2" applyNumberFormat="1" applyFont="1" applyFill="1" applyBorder="1"/>
    <xf numFmtId="10" fontId="9" fillId="5" borderId="1" xfId="3" applyNumberFormat="1" applyFont="1" applyFill="1" applyBorder="1"/>
    <xf numFmtId="10" fontId="9" fillId="5" borderId="1" xfId="2" applyNumberFormat="1" applyFont="1" applyFill="1" applyBorder="1"/>
    <xf numFmtId="10" fontId="9" fillId="5" borderId="5" xfId="0" applyNumberFormat="1" applyFont="1" applyFill="1" applyBorder="1"/>
    <xf numFmtId="170" fontId="9" fillId="5" borderId="5" xfId="0" applyNumberFormat="1" applyFont="1" applyFill="1" applyBorder="1"/>
    <xf numFmtId="170" fontId="9" fillId="5" borderId="5" xfId="2" applyNumberFormat="1" applyFont="1" applyFill="1" applyBorder="1"/>
    <xf numFmtId="43" fontId="9" fillId="5" borderId="5" xfId="1" applyFont="1" applyFill="1" applyBorder="1"/>
    <xf numFmtId="44" fontId="9" fillId="5" borderId="5" xfId="2" applyNumberFormat="1" applyFont="1" applyFill="1" applyBorder="1"/>
    <xf numFmtId="2" fontId="9" fillId="5" borderId="1" xfId="0" applyNumberFormat="1" applyFont="1" applyFill="1" applyBorder="1" applyAlignment="1">
      <alignment horizontal="center"/>
    </xf>
    <xf numFmtId="44" fontId="9" fillId="5" borderId="1" xfId="0" applyNumberFormat="1" applyFont="1" applyFill="1" applyBorder="1"/>
    <xf numFmtId="0" fontId="0" fillId="0" borderId="0" xfId="0" applyBorder="1"/>
    <xf numFmtId="0" fontId="30" fillId="0" borderId="0" xfId="0" applyFont="1" applyFill="1" applyBorder="1" applyAlignment="1">
      <alignment horizontal="centerContinuous"/>
    </xf>
    <xf numFmtId="0" fontId="30" fillId="0" borderId="0" xfId="0" applyFont="1" applyFill="1" applyBorder="1" applyAlignment="1">
      <alignment horizontal="center"/>
    </xf>
    <xf numFmtId="14" fontId="0" fillId="11" borderId="1" xfId="0" applyNumberFormat="1" applyFill="1" applyBorder="1"/>
    <xf numFmtId="0" fontId="0" fillId="2" borderId="18" xfId="0" applyFill="1" applyBorder="1"/>
    <xf numFmtId="0" fontId="0" fillId="9" borderId="1" xfId="0" applyFill="1" applyBorder="1" applyAlignment="1">
      <alignment horizontal="center"/>
    </xf>
    <xf numFmtId="0" fontId="4" fillId="6" borderId="1" xfId="8" applyFont="1" applyFill="1" applyBorder="1" applyAlignment="1">
      <alignment horizontal="right"/>
    </xf>
    <xf numFmtId="0" fontId="26" fillId="6" borderId="1" xfId="8" applyFont="1" applyFill="1" applyBorder="1" applyAlignment="1">
      <alignment horizontal="right"/>
    </xf>
    <xf numFmtId="9" fontId="0" fillId="5" borderId="1" xfId="3" applyNumberFormat="1" applyFont="1" applyFill="1" applyBorder="1"/>
    <xf numFmtId="9" fontId="0" fillId="5" borderId="1" xfId="0" applyNumberFormat="1" applyFill="1" applyBorder="1"/>
    <xf numFmtId="172" fontId="0" fillId="5" borderId="1" xfId="0" applyNumberFormat="1" applyFill="1" applyBorder="1"/>
    <xf numFmtId="169" fontId="0" fillId="5" borderId="1" xfId="0" applyNumberFormat="1" applyFill="1" applyBorder="1"/>
    <xf numFmtId="0" fontId="3" fillId="6" borderId="1" xfId="0" applyFont="1" applyFill="1" applyBorder="1"/>
    <xf numFmtId="172" fontId="0" fillId="3" borderId="1" xfId="0" quotePrefix="1" applyNumberFormat="1" applyFont="1" applyFill="1" applyBorder="1" applyAlignment="1">
      <alignment horizontal="right"/>
    </xf>
    <xf numFmtId="172" fontId="0" fillId="3" borderId="1" xfId="0" applyNumberFormat="1" applyFont="1" applyFill="1" applyBorder="1" applyAlignment="1">
      <alignment horizontal="right"/>
    </xf>
    <xf numFmtId="172" fontId="0" fillId="5" borderId="1" xfId="0" quotePrefix="1" applyNumberFormat="1" applyFont="1" applyFill="1" applyBorder="1" applyAlignment="1">
      <alignment horizontal="right"/>
    </xf>
    <xf numFmtId="172" fontId="0" fillId="5" borderId="1" xfId="0" applyNumberFormat="1" applyFont="1" applyFill="1" applyBorder="1" applyAlignment="1">
      <alignment horizontal="right"/>
    </xf>
    <xf numFmtId="172" fontId="3" fillId="3" borderId="1" xfId="0" quotePrefix="1" applyNumberFormat="1" applyFont="1" applyFill="1" applyBorder="1" applyAlignment="1">
      <alignment horizontal="right"/>
    </xf>
    <xf numFmtId="172" fontId="3" fillId="3" borderId="1" xfId="0" applyNumberFormat="1" applyFont="1" applyFill="1" applyBorder="1" applyAlignment="1">
      <alignment horizontal="right"/>
    </xf>
    <xf numFmtId="9" fontId="0" fillId="4" borderId="1" xfId="3" applyFont="1" applyFill="1" applyBorder="1"/>
    <xf numFmtId="0" fontId="0" fillId="0" borderId="0" xfId="0" applyFill="1" applyBorder="1" applyAlignment="1">
      <alignment horizontal="left" indent="2"/>
    </xf>
    <xf numFmtId="0" fontId="0" fillId="18" borderId="7" xfId="0" applyFill="1" applyBorder="1"/>
    <xf numFmtId="0" fontId="0" fillId="18" borderId="7" xfId="0" applyNumberFormat="1" applyFill="1" applyBorder="1"/>
    <xf numFmtId="9" fontId="0" fillId="18" borderId="7" xfId="0" applyNumberFormat="1" applyFill="1" applyBorder="1"/>
    <xf numFmtId="10" fontId="0" fillId="3" borderId="1" xfId="0" applyNumberFormat="1" applyFont="1" applyFill="1" applyBorder="1"/>
    <xf numFmtId="10" fontId="0" fillId="3" borderId="1" xfId="3" applyNumberFormat="1" applyFont="1" applyFill="1" applyBorder="1"/>
    <xf numFmtId="0" fontId="9" fillId="6" borderId="2" xfId="0" applyFont="1" applyFill="1" applyBorder="1"/>
    <xf numFmtId="0" fontId="9" fillId="6" borderId="4" xfId="0" applyFont="1" applyFill="1" applyBorder="1"/>
    <xf numFmtId="0" fontId="9" fillId="6" borderId="6" xfId="0" applyFont="1" applyFill="1" applyBorder="1"/>
    <xf numFmtId="0" fontId="18" fillId="6" borderId="2" xfId="0" applyFont="1" applyFill="1" applyBorder="1" applyAlignment="1">
      <alignment horizontal="center"/>
    </xf>
    <xf numFmtId="0" fontId="18" fillId="6" borderId="21" xfId="0" applyFont="1" applyFill="1" applyBorder="1" applyAlignment="1">
      <alignment horizontal="center"/>
    </xf>
    <xf numFmtId="0" fontId="9" fillId="6" borderId="3" xfId="0" applyFont="1" applyFill="1" applyBorder="1" applyAlignment="1">
      <alignment horizontal="center"/>
    </xf>
    <xf numFmtId="10" fontId="9" fillId="5" borderId="5" xfId="0" applyNumberFormat="1" applyFont="1" applyFill="1" applyBorder="1" applyAlignment="1">
      <alignment horizontal="center"/>
    </xf>
    <xf numFmtId="168" fontId="9" fillId="3" borderId="5" xfId="2" applyNumberFormat="1" applyFont="1" applyFill="1" applyBorder="1" applyAlignment="1">
      <alignment horizontal="center"/>
    </xf>
    <xf numFmtId="10" fontId="9" fillId="5" borderId="5" xfId="2" applyNumberFormat="1" applyFont="1" applyFill="1" applyBorder="1" applyAlignment="1">
      <alignment horizontal="center"/>
    </xf>
    <xf numFmtId="168" fontId="20" fillId="3" borderId="5" xfId="2" applyNumberFormat="1" applyFont="1" applyFill="1" applyBorder="1" applyAlignment="1">
      <alignment horizontal="center"/>
    </xf>
    <xf numFmtId="168" fontId="9" fillId="3" borderId="5" xfId="0" applyNumberFormat="1" applyFont="1" applyFill="1" applyBorder="1" applyAlignment="1">
      <alignment horizontal="center"/>
    </xf>
    <xf numFmtId="168" fontId="9" fillId="3" borderId="19" xfId="2" applyNumberFormat="1" applyFont="1" applyFill="1" applyBorder="1"/>
    <xf numFmtId="168" fontId="9" fillId="3" borderId="19" xfId="2" applyNumberFormat="1" applyFont="1" applyFill="1" applyBorder="1" applyAlignment="1">
      <alignment horizontal="center"/>
    </xf>
    <xf numFmtId="168" fontId="9" fillId="3" borderId="7" xfId="0" applyNumberFormat="1" applyFont="1" applyFill="1" applyBorder="1" applyAlignment="1">
      <alignment horizontal="center"/>
    </xf>
    <xf numFmtId="10" fontId="9" fillId="3" borderId="21" xfId="3" applyNumberFormat="1" applyFont="1" applyFill="1" applyBorder="1"/>
    <xf numFmtId="10" fontId="9" fillId="5" borderId="21" xfId="3" applyNumberFormat="1" applyFont="1" applyFill="1" applyBorder="1" applyAlignment="1">
      <alignment horizontal="center"/>
    </xf>
    <xf numFmtId="10" fontId="9" fillId="3" borderId="21" xfId="3" applyNumberFormat="1" applyFont="1" applyFill="1" applyBorder="1" applyAlignment="1">
      <alignment horizontal="center"/>
    </xf>
    <xf numFmtId="10" fontId="9" fillId="5" borderId="3" xfId="0" applyNumberFormat="1" applyFont="1" applyFill="1" applyBorder="1" applyAlignment="1">
      <alignment horizontal="center"/>
    </xf>
    <xf numFmtId="0" fontId="9" fillId="3" borderId="5" xfId="0" applyFont="1" applyFill="1" applyBorder="1" applyAlignment="1">
      <alignment horizontal="center"/>
    </xf>
    <xf numFmtId="0" fontId="9" fillId="3" borderId="19" xfId="0" applyFont="1" applyFill="1" applyBorder="1"/>
    <xf numFmtId="0" fontId="9" fillId="3" borderId="7" xfId="0" applyFont="1" applyFill="1" applyBorder="1" applyAlignment="1">
      <alignment horizontal="center"/>
    </xf>
    <xf numFmtId="0" fontId="22" fillId="6" borderId="2" xfId="0" applyFont="1" applyFill="1" applyBorder="1"/>
    <xf numFmtId="0" fontId="9" fillId="3" borderId="21" xfId="0" applyFont="1" applyFill="1" applyBorder="1"/>
    <xf numFmtId="0" fontId="9" fillId="3" borderId="21" xfId="0" applyFont="1" applyFill="1" applyBorder="1" applyAlignment="1">
      <alignment horizontal="center"/>
    </xf>
    <xf numFmtId="0" fontId="9" fillId="3" borderId="3" xfId="0" applyFont="1" applyFill="1" applyBorder="1" applyAlignment="1">
      <alignment horizontal="center"/>
    </xf>
    <xf numFmtId="10" fontId="9" fillId="3" borderId="19" xfId="3" applyNumberFormat="1" applyFont="1" applyFill="1" applyBorder="1"/>
    <xf numFmtId="10" fontId="9" fillId="3" borderId="19" xfId="3" applyNumberFormat="1" applyFont="1" applyFill="1" applyBorder="1" applyAlignment="1">
      <alignment horizontal="center"/>
    </xf>
    <xf numFmtId="10" fontId="9" fillId="5" borderId="7" xfId="3" applyNumberFormat="1" applyFont="1" applyFill="1" applyBorder="1" applyAlignment="1">
      <alignment horizontal="center"/>
    </xf>
    <xf numFmtId="166" fontId="0" fillId="5" borderId="1" xfId="0" applyNumberFormat="1" applyFont="1" applyFill="1" applyBorder="1" applyAlignment="1">
      <alignment horizontal="right"/>
    </xf>
    <xf numFmtId="172" fontId="0" fillId="5" borderId="1" xfId="0" applyNumberFormat="1" applyFill="1" applyBorder="1" applyAlignment="1">
      <alignment horizontal="right"/>
    </xf>
    <xf numFmtId="166" fontId="0" fillId="5" borderId="1" xfId="0" applyNumberFormat="1" applyFill="1" applyBorder="1" applyAlignment="1">
      <alignment horizontal="right"/>
    </xf>
    <xf numFmtId="0" fontId="3" fillId="15" borderId="1" xfId="0" applyFont="1" applyFill="1" applyBorder="1"/>
    <xf numFmtId="169" fontId="1" fillId="5" borderId="1" xfId="2" applyNumberFormat="1" applyFont="1" applyFill="1" applyBorder="1" applyAlignment="1">
      <alignment horizontal="right" vertical="center"/>
    </xf>
    <xf numFmtId="169" fontId="1" fillId="5" borderId="1" xfId="4" applyNumberFormat="1" applyFont="1" applyFill="1" applyBorder="1" applyAlignment="1">
      <alignment horizontal="right" vertical="center"/>
    </xf>
    <xf numFmtId="169" fontId="1" fillId="5" borderId="1" xfId="3" applyNumberFormat="1" applyFont="1" applyFill="1" applyBorder="1" applyAlignment="1">
      <alignment horizontal="right" vertical="center"/>
    </xf>
    <xf numFmtId="169" fontId="1" fillId="5" borderId="1" xfId="0" applyNumberFormat="1" applyFont="1" applyFill="1" applyBorder="1" applyAlignment="1">
      <alignment horizontal="right"/>
    </xf>
    <xf numFmtId="169" fontId="1" fillId="5" borderId="1" xfId="4" applyNumberFormat="1" applyFont="1" applyFill="1" applyBorder="1" applyAlignment="1">
      <alignment horizontal="left"/>
    </xf>
    <xf numFmtId="0" fontId="3" fillId="3" borderId="1" xfId="0" applyFont="1" applyFill="1" applyBorder="1" applyAlignment="1">
      <alignment vertical="center"/>
    </xf>
    <xf numFmtId="0" fontId="21" fillId="3" borderId="1" xfId="4" applyFont="1" applyFill="1" applyBorder="1" applyAlignment="1">
      <alignment horizontal="center" vertical="center"/>
    </xf>
    <xf numFmtId="0" fontId="0" fillId="14" borderId="1" xfId="0" applyFill="1" applyBorder="1"/>
    <xf numFmtId="0" fontId="0" fillId="15" borderId="1" xfId="0" applyFill="1" applyBorder="1"/>
    <xf numFmtId="10" fontId="0" fillId="14" borderId="1" xfId="3" applyNumberFormat="1" applyFont="1" applyFill="1" applyBorder="1"/>
    <xf numFmtId="164" fontId="0" fillId="14" borderId="1" xfId="0" applyNumberFormat="1" applyFill="1" applyBorder="1"/>
    <xf numFmtId="172" fontId="0" fillId="14" borderId="1" xfId="0" applyNumberFormat="1" applyFill="1" applyBorder="1"/>
    <xf numFmtId="0" fontId="0" fillId="14" borderId="1" xfId="0" applyNumberFormat="1" applyFill="1" applyBorder="1"/>
    <xf numFmtId="172" fontId="0" fillId="14" borderId="1" xfId="3" applyNumberFormat="1" applyFont="1" applyFill="1" applyBorder="1"/>
    <xf numFmtId="0" fontId="0" fillId="7" borderId="1" xfId="0" applyFill="1" applyBorder="1"/>
    <xf numFmtId="0" fontId="0" fillId="6" borderId="1" xfId="0" applyFill="1" applyBorder="1" applyAlignment="1">
      <alignment horizontal="left" indent="1"/>
    </xf>
    <xf numFmtId="44" fontId="0" fillId="14" borderId="1" xfId="2" applyFont="1" applyFill="1" applyBorder="1"/>
    <xf numFmtId="0" fontId="0" fillId="19" borderId="1" xfId="0" applyFill="1" applyBorder="1"/>
    <xf numFmtId="0" fontId="0" fillId="4" borderId="10" xfId="0" applyFill="1" applyBorder="1" applyAlignment="1">
      <alignment horizontal="center" vertical="center"/>
    </xf>
    <xf numFmtId="0" fontId="0" fillId="4" borderId="16" xfId="0" applyFill="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20" xfId="0" applyBorder="1" applyAlignment="1">
      <alignment horizontal="center" vertical="center"/>
    </xf>
    <xf numFmtId="0" fontId="0" fillId="0" borderId="11" xfId="0" applyFill="1" applyBorder="1" applyAlignment="1">
      <alignment horizontal="center" vertical="center"/>
    </xf>
    <xf numFmtId="0" fontId="0" fillId="0" borderId="17" xfId="0" applyBorder="1" applyAlignment="1">
      <alignment horizontal="center" vertical="center"/>
    </xf>
    <xf numFmtId="0" fontId="0" fillId="4" borderId="22" xfId="0" applyFill="1" applyBorder="1"/>
    <xf numFmtId="0" fontId="0" fillId="4" borderId="3" xfId="0" applyFill="1" applyBorder="1"/>
    <xf numFmtId="9" fontId="0" fillId="4" borderId="3" xfId="0" applyNumberFormat="1" applyFill="1" applyBorder="1"/>
    <xf numFmtId="0" fontId="9" fillId="0" borderId="0" xfId="0" quotePrefix="1" applyFont="1" applyFill="1" applyBorder="1" applyAlignment="1"/>
    <xf numFmtId="43" fontId="1" fillId="0" borderId="0" xfId="1" applyFont="1" applyFill="1" applyBorder="1" applyAlignment="1">
      <alignment horizontal="center" vertical="center"/>
    </xf>
    <xf numFmtId="0" fontId="0" fillId="18" borderId="24" xfId="0" applyFill="1" applyBorder="1"/>
    <xf numFmtId="0" fontId="0" fillId="4" borderId="23" xfId="0" applyFill="1" applyBorder="1"/>
    <xf numFmtId="0" fontId="0" fillId="18" borderId="5" xfId="0" applyFill="1" applyBorder="1"/>
    <xf numFmtId="0" fontId="9" fillId="6" borderId="1" xfId="4" applyNumberFormat="1" applyFont="1" applyFill="1" applyBorder="1" applyAlignment="1">
      <alignment horizontal="left"/>
    </xf>
    <xf numFmtId="0" fontId="0" fillId="14" borderId="1" xfId="3" applyNumberFormat="1" applyFont="1" applyFill="1" applyBorder="1"/>
    <xf numFmtId="0" fontId="0" fillId="0" borderId="0" xfId="0" applyNumberFormat="1"/>
    <xf numFmtId="166" fontId="0" fillId="18" borderId="7" xfId="0" applyNumberFormat="1" applyFill="1" applyBorder="1"/>
    <xf numFmtId="0" fontId="0" fillId="4" borderId="28" xfId="0" applyFill="1"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12" xfId="0" applyFill="1" applyBorder="1"/>
    <xf numFmtId="0" fontId="0" fillId="0" borderId="0" xfId="0" applyFont="1" applyFill="1" applyBorder="1" applyAlignment="1">
      <alignment horizontal="left"/>
    </xf>
    <xf numFmtId="9" fontId="0" fillId="0" borderId="0" xfId="3" applyFont="1" applyFill="1" applyBorder="1" applyAlignment="1">
      <alignment horizontal="right"/>
    </xf>
    <xf numFmtId="0" fontId="0" fillId="0" borderId="0" xfId="0" applyFont="1" applyFill="1" applyBorder="1" applyAlignment="1">
      <alignment horizontal="right"/>
    </xf>
    <xf numFmtId="0" fontId="29" fillId="15" borderId="18" xfId="0" applyFont="1" applyFill="1" applyBorder="1" applyAlignment="1">
      <alignment horizontal="left" vertical="center"/>
    </xf>
    <xf numFmtId="0" fontId="0" fillId="12" borderId="18" xfId="0" applyFont="1" applyFill="1" applyBorder="1" applyAlignment="1">
      <alignment horizontal="right" vertical="center"/>
    </xf>
    <xf numFmtId="0" fontId="9" fillId="15" borderId="18" xfId="4" applyFont="1" applyFill="1" applyBorder="1" applyAlignment="1">
      <alignment horizontal="left"/>
    </xf>
    <xf numFmtId="169" fontId="1" fillId="5" borderId="18" xfId="2" applyNumberFormat="1" applyFont="1" applyFill="1" applyBorder="1" applyAlignment="1">
      <alignment horizontal="right" vertical="center"/>
    </xf>
    <xf numFmtId="0" fontId="0" fillId="15" borderId="4" xfId="0" applyFont="1" applyFill="1" applyBorder="1" applyAlignment="1">
      <alignment horizontal="left"/>
    </xf>
    <xf numFmtId="10" fontId="0" fillId="14" borderId="5" xfId="0" applyNumberFormat="1" applyFont="1" applyFill="1" applyBorder="1" applyAlignment="1">
      <alignment horizontal="right"/>
    </xf>
    <xf numFmtId="0" fontId="0" fillId="3" borderId="5" xfId="0" applyFont="1" applyFill="1" applyBorder="1" applyAlignment="1">
      <alignment horizontal="right"/>
    </xf>
    <xf numFmtId="0" fontId="29" fillId="15" borderId="4" xfId="0" applyFont="1" applyFill="1" applyBorder="1" applyAlignment="1">
      <alignment horizontal="left"/>
    </xf>
    <xf numFmtId="10" fontId="0" fillId="3" borderId="5" xfId="0" applyNumberFormat="1" applyFont="1" applyFill="1" applyBorder="1" applyAlignment="1">
      <alignment horizontal="right"/>
    </xf>
    <xf numFmtId="0" fontId="0" fillId="3" borderId="5" xfId="0" applyFill="1" applyBorder="1"/>
    <xf numFmtId="0" fontId="3" fillId="15" borderId="4" xfId="0" applyFont="1" applyFill="1" applyBorder="1" applyAlignment="1">
      <alignment horizontal="center"/>
    </xf>
    <xf numFmtId="0" fontId="0" fillId="5" borderId="5" xfId="0" applyFont="1" applyFill="1" applyBorder="1" applyAlignment="1">
      <alignment horizontal="right"/>
    </xf>
    <xf numFmtId="0" fontId="0" fillId="2" borderId="4" xfId="0" applyFont="1" applyFill="1" applyBorder="1" applyAlignment="1">
      <alignment horizontal="left"/>
    </xf>
    <xf numFmtId="10" fontId="0" fillId="5" borderId="5" xfId="3" applyNumberFormat="1" applyFont="1" applyFill="1" applyBorder="1" applyAlignment="1">
      <alignment horizontal="right"/>
    </xf>
    <xf numFmtId="0" fontId="0" fillId="2" borderId="6" xfId="0" applyFont="1" applyFill="1" applyBorder="1" applyAlignment="1">
      <alignment horizontal="left"/>
    </xf>
    <xf numFmtId="0" fontId="0" fillId="5" borderId="7" xfId="0" applyFont="1" applyFill="1" applyBorder="1" applyAlignment="1">
      <alignment horizontal="right"/>
    </xf>
    <xf numFmtId="0" fontId="9" fillId="5" borderId="1" xfId="0" applyFont="1" applyFill="1" applyBorder="1"/>
    <xf numFmtId="168" fontId="9" fillId="5" borderId="1" xfId="2" applyNumberFormat="1" applyFont="1" applyFill="1" applyBorder="1" applyAlignment="1">
      <alignment horizontal="center"/>
    </xf>
    <xf numFmtId="168" fontId="9" fillId="5" borderId="5" xfId="2" applyNumberFormat="1" applyFont="1" applyFill="1" applyBorder="1" applyAlignment="1">
      <alignment horizontal="center"/>
    </xf>
    <xf numFmtId="10" fontId="20" fillId="5" borderId="1" xfId="3" applyNumberFormat="1" applyFont="1" applyFill="1" applyBorder="1" applyAlignment="1">
      <alignment horizontal="center"/>
    </xf>
    <xf numFmtId="10" fontId="9" fillId="5" borderId="1" xfId="2" applyNumberFormat="1" applyFont="1" applyFill="1" applyBorder="1" applyAlignment="1">
      <alignment horizontal="center"/>
    </xf>
    <xf numFmtId="168" fontId="20" fillId="5" borderId="1" xfId="2" applyNumberFormat="1" applyFont="1" applyFill="1" applyBorder="1"/>
    <xf numFmtId="168" fontId="20" fillId="5" borderId="1" xfId="2" applyNumberFormat="1" applyFont="1" applyFill="1" applyBorder="1" applyAlignment="1">
      <alignment horizontal="center"/>
    </xf>
    <xf numFmtId="168" fontId="20" fillId="5" borderId="5" xfId="2" applyNumberFormat="1" applyFont="1" applyFill="1" applyBorder="1" applyAlignment="1">
      <alignment horizontal="center"/>
    </xf>
    <xf numFmtId="168" fontId="9" fillId="5" borderId="5" xfId="0" applyNumberFormat="1" applyFont="1" applyFill="1" applyBorder="1" applyAlignment="1">
      <alignment horizontal="center"/>
    </xf>
    <xf numFmtId="168" fontId="9" fillId="5" borderId="19" xfId="2" applyNumberFormat="1" applyFont="1" applyFill="1" applyBorder="1"/>
    <xf numFmtId="168" fontId="9" fillId="5" borderId="19" xfId="2" applyNumberFormat="1" applyFont="1" applyFill="1" applyBorder="1" applyAlignment="1">
      <alignment horizontal="center"/>
    </xf>
    <xf numFmtId="168" fontId="9" fillId="5" borderId="7" xfId="0" applyNumberFormat="1" applyFont="1" applyFill="1" applyBorder="1" applyAlignment="1">
      <alignment horizontal="center"/>
    </xf>
    <xf numFmtId="10" fontId="9" fillId="5" borderId="21" xfId="3" applyNumberFormat="1" applyFont="1" applyFill="1" applyBorder="1"/>
    <xf numFmtId="169" fontId="9" fillId="5" borderId="1" xfId="0" applyNumberFormat="1" applyFont="1" applyFill="1" applyBorder="1" applyAlignment="1">
      <alignment horizontal="center"/>
    </xf>
    <xf numFmtId="0" fontId="9" fillId="5" borderId="5" xfId="0" applyFont="1" applyFill="1" applyBorder="1" applyAlignment="1">
      <alignment horizontal="center"/>
    </xf>
    <xf numFmtId="0" fontId="9" fillId="5" borderId="19" xfId="0" applyFont="1" applyFill="1" applyBorder="1"/>
    <xf numFmtId="0" fontId="9" fillId="5" borderId="7" xfId="0" applyFont="1" applyFill="1" applyBorder="1" applyAlignment="1">
      <alignment horizontal="center"/>
    </xf>
    <xf numFmtId="168" fontId="9" fillId="5" borderId="3" xfId="0" applyNumberFormat="1" applyFont="1" applyFill="1" applyBorder="1"/>
    <xf numFmtId="10" fontId="9" fillId="5" borderId="7" xfId="2" applyNumberFormat="1" applyFont="1" applyFill="1" applyBorder="1"/>
    <xf numFmtId="0" fontId="9" fillId="5" borderId="21" xfId="0" applyFont="1" applyFill="1" applyBorder="1"/>
    <xf numFmtId="0" fontId="9" fillId="5" borderId="21" xfId="0" applyFont="1" applyFill="1" applyBorder="1" applyAlignment="1">
      <alignment horizontal="center"/>
    </xf>
    <xf numFmtId="0" fontId="9" fillId="5" borderId="3" xfId="0" applyFont="1" applyFill="1" applyBorder="1" applyAlignment="1">
      <alignment horizontal="center"/>
    </xf>
    <xf numFmtId="168" fontId="9" fillId="5" borderId="1" xfId="0" applyNumberFormat="1" applyFont="1" applyFill="1" applyBorder="1" applyAlignment="1">
      <alignment horizontal="center"/>
    </xf>
    <xf numFmtId="10" fontId="9" fillId="5" borderId="19" xfId="3" applyNumberFormat="1" applyFont="1" applyFill="1" applyBorder="1"/>
    <xf numFmtId="10" fontId="9" fillId="5" borderId="19" xfId="3" applyNumberFormat="1" applyFont="1" applyFill="1" applyBorder="1" applyAlignment="1">
      <alignment horizontal="center"/>
    </xf>
    <xf numFmtId="168" fontId="35" fillId="5" borderId="1" xfId="2" applyNumberFormat="1" applyFont="1" applyFill="1" applyBorder="1"/>
    <xf numFmtId="10" fontId="35" fillId="5" borderId="1" xfId="3" applyNumberFormat="1" applyFont="1" applyFill="1" applyBorder="1"/>
    <xf numFmtId="10" fontId="35" fillId="5" borderId="1" xfId="2" applyNumberFormat="1" applyFont="1" applyFill="1" applyBorder="1"/>
    <xf numFmtId="10" fontId="35" fillId="5" borderId="1" xfId="3" applyNumberFormat="1" applyFont="1" applyFill="1" applyBorder="1" applyAlignment="1">
      <alignment horizontal="center"/>
    </xf>
    <xf numFmtId="10" fontId="35" fillId="5" borderId="5" xfId="0" applyNumberFormat="1" applyFont="1" applyFill="1" applyBorder="1" applyAlignment="1">
      <alignment horizontal="center"/>
    </xf>
    <xf numFmtId="10" fontId="35" fillId="5" borderId="5" xfId="2" applyNumberFormat="1" applyFont="1" applyFill="1" applyBorder="1" applyAlignment="1">
      <alignment horizontal="center"/>
    </xf>
    <xf numFmtId="10" fontId="35" fillId="5" borderId="3" xfId="0" applyNumberFormat="1" applyFont="1" applyFill="1" applyBorder="1" applyAlignment="1">
      <alignment horizontal="center"/>
    </xf>
    <xf numFmtId="10" fontId="35" fillId="5" borderId="21" xfId="3" applyNumberFormat="1" applyFont="1" applyFill="1" applyBorder="1" applyAlignment="1">
      <alignment horizontal="center"/>
    </xf>
    <xf numFmtId="10" fontId="35" fillId="5" borderId="5" xfId="0" applyNumberFormat="1" applyFont="1" applyFill="1" applyBorder="1"/>
    <xf numFmtId="170" fontId="35" fillId="5" borderId="5" xfId="0" applyNumberFormat="1" applyFont="1" applyFill="1" applyBorder="1"/>
    <xf numFmtId="170" fontId="35" fillId="5" borderId="5" xfId="2" applyNumberFormat="1" applyFont="1" applyFill="1" applyBorder="1"/>
    <xf numFmtId="43" fontId="35" fillId="5" borderId="5" xfId="1" applyFont="1" applyFill="1" applyBorder="1"/>
    <xf numFmtId="44" fontId="35" fillId="5" borderId="5" xfId="2" applyNumberFormat="1" applyFont="1" applyFill="1" applyBorder="1"/>
    <xf numFmtId="2" fontId="35" fillId="5" borderId="1" xfId="0" applyNumberFormat="1" applyFont="1" applyFill="1" applyBorder="1" applyAlignment="1">
      <alignment horizontal="center"/>
    </xf>
    <xf numFmtId="44" fontId="35" fillId="5" borderId="1" xfId="0" applyNumberFormat="1" applyFont="1" applyFill="1" applyBorder="1"/>
    <xf numFmtId="10" fontId="35" fillId="5" borderId="7" xfId="3" applyNumberFormat="1" applyFont="1" applyFill="1" applyBorder="1" applyAlignment="1">
      <alignment horizontal="center"/>
    </xf>
    <xf numFmtId="0" fontId="29" fillId="15" borderId="2" xfId="0" applyFont="1" applyFill="1" applyBorder="1" applyAlignment="1">
      <alignment horizontal="left"/>
    </xf>
    <xf numFmtId="10" fontId="0" fillId="14" borderId="3" xfId="0" applyNumberFormat="1" applyFont="1" applyFill="1" applyBorder="1" applyAlignment="1">
      <alignment horizontal="right"/>
    </xf>
    <xf numFmtId="0" fontId="29" fillId="15" borderId="6" xfId="0" applyFont="1" applyFill="1" applyBorder="1" applyAlignment="1">
      <alignment horizontal="left"/>
    </xf>
    <xf numFmtId="0" fontId="0" fillId="3" borderId="7" xfId="0" applyFont="1" applyFill="1" applyBorder="1" applyAlignment="1">
      <alignment horizontal="right"/>
    </xf>
    <xf numFmtId="0" fontId="3" fillId="5" borderId="5" xfId="0" applyFont="1" applyFill="1" applyBorder="1" applyAlignment="1">
      <alignment horizontal="center"/>
    </xf>
    <xf numFmtId="9" fontId="0" fillId="3" borderId="5" xfId="3" applyFont="1" applyFill="1" applyBorder="1" applyAlignment="1">
      <alignment horizontal="right"/>
    </xf>
    <xf numFmtId="9" fontId="0" fillId="3" borderId="7" xfId="3" applyFont="1" applyFill="1" applyBorder="1" applyAlignment="1">
      <alignment horizontal="right"/>
    </xf>
    <xf numFmtId="0" fontId="0" fillId="15" borderId="6" xfId="0" applyFont="1" applyFill="1" applyBorder="1" applyAlignment="1">
      <alignment horizontal="left"/>
    </xf>
    <xf numFmtId="0" fontId="0" fillId="15" borderId="2" xfId="0" applyFont="1" applyFill="1" applyBorder="1" applyAlignment="1">
      <alignment horizontal="left"/>
    </xf>
    <xf numFmtId="0" fontId="0" fillId="3" borderId="3" xfId="0" applyFont="1" applyFill="1" applyBorder="1" applyAlignment="1">
      <alignment horizontal="right"/>
    </xf>
    <xf numFmtId="16" fontId="0" fillId="3" borderId="7" xfId="0" applyNumberFormat="1" applyFont="1" applyFill="1" applyBorder="1" applyAlignment="1">
      <alignment horizontal="right"/>
    </xf>
    <xf numFmtId="8" fontId="0" fillId="3" borderId="5" xfId="0" applyNumberFormat="1" applyFont="1" applyFill="1" applyBorder="1" applyAlignment="1">
      <alignment horizontal="right"/>
    </xf>
    <xf numFmtId="14" fontId="0" fillId="0" borderId="0" xfId="0" applyNumberFormat="1"/>
    <xf numFmtId="0" fontId="0" fillId="4" borderId="25" xfId="0" applyFill="1" applyBorder="1" applyAlignment="1">
      <alignment horizontal="left" vertical="center" indent="4"/>
    </xf>
    <xf numFmtId="0" fontId="0" fillId="4" borderId="26" xfId="0" applyFill="1" applyBorder="1" applyAlignment="1">
      <alignment horizontal="left" vertical="center" indent="4"/>
    </xf>
    <xf numFmtId="0" fontId="0" fillId="4" borderId="27" xfId="0" applyFill="1" applyBorder="1" applyAlignment="1">
      <alignment horizontal="left" vertical="center" indent="4"/>
    </xf>
    <xf numFmtId="0" fontId="0" fillId="4" borderId="4" xfId="0" applyFill="1" applyBorder="1" applyAlignment="1">
      <alignment horizontal="left" vertical="center" indent="2"/>
    </xf>
    <xf numFmtId="0" fontId="0" fillId="4" borderId="1" xfId="0" applyFill="1" applyBorder="1" applyAlignment="1">
      <alignment horizontal="left" vertical="center" indent="2"/>
    </xf>
    <xf numFmtId="0" fontId="3" fillId="4" borderId="1" xfId="0" applyFont="1" applyFill="1" applyBorder="1" applyAlignment="1">
      <alignment horizontal="center" vertical="center"/>
    </xf>
    <xf numFmtId="0" fontId="3" fillId="4" borderId="1" xfId="0" applyFont="1" applyFill="1" applyBorder="1" applyAlignment="1">
      <alignment horizontal="center"/>
    </xf>
    <xf numFmtId="0" fontId="0" fillId="4" borderId="16" xfId="0" applyFill="1" applyBorder="1" applyAlignment="1">
      <alignment horizontal="left"/>
    </xf>
    <xf numFmtId="0" fontId="0" fillId="4" borderId="13" xfId="0" applyFill="1" applyBorder="1" applyAlignment="1">
      <alignment horizontal="left"/>
    </xf>
    <xf numFmtId="0" fontId="3" fillId="12" borderId="14" xfId="0" applyFont="1" applyFill="1" applyBorder="1" applyAlignment="1">
      <alignment horizontal="center"/>
    </xf>
    <xf numFmtId="0" fontId="3" fillId="12" borderId="15" xfId="0" applyFont="1" applyFill="1" applyBorder="1" applyAlignment="1">
      <alignment horizontal="center"/>
    </xf>
    <xf numFmtId="0" fontId="3" fillId="12" borderId="31" xfId="0" applyFont="1" applyFill="1" applyBorder="1" applyAlignment="1">
      <alignment horizontal="center"/>
    </xf>
    <xf numFmtId="0" fontId="0" fillId="4" borderId="14" xfId="0" applyFill="1" applyBorder="1" applyAlignment="1">
      <alignment horizontal="left"/>
    </xf>
    <xf numFmtId="0" fontId="0" fillId="4" borderId="15" xfId="0" applyFill="1" applyBorder="1" applyAlignment="1">
      <alignment horizontal="left"/>
    </xf>
    <xf numFmtId="0" fontId="0" fillId="4" borderId="17" xfId="0" applyFill="1" applyBorder="1" applyAlignment="1">
      <alignment horizontal="left" indent="2"/>
    </xf>
    <xf numFmtId="0" fontId="0" fillId="4" borderId="8" xfId="0" applyFill="1" applyBorder="1" applyAlignment="1">
      <alignment horizontal="left" indent="2"/>
    </xf>
    <xf numFmtId="0" fontId="19" fillId="4" borderId="32" xfId="0" applyFont="1" applyFill="1" applyBorder="1" applyAlignment="1">
      <alignment horizontal="left"/>
    </xf>
    <xf numFmtId="0" fontId="19" fillId="4" borderId="33" xfId="0" applyFont="1" applyFill="1" applyBorder="1" applyAlignment="1">
      <alignment horizontal="left"/>
    </xf>
    <xf numFmtId="0" fontId="34" fillId="3" borderId="33" xfId="0" applyFont="1" applyFill="1" applyBorder="1" applyAlignment="1">
      <alignment horizontal="left"/>
    </xf>
    <xf numFmtId="0" fontId="34" fillId="3" borderId="22" xfId="0" applyFont="1" applyFill="1" applyBorder="1" applyAlignment="1">
      <alignment horizontal="left"/>
    </xf>
    <xf numFmtId="0" fontId="21" fillId="4" borderId="1" xfId="4" applyFont="1" applyFill="1" applyBorder="1" applyAlignment="1">
      <alignment horizontal="center"/>
    </xf>
    <xf numFmtId="0" fontId="3" fillId="4" borderId="2" xfId="0" applyFont="1" applyFill="1" applyBorder="1" applyAlignment="1">
      <alignment horizontal="center"/>
    </xf>
    <xf numFmtId="0" fontId="3" fillId="4" borderId="3" xfId="0" applyFont="1" applyFill="1" applyBorder="1" applyAlignment="1">
      <alignment horizontal="center"/>
    </xf>
    <xf numFmtId="0" fontId="0" fillId="4" borderId="1" xfId="0" applyFill="1" applyBorder="1" applyAlignment="1">
      <alignment horizontal="center" vertical="top" wrapText="1"/>
    </xf>
    <xf numFmtId="0" fontId="0" fillId="4" borderId="1" xfId="0" applyFill="1" applyBorder="1" applyAlignment="1">
      <alignment horizontal="center" vertical="center" wrapText="1"/>
    </xf>
    <xf numFmtId="0" fontId="3" fillId="17" borderId="1" xfId="0" applyFont="1" applyFill="1" applyBorder="1" applyAlignment="1">
      <alignment horizontal="center"/>
    </xf>
    <xf numFmtId="0" fontId="0" fillId="4" borderId="20" xfId="0" applyFill="1" applyBorder="1" applyAlignment="1">
      <alignment horizontal="left" indent="2"/>
    </xf>
    <xf numFmtId="0" fontId="0" fillId="4" borderId="0" xfId="0" applyFill="1" applyBorder="1" applyAlignment="1">
      <alignment horizontal="left" indent="2"/>
    </xf>
    <xf numFmtId="0" fontId="0" fillId="4" borderId="2" xfId="0" applyFill="1" applyBorder="1" applyAlignment="1">
      <alignment horizontal="left" vertical="center"/>
    </xf>
    <xf numFmtId="0" fontId="0" fillId="4" borderId="21" xfId="0" applyFill="1" applyBorder="1" applyAlignment="1">
      <alignment horizontal="left" vertical="center"/>
    </xf>
    <xf numFmtId="0" fontId="0" fillId="4" borderId="17" xfId="0" applyFill="1" applyBorder="1" applyAlignment="1">
      <alignment horizontal="left"/>
    </xf>
    <xf numFmtId="0" fontId="0" fillId="4" borderId="8" xfId="0" applyFill="1" applyBorder="1" applyAlignment="1">
      <alignment horizontal="left"/>
    </xf>
    <xf numFmtId="0" fontId="0" fillId="6" borderId="1" xfId="0" applyFill="1" applyBorder="1" applyAlignment="1">
      <alignment horizontal="left" vertical="center"/>
    </xf>
    <xf numFmtId="0" fontId="8" fillId="4" borderId="1" xfId="0" applyFont="1" applyFill="1" applyBorder="1" applyAlignment="1">
      <alignment horizontal="center"/>
    </xf>
    <xf numFmtId="0" fontId="0" fillId="4" borderId="18" xfId="0" applyFill="1" applyBorder="1" applyAlignment="1">
      <alignment horizontal="center" vertical="center"/>
    </xf>
    <xf numFmtId="0" fontId="0" fillId="4" borderId="1" xfId="0" applyFill="1" applyBorder="1" applyAlignment="1">
      <alignment horizontal="center" vertical="center"/>
    </xf>
    <xf numFmtId="0" fontId="8" fillId="4" borderId="19" xfId="0" applyFont="1" applyFill="1" applyBorder="1" applyAlignment="1">
      <alignment horizontal="center"/>
    </xf>
    <xf numFmtId="0" fontId="0" fillId="4" borderId="1" xfId="0" applyFill="1" applyBorder="1" applyAlignment="1">
      <alignment horizontal="left"/>
    </xf>
    <xf numFmtId="0" fontId="8" fillId="18" borderId="1" xfId="0" applyFont="1" applyFill="1" applyBorder="1" applyAlignment="1">
      <alignment horizontal="center"/>
    </xf>
    <xf numFmtId="0" fontId="0" fillId="11" borderId="1" xfId="0" applyFill="1" applyBorder="1" applyAlignment="1">
      <alignment horizontal="center" vertical="center" wrapText="1"/>
    </xf>
    <xf numFmtId="0" fontId="8" fillId="18" borderId="19" xfId="0" applyFont="1" applyFill="1" applyBorder="1" applyAlignment="1">
      <alignment horizontal="center"/>
    </xf>
    <xf numFmtId="0" fontId="0" fillId="4" borderId="18" xfId="0" applyFill="1" applyBorder="1" applyAlignment="1">
      <alignment horizontal="center" vertical="center" wrapText="1"/>
    </xf>
    <xf numFmtId="0" fontId="8" fillId="4" borderId="0" xfId="0" applyFont="1" applyFill="1" applyAlignment="1">
      <alignment horizontal="center"/>
    </xf>
    <xf numFmtId="0" fontId="0" fillId="4" borderId="0" xfId="0" applyFill="1" applyAlignment="1">
      <alignment horizontal="center"/>
    </xf>
    <xf numFmtId="0" fontId="8" fillId="0" borderId="0" xfId="0" applyFont="1" applyAlignment="1">
      <alignment horizontal="center"/>
    </xf>
    <xf numFmtId="0" fontId="0" fillId="0" borderId="0" xfId="0" applyAlignment="1">
      <alignment horizontal="center"/>
    </xf>
    <xf numFmtId="0" fontId="0" fillId="3" borderId="1" xfId="0" applyFill="1" applyBorder="1" applyAlignment="1">
      <alignment horizontal="center"/>
    </xf>
  </cellXfs>
  <cellStyles count="10">
    <cellStyle name="Comma" xfId="1" builtinId="3"/>
    <cellStyle name="Comma 5" xfId="7" xr:uid="{0A281882-470B-374F-A70D-C6D3F06BE845}"/>
    <cellStyle name="Currency" xfId="2" builtinId="4"/>
    <cellStyle name="Normal" xfId="0" builtinId="0"/>
    <cellStyle name="Normal 2 2" xfId="5" xr:uid="{3F7377E2-0DE3-EB46-8321-C91C27F08675}"/>
    <cellStyle name="Normal 3" xfId="8" xr:uid="{53F585FE-E33E-954A-AE30-D060AECD30BB}"/>
    <cellStyle name="Normal 5" xfId="4" xr:uid="{D4C69307-A286-694A-8E68-70CF800E1655}"/>
    <cellStyle name="Percent" xfId="3" builtinId="5"/>
    <cellStyle name="Percent 2 2" xfId="6" xr:uid="{ED42D232-37A1-8246-9813-6CAF8CFE265F}"/>
    <cellStyle name="Percent 3" xfId="9" xr:uid="{7EB2148E-2B40-364D-8D07-4058EBA1C90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ael/Downloads/Valuation%20Example%20Liu_N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DCF-Base"/>
      <sheetName val="DCF-Best"/>
      <sheetName val="DCF-Worst"/>
      <sheetName val="Relative"/>
      <sheetName val="10K"/>
      <sheetName val="Growth"/>
      <sheetName val="WACC"/>
      <sheetName val="BottomUp Beta"/>
      <sheetName val="Reg Beta"/>
      <sheetName val="Ratio Analysis"/>
      <sheetName val="Industry Averages(US)"/>
      <sheetName val="Valuation Example Liu_NKE"/>
    </sheetNames>
    <sheetDataSet>
      <sheetData sheetId="0"/>
      <sheetData sheetId="1"/>
      <sheetData sheetId="2"/>
      <sheetData sheetId="3"/>
      <sheetData sheetId="4"/>
      <sheetData sheetId="5"/>
      <sheetData sheetId="6">
        <row r="4">
          <cell r="A4" t="str">
            <v>Regression Beta (1yr)</v>
          </cell>
        </row>
      </sheetData>
      <sheetData sheetId="7">
        <row r="4">
          <cell r="A4" t="str">
            <v>Regression Beta (1yr)</v>
          </cell>
        </row>
        <row r="5">
          <cell r="A5" t="str">
            <v>Regression Beta (3 yr)</v>
          </cell>
        </row>
        <row r="6">
          <cell r="A6" t="str">
            <v>Regression Beta (5 yr)</v>
          </cell>
        </row>
        <row r="7">
          <cell r="A7" t="str">
            <v>Yahoo Beta</v>
          </cell>
        </row>
        <row r="8">
          <cell r="A8" t="str">
            <v>Bottom Up Beta</v>
          </cell>
        </row>
      </sheetData>
      <sheetData sheetId="8"/>
      <sheetData sheetId="9"/>
      <sheetData sheetId="10"/>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AED8F-8C8E-7F47-86F4-92E58E69325B}">
  <sheetPr>
    <tabColor rgb="FF0070C0"/>
  </sheetPr>
  <dimension ref="A1:O75"/>
  <sheetViews>
    <sheetView tabSelected="1" workbookViewId="0">
      <selection activeCell="D3" sqref="D3"/>
    </sheetView>
  </sheetViews>
  <sheetFormatPr baseColWidth="10" defaultRowHeight="16"/>
  <cols>
    <col min="1" max="1" width="39" bestFit="1" customWidth="1"/>
    <col min="2" max="2" width="12.1640625" bestFit="1" customWidth="1"/>
    <col min="3" max="3" width="28.1640625" customWidth="1"/>
    <col min="4" max="4" width="21.5" customWidth="1"/>
    <col min="5" max="5" width="22.6640625" bestFit="1" customWidth="1"/>
    <col min="6" max="6" width="10.5" customWidth="1"/>
    <col min="7" max="7" width="8.5" bestFit="1" customWidth="1"/>
    <col min="8" max="8" width="10" bestFit="1" customWidth="1"/>
    <col min="9" max="9" width="11.33203125" bestFit="1" customWidth="1"/>
    <col min="10" max="10" width="18.1640625" bestFit="1" customWidth="1"/>
    <col min="11" max="11" width="14.83203125" customWidth="1"/>
    <col min="12" max="12" width="14" customWidth="1"/>
    <col min="13" max="13" width="11.33203125" bestFit="1" customWidth="1"/>
  </cols>
  <sheetData>
    <row r="1" spans="1:15" ht="22" thickBot="1">
      <c r="A1" s="363" t="s">
        <v>0</v>
      </c>
      <c r="B1" s="364"/>
      <c r="C1" s="365" t="s">
        <v>505</v>
      </c>
      <c r="D1" s="366"/>
      <c r="E1" s="72"/>
      <c r="F1" s="72"/>
    </row>
    <row r="2" spans="1:15">
      <c r="A2" s="342" t="s">
        <v>1</v>
      </c>
      <c r="B2" s="343" t="s">
        <v>506</v>
      </c>
      <c r="C2" s="334" t="s">
        <v>33</v>
      </c>
      <c r="D2" s="335">
        <v>3.09E-2</v>
      </c>
      <c r="G2" s="67"/>
      <c r="H2" s="67"/>
      <c r="I2" s="67"/>
      <c r="J2" s="71"/>
      <c r="K2" s="71"/>
      <c r="L2" s="71"/>
      <c r="M2" s="71"/>
      <c r="N2" s="71"/>
      <c r="O2" s="71"/>
    </row>
    <row r="3" spans="1:15">
      <c r="A3" s="281" t="s">
        <v>2</v>
      </c>
      <c r="B3" s="283" t="s">
        <v>507</v>
      </c>
      <c r="C3" s="284" t="s">
        <v>34</v>
      </c>
      <c r="D3" s="282">
        <v>4.99E-2</v>
      </c>
      <c r="I3" s="67"/>
      <c r="J3" s="71"/>
      <c r="K3" s="67"/>
      <c r="L3" s="67"/>
    </row>
    <row r="4" spans="1:15">
      <c r="A4" s="281" t="s">
        <v>3</v>
      </c>
      <c r="B4" s="283" t="s">
        <v>508</v>
      </c>
      <c r="C4" s="284" t="s">
        <v>35</v>
      </c>
      <c r="D4" s="283"/>
      <c r="I4" s="67"/>
      <c r="J4" s="67"/>
      <c r="K4" s="67"/>
      <c r="L4" s="67"/>
    </row>
    <row r="5" spans="1:15">
      <c r="A5" s="284" t="s">
        <v>6</v>
      </c>
      <c r="B5" s="345">
        <v>18.21</v>
      </c>
      <c r="C5" s="281" t="s">
        <v>367</v>
      </c>
      <c r="D5" s="285">
        <v>0.21</v>
      </c>
      <c r="I5" s="67"/>
      <c r="J5" s="67"/>
      <c r="K5" s="67"/>
      <c r="L5" s="67"/>
    </row>
    <row r="6" spans="1:15">
      <c r="A6" s="281" t="s">
        <v>7</v>
      </c>
      <c r="B6" s="283"/>
      <c r="C6" s="284" t="s">
        <v>436</v>
      </c>
      <c r="D6" s="286" t="s">
        <v>521</v>
      </c>
      <c r="I6" s="67"/>
      <c r="J6" s="67"/>
      <c r="K6" s="67"/>
      <c r="L6" s="67"/>
    </row>
    <row r="7" spans="1:15" ht="17" thickBot="1">
      <c r="A7" s="341" t="s">
        <v>222</v>
      </c>
      <c r="B7" s="344" t="s">
        <v>509</v>
      </c>
      <c r="C7" s="336" t="s">
        <v>437</v>
      </c>
      <c r="D7" s="337">
        <f>VLOOKUP(D6,BETA!$F$2:$G$18,2,)</f>
        <v>1.3250765469111303</v>
      </c>
      <c r="I7" s="67"/>
      <c r="J7" s="67"/>
      <c r="K7" s="67"/>
      <c r="L7" s="67"/>
    </row>
    <row r="8" spans="1:15">
      <c r="A8" s="368" t="s">
        <v>8</v>
      </c>
      <c r="B8" s="369"/>
      <c r="C8" s="368" t="s">
        <v>26</v>
      </c>
      <c r="D8" s="369"/>
      <c r="I8" s="67"/>
      <c r="J8" s="67"/>
      <c r="K8" s="67"/>
      <c r="L8" s="67"/>
    </row>
    <row r="9" spans="1:15">
      <c r="A9" s="287" t="s">
        <v>4</v>
      </c>
      <c r="B9" s="338" t="s">
        <v>5</v>
      </c>
      <c r="C9" s="281" t="s">
        <v>27</v>
      </c>
      <c r="D9" s="288">
        <f>IF(D46="5 Year",('10K-S'!S7+'10K-S'!S9-'10K-S'!S27),('10K-S'!X7+'10K-S'!X9-'10K-S'!X27))</f>
        <v>-1276</v>
      </c>
      <c r="I9" s="67"/>
      <c r="J9" s="67"/>
      <c r="K9" s="67"/>
      <c r="L9" s="67"/>
    </row>
    <row r="10" spans="1:15">
      <c r="A10" s="289" t="s">
        <v>84</v>
      </c>
      <c r="B10" s="339">
        <v>0.5</v>
      </c>
      <c r="C10" s="281" t="s">
        <v>28</v>
      </c>
      <c r="D10" s="288">
        <f>IF(D46="5 Year",(INPUT!B5/'10K-S'!F17),(INPUT!B5/'10K-S'!K17))</f>
        <v>6.9239543726235748</v>
      </c>
      <c r="I10" s="67"/>
      <c r="J10" s="67"/>
      <c r="K10" s="67"/>
      <c r="L10" s="67"/>
    </row>
    <row r="11" spans="1:15">
      <c r="A11" s="289" t="s">
        <v>121</v>
      </c>
      <c r="B11" s="339">
        <v>0.5</v>
      </c>
      <c r="C11" s="281" t="s">
        <v>29</v>
      </c>
      <c r="D11" s="290">
        <f>IF(D46="5 Year",'GROWTH AND WACC'!C8,'GROWTH AND WACC'!C23)</f>
        <v>7.2415870063977178E-2</v>
      </c>
      <c r="I11" s="67"/>
      <c r="J11" s="67"/>
      <c r="K11" s="67"/>
      <c r="L11" s="67"/>
    </row>
    <row r="12" spans="1:15">
      <c r="A12" s="289"/>
      <c r="B12" s="339"/>
      <c r="C12" s="281" t="s">
        <v>30</v>
      </c>
      <c r="D12" s="283"/>
      <c r="I12" s="67"/>
      <c r="J12" s="67"/>
      <c r="K12" s="67"/>
      <c r="L12" s="67"/>
    </row>
    <row r="13" spans="1:15">
      <c r="A13" s="289"/>
      <c r="B13" s="339"/>
      <c r="C13" s="281" t="s">
        <v>31</v>
      </c>
      <c r="D13" s="290">
        <f>D24</f>
        <v>0.23247978436657682</v>
      </c>
      <c r="J13" s="67"/>
      <c r="K13" s="67"/>
      <c r="L13" s="67"/>
    </row>
    <row r="14" spans="1:15" ht="17" thickBot="1">
      <c r="A14" s="291"/>
      <c r="B14" s="340"/>
      <c r="C14" s="341" t="s">
        <v>32</v>
      </c>
      <c r="D14" s="292">
        <f>IF(D46="5 Year",('10K-S'!S11-'10K-S'!S27),('10K-S'!X11-'10K-S'!X27))</f>
        <v>-550</v>
      </c>
      <c r="K14" s="67"/>
      <c r="L14" s="67"/>
    </row>
    <row r="15" spans="1:15" s="35" customFormat="1">
      <c r="A15" s="274"/>
      <c r="B15" s="275"/>
      <c r="C15" s="274"/>
      <c r="D15" s="276"/>
      <c r="K15" s="84"/>
      <c r="L15" s="84"/>
    </row>
    <row r="16" spans="1:15">
      <c r="A16" s="353" t="s">
        <v>9</v>
      </c>
      <c r="B16" s="353"/>
      <c r="C16" s="353" t="s">
        <v>10</v>
      </c>
      <c r="D16" s="353"/>
      <c r="E16" s="352" t="s">
        <v>391</v>
      </c>
      <c r="F16" s="352"/>
      <c r="G16" s="352"/>
      <c r="H16" s="352"/>
      <c r="I16" s="352"/>
      <c r="K16" s="67"/>
      <c r="L16" s="67"/>
    </row>
    <row r="17" spans="1:13">
      <c r="A17" s="277" t="s">
        <v>240</v>
      </c>
      <c r="B17" s="278">
        <f>IF(D46="5 Year",'10K-S'!F20,'10K-S'!K20)</f>
        <v>131</v>
      </c>
      <c r="C17" s="279" t="s">
        <v>21</v>
      </c>
      <c r="D17" s="280">
        <f>IF(D46="5 Year",('10K-S'!S11/'10K-S'!S22),('10K-S'!X11/'10K-S'!X22))</f>
        <v>2.3211538461538463</v>
      </c>
      <c r="E17" s="74"/>
      <c r="F17" s="2" t="s">
        <v>192</v>
      </c>
      <c r="G17" s="68" t="s">
        <v>193</v>
      </c>
      <c r="H17" s="2" t="s">
        <v>396</v>
      </c>
      <c r="I17" s="2" t="s">
        <v>397</v>
      </c>
      <c r="K17" s="67"/>
      <c r="L17" s="67"/>
    </row>
    <row r="18" spans="1:13">
      <c r="A18" s="141" t="s">
        <v>11</v>
      </c>
      <c r="B18" s="96">
        <f>IF(D46="5 Year",'10K-S'!G4,'10K-S'!L4)</f>
        <v>5268</v>
      </c>
      <c r="C18" s="118" t="s">
        <v>207</v>
      </c>
      <c r="D18" s="233">
        <f>IF(D46="5 Year",(('10K-S'!S7+'10K-S'!S9)/'10K-S'!S22),(('10K-S'!X7+'10K-S'!X9)/'10K-S'!X22))</f>
        <v>0.92500000000000004</v>
      </c>
      <c r="E18" s="115" t="s">
        <v>39</v>
      </c>
      <c r="F18" s="88">
        <f>IF(D53="Yes",IF(D46="5 Year",'GROWTH AND WACC'!C8,'GROWTH AND WACC'!C23),D54)</f>
        <v>7.2415870063977178E-2</v>
      </c>
      <c r="G18" s="88">
        <f>D2</f>
        <v>3.09E-2</v>
      </c>
      <c r="H18" s="155">
        <f>1-_xlfn.NORM.DIST(F18,'Aux Info'!$L$17,'Aux Info'!$N$17,TRUE)</f>
        <v>0.9999999895484839</v>
      </c>
      <c r="I18" s="155">
        <f>1-_xlfn.NORM.DIST(G18,'Aux Info'!$L$16,'Aux Info'!$N$16,TRUE)</f>
        <v>0.6421197773106968</v>
      </c>
      <c r="K18" s="67"/>
      <c r="L18" s="67"/>
    </row>
    <row r="19" spans="1:13">
      <c r="A19" s="141" t="s">
        <v>12</v>
      </c>
      <c r="B19" s="96">
        <f>IF(D46="5 Year",'10K-S'!G10,'10K-S'!L10)</f>
        <v>903</v>
      </c>
      <c r="C19" s="118" t="s">
        <v>18</v>
      </c>
      <c r="D19" s="234">
        <f>'Aux Info'!L19</f>
        <v>4.6156938281553872E-2</v>
      </c>
      <c r="E19" s="115" t="s">
        <v>191</v>
      </c>
      <c r="F19" s="121">
        <f>B30</f>
        <v>0.11933891393002791</v>
      </c>
      <c r="G19" s="88">
        <f>IF(D51="Yes",D36,D52)</f>
        <v>7.5277445598976242E-2</v>
      </c>
      <c r="H19" s="162">
        <f>1-_xlfn.NORM.DIST(INPUT!F19,'Aux Info'!$L$19,'Aux Info'!$N$19,TRUE)</f>
        <v>1.0221537313474305E-2</v>
      </c>
      <c r="I19" s="162">
        <f>1-_xlfn.NORM.DIST(INPUT!G19,'Aux Info'!$L$19,'Aux Info'!$N$19,TRUE)</f>
        <v>0.178154181580082</v>
      </c>
      <c r="K19" s="67"/>
      <c r="L19" s="67"/>
    </row>
    <row r="20" spans="1:13">
      <c r="A20" s="115" t="s">
        <v>13</v>
      </c>
      <c r="B20" s="96">
        <f>(IF(D46="5 Year",'10K-S'!AF6,'10K-S'!AK6))+INPUT!B19</f>
        <v>1167</v>
      </c>
      <c r="C20" s="118" t="s">
        <v>208</v>
      </c>
      <c r="D20" s="234">
        <f>IF(D46="5 Year",('10K-S'!F10/'10K-S'!F4),('10K-S'!K10/'10K-S'!K4))</f>
        <v>0.11933891393002791</v>
      </c>
      <c r="E20" s="115" t="s">
        <v>500</v>
      </c>
      <c r="F20" s="120">
        <f>IF($D$61="Sales to Capital",D26,"Need a Value")</f>
        <v>9.8836772983114454</v>
      </c>
      <c r="G20" s="148">
        <f>IF($D$61="Sales to Capital",IF(D57="Yes",D37,D58),D62)</f>
        <v>6.8833179208637796E-2</v>
      </c>
      <c r="H20" s="88">
        <f>1-_xlfn.NORM.DIST(F20,'Aux Info'!$L$25,'Aux Info'!$N$25,TRUE)</f>
        <v>0</v>
      </c>
      <c r="I20" s="88">
        <f>1-_xlfn.NORM.DIST(G20,'Aux Info'!$L$25,'Aux Info'!$N$25,TRUE)</f>
        <v>1</v>
      </c>
    </row>
    <row r="21" spans="1:13">
      <c r="A21" s="141" t="s">
        <v>245</v>
      </c>
      <c r="B21" s="96">
        <f>IF(D46="5 Year",'10K-S'!S7,'10K-S'!X7)</f>
        <v>288</v>
      </c>
      <c r="C21" s="118" t="s">
        <v>209</v>
      </c>
      <c r="D21" s="235">
        <f>IF(D46="5 Year",('10K-S'!F15/'10K-S'!F4),('10K-S'!K15/'10K-S'!K4))</f>
        <v>7.4050225370251133E-2</v>
      </c>
      <c r="E21" s="115" t="s">
        <v>17</v>
      </c>
      <c r="F21" s="88">
        <f>'GROWTH AND WACC'!J17</f>
        <v>8.7589938731173989E-2</v>
      </c>
      <c r="G21" s="88">
        <f>IF(D47="Yes",(D2+4.5%),D48)</f>
        <v>7.5899999999999995E-2</v>
      </c>
      <c r="H21" s="76"/>
      <c r="I21" s="76"/>
    </row>
    <row r="22" spans="1:13">
      <c r="A22" s="142" t="s">
        <v>14</v>
      </c>
      <c r="B22" s="96">
        <f>IF(D46="5 Year",'10K-S'!S24,'10K-S'!X24)</f>
        <v>385</v>
      </c>
      <c r="C22" s="118" t="s">
        <v>198</v>
      </c>
      <c r="D22" s="235">
        <f>IF(D46="5 Year",('10K-S'!F10/'10K-S'!F11),('10K-S'!K10/'10K-S'!K11))</f>
        <v>17.375</v>
      </c>
      <c r="E22" s="352" t="s">
        <v>392</v>
      </c>
      <c r="F22" s="352"/>
      <c r="G22" s="352"/>
      <c r="H22" s="352"/>
      <c r="I22" s="352"/>
    </row>
    <row r="23" spans="1:13">
      <c r="A23" s="142" t="s">
        <v>15</v>
      </c>
      <c r="B23" s="96">
        <f>IF(D46="5 Year",'10K-S'!S32,'10K-S'!X32)</f>
        <v>3488</v>
      </c>
      <c r="C23" s="143" t="s">
        <v>22</v>
      </c>
      <c r="D23" s="235">
        <f>IF(D46="5 Year",('10K-S'!F15/'10K-S'!S16),('10K-S'!K15/'10K-S'!W16))</f>
        <v>0.1052792187976808</v>
      </c>
      <c r="E23" s="74"/>
      <c r="F23" s="2" t="s">
        <v>192</v>
      </c>
      <c r="G23" s="68" t="s">
        <v>193</v>
      </c>
      <c r="H23" s="2" t="s">
        <v>396</v>
      </c>
      <c r="I23" s="2" t="s">
        <v>397</v>
      </c>
    </row>
    <row r="24" spans="1:13">
      <c r="A24" s="142" t="s">
        <v>243</v>
      </c>
      <c r="B24" s="96">
        <f>IF(D46="5 Year",'10K-S'!S16,'10K-S'!X16)</f>
        <v>3488</v>
      </c>
      <c r="C24" s="118" t="s">
        <v>23</v>
      </c>
      <c r="D24" s="235">
        <f>IF(D46="5 Year",('10K-S'!F15/'10K-S'!S31),('10K-S'!K15/'10K-S'!W31))</f>
        <v>0.23247978436657682</v>
      </c>
      <c r="E24" s="115" t="s">
        <v>39</v>
      </c>
      <c r="F24" s="66"/>
      <c r="G24" s="66"/>
      <c r="H24" s="155">
        <f>1-_xlfn.NORM.DIST(F24,'Aux Info'!$L$16,'Aux Info'!$N$16,TRUE)</f>
        <v>0.73733496778950947</v>
      </c>
      <c r="I24" s="155">
        <f>1-_xlfn.NORM.DIST(G24,'Aux Info'!$L$16,'Aux Info'!$N$16,TRUE)</f>
        <v>0.73733496778950947</v>
      </c>
    </row>
    <row r="25" spans="1:13">
      <c r="A25" s="142" t="s">
        <v>244</v>
      </c>
      <c r="B25" s="96">
        <f>ABS(IF(D46="5 Year",'10K-S'!AE20,'10K-S'!AJ20))</f>
        <v>252</v>
      </c>
      <c r="C25" s="118" t="s">
        <v>24</v>
      </c>
      <c r="D25" s="235" t="e">
        <f>IF(D46="5 Year",('10K-S'!F15/INPUT!D33),('10K-S'!K15/INPUT!D33))</f>
        <v>#DIV/0!</v>
      </c>
      <c r="E25" s="115" t="s">
        <v>191</v>
      </c>
      <c r="F25" s="199">
        <f>B30</f>
        <v>0.11933891393002791</v>
      </c>
      <c r="G25" s="66"/>
      <c r="H25" s="162">
        <f>1-_xlfn.NORM.DIST(INPUT!F25,'Aux Info'!$L$19,'Aux Info'!$N$19,TRUE)</f>
        <v>1.0221537313474305E-2</v>
      </c>
      <c r="I25" s="162">
        <f>1-_xlfn.NORM.DIST(INPUT!G25,'Aux Info'!$L$19,'Aux Info'!$N$19,TRUE)</f>
        <v>0.92813883129093921</v>
      </c>
    </row>
    <row r="26" spans="1:13">
      <c r="A26" s="142" t="s">
        <v>242</v>
      </c>
      <c r="B26" s="96">
        <f>IF(D46="5 Year",'10K-S'!G11,'10K-S'!K11)</f>
        <v>32</v>
      </c>
      <c r="C26" s="118" t="s">
        <v>378</v>
      </c>
      <c r="D26" s="234">
        <f>B18/(IF(INPUT!D46="5 Year",('10K-S'!S9+'10K-S'!S10-'10K-S'!S20),('10K-S'!X9+'10K-S'!X10-'10K-S'!X20)))</f>
        <v>9.8836772983114454</v>
      </c>
      <c r="E26" s="115" t="s">
        <v>500</v>
      </c>
      <c r="F26" s="66"/>
      <c r="G26" s="66"/>
      <c r="H26" s="88">
        <f>1-_xlfn.NORM.DIST(F26,'Aux Info'!$L$25,'Aux Info'!$N$25,TRUE)</f>
        <v>1</v>
      </c>
      <c r="I26" s="88">
        <f>1-_xlfn.NORM.DIST(G26,'Aux Info'!$L$25,'Aux Info'!$N$25,TRUE)</f>
        <v>1</v>
      </c>
      <c r="J26" s="353" t="s">
        <v>491</v>
      </c>
      <c r="K26" s="353"/>
      <c r="L26" s="353"/>
      <c r="M26" s="353"/>
    </row>
    <row r="27" spans="1:13">
      <c r="A27" s="142" t="s">
        <v>241</v>
      </c>
      <c r="B27" s="96">
        <f>IF(D46="5 Year",'10K-S'!G13,'10K-S'!K13)</f>
        <v>133</v>
      </c>
      <c r="C27" s="118" t="s">
        <v>210</v>
      </c>
      <c r="D27" s="236">
        <f>IF(D46="5 Year",('10K-S'!S24/('10K-S'!T24+'10K-S'!T31)),('10K-S'!X24/('10K-S'!X24+'10K-S'!X31)))</f>
        <v>0.18194706994328921</v>
      </c>
      <c r="E27" s="115" t="s">
        <v>17</v>
      </c>
      <c r="F27" s="66"/>
      <c r="G27" s="200">
        <f>IF(D47="Yes",(D2+4.5%),D48)</f>
        <v>7.5899999999999995E-2</v>
      </c>
      <c r="H27" s="76"/>
      <c r="I27" s="76"/>
      <c r="J27" s="247"/>
      <c r="K27" s="1" t="s">
        <v>394</v>
      </c>
      <c r="L27" s="1" t="s">
        <v>486</v>
      </c>
      <c r="M27" s="1" t="s">
        <v>488</v>
      </c>
    </row>
    <row r="28" spans="1:13">
      <c r="A28" s="116" t="s">
        <v>16</v>
      </c>
      <c r="B28" s="97">
        <f>B27/B18</f>
        <v>2.5246772968868642E-2</v>
      </c>
      <c r="C28" s="118" t="s">
        <v>211</v>
      </c>
      <c r="D28" s="236">
        <f>B22/B23</f>
        <v>0.11037844036697247</v>
      </c>
      <c r="E28" s="352" t="s">
        <v>393</v>
      </c>
      <c r="F28" s="352"/>
      <c r="G28" s="352"/>
      <c r="H28" s="352"/>
      <c r="I28" s="352"/>
      <c r="J28" s="241" t="s">
        <v>483</v>
      </c>
      <c r="K28" s="89">
        <f>'Aux Info'!L36</f>
        <v>0.48616947437640295</v>
      </c>
      <c r="L28" s="185">
        <f>'Aux Info'!M36</f>
        <v>7.8770903504895382E-3</v>
      </c>
      <c r="M28" s="185">
        <f>'Aux Info'!N36</f>
        <v>0.21767348767980299</v>
      </c>
    </row>
    <row r="29" spans="1:13">
      <c r="A29" s="115" t="s">
        <v>354</v>
      </c>
      <c r="B29" s="97">
        <f>IF(D46="5 Year",('10K-S'!G15/'10K-S'!G4),('10K-S'!K15/'10K-S'!K4))</f>
        <v>7.4050225370251133E-2</v>
      </c>
      <c r="C29" s="118" t="s">
        <v>398</v>
      </c>
      <c r="D29" s="236">
        <f>B5/IF(D46="5 Year",('10K-S'!S31/'10K-S'!F20),('10K-S'!X31/'10K-S'!K20))</f>
        <v>1.378110918544194</v>
      </c>
      <c r="E29" s="74"/>
      <c r="F29" s="2" t="s">
        <v>192</v>
      </c>
      <c r="G29" s="68" t="s">
        <v>193</v>
      </c>
      <c r="H29" s="2" t="s">
        <v>396</v>
      </c>
      <c r="I29" s="2" t="s">
        <v>397</v>
      </c>
      <c r="J29" s="241" t="s">
        <v>484</v>
      </c>
      <c r="K29" s="89">
        <f>'Aux Info'!L38</f>
        <v>0.24838033790726349</v>
      </c>
      <c r="L29" s="185">
        <f>'Aux Info'!M38</f>
        <v>1.6718980422504106E-2</v>
      </c>
      <c r="M29" s="185">
        <f>'Aux Info'!N38</f>
        <v>9.1550840028477826E-2</v>
      </c>
    </row>
    <row r="30" spans="1:13">
      <c r="A30" s="115" t="s">
        <v>19</v>
      </c>
      <c r="B30" s="97">
        <f>IF(D46="5 Year",('10K-S'!G10/'10K-S'!G4),('10K-S'!K10/'10K-S'!K4))</f>
        <v>0.11933891393002791</v>
      </c>
      <c r="C30" s="118" t="s">
        <v>212</v>
      </c>
      <c r="D30" s="236">
        <f>IF(D46="5 Year",(D10/'GROWTH AND WACC'!C8),(INPUT!D10/'GROWTH AND WACC'!C23))</f>
        <v>95.613770386332106</v>
      </c>
      <c r="E30" s="115" t="s">
        <v>39</v>
      </c>
      <c r="F30" s="66"/>
      <c r="G30" s="66"/>
      <c r="H30" s="155">
        <f>1-_xlfn.NORM.DIST(F30,'Aux Info'!$L$16,'Aux Info'!$N$16,TRUE)</f>
        <v>0.73733496778950947</v>
      </c>
      <c r="I30" s="155">
        <f>1-_xlfn.NORM.DIST(G30,'Aux Info'!$L$16,'Aux Info'!$N$16,TRUE)</f>
        <v>0.73733496778950947</v>
      </c>
      <c r="J30" s="241" t="s">
        <v>485</v>
      </c>
      <c r="K30" s="89">
        <f>'Aux Info'!L41</f>
        <v>1.848459822039247E-2</v>
      </c>
      <c r="L30" s="185">
        <f>'Aux Info'!M41</f>
        <v>0.40129671631662073</v>
      </c>
      <c r="M30" s="185">
        <f>'Aux Info'!N41</f>
        <v>0.47593587864622988</v>
      </c>
    </row>
    <row r="31" spans="1:13">
      <c r="A31" s="141" t="s">
        <v>20</v>
      </c>
      <c r="B31" s="95">
        <f>IF(D46="5 Year",'10K-S'!AF21,'10K-S'!AJ21)</f>
        <v>0</v>
      </c>
      <c r="C31" s="241" t="s">
        <v>57</v>
      </c>
      <c r="D31" s="88">
        <f>ABS(B25)/B18</f>
        <v>4.7835990888382689E-2</v>
      </c>
      <c r="E31" s="115" t="s">
        <v>191</v>
      </c>
      <c r="F31" s="199">
        <f>B30</f>
        <v>0.11933891393002791</v>
      </c>
      <c r="G31" s="66"/>
      <c r="H31" s="162">
        <f>1-_xlfn.NORM.DIST(INPUT!F31,'Aux Info'!$L$19,'Aux Info'!$N$19,TRUE)</f>
        <v>1.0221537313474305E-2</v>
      </c>
      <c r="I31" s="162">
        <f>1-_xlfn.NORM.DIST(INPUT!G31,'Aux Info'!$L$19,'Aux Info'!$N$19,TRUE)</f>
        <v>0.92813883129093921</v>
      </c>
      <c r="J31" s="241" t="s">
        <v>490</v>
      </c>
      <c r="K31" s="89">
        <f>'Aux Info'!L43</f>
        <v>0.24838033790726349</v>
      </c>
      <c r="L31" s="185">
        <f>'Aux Info'!M43</f>
        <v>1.6718980422504106E-2</v>
      </c>
      <c r="M31" s="185">
        <f>'Aux Info'!N43</f>
        <v>9.1550840028477826E-2</v>
      </c>
    </row>
    <row r="32" spans="1:13">
      <c r="A32" s="353" t="s">
        <v>38</v>
      </c>
      <c r="B32" s="353"/>
      <c r="C32" s="118"/>
      <c r="D32" s="236"/>
      <c r="E32" s="115" t="s">
        <v>500</v>
      </c>
      <c r="F32" s="66"/>
      <c r="G32" s="66"/>
      <c r="H32" s="88">
        <f>1-_xlfn.NORM.DIST(F32,'Aux Info'!$L$25,'Aux Info'!$N$25,TRUE)</f>
        <v>1</v>
      </c>
      <c r="I32" s="88">
        <f>1-_xlfn.NORM.DIST(G32,'Aux Info'!$L$25,'Aux Info'!$N$25,TRUE)</f>
        <v>1</v>
      </c>
      <c r="J32" s="353" t="s">
        <v>428</v>
      </c>
      <c r="K32" s="353"/>
      <c r="L32" s="353"/>
      <c r="M32" s="353"/>
    </row>
    <row r="33" spans="1:13">
      <c r="A33" s="113" t="s">
        <v>369</v>
      </c>
      <c r="B33" s="112">
        <f>VLOOKUP(A33,BETA!$F$2:$G$18,2,)</f>
        <v>0.11930156261208696</v>
      </c>
      <c r="C33" s="118"/>
      <c r="D33" s="236"/>
      <c r="E33" s="115" t="s">
        <v>17</v>
      </c>
      <c r="F33" s="66"/>
      <c r="G33" s="200">
        <f>IF(D47="Yes",(D2+4.5%),D48)</f>
        <v>7.5899999999999995E-2</v>
      </c>
      <c r="H33" s="163"/>
      <c r="I33" s="76"/>
      <c r="J33" s="232" t="s">
        <v>429</v>
      </c>
      <c r="K33" s="232" t="s">
        <v>430</v>
      </c>
      <c r="L33" s="232" t="s">
        <v>217</v>
      </c>
      <c r="M33" s="232" t="s">
        <v>431</v>
      </c>
    </row>
    <row r="34" spans="1:13">
      <c r="A34" s="113" t="s">
        <v>370</v>
      </c>
      <c r="B34" s="112">
        <f>VLOOKUP(A34,BETA!$F$2:$G$18,2,)</f>
        <v>1.2586685610250015</v>
      </c>
      <c r="C34" s="367" t="s">
        <v>213</v>
      </c>
      <c r="D34" s="367"/>
      <c r="E34" s="353" t="s">
        <v>424</v>
      </c>
      <c r="F34" s="353"/>
      <c r="G34" s="353"/>
      <c r="H34" s="353"/>
      <c r="I34" s="353"/>
      <c r="J34" s="1"/>
      <c r="K34" s="154"/>
      <c r="L34" s="154"/>
      <c r="M34" s="154"/>
    </row>
    <row r="35" spans="1:13">
      <c r="A35" s="113" t="s">
        <v>410</v>
      </c>
      <c r="B35" s="112">
        <f>VLOOKUP(A35,BETA!$F$2:$G$18,2,)</f>
        <v>1.3166778557574135</v>
      </c>
      <c r="C35" s="119" t="s">
        <v>214</v>
      </c>
      <c r="D35" s="229">
        <f>'Aux Info'!C13</f>
        <v>7.0892813725490209E-2</v>
      </c>
      <c r="E35" s="117"/>
      <c r="F35" s="117" t="s">
        <v>192</v>
      </c>
      <c r="G35" s="117" t="s">
        <v>394</v>
      </c>
      <c r="H35" s="117" t="s">
        <v>425</v>
      </c>
      <c r="I35" s="117" t="s">
        <v>426</v>
      </c>
      <c r="J35" s="1"/>
      <c r="K35" s="154"/>
      <c r="L35" s="154"/>
      <c r="M35" s="154"/>
    </row>
    <row r="36" spans="1:13">
      <c r="A36" s="114" t="s">
        <v>373</v>
      </c>
      <c r="B36" s="112">
        <f>VLOOKUP(A36,BETA!$F$2:$G$18,2,)</f>
        <v>0.18443085942824003</v>
      </c>
      <c r="C36" s="119" t="s">
        <v>163</v>
      </c>
      <c r="D36" s="229">
        <f>'Aux Info'!D13</f>
        <v>7.5277445598976242E-2</v>
      </c>
      <c r="E36" s="118" t="s">
        <v>21</v>
      </c>
      <c r="F36" s="237">
        <f>D17</f>
        <v>2.3211538461538463</v>
      </c>
      <c r="G36" s="3">
        <f>'Aux Info'!L17</f>
        <v>1.7892899557158635</v>
      </c>
      <c r="H36" s="3">
        <f>'Aux Info'!M17</f>
        <v>1.8376131836291199</v>
      </c>
      <c r="I36" s="3">
        <f>'Aux Info'!N17</f>
        <v>0.30634634784795028</v>
      </c>
      <c r="J36" s="1"/>
      <c r="K36" s="154"/>
      <c r="L36" s="154"/>
      <c r="M36" s="154"/>
    </row>
    <row r="37" spans="1:13">
      <c r="A37" s="114" t="s">
        <v>409</v>
      </c>
      <c r="B37" s="112" t="e">
        <f>VLOOKUP(A37,BETA!$F$2:$G$18,2,)</f>
        <v>#N/A</v>
      </c>
      <c r="C37" s="119" t="s">
        <v>188</v>
      </c>
      <c r="D37" s="191">
        <f>'Aux Info'!E13</f>
        <v>6.8833179208637796E-2</v>
      </c>
      <c r="E37" s="118" t="s">
        <v>208</v>
      </c>
      <c r="F37" s="237">
        <f>D20</f>
        <v>0.11933891393002791</v>
      </c>
      <c r="G37" s="3">
        <f>'Aux Info'!B19</f>
        <v>-4.0199081163859111E-2</v>
      </c>
      <c r="H37" s="3">
        <f>'Aux Info'!C19</f>
        <v>-8.4905660377358486E-2</v>
      </c>
      <c r="I37" s="3">
        <f>'Aux Info'!D19</f>
        <v>8.3127572016460899E-2</v>
      </c>
      <c r="J37" s="1"/>
      <c r="K37" s="154"/>
      <c r="L37" s="154"/>
      <c r="M37" s="154"/>
    </row>
    <row r="38" spans="1:13">
      <c r="A38" s="113" t="s">
        <v>374</v>
      </c>
      <c r="B38" s="112">
        <f>VLOOKUP(A38,BETA!$F$2:$G$18,2,)</f>
        <v>1.209937464069744</v>
      </c>
      <c r="C38" s="119" t="s">
        <v>215</v>
      </c>
      <c r="D38" s="229">
        <f>'Aux Info'!F13</f>
        <v>9.5334829174614943E-2</v>
      </c>
      <c r="E38" s="118" t="s">
        <v>209</v>
      </c>
      <c r="F38" s="237">
        <f>D21</f>
        <v>7.4050225370251133E-2</v>
      </c>
      <c r="G38" s="3">
        <f>'Aux Info'!B20</f>
        <v>-0.13208269525267993</v>
      </c>
      <c r="H38" s="3">
        <f>'Aux Info'!C20</f>
        <v>-3.3018867924528301E-2</v>
      </c>
      <c r="I38" s="3">
        <f>'Aux Info'!D20</f>
        <v>6.6255144032921806E-2</v>
      </c>
      <c r="J38" s="1"/>
      <c r="K38" s="238"/>
      <c r="L38" s="154"/>
      <c r="M38" s="154"/>
    </row>
    <row r="39" spans="1:13">
      <c r="A39" s="113" t="s">
        <v>411</v>
      </c>
      <c r="B39" s="112">
        <f>VLOOKUP(A39,BETA!$F$2:$G$18,2,)</f>
        <v>1.3155749234775858</v>
      </c>
      <c r="C39" s="119" t="s">
        <v>216</v>
      </c>
      <c r="D39" s="229">
        <f>'Aux Info'!G13</f>
        <v>6.8833179208637796E-2</v>
      </c>
      <c r="E39" s="143" t="s">
        <v>22</v>
      </c>
      <c r="F39" s="237">
        <f>D23</f>
        <v>0.1052792187976808</v>
      </c>
      <c r="G39" s="3">
        <f>'Aux Info'!L22</f>
        <v>2.1221548867411157E-2</v>
      </c>
      <c r="H39" s="3">
        <f>'Aux Info'!M22</f>
        <v>2.9470233440318228E-2</v>
      </c>
      <c r="I39" s="3">
        <f>'Aux Info'!N22</f>
        <v>3.5649965417003202E-2</v>
      </c>
      <c r="J39" s="1"/>
      <c r="K39" s="239"/>
      <c r="L39" s="154"/>
      <c r="M39" s="154"/>
    </row>
    <row r="40" spans="1:13">
      <c r="A40" s="114" t="s">
        <v>377</v>
      </c>
      <c r="B40" s="112">
        <f>VLOOKUP(A40,BETA!$F$2:$G$18,2,)</f>
        <v>0.17078381859612449</v>
      </c>
      <c r="C40" s="119" t="s">
        <v>51</v>
      </c>
      <c r="D40" s="230">
        <f>'Aux Info'!H13</f>
        <v>0.25163790522743967</v>
      </c>
      <c r="E40" s="118" t="s">
        <v>23</v>
      </c>
      <c r="F40" s="237">
        <f>D24</f>
        <v>0.23247978436657682</v>
      </c>
      <c r="G40" s="3">
        <f>'Aux Info'!L23</f>
        <v>4.2093285600653771E-2</v>
      </c>
      <c r="H40" s="3">
        <f>'Aux Info'!M23</f>
        <v>6.5277450925685557E-2</v>
      </c>
      <c r="I40" s="3">
        <f>'Aux Info'!N23</f>
        <v>6.901298514039246E-2</v>
      </c>
      <c r="J40" s="1"/>
      <c r="K40" s="66"/>
      <c r="L40" s="154"/>
      <c r="M40" s="154"/>
    </row>
    <row r="41" spans="1:13">
      <c r="A41" s="114" t="s">
        <v>412</v>
      </c>
      <c r="B41" s="112">
        <f>VLOOKUP(A41,BETA!$F$2:$G$18,2,)</f>
        <v>1.3223471387447072</v>
      </c>
      <c r="C41" s="119" t="s">
        <v>246</v>
      </c>
      <c r="D41" s="230">
        <f>'Aux Info'!I13</f>
        <v>0.96505394637465725</v>
      </c>
      <c r="E41" s="118" t="s">
        <v>24</v>
      </c>
      <c r="F41" s="237" t="e">
        <f>D25</f>
        <v>#DIV/0!</v>
      </c>
      <c r="G41" s="3">
        <f>'Aux Info'!L24</f>
        <v>3.877816075039188E-2</v>
      </c>
      <c r="H41" s="3">
        <f>'Aux Info'!M24</f>
        <v>5.2290896252947021E-2</v>
      </c>
      <c r="I41" s="3">
        <f>'Aux Info'!N24</f>
        <v>5.9955438444959215E-2</v>
      </c>
      <c r="J41" s="1"/>
      <c r="K41" s="66"/>
      <c r="L41" s="154"/>
      <c r="M41" s="154"/>
    </row>
    <row r="42" spans="1:13">
      <c r="A42" s="113" t="s">
        <v>404</v>
      </c>
      <c r="B42" s="112">
        <f>VLOOKUP(A42,BETA!$F$2:$G$18,2,)</f>
        <v>1.4538190465485215</v>
      </c>
      <c r="C42" s="119" t="s">
        <v>247</v>
      </c>
      <c r="D42" s="230">
        <f>'Aux Info'!J13</f>
        <v>0.33682957380831247</v>
      </c>
      <c r="E42" s="118" t="s">
        <v>378</v>
      </c>
      <c r="F42" s="237">
        <f>D26</f>
        <v>9.8836772983114454</v>
      </c>
      <c r="G42" s="3">
        <f>'Aux Info'!L25</f>
        <v>1.9106034234157647</v>
      </c>
      <c r="H42" s="3">
        <f>'Aux Info'!M25</f>
        <v>2.0820600478515434</v>
      </c>
      <c r="I42" s="3">
        <f>'Aux Info'!N25</f>
        <v>6.3330609911068023E-2</v>
      </c>
      <c r="J42" s="1"/>
      <c r="K42" s="66"/>
      <c r="L42" s="154"/>
      <c r="M42" s="154"/>
    </row>
    <row r="43" spans="1:13">
      <c r="A43" s="113" t="s">
        <v>36</v>
      </c>
      <c r="B43" s="112">
        <f>VLOOKUP(A43,BETA!$F$2:$G$18,2,)</f>
        <v>1.9435082963918671</v>
      </c>
      <c r="C43" s="119" t="s">
        <v>57</v>
      </c>
      <c r="D43" s="231">
        <f>'Aux Info'!K13</f>
        <v>2.521294232097962E-2</v>
      </c>
      <c r="E43" s="118" t="s">
        <v>211</v>
      </c>
      <c r="F43" s="237">
        <f>D28</f>
        <v>0.11037844036697247</v>
      </c>
      <c r="G43" s="3">
        <f>'Aux Info'!L27</f>
        <v>0.19272259769818928</v>
      </c>
      <c r="H43" s="3">
        <f>'Aux Info'!M27</f>
        <v>0.19461467052347275</v>
      </c>
      <c r="I43" s="3">
        <f>'Aux Info'!N27</f>
        <v>9.5109735875604479E-2</v>
      </c>
      <c r="J43" s="1"/>
      <c r="K43" s="66"/>
      <c r="L43" s="154"/>
      <c r="M43" s="154"/>
    </row>
    <row r="44" spans="1:13" ht="17" thickBot="1"/>
    <row r="45" spans="1:13" ht="17" thickBot="1">
      <c r="A45" s="356" t="s">
        <v>347</v>
      </c>
      <c r="B45" s="357"/>
      <c r="C45" s="357"/>
      <c r="D45" s="358"/>
    </row>
    <row r="46" spans="1:13" ht="17" thickBot="1">
      <c r="A46" s="359" t="s">
        <v>348</v>
      </c>
      <c r="B46" s="360"/>
      <c r="C46" s="360"/>
      <c r="D46" s="258" t="s">
        <v>353</v>
      </c>
    </row>
    <row r="47" spans="1:13">
      <c r="A47" s="354" t="s">
        <v>379</v>
      </c>
      <c r="B47" s="355"/>
      <c r="C47" s="355"/>
      <c r="D47" s="259" t="s">
        <v>345</v>
      </c>
    </row>
    <row r="48" spans="1:13" ht="17" thickBot="1">
      <c r="A48" s="361" t="s">
        <v>380</v>
      </c>
      <c r="B48" s="362"/>
      <c r="C48" s="362"/>
      <c r="D48" s="196"/>
    </row>
    <row r="49" spans="1:4">
      <c r="A49" s="354" t="s">
        <v>388</v>
      </c>
      <c r="B49" s="355"/>
      <c r="C49" s="355"/>
      <c r="D49" s="259" t="s">
        <v>345</v>
      </c>
    </row>
    <row r="50" spans="1:4" ht="17" thickBot="1">
      <c r="A50" s="361" t="s">
        <v>389</v>
      </c>
      <c r="B50" s="362"/>
      <c r="C50" s="362"/>
      <c r="D50" s="196"/>
    </row>
    <row r="51" spans="1:4">
      <c r="A51" s="354" t="s">
        <v>420</v>
      </c>
      <c r="B51" s="355"/>
      <c r="C51" s="355"/>
      <c r="D51" s="259" t="s">
        <v>345</v>
      </c>
    </row>
    <row r="52" spans="1:4" ht="17" thickBot="1">
      <c r="A52" s="361" t="s">
        <v>422</v>
      </c>
      <c r="B52" s="362"/>
      <c r="C52" s="362"/>
      <c r="D52" s="196"/>
    </row>
    <row r="53" spans="1:4">
      <c r="A53" s="354" t="s">
        <v>421</v>
      </c>
      <c r="B53" s="355"/>
      <c r="C53" s="355"/>
      <c r="D53" s="259" t="s">
        <v>345</v>
      </c>
    </row>
    <row r="54" spans="1:4" ht="17" thickBot="1">
      <c r="A54" s="361" t="s">
        <v>423</v>
      </c>
      <c r="B54" s="362"/>
      <c r="C54" s="362"/>
      <c r="D54" s="196"/>
    </row>
    <row r="55" spans="1:4">
      <c r="A55" s="354" t="s">
        <v>383</v>
      </c>
      <c r="B55" s="355"/>
      <c r="C55" s="355"/>
      <c r="D55" s="259" t="s">
        <v>345</v>
      </c>
    </row>
    <row r="56" spans="1:4" ht="17" thickBot="1">
      <c r="A56" s="361" t="s">
        <v>417</v>
      </c>
      <c r="B56" s="362"/>
      <c r="C56" s="362"/>
      <c r="D56" s="198"/>
    </row>
    <row r="57" spans="1:4">
      <c r="A57" s="354" t="s">
        <v>418</v>
      </c>
      <c r="B57" s="355"/>
      <c r="C57" s="355"/>
      <c r="D57" s="260" t="s">
        <v>345</v>
      </c>
    </row>
    <row r="58" spans="1:4" ht="17" thickBot="1">
      <c r="A58" s="361" t="s">
        <v>419</v>
      </c>
      <c r="B58" s="362"/>
      <c r="C58" s="362"/>
      <c r="D58" s="197"/>
    </row>
    <row r="59" spans="1:4">
      <c r="A59" s="354" t="s">
        <v>381</v>
      </c>
      <c r="B59" s="355"/>
      <c r="C59" s="355"/>
      <c r="D59" s="259" t="s">
        <v>350</v>
      </c>
    </row>
    <row r="60" spans="1:4" ht="17" thickBot="1">
      <c r="A60" s="373" t="s">
        <v>382</v>
      </c>
      <c r="B60" s="374"/>
      <c r="C60" s="374"/>
      <c r="D60" s="263"/>
    </row>
    <row r="61" spans="1:4">
      <c r="A61" s="375" t="s">
        <v>492</v>
      </c>
      <c r="B61" s="376"/>
      <c r="C61" s="376"/>
      <c r="D61" s="259" t="s">
        <v>194</v>
      </c>
    </row>
    <row r="62" spans="1:4">
      <c r="A62" s="350" t="s">
        <v>501</v>
      </c>
      <c r="B62" s="351"/>
      <c r="C62" s="351"/>
      <c r="D62" s="265" t="s">
        <v>345</v>
      </c>
    </row>
    <row r="63" spans="1:4" ht="17" thickBot="1">
      <c r="A63" s="347" t="s">
        <v>502</v>
      </c>
      <c r="B63" s="348"/>
      <c r="C63" s="349"/>
      <c r="D63" s="269">
        <f>D43</f>
        <v>2.521294232097962E-2</v>
      </c>
    </row>
    <row r="64" spans="1:4" ht="17" thickBot="1">
      <c r="A64" s="377" t="s">
        <v>497</v>
      </c>
      <c r="B64" s="378"/>
      <c r="C64" s="378"/>
      <c r="D64" s="264" t="s">
        <v>352</v>
      </c>
    </row>
    <row r="65" spans="1:4">
      <c r="A65" s="195"/>
      <c r="B65" s="195"/>
      <c r="C65" s="195"/>
      <c r="D65" s="133"/>
    </row>
    <row r="66" spans="1:4">
      <c r="A66" s="195"/>
      <c r="B66" s="195"/>
      <c r="C66" s="195"/>
      <c r="D66" s="133"/>
    </row>
    <row r="67" spans="1:4">
      <c r="A67" s="195"/>
      <c r="B67" s="195"/>
      <c r="C67" s="195"/>
      <c r="D67" s="133"/>
    </row>
    <row r="68" spans="1:4">
      <c r="A68" s="372" t="s">
        <v>386</v>
      </c>
      <c r="B68" s="372"/>
      <c r="C68" s="372"/>
      <c r="D68" s="372"/>
    </row>
    <row r="69" spans="1:4">
      <c r="A69" s="370" t="s">
        <v>387</v>
      </c>
      <c r="B69" s="370"/>
      <c r="C69" s="370"/>
      <c r="D69" s="370"/>
    </row>
    <row r="70" spans="1:4" ht="16" customHeight="1">
      <c r="A70" s="370"/>
      <c r="B70" s="370"/>
      <c r="C70" s="370"/>
      <c r="D70" s="370"/>
    </row>
    <row r="71" spans="1:4">
      <c r="A71" s="370" t="s">
        <v>433</v>
      </c>
      <c r="B71" s="370"/>
      <c r="C71" s="370"/>
      <c r="D71" s="370"/>
    </row>
    <row r="72" spans="1:4">
      <c r="A72" s="370" t="s">
        <v>434</v>
      </c>
      <c r="B72" s="370"/>
      <c r="C72" s="370"/>
      <c r="D72" s="370"/>
    </row>
    <row r="73" spans="1:4">
      <c r="A73" s="371" t="s">
        <v>503</v>
      </c>
      <c r="B73" s="371"/>
      <c r="C73" s="371"/>
      <c r="D73" s="371"/>
    </row>
    <row r="74" spans="1:4">
      <c r="A74" s="371"/>
      <c r="B74" s="371"/>
      <c r="C74" s="371"/>
      <c r="D74" s="371"/>
    </row>
    <row r="75" spans="1:4">
      <c r="A75" s="371"/>
      <c r="B75" s="371"/>
      <c r="C75" s="371"/>
      <c r="D75" s="371"/>
    </row>
  </sheetData>
  <mergeCells count="39">
    <mergeCell ref="A71:D71"/>
    <mergeCell ref="A72:D72"/>
    <mergeCell ref="A73:D75"/>
    <mergeCell ref="A68:D68"/>
    <mergeCell ref="A51:C51"/>
    <mergeCell ref="A53:C53"/>
    <mergeCell ref="A52:C52"/>
    <mergeCell ref="A54:C54"/>
    <mergeCell ref="A60:C60"/>
    <mergeCell ref="A55:C55"/>
    <mergeCell ref="A56:C56"/>
    <mergeCell ref="A58:C58"/>
    <mergeCell ref="A59:C59"/>
    <mergeCell ref="A69:D70"/>
    <mergeCell ref="A61:C61"/>
    <mergeCell ref="A64:C64"/>
    <mergeCell ref="J26:M26"/>
    <mergeCell ref="A1:B1"/>
    <mergeCell ref="C1:D1"/>
    <mergeCell ref="C34:D34"/>
    <mergeCell ref="A32:B32"/>
    <mergeCell ref="A8:B8"/>
    <mergeCell ref="A16:B16"/>
    <mergeCell ref="C16:D16"/>
    <mergeCell ref="C8:D8"/>
    <mergeCell ref="J32:M32"/>
    <mergeCell ref="A63:C63"/>
    <mergeCell ref="A62:C62"/>
    <mergeCell ref="E16:I16"/>
    <mergeCell ref="E22:I22"/>
    <mergeCell ref="E34:I34"/>
    <mergeCell ref="A57:C57"/>
    <mergeCell ref="E28:I28"/>
    <mergeCell ref="A45:D45"/>
    <mergeCell ref="A46:C46"/>
    <mergeCell ref="A47:C47"/>
    <mergeCell ref="A48:C48"/>
    <mergeCell ref="A49:C49"/>
    <mergeCell ref="A50:C50"/>
  </mergeCell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r:uid="{67C55934-3539-F44D-A989-EAC2649CE094}">
          <x14:formula1>
            <xm:f>INDUSTRY!$A$2:$A$97</xm:f>
          </x14:formula1>
          <xm:sqref>A10:A15</xm:sqref>
        </x14:dataValidation>
        <x14:dataValidation type="list" allowBlank="1" showInputMessage="1" showErrorMessage="1" xr:uid="{89D3346C-9457-2149-B0EC-2BAB75EFB549}">
          <x14:formula1>
            <xm:f>'Aux Info'!$B$2:$B$3</xm:f>
          </x14:formula1>
          <xm:sqref>D46</xm:sqref>
        </x14:dataValidation>
        <x14:dataValidation type="list" allowBlank="1" showInputMessage="1" showErrorMessage="1" xr:uid="{B25461D9-165E-4B40-8647-3D9885E3FACC}">
          <x14:formula1>
            <xm:f>'Aux Info'!$A$2:$A$3</xm:f>
          </x14:formula1>
          <xm:sqref>D47 D59 D55 D49 D57 D51 D53 D62</xm:sqref>
        </x14:dataValidation>
        <x14:dataValidation type="list" allowBlank="1" showInputMessage="1" showErrorMessage="1" xr:uid="{D893F45B-4C57-904B-A339-73A1A417F924}">
          <x14:formula1>
            <xm:f>BETA!$F$2:$F$18</xm:f>
          </x14:formula1>
          <xm:sqref>D6</xm:sqref>
        </x14:dataValidation>
        <x14:dataValidation type="list" allowBlank="1" showInputMessage="1" showErrorMessage="1" xr:uid="{15C2ABE9-EB46-4547-A882-040999688C67}">
          <x14:formula1>
            <xm:f>'Aux Info'!$C$2:$C$3</xm:f>
          </x14:formula1>
          <xm:sqref>D61</xm:sqref>
        </x14:dataValidation>
        <x14:dataValidation type="list" allowBlank="1" showInputMessage="1" showErrorMessage="1" xr:uid="{1B8A3B19-364D-6A4B-AE84-5AB66D413328}">
          <x14:formula1>
            <xm:f>'Aux Info'!$D$2:$D$3</xm:f>
          </x14:formula1>
          <xm:sqref>D64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8A3D1-843A-024C-8044-87FE3E23E571}">
  <sheetPr>
    <tabColor rgb="FFFF0000"/>
  </sheetPr>
  <dimension ref="A1:BR97"/>
  <sheetViews>
    <sheetView topLeftCell="H1" workbookViewId="0">
      <pane ySplit="1" topLeftCell="A2" activePane="bottomLeft" state="frozen"/>
      <selection activeCell="Z6" sqref="Z6"/>
      <selection pane="bottomLeft" activeCell="Z6" sqref="Z6"/>
    </sheetView>
  </sheetViews>
  <sheetFormatPr baseColWidth="10" defaultColWidth="20.83203125" defaultRowHeight="16"/>
  <cols>
    <col min="1" max="1" width="33" style="42" bestFit="1" customWidth="1"/>
    <col min="2" max="2" width="20.83203125" style="43"/>
    <col min="3" max="3" width="32.5" style="43" customWidth="1"/>
    <col min="4" max="4" width="20.83203125" style="43"/>
    <col min="5" max="5" width="26.83203125" style="43" customWidth="1"/>
    <col min="6" max="6" width="23.5" style="43" bestFit="1" customWidth="1"/>
    <col min="7" max="7" width="21" style="43" bestFit="1" customWidth="1"/>
    <col min="8" max="8" width="22.83203125" style="43" bestFit="1" customWidth="1"/>
    <col min="9" max="9" width="20.83203125" style="44"/>
    <col min="10" max="10" width="25.6640625" style="43" customWidth="1"/>
    <col min="11" max="11" width="23.83203125" style="43" customWidth="1"/>
    <col min="12" max="13" width="20.83203125" style="43"/>
    <col min="14" max="14" width="20.83203125" style="45"/>
    <col min="15" max="15" width="24.5" style="43" customWidth="1"/>
    <col min="16" max="20" width="20.83203125" style="43"/>
    <col min="21" max="21" width="20.83203125" style="46"/>
    <col min="22" max="23" width="20.83203125" style="43"/>
    <col min="24" max="24" width="25" style="47" customWidth="1"/>
    <col min="25" max="25" width="20.83203125" style="47"/>
    <col min="26" max="26" width="30.6640625" customWidth="1"/>
  </cols>
  <sheetData>
    <row r="1" spans="1:70" s="12" customFormat="1" ht="18">
      <c r="A1" s="4" t="s">
        <v>42</v>
      </c>
      <c r="B1" s="5" t="s">
        <v>43</v>
      </c>
      <c r="C1" s="6" t="s">
        <v>44</v>
      </c>
      <c r="D1" s="5" t="s">
        <v>16</v>
      </c>
      <c r="E1" s="6" t="s">
        <v>45</v>
      </c>
      <c r="F1" s="7" t="s">
        <v>46</v>
      </c>
      <c r="G1" s="7" t="s">
        <v>47</v>
      </c>
      <c r="H1" s="7" t="s">
        <v>48</v>
      </c>
      <c r="I1" s="6" t="s">
        <v>24</v>
      </c>
      <c r="J1" s="5" t="s">
        <v>48</v>
      </c>
      <c r="K1" s="5" t="s">
        <v>47</v>
      </c>
      <c r="L1" s="5" t="s">
        <v>30</v>
      </c>
      <c r="M1" s="8" t="s">
        <v>49</v>
      </c>
      <c r="N1" s="9" t="s">
        <v>50</v>
      </c>
      <c r="O1" s="5" t="s">
        <v>51</v>
      </c>
      <c r="P1" s="9" t="s">
        <v>52</v>
      </c>
      <c r="Q1" s="8" t="s">
        <v>53</v>
      </c>
      <c r="R1" s="8" t="s">
        <v>54</v>
      </c>
      <c r="S1" s="5" t="s">
        <v>25</v>
      </c>
      <c r="T1" s="5" t="s">
        <v>55</v>
      </c>
      <c r="U1" s="8" t="s">
        <v>56</v>
      </c>
      <c r="V1" s="5" t="s">
        <v>57</v>
      </c>
      <c r="W1" s="5" t="s">
        <v>58</v>
      </c>
      <c r="X1" s="10" t="s">
        <v>59</v>
      </c>
      <c r="Y1" s="8" t="s">
        <v>60</v>
      </c>
      <c r="Z1" s="11" t="s">
        <v>61</v>
      </c>
    </row>
    <row r="2" spans="1:70" ht="17">
      <c r="A2" s="13" t="s">
        <v>62</v>
      </c>
      <c r="B2" s="14">
        <v>40</v>
      </c>
      <c r="C2" s="15">
        <v>0.11766352941176469</v>
      </c>
      <c r="D2" s="16">
        <v>6.3760095037404457E-2</v>
      </c>
      <c r="E2" s="15">
        <v>0.12404392182176624</v>
      </c>
      <c r="F2" s="17">
        <v>0.55240429097392141</v>
      </c>
      <c r="G2" s="17">
        <v>1.1535561290322582</v>
      </c>
      <c r="H2" s="17">
        <v>0.78427897059429152</v>
      </c>
      <c r="I2" s="15">
        <v>0.77565051182871181</v>
      </c>
      <c r="J2" s="18">
        <v>0.78427897059429152</v>
      </c>
      <c r="K2" s="18">
        <v>1.1535561290322582</v>
      </c>
      <c r="L2" s="19">
        <v>8.2700651354838714E-2</v>
      </c>
      <c r="M2" s="20">
        <v>0.80950932229454164</v>
      </c>
      <c r="N2" s="21">
        <v>6.9099999999999995E-2</v>
      </c>
      <c r="O2" s="19">
        <v>0.35583790523238196</v>
      </c>
      <c r="P2" s="21">
        <v>6.9876356661950884E-2</v>
      </c>
      <c r="Q2" s="20">
        <v>6.6765068533149199</v>
      </c>
      <c r="R2" s="20">
        <v>1.6638696600015395</v>
      </c>
      <c r="S2" s="16">
        <v>8.3505372652217318</v>
      </c>
      <c r="T2" s="14">
        <v>13.149476084797334</v>
      </c>
      <c r="U2" s="20">
        <v>57.180660984774157</v>
      </c>
      <c r="V2" s="16">
        <v>-2.6332733589721257E-3</v>
      </c>
      <c r="W2" s="19">
        <v>0.21519056422619928</v>
      </c>
      <c r="X2" s="22">
        <v>-8.7986452041058268E-3</v>
      </c>
      <c r="Y2" s="23">
        <v>0.5284590433054126</v>
      </c>
      <c r="Z2" s="24">
        <v>0.153046248</v>
      </c>
      <c r="AA2" s="25"/>
      <c r="AB2" s="25"/>
      <c r="AC2" s="25"/>
      <c r="AD2" s="26"/>
      <c r="AE2" s="27"/>
      <c r="AF2" s="26"/>
      <c r="AG2" s="27"/>
      <c r="AH2" s="28"/>
      <c r="AI2" s="28"/>
      <c r="AJ2" s="28"/>
      <c r="AK2" s="28"/>
      <c r="AL2" s="29"/>
      <c r="AM2" s="29"/>
      <c r="AN2" s="27"/>
      <c r="AO2" s="28"/>
      <c r="AP2" s="27"/>
      <c r="AQ2" s="27"/>
      <c r="AR2" s="27"/>
      <c r="AS2" s="28"/>
      <c r="AT2" s="28"/>
      <c r="AU2" s="28"/>
      <c r="AV2" s="28"/>
      <c r="AW2" s="28"/>
      <c r="AX2" s="28"/>
      <c r="AY2" s="28"/>
      <c r="AZ2" s="30"/>
      <c r="BA2" s="30"/>
      <c r="BB2" s="30"/>
      <c r="BC2" s="30"/>
      <c r="BD2" s="30"/>
      <c r="BE2" s="30"/>
      <c r="BF2" s="30"/>
      <c r="BG2" s="31"/>
      <c r="BH2" s="31"/>
      <c r="BI2" s="28"/>
      <c r="BJ2" s="32"/>
      <c r="BK2" s="32"/>
      <c r="BL2" s="28"/>
      <c r="BM2" s="28"/>
      <c r="BN2" s="26"/>
      <c r="BO2" s="33"/>
      <c r="BP2" s="34"/>
      <c r="BQ2" s="33"/>
      <c r="BR2" s="34"/>
    </row>
    <row r="3" spans="1:70" ht="17">
      <c r="A3" s="13" t="s">
        <v>63</v>
      </c>
      <c r="B3" s="14">
        <v>87</v>
      </c>
      <c r="C3" s="15">
        <v>3.3537083333333328E-2</v>
      </c>
      <c r="D3" s="16">
        <v>0.11593115752074766</v>
      </c>
      <c r="E3" s="15">
        <v>0.11811591234350061</v>
      </c>
      <c r="F3" s="17">
        <v>0.16974516201662179</v>
      </c>
      <c r="G3" s="17">
        <v>1.0826060000000002</v>
      </c>
      <c r="H3" s="17">
        <v>0.99233232129102122</v>
      </c>
      <c r="I3" s="15">
        <v>0.37051124276701169</v>
      </c>
      <c r="J3" s="18">
        <v>0.99233232129102122</v>
      </c>
      <c r="K3" s="18">
        <v>1.0826060000000002</v>
      </c>
      <c r="L3" s="19">
        <v>7.9096384800000002E-2</v>
      </c>
      <c r="M3" s="20">
        <v>0.49061635030186002</v>
      </c>
      <c r="N3" s="21">
        <v>3.9099999999999996E-2</v>
      </c>
      <c r="O3" s="19">
        <v>0.14511294214201653</v>
      </c>
      <c r="P3" s="21">
        <v>7.1401145741052552E-2</v>
      </c>
      <c r="Q3" s="20">
        <v>3.6123522434351791</v>
      </c>
      <c r="R3" s="20">
        <v>2.0885531903606016</v>
      </c>
      <c r="S3" s="16">
        <v>13.962257002205495</v>
      </c>
      <c r="T3" s="14">
        <v>17.674829487185963</v>
      </c>
      <c r="U3" s="20">
        <v>29.341971014130824</v>
      </c>
      <c r="V3" s="16">
        <v>2.0827227577284359E-2</v>
      </c>
      <c r="W3" s="19">
        <v>0.40168930320050011</v>
      </c>
      <c r="X3" s="22">
        <v>0.19110575356145715</v>
      </c>
      <c r="Y3" s="23">
        <v>0.39516822991874895</v>
      </c>
      <c r="Z3" s="24">
        <v>0.128730649</v>
      </c>
      <c r="AA3" s="25"/>
      <c r="AB3" s="25"/>
      <c r="AC3" s="25"/>
      <c r="AD3" s="26"/>
      <c r="AE3" s="27"/>
      <c r="AF3" s="26"/>
      <c r="AG3" s="27"/>
      <c r="AH3" s="28"/>
      <c r="AI3" s="28"/>
      <c r="AJ3" s="28"/>
      <c r="AK3" s="28"/>
      <c r="AL3" s="29"/>
      <c r="AM3" s="29"/>
      <c r="AN3" s="27"/>
      <c r="AO3" s="28"/>
      <c r="AP3" s="27"/>
      <c r="AQ3" s="27"/>
      <c r="AR3" s="27"/>
      <c r="AS3" s="28"/>
      <c r="AT3" s="28"/>
      <c r="AU3" s="28"/>
      <c r="AV3" s="28"/>
      <c r="AW3" s="28"/>
      <c r="AX3" s="28"/>
      <c r="AY3" s="28"/>
      <c r="AZ3" s="30"/>
      <c r="BA3" s="30"/>
      <c r="BB3" s="30"/>
      <c r="BC3" s="30"/>
      <c r="BD3" s="30"/>
      <c r="BE3" s="30"/>
      <c r="BF3" s="30"/>
      <c r="BG3" s="31"/>
      <c r="BH3" s="31"/>
      <c r="BI3" s="28"/>
      <c r="BJ3" s="32"/>
      <c r="BK3" s="32"/>
      <c r="BL3" s="28"/>
      <c r="BM3" s="28"/>
      <c r="BN3" s="26"/>
      <c r="BO3" s="33"/>
      <c r="BP3" s="34"/>
      <c r="BQ3" s="33"/>
      <c r="BR3" s="34"/>
    </row>
    <row r="4" spans="1:70" ht="17">
      <c r="A4" s="13" t="s">
        <v>64</v>
      </c>
      <c r="B4" s="14">
        <v>17</v>
      </c>
      <c r="C4" s="15">
        <v>6.1987500000000001E-2</v>
      </c>
      <c r="D4" s="16">
        <v>0.24573304105918398</v>
      </c>
      <c r="E4" s="15">
        <v>0.12837442895058659</v>
      </c>
      <c r="F4" s="17">
        <v>0.40810106382910344</v>
      </c>
      <c r="G4" s="17">
        <v>1.0088835</v>
      </c>
      <c r="H4" s="17">
        <v>0.67328042235886143</v>
      </c>
      <c r="I4" s="15">
        <v>0.13501065069918713</v>
      </c>
      <c r="J4" s="18">
        <v>0.67328042235886143</v>
      </c>
      <c r="K4" s="18">
        <v>1.0088835</v>
      </c>
      <c r="L4" s="19">
        <v>7.5351281800000003E-2</v>
      </c>
      <c r="M4" s="20">
        <v>0.40200793327749412</v>
      </c>
      <c r="N4" s="21">
        <v>3.9099999999999996E-2</v>
      </c>
      <c r="O4" s="19">
        <v>0.28982370251133716</v>
      </c>
      <c r="P4" s="21">
        <v>5.6403446030331685E-2</v>
      </c>
      <c r="Q4" s="20">
        <v>1.3939105220538028</v>
      </c>
      <c r="R4" s="20">
        <v>1.5580208082577109</v>
      </c>
      <c r="S4" s="16">
        <v>6.5646385971926327</v>
      </c>
      <c r="T4" s="14">
        <v>12.135670651971271</v>
      </c>
      <c r="U4" s="20">
        <v>14.101198010772878</v>
      </c>
      <c r="V4" s="16">
        <v>8.5668339664489848E-2</v>
      </c>
      <c r="W4" s="19">
        <v>1.0167243801745232</v>
      </c>
      <c r="X4" s="22">
        <v>0.24543150444232667</v>
      </c>
      <c r="Y4" s="23">
        <v>0.15274742878729075</v>
      </c>
      <c r="Z4" s="24">
        <v>0.92290153799999997</v>
      </c>
      <c r="AA4" s="25"/>
      <c r="AB4" s="25"/>
      <c r="AC4" s="25"/>
      <c r="AD4" s="26"/>
      <c r="AE4" s="27"/>
      <c r="AF4" s="26"/>
      <c r="AG4" s="27"/>
      <c r="AH4" s="28"/>
      <c r="AI4" s="28"/>
      <c r="AJ4" s="28"/>
      <c r="AK4" s="28"/>
      <c r="AL4" s="29"/>
      <c r="AM4" s="29"/>
      <c r="AN4" s="27"/>
      <c r="AO4" s="28"/>
      <c r="AP4" s="27"/>
      <c r="AQ4" s="27"/>
      <c r="AR4" s="27"/>
      <c r="AS4" s="28"/>
      <c r="AT4" s="28"/>
      <c r="AU4" s="28"/>
      <c r="AV4" s="28"/>
      <c r="AW4" s="28"/>
      <c r="AX4" s="28"/>
      <c r="AY4" s="28"/>
      <c r="AZ4" s="30"/>
      <c r="BA4" s="30"/>
      <c r="BB4" s="30"/>
      <c r="BC4" s="30"/>
      <c r="BD4" s="30"/>
      <c r="BE4" s="30"/>
      <c r="BF4" s="30"/>
      <c r="BG4" s="31"/>
      <c r="BH4" s="31"/>
      <c r="BI4" s="28"/>
      <c r="BJ4" s="32"/>
      <c r="BK4" s="32"/>
      <c r="BL4" s="28"/>
      <c r="BM4" s="28"/>
      <c r="BN4" s="26"/>
      <c r="BO4" s="33"/>
      <c r="BP4" s="34"/>
      <c r="BQ4" s="33"/>
      <c r="BR4" s="34"/>
    </row>
    <row r="5" spans="1:70" ht="17">
      <c r="A5" s="13" t="s">
        <v>65</v>
      </c>
      <c r="B5" s="14">
        <v>51</v>
      </c>
      <c r="C5" s="15">
        <v>0.20665733333333333</v>
      </c>
      <c r="D5" s="16">
        <v>0.10353056352637234</v>
      </c>
      <c r="E5" s="15">
        <v>0.10941319492862511</v>
      </c>
      <c r="F5" s="17">
        <v>0.21956744123591901</v>
      </c>
      <c r="G5" s="17">
        <v>1.016773688888889</v>
      </c>
      <c r="H5" s="17">
        <v>0.85095727036123026</v>
      </c>
      <c r="I5" s="15">
        <v>0.14180981641309262</v>
      </c>
      <c r="J5" s="18">
        <v>0.85095727036123026</v>
      </c>
      <c r="K5" s="18">
        <v>1.016773688888889</v>
      </c>
      <c r="L5" s="19">
        <v>7.5752103395555562E-2</v>
      </c>
      <c r="M5" s="20">
        <v>0.59710824385464778</v>
      </c>
      <c r="N5" s="21">
        <v>3.9099999999999996E-2</v>
      </c>
      <c r="O5" s="19">
        <v>0.18003714580425964</v>
      </c>
      <c r="P5" s="21">
        <v>6.4023970713961903E-2</v>
      </c>
      <c r="Q5" s="20">
        <v>1.4407434500519307</v>
      </c>
      <c r="R5" s="20">
        <v>1.988282207787617</v>
      </c>
      <c r="S5" s="16">
        <v>10.973312716373147</v>
      </c>
      <c r="T5" s="14">
        <v>17.903533354519897</v>
      </c>
      <c r="U5" s="20">
        <v>34.875995857048089</v>
      </c>
      <c r="V5" s="16">
        <v>5.9398571977192803E-2</v>
      </c>
      <c r="W5" s="19">
        <v>0.61793361027187155</v>
      </c>
      <c r="X5" s="22">
        <v>7.5884738686825839E-2</v>
      </c>
      <c r="Y5" s="23">
        <v>0.77532499065847216</v>
      </c>
      <c r="Z5" s="24">
        <v>0.22549006199999999</v>
      </c>
      <c r="AA5" s="25"/>
      <c r="AB5" s="25"/>
      <c r="AC5" s="25"/>
      <c r="AD5" s="26"/>
      <c r="AE5" s="27"/>
      <c r="AF5" s="26"/>
      <c r="AG5" s="27"/>
      <c r="AH5" s="28"/>
      <c r="AI5" s="28"/>
      <c r="AJ5" s="28"/>
      <c r="AK5" s="28"/>
      <c r="AL5" s="29"/>
      <c r="AM5" s="29"/>
      <c r="AN5" s="27"/>
      <c r="AO5" s="28"/>
      <c r="AP5" s="27"/>
      <c r="AQ5" s="27"/>
      <c r="AR5" s="27"/>
      <c r="AS5" s="28"/>
      <c r="AT5" s="28"/>
      <c r="AU5" s="28"/>
      <c r="AV5" s="28"/>
      <c r="AW5" s="28"/>
      <c r="AX5" s="28"/>
      <c r="AY5" s="28"/>
      <c r="AZ5" s="30"/>
      <c r="BA5" s="30"/>
      <c r="BB5" s="30"/>
      <c r="BC5" s="30"/>
      <c r="BD5" s="30"/>
      <c r="BE5" s="30"/>
      <c r="BF5" s="30"/>
      <c r="BG5" s="31"/>
      <c r="BH5" s="31"/>
      <c r="BI5" s="28"/>
      <c r="BJ5" s="32"/>
      <c r="BK5" s="32"/>
      <c r="BL5" s="28"/>
      <c r="BM5" s="28"/>
      <c r="BN5" s="26"/>
      <c r="BO5" s="33"/>
      <c r="BP5" s="34"/>
      <c r="BQ5" s="33"/>
      <c r="BR5" s="34"/>
    </row>
    <row r="6" spans="1:70" ht="17">
      <c r="A6" s="13" t="s">
        <v>66</v>
      </c>
      <c r="B6" s="14">
        <v>18</v>
      </c>
      <c r="C6" s="15">
        <v>0.22605428571428571</v>
      </c>
      <c r="D6" s="16">
        <v>8.1453012046274129E-2</v>
      </c>
      <c r="E6" s="15">
        <v>3.9616835728378812E-2</v>
      </c>
      <c r="F6" s="17">
        <v>1.4613838503575227</v>
      </c>
      <c r="G6" s="17">
        <v>1.1974170666666666</v>
      </c>
      <c r="H6" s="17">
        <v>0.59226199691257841</v>
      </c>
      <c r="I6" s="15">
        <v>3.9691310804409387E-2</v>
      </c>
      <c r="J6" s="18">
        <v>0.59226199691257841</v>
      </c>
      <c r="K6" s="18">
        <v>1.1974170666666666</v>
      </c>
      <c r="L6" s="19">
        <v>8.4928786986666657E-2</v>
      </c>
      <c r="M6" s="20">
        <v>0.38590283496274608</v>
      </c>
      <c r="N6" s="21">
        <v>3.61E-2</v>
      </c>
      <c r="O6" s="19">
        <v>0.59372448151280943</v>
      </c>
      <c r="P6" s="21">
        <v>5.0610338378431138E-2</v>
      </c>
      <c r="Q6" s="20">
        <v>1.0215640795230427</v>
      </c>
      <c r="R6" s="20">
        <v>1.2216369022595048</v>
      </c>
      <c r="S6" s="16">
        <v>10.615768300934297</v>
      </c>
      <c r="T6" s="14">
        <v>30.81888306491124</v>
      </c>
      <c r="U6" s="20">
        <v>17.29346566450663</v>
      </c>
      <c r="V6" s="16">
        <v>4.6394620298320775E-2</v>
      </c>
      <c r="W6" s="19">
        <v>1.4732719193374488</v>
      </c>
      <c r="X6" s="22">
        <v>6.0282667436687282E-2</v>
      </c>
      <c r="Y6" s="23">
        <v>0.69488543331336305</v>
      </c>
      <c r="Z6" s="24">
        <v>2.096182507</v>
      </c>
      <c r="AA6" s="25"/>
      <c r="AB6" s="25"/>
      <c r="AC6" s="25"/>
      <c r="AD6" s="26"/>
      <c r="AE6" s="27"/>
      <c r="AF6" s="26"/>
      <c r="AG6" s="27"/>
      <c r="AH6" s="28"/>
      <c r="AI6" s="28"/>
      <c r="AJ6" s="28"/>
      <c r="AK6" s="28"/>
      <c r="AL6" s="29"/>
      <c r="AM6" s="29"/>
      <c r="AN6" s="27"/>
      <c r="AO6" s="28"/>
      <c r="AP6" s="27"/>
      <c r="AQ6" s="27"/>
      <c r="AR6" s="27"/>
      <c r="AS6" s="28"/>
      <c r="AT6" s="28"/>
      <c r="AU6" s="28"/>
      <c r="AV6" s="28"/>
      <c r="AW6" s="28"/>
      <c r="AX6" s="28"/>
      <c r="AY6" s="28"/>
      <c r="AZ6" s="30"/>
      <c r="BA6" s="30"/>
      <c r="BB6" s="30"/>
      <c r="BC6" s="30"/>
      <c r="BD6" s="30"/>
      <c r="BE6" s="30"/>
      <c r="BF6" s="30"/>
      <c r="BG6" s="31"/>
      <c r="BH6" s="31"/>
      <c r="BI6" s="28"/>
      <c r="BJ6" s="32"/>
      <c r="BK6" s="32"/>
      <c r="BL6" s="28"/>
      <c r="BM6" s="28"/>
      <c r="BN6" s="26"/>
      <c r="BO6" s="33"/>
      <c r="BP6" s="34"/>
      <c r="BQ6" s="33"/>
      <c r="BR6" s="34"/>
    </row>
    <row r="7" spans="1:70" ht="17">
      <c r="A7" s="13" t="s">
        <v>67</v>
      </c>
      <c r="B7" s="14">
        <v>62</v>
      </c>
      <c r="C7" s="15">
        <v>7.6424827586206917E-2</v>
      </c>
      <c r="D7" s="16">
        <v>7.7057357521061021E-2</v>
      </c>
      <c r="E7" s="15">
        <v>9.0810958361776176E-2</v>
      </c>
      <c r="F7" s="17">
        <v>0.25719771376583173</v>
      </c>
      <c r="G7" s="17">
        <v>1.0375354385964917</v>
      </c>
      <c r="H7" s="17">
        <v>0.92004456368593335</v>
      </c>
      <c r="I7" s="15">
        <v>0.23785515939170601</v>
      </c>
      <c r="J7" s="18">
        <v>0.92004456368593335</v>
      </c>
      <c r="K7" s="18">
        <v>1.0375354385964917</v>
      </c>
      <c r="L7" s="19">
        <v>7.6806800280701776E-2</v>
      </c>
      <c r="M7" s="20">
        <v>0.56736903824633655</v>
      </c>
      <c r="N7" s="21">
        <v>3.9099999999999996E-2</v>
      </c>
      <c r="O7" s="19">
        <v>0.20458016344574573</v>
      </c>
      <c r="P7" s="21">
        <v>6.6419200625107366E-2</v>
      </c>
      <c r="Q7" s="20">
        <v>2.6880897584225409</v>
      </c>
      <c r="R7" s="20">
        <v>0.97880002291568835</v>
      </c>
      <c r="S7" s="16">
        <v>7.5875087565778463</v>
      </c>
      <c r="T7" s="14">
        <v>10.690393156025467</v>
      </c>
      <c r="U7" s="20">
        <v>20.029193754349482</v>
      </c>
      <c r="V7" s="16">
        <v>7.3866428163659875E-2</v>
      </c>
      <c r="W7" s="19">
        <v>1.0379200407376057</v>
      </c>
      <c r="X7" s="22">
        <v>0.18215596348277338</v>
      </c>
      <c r="Y7" s="23">
        <v>0.13853702849163227</v>
      </c>
      <c r="Z7" s="24">
        <v>0.53928202999999997</v>
      </c>
      <c r="AA7" s="25"/>
      <c r="AB7" s="25"/>
      <c r="AC7" s="25"/>
      <c r="AD7" s="26"/>
      <c r="AE7" s="27"/>
      <c r="AF7" s="26"/>
      <c r="AG7" s="27"/>
      <c r="AH7" s="28"/>
      <c r="AI7" s="28"/>
      <c r="AJ7" s="28"/>
      <c r="AK7" s="28"/>
      <c r="AL7" s="29"/>
      <c r="AM7" s="29"/>
      <c r="AN7" s="27"/>
      <c r="AO7" s="28"/>
      <c r="AP7" s="27"/>
      <c r="AQ7" s="27"/>
      <c r="AR7" s="27"/>
      <c r="AS7" s="28"/>
      <c r="AT7" s="28"/>
      <c r="AU7" s="28"/>
      <c r="AV7" s="28"/>
      <c r="AW7" s="28"/>
      <c r="AX7" s="28"/>
      <c r="AY7" s="28"/>
      <c r="AZ7" s="30"/>
      <c r="BA7" s="30"/>
      <c r="BB7" s="30"/>
      <c r="BC7" s="30"/>
      <c r="BD7" s="30"/>
      <c r="BE7" s="30"/>
      <c r="BF7" s="30"/>
      <c r="BG7" s="31"/>
      <c r="BH7" s="31"/>
      <c r="BI7" s="28"/>
      <c r="BJ7" s="32"/>
      <c r="BK7" s="32"/>
      <c r="BL7" s="28"/>
      <c r="BM7" s="28"/>
      <c r="BN7" s="26"/>
      <c r="BO7" s="33"/>
      <c r="BP7" s="34"/>
      <c r="BQ7" s="33"/>
      <c r="BR7" s="34"/>
    </row>
    <row r="8" spans="1:70" ht="17">
      <c r="A8" s="13" t="s">
        <v>68</v>
      </c>
      <c r="B8" s="14">
        <v>11</v>
      </c>
      <c r="C8" s="15">
        <v>5.2188888888888882E-2</v>
      </c>
      <c r="D8" s="16">
        <v>0.27312354766981001</v>
      </c>
      <c r="E8" s="15">
        <v>-6.8663456196677095E-4</v>
      </c>
      <c r="F8" s="17">
        <v>1.5458460825873146</v>
      </c>
      <c r="G8" s="17">
        <v>0.63754545454545453</v>
      </c>
      <c r="H8" s="17">
        <v>0.32250415910787117</v>
      </c>
      <c r="I8" s="15">
        <v>-6.7827395546844044E-5</v>
      </c>
      <c r="J8" s="18">
        <v>0.32250415910787117</v>
      </c>
      <c r="K8" s="18">
        <v>0.63754545454545453</v>
      </c>
      <c r="L8" s="19">
        <v>5.6487309090909085E-2</v>
      </c>
      <c r="M8" s="20">
        <v>0.33374670463535949</v>
      </c>
      <c r="N8" s="21">
        <v>3.61E-2</v>
      </c>
      <c r="O8" s="19">
        <v>0.60720327641185945</v>
      </c>
      <c r="P8" s="21">
        <v>3.8728709265011832E-2</v>
      </c>
      <c r="Q8" s="20">
        <v>0.13589981997767722</v>
      </c>
      <c r="R8" s="20">
        <v>8.4502108719487019</v>
      </c>
      <c r="S8" s="16" t="s">
        <v>69</v>
      </c>
      <c r="T8" s="14" t="s">
        <v>69</v>
      </c>
      <c r="U8" s="20">
        <v>15.755900801545549</v>
      </c>
      <c r="V8" s="16">
        <v>1.1484865908985705E-2</v>
      </c>
      <c r="W8" s="19" t="s">
        <v>69</v>
      </c>
      <c r="X8" s="22">
        <v>9.9329692082741158E-2</v>
      </c>
      <c r="Y8" s="23">
        <v>0.24572801534248764</v>
      </c>
      <c r="Z8" s="24" t="s">
        <v>69</v>
      </c>
      <c r="AA8" s="25"/>
      <c r="AB8" s="25"/>
      <c r="AC8" s="25"/>
      <c r="AD8" s="26"/>
      <c r="AE8" s="27"/>
      <c r="AF8" s="26"/>
      <c r="AG8" s="27"/>
      <c r="AH8" s="28"/>
      <c r="AI8" s="28"/>
      <c r="AJ8" s="28"/>
      <c r="AK8" s="28"/>
      <c r="AL8" s="29"/>
      <c r="AM8" s="29"/>
      <c r="AN8" s="27"/>
      <c r="AO8" s="28"/>
      <c r="AP8" s="27"/>
      <c r="AQ8" s="27"/>
      <c r="AR8" s="27"/>
      <c r="AS8" s="27"/>
      <c r="AT8" s="27"/>
      <c r="AU8" s="27"/>
      <c r="AV8" s="27"/>
      <c r="AW8" s="27"/>
      <c r="AX8" s="27"/>
      <c r="AY8" s="27"/>
      <c r="AZ8" s="30"/>
      <c r="BA8" s="30"/>
      <c r="BB8" s="30"/>
      <c r="BC8" s="30"/>
      <c r="BD8" s="30"/>
      <c r="BE8" s="30"/>
      <c r="BF8" s="30"/>
      <c r="BG8" s="31"/>
      <c r="BH8" s="31"/>
      <c r="BI8" s="28"/>
      <c r="BJ8" s="32"/>
      <c r="BK8" s="32"/>
      <c r="BL8" s="28"/>
      <c r="BM8" s="28"/>
      <c r="BN8" s="26"/>
      <c r="BO8" s="33"/>
      <c r="BP8" s="34"/>
      <c r="BQ8" s="33"/>
      <c r="BR8" s="34"/>
    </row>
    <row r="9" spans="1:70" ht="17">
      <c r="A9" s="13" t="s">
        <v>70</v>
      </c>
      <c r="B9" s="14">
        <v>612</v>
      </c>
      <c r="C9" s="15">
        <v>8.9641977528089903E-2</v>
      </c>
      <c r="D9" s="16">
        <v>0.25565607267300849</v>
      </c>
      <c r="E9" s="15">
        <v>-1.6135432004762218E-3</v>
      </c>
      <c r="F9" s="17">
        <v>0.5604247350126218</v>
      </c>
      <c r="G9" s="17">
        <v>0.5017112663139327</v>
      </c>
      <c r="H9" s="17">
        <v>0.38572641464055496</v>
      </c>
      <c r="I9" s="15">
        <v>-3.1426510840623038E-4</v>
      </c>
      <c r="J9" s="18">
        <v>0.38572641464055496</v>
      </c>
      <c r="K9" s="18">
        <v>0.5017112663139327</v>
      </c>
      <c r="L9" s="19">
        <v>4.9586932328747779E-2</v>
      </c>
      <c r="M9" s="20">
        <v>0.32075656836480632</v>
      </c>
      <c r="N9" s="21">
        <v>3.61E-2</v>
      </c>
      <c r="O9" s="19">
        <v>0.35914884097763849</v>
      </c>
      <c r="P9" s="21">
        <v>4.1395904678032586E-2</v>
      </c>
      <c r="Q9" s="20">
        <v>0.26166276037215447</v>
      </c>
      <c r="R9" s="20">
        <v>6.270083711081238</v>
      </c>
      <c r="S9" s="16" t="s">
        <v>69</v>
      </c>
      <c r="T9" s="14" t="s">
        <v>69</v>
      </c>
      <c r="U9" s="20">
        <v>23.146890272983217</v>
      </c>
      <c r="V9" s="16">
        <v>4.7579990145541796E-2</v>
      </c>
      <c r="W9" s="19" t="s">
        <v>69</v>
      </c>
      <c r="X9" s="22">
        <v>9.0282785226053111E-2</v>
      </c>
      <c r="Y9" s="23">
        <v>0.30911849704917127</v>
      </c>
      <c r="Z9" s="24" t="s">
        <v>69</v>
      </c>
      <c r="AA9" s="25"/>
      <c r="AB9" s="25"/>
      <c r="AC9" s="25"/>
      <c r="AD9" s="26"/>
      <c r="AE9" s="27"/>
      <c r="AF9" s="26"/>
      <c r="AG9" s="27"/>
      <c r="AH9" s="28"/>
      <c r="AI9" s="28"/>
      <c r="AJ9" s="28"/>
      <c r="AK9" s="28"/>
      <c r="AL9" s="29"/>
      <c r="AM9" s="29"/>
      <c r="AN9" s="27"/>
      <c r="AO9" s="28"/>
      <c r="AP9" s="27"/>
      <c r="AQ9" s="27"/>
      <c r="AR9" s="27"/>
      <c r="AS9" s="27"/>
      <c r="AT9" s="27"/>
      <c r="AU9" s="27"/>
      <c r="AV9" s="27"/>
      <c r="AW9" s="27"/>
      <c r="AX9" s="27"/>
      <c r="AY9" s="27"/>
      <c r="AZ9" s="30"/>
      <c r="BA9" s="30"/>
      <c r="BB9" s="30"/>
      <c r="BC9" s="30"/>
      <c r="BD9" s="30"/>
      <c r="BE9" s="30"/>
      <c r="BF9" s="30"/>
      <c r="BG9" s="31"/>
      <c r="BH9" s="31"/>
      <c r="BI9" s="28"/>
      <c r="BJ9" s="32"/>
      <c r="BK9" s="32"/>
      <c r="BL9" s="28"/>
      <c r="BM9" s="28"/>
      <c r="BN9" s="26"/>
      <c r="BO9" s="33"/>
      <c r="BP9" s="34"/>
      <c r="BQ9" s="33"/>
      <c r="BR9" s="34"/>
    </row>
    <row r="10" spans="1:70" ht="17">
      <c r="A10" s="13" t="s">
        <v>71</v>
      </c>
      <c r="B10" s="14">
        <v>28</v>
      </c>
      <c r="C10" s="15">
        <v>0.11327272727272726</v>
      </c>
      <c r="D10" s="16">
        <v>0.10117669234934104</v>
      </c>
      <c r="E10" s="15">
        <v>0.23413831269501545</v>
      </c>
      <c r="F10" s="17">
        <v>0.25381566599574562</v>
      </c>
      <c r="G10" s="17">
        <v>1.3261961739130437</v>
      </c>
      <c r="H10" s="17">
        <v>1.1198147273755252</v>
      </c>
      <c r="I10" s="15">
        <v>0.24322235482390731</v>
      </c>
      <c r="J10" s="18">
        <v>1.1198147273755252</v>
      </c>
      <c r="K10" s="18">
        <v>1.3261961739130437</v>
      </c>
      <c r="L10" s="19">
        <v>9.1470765634782611E-2</v>
      </c>
      <c r="M10" s="20">
        <v>0.50136994831539672</v>
      </c>
      <c r="N10" s="21">
        <v>3.9099999999999996E-2</v>
      </c>
      <c r="O10" s="19">
        <v>0.2024345945575439</v>
      </c>
      <c r="P10" s="21">
        <v>7.8671427985050349E-2</v>
      </c>
      <c r="Q10" s="20">
        <v>1.1557147356548794</v>
      </c>
      <c r="R10" s="20">
        <v>5.0480833336501325</v>
      </c>
      <c r="S10" s="16">
        <v>17.261491621869354</v>
      </c>
      <c r="T10" s="14">
        <v>21.546071933307097</v>
      </c>
      <c r="U10" s="20">
        <v>49.288944600400328</v>
      </c>
      <c r="V10" s="16">
        <v>0.67316789325851512</v>
      </c>
      <c r="W10" s="19">
        <v>3.9842829935693445</v>
      </c>
      <c r="X10" s="22">
        <v>0.25153233422723742</v>
      </c>
      <c r="Y10" s="23">
        <v>0.20374756806993044</v>
      </c>
      <c r="Z10" s="24">
        <v>0.32584448999999999</v>
      </c>
      <c r="AA10" s="25"/>
      <c r="AB10" s="25"/>
      <c r="AC10" s="25"/>
      <c r="AD10" s="26"/>
      <c r="AE10" s="27"/>
      <c r="AF10" s="26"/>
      <c r="AG10" s="27"/>
      <c r="AH10" s="28"/>
      <c r="AI10" s="28"/>
      <c r="AJ10" s="28"/>
      <c r="AK10" s="28"/>
      <c r="AL10" s="29"/>
      <c r="AM10" s="29"/>
      <c r="AN10" s="27"/>
      <c r="AO10" s="28"/>
      <c r="AP10" s="27"/>
      <c r="AQ10" s="27"/>
      <c r="AR10" s="27"/>
      <c r="AS10" s="28"/>
      <c r="AT10" s="28"/>
      <c r="AU10" s="28"/>
      <c r="AV10" s="28"/>
      <c r="AW10" s="28"/>
      <c r="AX10" s="28"/>
      <c r="AY10" s="28"/>
      <c r="AZ10" s="30"/>
      <c r="BA10" s="30"/>
      <c r="BB10" s="30"/>
      <c r="BC10" s="30"/>
      <c r="BD10" s="30"/>
      <c r="BE10" s="30"/>
      <c r="BF10" s="30"/>
      <c r="BG10" s="31"/>
      <c r="BH10" s="31"/>
      <c r="BI10" s="28"/>
      <c r="BJ10" s="32"/>
      <c r="BK10" s="32"/>
      <c r="BL10" s="28"/>
      <c r="BM10" s="28"/>
      <c r="BN10" s="26"/>
      <c r="BO10" s="33"/>
      <c r="BP10" s="34"/>
      <c r="BQ10" s="33"/>
      <c r="BR10" s="34"/>
    </row>
    <row r="11" spans="1:70" ht="17">
      <c r="A11" s="13" t="s">
        <v>72</v>
      </c>
      <c r="B11" s="14">
        <v>35</v>
      </c>
      <c r="C11" s="15">
        <v>9.4812142857142859E-2</v>
      </c>
      <c r="D11" s="16">
        <v>6.4107167600850154E-2</v>
      </c>
      <c r="E11" s="15">
        <v>0.19324479451208337</v>
      </c>
      <c r="F11" s="17">
        <v>0.22344450346533321</v>
      </c>
      <c r="G11" s="17">
        <v>0.70379614814814828</v>
      </c>
      <c r="H11" s="17">
        <v>0.62680558123550467</v>
      </c>
      <c r="I11" s="15">
        <v>0.24915365465938585</v>
      </c>
      <c r="J11" s="18">
        <v>0.62680558123550467</v>
      </c>
      <c r="K11" s="18">
        <v>0.70379614814814828</v>
      </c>
      <c r="L11" s="19">
        <v>5.9852844325925927E-2</v>
      </c>
      <c r="M11" s="20">
        <v>0.45334168303935457</v>
      </c>
      <c r="N11" s="21">
        <v>3.9099999999999996E-2</v>
      </c>
      <c r="O11" s="19">
        <v>0.18263558570285782</v>
      </c>
      <c r="P11" s="21">
        <v>5.4205343439771819E-2</v>
      </c>
      <c r="Q11" s="20">
        <v>1.3774550797475149</v>
      </c>
      <c r="R11" s="20">
        <v>4.2021129067393153</v>
      </c>
      <c r="S11" s="16">
        <v>17.924877366670366</v>
      </c>
      <c r="T11" s="14">
        <v>21.727845232081037</v>
      </c>
      <c r="U11" s="20">
        <v>39.43773034680914</v>
      </c>
      <c r="V11" s="16">
        <v>5.1108696532790175E-2</v>
      </c>
      <c r="W11" s="19">
        <v>0.41268110832528587</v>
      </c>
      <c r="X11" s="22">
        <v>0.27014335765475006</v>
      </c>
      <c r="Y11" s="23">
        <v>0.84899311893965923</v>
      </c>
      <c r="Z11" s="24">
        <v>0.13025867999999999</v>
      </c>
      <c r="AA11" s="25"/>
      <c r="AB11" s="25"/>
      <c r="AC11" s="25"/>
      <c r="AD11" s="26"/>
      <c r="AE11" s="27"/>
      <c r="AF11" s="26"/>
      <c r="AG11" s="27"/>
      <c r="AH11" s="28"/>
      <c r="AI11" s="28"/>
      <c r="AJ11" s="28"/>
      <c r="AK11" s="28"/>
      <c r="AL11" s="29"/>
      <c r="AM11" s="29"/>
      <c r="AN11" s="27"/>
      <c r="AO11" s="28"/>
      <c r="AP11" s="27"/>
      <c r="AQ11" s="27"/>
      <c r="AR11" s="27"/>
      <c r="AS11" s="28"/>
      <c r="AT11" s="28"/>
      <c r="AU11" s="28"/>
      <c r="AV11" s="28"/>
      <c r="AW11" s="28"/>
      <c r="AX11" s="28"/>
      <c r="AY11" s="28"/>
      <c r="AZ11" s="30"/>
      <c r="BA11" s="30"/>
      <c r="BB11" s="30"/>
      <c r="BC11" s="30"/>
      <c r="BD11" s="30"/>
      <c r="BE11" s="30"/>
      <c r="BF11" s="30"/>
      <c r="BG11" s="31"/>
      <c r="BH11" s="31"/>
      <c r="BI11" s="28"/>
      <c r="BJ11" s="32"/>
      <c r="BK11" s="32"/>
      <c r="BL11" s="28"/>
      <c r="BM11" s="28"/>
      <c r="BN11" s="26"/>
      <c r="BO11" s="33"/>
      <c r="BP11" s="34"/>
      <c r="BQ11" s="33"/>
      <c r="BR11" s="34"/>
    </row>
    <row r="12" spans="1:70" ht="17">
      <c r="A12" s="13" t="s">
        <v>73</v>
      </c>
      <c r="B12" s="14">
        <v>27</v>
      </c>
      <c r="C12" s="15">
        <v>8.1164285714285675E-2</v>
      </c>
      <c r="D12" s="16">
        <v>0.17175695245909475</v>
      </c>
      <c r="E12" s="15">
        <v>0.23451995937625222</v>
      </c>
      <c r="F12" s="17">
        <v>1.0543245705319677</v>
      </c>
      <c r="G12" s="17">
        <v>1.1196444800000001</v>
      </c>
      <c r="H12" s="17">
        <v>0.65097820976724075</v>
      </c>
      <c r="I12" s="15">
        <v>0.21378655366306393</v>
      </c>
      <c r="J12" s="18">
        <v>0.65097820976724075</v>
      </c>
      <c r="K12" s="18">
        <v>1.1196444800000001</v>
      </c>
      <c r="L12" s="19">
        <v>8.0977939584E-2</v>
      </c>
      <c r="M12" s="20">
        <v>0.52300831776904366</v>
      </c>
      <c r="N12" s="21">
        <v>3.9099999999999996E-2</v>
      </c>
      <c r="O12" s="19">
        <v>0.51322200282059138</v>
      </c>
      <c r="P12" s="21">
        <v>5.3876352642131337E-2</v>
      </c>
      <c r="Q12" s="20">
        <v>1.1005045995342084</v>
      </c>
      <c r="R12" s="20">
        <v>2.8336461145306848</v>
      </c>
      <c r="S12" s="16">
        <v>9.185399093365838</v>
      </c>
      <c r="T12" s="14">
        <v>12.0818612104888</v>
      </c>
      <c r="U12" s="20">
        <v>27.840393651771745</v>
      </c>
      <c r="V12" s="16">
        <v>5.4938112173337543E-2</v>
      </c>
      <c r="W12" s="19">
        <v>0.435741850997513</v>
      </c>
      <c r="X12" s="22">
        <v>0.18091268684715056</v>
      </c>
      <c r="Y12" s="23">
        <v>0.40584288002901797</v>
      </c>
      <c r="Z12" s="24">
        <v>0.20470983500000001</v>
      </c>
      <c r="AA12" s="25"/>
      <c r="AB12" s="25"/>
      <c r="AC12" s="25"/>
      <c r="AD12" s="26"/>
      <c r="AE12" s="27"/>
      <c r="AF12" s="26"/>
      <c r="AG12" s="27"/>
      <c r="AH12" s="28"/>
      <c r="AI12" s="28"/>
      <c r="AJ12" s="28"/>
      <c r="AK12" s="28"/>
      <c r="AL12" s="29"/>
      <c r="AM12" s="29"/>
      <c r="AN12" s="27"/>
      <c r="AO12" s="28"/>
      <c r="AP12" s="27"/>
      <c r="AQ12" s="27"/>
      <c r="AR12" s="27"/>
      <c r="AS12" s="28"/>
      <c r="AT12" s="28"/>
      <c r="AU12" s="28"/>
      <c r="AV12" s="28"/>
      <c r="AW12" s="28"/>
      <c r="AX12" s="28"/>
      <c r="AY12" s="28"/>
      <c r="AZ12" s="30"/>
      <c r="BA12" s="30"/>
      <c r="BB12" s="30"/>
      <c r="BC12" s="30"/>
      <c r="BD12" s="30"/>
      <c r="BE12" s="30"/>
      <c r="BF12" s="30"/>
      <c r="BG12" s="31"/>
      <c r="BH12" s="31"/>
      <c r="BI12" s="28"/>
      <c r="BJ12" s="32"/>
      <c r="BK12" s="32"/>
      <c r="BL12" s="28"/>
      <c r="BM12" s="28"/>
      <c r="BN12" s="26"/>
      <c r="BO12" s="33"/>
      <c r="BP12" s="34"/>
      <c r="BQ12" s="33"/>
      <c r="BR12" s="34"/>
    </row>
    <row r="13" spans="1:70" ht="17">
      <c r="A13" s="13" t="s">
        <v>74</v>
      </c>
      <c r="B13" s="14">
        <v>42</v>
      </c>
      <c r="C13" s="15">
        <v>7.8212608695652164E-2</v>
      </c>
      <c r="D13" s="16">
        <v>0.14564429909608287</v>
      </c>
      <c r="E13" s="15">
        <v>1.0718316291085874E-3</v>
      </c>
      <c r="F13" s="17">
        <v>2.1692723898673782</v>
      </c>
      <c r="G13" s="17">
        <v>1.2379532972972973</v>
      </c>
      <c r="H13" s="17">
        <v>0.5441746682636267</v>
      </c>
      <c r="I13" s="15">
        <v>1.8221572666871376E-4</v>
      </c>
      <c r="J13" s="18">
        <v>0.5441746682636267</v>
      </c>
      <c r="K13" s="18">
        <v>1.2379532972972973</v>
      </c>
      <c r="L13" s="19">
        <v>8.6988027502702694E-2</v>
      </c>
      <c r="M13" s="20">
        <v>0.42480670510953039</v>
      </c>
      <c r="N13" s="21">
        <v>3.9099999999999996E-2</v>
      </c>
      <c r="O13" s="19">
        <v>0.68447016318409726</v>
      </c>
      <c r="P13" s="21">
        <v>4.7617776018410725E-2</v>
      </c>
      <c r="Q13" s="20">
        <v>0.19332464920579581</v>
      </c>
      <c r="R13" s="20">
        <v>6.7457728327883579</v>
      </c>
      <c r="S13" s="16" t="s">
        <v>69</v>
      </c>
      <c r="T13" s="14" t="s">
        <v>69</v>
      </c>
      <c r="U13" s="20">
        <v>47.562089388924953</v>
      </c>
      <c r="V13" s="16">
        <v>6.2576786307696197E-2</v>
      </c>
      <c r="W13" s="19">
        <v>453.97062525869899</v>
      </c>
      <c r="X13" s="22">
        <v>0.11399026900793512</v>
      </c>
      <c r="Y13" s="23">
        <v>0.20625381595007058</v>
      </c>
      <c r="Z13" s="24">
        <v>0.36488601300000001</v>
      </c>
      <c r="AA13" s="25"/>
      <c r="AB13" s="25"/>
      <c r="AC13" s="25"/>
      <c r="AD13" s="26"/>
      <c r="AE13" s="27"/>
      <c r="AF13" s="26"/>
      <c r="AG13" s="27"/>
      <c r="AH13" s="28"/>
      <c r="AI13" s="28"/>
      <c r="AJ13" s="28"/>
      <c r="AK13" s="28"/>
      <c r="AL13" s="29"/>
      <c r="AM13" s="29"/>
      <c r="AN13" s="27"/>
      <c r="AO13" s="28"/>
      <c r="AP13" s="27"/>
      <c r="AQ13" s="27"/>
      <c r="AR13" s="27"/>
      <c r="AS13" s="28"/>
      <c r="AT13" s="28"/>
      <c r="AU13" s="28"/>
      <c r="AV13" s="28"/>
      <c r="AW13" s="28"/>
      <c r="AX13" s="28"/>
      <c r="AY13" s="28"/>
      <c r="AZ13" s="30"/>
      <c r="BA13" s="30"/>
      <c r="BB13" s="30"/>
      <c r="BC13" s="30"/>
      <c r="BD13" s="30"/>
      <c r="BE13" s="30"/>
      <c r="BF13" s="30"/>
      <c r="BG13" s="31"/>
      <c r="BH13" s="31"/>
      <c r="BI13" s="28"/>
      <c r="BJ13" s="32"/>
      <c r="BK13" s="32"/>
      <c r="BL13" s="28"/>
      <c r="BM13" s="28"/>
      <c r="BN13" s="26"/>
      <c r="BO13" s="33"/>
      <c r="BP13" s="34"/>
      <c r="BQ13" s="33"/>
      <c r="BR13" s="34"/>
    </row>
    <row r="14" spans="1:70" ht="17">
      <c r="A14" s="13" t="s">
        <v>75</v>
      </c>
      <c r="B14" s="14">
        <v>39</v>
      </c>
      <c r="C14" s="15">
        <v>0.12734107142857143</v>
      </c>
      <c r="D14" s="16">
        <v>0.23339012132209069</v>
      </c>
      <c r="E14" s="15">
        <v>0.10314393562090701</v>
      </c>
      <c r="F14" s="17">
        <v>0.19495623396016287</v>
      </c>
      <c r="G14" s="17">
        <v>1.1089115294117649</v>
      </c>
      <c r="H14" s="17">
        <v>0.98593416861192995</v>
      </c>
      <c r="I14" s="15">
        <v>0.18274340530816907</v>
      </c>
      <c r="J14" s="18">
        <v>0.98593416861192995</v>
      </c>
      <c r="K14" s="18">
        <v>1.1089115294117649</v>
      </c>
      <c r="L14" s="19">
        <v>8.0432705694117645E-2</v>
      </c>
      <c r="M14" s="20">
        <v>0.41014735814818043</v>
      </c>
      <c r="N14" s="21">
        <v>3.9099999999999996E-2</v>
      </c>
      <c r="O14" s="19">
        <v>0.16314926724476361</v>
      </c>
      <c r="P14" s="21">
        <v>7.1472658512230863E-2</v>
      </c>
      <c r="Q14" s="20">
        <v>2.3076895622242444</v>
      </c>
      <c r="R14" s="20">
        <v>1.7781238177383085</v>
      </c>
      <c r="S14" s="16">
        <v>12.797714594989426</v>
      </c>
      <c r="T14" s="14">
        <v>17.224677541753572</v>
      </c>
      <c r="U14" s="20">
        <v>26.552311777493994</v>
      </c>
      <c r="V14" s="16">
        <v>3.0570521627801026E-2</v>
      </c>
      <c r="W14" s="19">
        <v>0.54485795698864192</v>
      </c>
      <c r="X14" s="22">
        <v>0.22062626555121734</v>
      </c>
      <c r="Y14" s="23">
        <v>0.15291338833054774</v>
      </c>
      <c r="Z14" s="24">
        <v>0.55460539200000003</v>
      </c>
      <c r="AA14" s="25"/>
      <c r="AB14" s="25"/>
      <c r="AC14" s="25"/>
      <c r="AD14" s="26"/>
      <c r="AE14" s="27"/>
      <c r="AF14" s="26"/>
      <c r="AG14" s="27"/>
      <c r="AH14" s="28"/>
      <c r="AI14" s="28"/>
      <c r="AJ14" s="28"/>
      <c r="AK14" s="28"/>
      <c r="AL14" s="29"/>
      <c r="AM14" s="29"/>
      <c r="AN14" s="27"/>
      <c r="AO14" s="28"/>
      <c r="AP14" s="27"/>
      <c r="AQ14" s="27"/>
      <c r="AR14" s="27"/>
      <c r="AS14" s="28"/>
      <c r="AT14" s="28"/>
      <c r="AU14" s="28"/>
      <c r="AV14" s="28"/>
      <c r="AW14" s="28"/>
      <c r="AX14" s="28"/>
      <c r="AY14" s="28"/>
      <c r="AZ14" s="30"/>
      <c r="BA14" s="30"/>
      <c r="BB14" s="30"/>
      <c r="BC14" s="30"/>
      <c r="BD14" s="30"/>
      <c r="BE14" s="30"/>
      <c r="BF14" s="30"/>
      <c r="BG14" s="31"/>
      <c r="BH14" s="31"/>
      <c r="BI14" s="28"/>
      <c r="BJ14" s="32"/>
      <c r="BK14" s="32"/>
      <c r="BL14" s="28"/>
      <c r="BM14" s="28"/>
      <c r="BN14" s="26"/>
      <c r="BO14" s="33"/>
      <c r="BP14" s="34"/>
      <c r="BQ14" s="33"/>
      <c r="BR14" s="34"/>
    </row>
    <row r="15" spans="1:70" ht="17">
      <c r="A15" s="13" t="s">
        <v>76</v>
      </c>
      <c r="B15" s="14">
        <v>169</v>
      </c>
      <c r="C15" s="15">
        <v>5.1456849315068498E-2</v>
      </c>
      <c r="D15" s="16">
        <v>0.11094720271203293</v>
      </c>
      <c r="E15" s="15">
        <v>0.1048591981832996</v>
      </c>
      <c r="F15" s="17">
        <v>0.23090849758208126</v>
      </c>
      <c r="G15" s="17">
        <v>1.1687211594202902</v>
      </c>
      <c r="H15" s="17">
        <v>1.0067303638556147</v>
      </c>
      <c r="I15" s="15">
        <v>0.2636613562564103</v>
      </c>
      <c r="J15" s="18">
        <v>1.0067303638556147</v>
      </c>
      <c r="K15" s="18">
        <v>1.1687211594202902</v>
      </c>
      <c r="L15" s="19">
        <v>8.3471034898550733E-2</v>
      </c>
      <c r="M15" s="20">
        <v>0.49449374951606073</v>
      </c>
      <c r="N15" s="21">
        <v>3.9099999999999996E-2</v>
      </c>
      <c r="O15" s="19">
        <v>0.18759192745493536</v>
      </c>
      <c r="P15" s="21">
        <v>7.1897727661744237E-2</v>
      </c>
      <c r="Q15" s="20">
        <v>2.8163256955189784</v>
      </c>
      <c r="R15" s="20">
        <v>1.9431738489696111</v>
      </c>
      <c r="S15" s="16">
        <v>12.400480755153422</v>
      </c>
      <c r="T15" s="14">
        <v>18.292236260059479</v>
      </c>
      <c r="U15" s="20">
        <v>51.595932449145039</v>
      </c>
      <c r="V15" s="16">
        <v>3.4798924920530577E-2</v>
      </c>
      <c r="W15" s="19">
        <v>0.64086754155270365</v>
      </c>
      <c r="X15" s="22">
        <v>0.17902914767502245</v>
      </c>
      <c r="Y15" s="23">
        <v>0.26333029708836198</v>
      </c>
      <c r="Z15" s="24">
        <v>0.194941105</v>
      </c>
      <c r="AA15" s="25"/>
      <c r="AB15" s="25"/>
      <c r="AC15" s="25"/>
      <c r="AD15" s="26"/>
      <c r="AE15" s="27"/>
      <c r="AF15" s="26"/>
      <c r="AG15" s="27"/>
      <c r="AH15" s="28"/>
      <c r="AI15" s="28"/>
      <c r="AJ15" s="28"/>
      <c r="AK15" s="28"/>
      <c r="AL15" s="29"/>
      <c r="AM15" s="29"/>
      <c r="AN15" s="27"/>
      <c r="AO15" s="28"/>
      <c r="AP15" s="27"/>
      <c r="AQ15" s="27"/>
      <c r="AR15" s="27"/>
      <c r="AS15" s="28"/>
      <c r="AT15" s="28"/>
      <c r="AU15" s="28"/>
      <c r="AV15" s="28"/>
      <c r="AW15" s="28"/>
      <c r="AX15" s="28"/>
      <c r="AY15" s="28"/>
      <c r="AZ15" s="30"/>
      <c r="BA15" s="30"/>
      <c r="BB15" s="30"/>
      <c r="BC15" s="30"/>
      <c r="BD15" s="30"/>
      <c r="BE15" s="30"/>
      <c r="BF15" s="30"/>
      <c r="BG15" s="31"/>
      <c r="BH15" s="31"/>
      <c r="BI15" s="28"/>
      <c r="BJ15" s="32"/>
      <c r="BK15" s="32"/>
      <c r="BL15" s="28"/>
      <c r="BM15" s="28"/>
      <c r="BN15" s="26"/>
      <c r="BO15" s="33"/>
      <c r="BP15" s="34"/>
      <c r="BQ15" s="33"/>
      <c r="BR15" s="34"/>
    </row>
    <row r="16" spans="1:70" ht="17">
      <c r="A16" s="13" t="s">
        <v>77</v>
      </c>
      <c r="B16" s="14">
        <v>14</v>
      </c>
      <c r="C16" s="15">
        <v>0.11788125000000001</v>
      </c>
      <c r="D16" s="16">
        <v>0.22230071874417964</v>
      </c>
      <c r="E16" s="15">
        <v>0.18246494472336286</v>
      </c>
      <c r="F16" s="17">
        <v>0.51612861620770145</v>
      </c>
      <c r="G16" s="17">
        <v>0.92090320000000003</v>
      </c>
      <c r="H16" s="17">
        <v>0.66746834478212691</v>
      </c>
      <c r="I16" s="15">
        <v>0.127220642646932</v>
      </c>
      <c r="J16" s="18">
        <v>0.66746834478212691</v>
      </c>
      <c r="K16" s="18">
        <v>0.92090320000000003</v>
      </c>
      <c r="L16" s="19">
        <v>7.0881882559999998E-2</v>
      </c>
      <c r="M16" s="20">
        <v>0.36325755040348867</v>
      </c>
      <c r="N16" s="21">
        <v>3.61E-2</v>
      </c>
      <c r="O16" s="19">
        <v>0.34042535091692688</v>
      </c>
      <c r="P16" s="21">
        <v>5.5822603650835308E-2</v>
      </c>
      <c r="Q16" s="20">
        <v>0.89651644730502333</v>
      </c>
      <c r="R16" s="20">
        <v>3.4373538415130533</v>
      </c>
      <c r="S16" s="16">
        <v>9.6808596575734924</v>
      </c>
      <c r="T16" s="14">
        <v>18.262456636695699</v>
      </c>
      <c r="U16" s="20">
        <v>111.31451367422611</v>
      </c>
      <c r="V16" s="16">
        <v>-2.3988044638909668E-2</v>
      </c>
      <c r="W16" s="19">
        <v>-0.21328262740383494</v>
      </c>
      <c r="X16" s="22">
        <v>0.11021259943870415</v>
      </c>
      <c r="Y16" s="23">
        <v>0.33212022954805376</v>
      </c>
      <c r="Z16" s="24">
        <v>0.35608575100000001</v>
      </c>
      <c r="AA16" s="25"/>
      <c r="AB16" s="25"/>
      <c r="AC16" s="25"/>
      <c r="AD16" s="26"/>
      <c r="AE16" s="27"/>
      <c r="AF16" s="26"/>
      <c r="AG16" s="27"/>
      <c r="AH16" s="28"/>
      <c r="AI16" s="28"/>
      <c r="AJ16" s="28"/>
      <c r="AK16" s="28"/>
      <c r="AL16" s="29"/>
      <c r="AM16" s="29"/>
      <c r="AN16" s="27"/>
      <c r="AO16" s="28"/>
      <c r="AP16" s="27"/>
      <c r="AQ16" s="27"/>
      <c r="AR16" s="27"/>
      <c r="AS16" s="28"/>
      <c r="AT16" s="28"/>
      <c r="AU16" s="28"/>
      <c r="AV16" s="28"/>
      <c r="AW16" s="28"/>
      <c r="AX16" s="28"/>
      <c r="AY16" s="28"/>
      <c r="AZ16" s="30"/>
      <c r="BA16" s="30"/>
      <c r="BB16" s="30"/>
      <c r="BC16" s="30"/>
      <c r="BD16" s="30"/>
      <c r="BE16" s="30"/>
      <c r="BF16" s="30"/>
      <c r="BG16" s="31"/>
      <c r="BH16" s="31"/>
      <c r="BI16" s="28"/>
      <c r="BJ16" s="32"/>
      <c r="BK16" s="32"/>
      <c r="BL16" s="28"/>
      <c r="BM16" s="28"/>
      <c r="BN16" s="26"/>
      <c r="BO16" s="33"/>
      <c r="BP16" s="34"/>
      <c r="BQ16" s="33"/>
      <c r="BR16" s="34"/>
    </row>
    <row r="17" spans="1:70" ht="17">
      <c r="A17" s="13" t="s">
        <v>78</v>
      </c>
      <c r="B17" s="14">
        <v>38</v>
      </c>
      <c r="C17" s="15">
        <v>1.6253333333333328E-2</v>
      </c>
      <c r="D17" s="16">
        <v>9.7560990895872418E-2</v>
      </c>
      <c r="E17" s="15">
        <v>0.10914284037033758</v>
      </c>
      <c r="F17" s="17">
        <v>0.36958544869454857</v>
      </c>
      <c r="G17" s="17">
        <v>1.1976210526315785</v>
      </c>
      <c r="H17" s="17">
        <v>0.96489988547058825</v>
      </c>
      <c r="I17" s="15">
        <v>0.14431255484817776</v>
      </c>
      <c r="J17" s="18">
        <v>0.96489988547058825</v>
      </c>
      <c r="K17" s="18">
        <v>1.1976210526315785</v>
      </c>
      <c r="L17" s="19">
        <v>8.4939149473684181E-2</v>
      </c>
      <c r="M17" s="20">
        <v>0.5939018407872767</v>
      </c>
      <c r="N17" s="21">
        <v>3.9099999999999996E-2</v>
      </c>
      <c r="O17" s="19">
        <v>0.26985205563247427</v>
      </c>
      <c r="P17" s="21">
        <v>6.8805005093485597E-2</v>
      </c>
      <c r="Q17" s="20">
        <v>1.4619566241192159</v>
      </c>
      <c r="R17" s="20">
        <v>1.7593937879005495</v>
      </c>
      <c r="S17" s="16">
        <v>9.66699820653111</v>
      </c>
      <c r="T17" s="14">
        <v>16.062965403914113</v>
      </c>
      <c r="U17" s="20">
        <v>38.304547727900854</v>
      </c>
      <c r="V17" s="16">
        <v>3.1258404517391057E-2</v>
      </c>
      <c r="W17" s="19">
        <v>0.47816613292908677</v>
      </c>
      <c r="X17" s="22">
        <v>0.1761383470251644</v>
      </c>
      <c r="Y17" s="23">
        <v>0.2728781235104773</v>
      </c>
      <c r="Z17" s="24">
        <v>0.40603734200000002</v>
      </c>
      <c r="AA17" s="25"/>
      <c r="AB17" s="25"/>
      <c r="AC17" s="25"/>
      <c r="AD17" s="26"/>
      <c r="AE17" s="27"/>
      <c r="AF17" s="26"/>
      <c r="AG17" s="27"/>
      <c r="AH17" s="28"/>
      <c r="AI17" s="28"/>
      <c r="AJ17" s="28"/>
      <c r="AK17" s="28"/>
      <c r="AL17" s="29"/>
      <c r="AM17" s="29"/>
      <c r="AN17" s="27"/>
      <c r="AO17" s="28"/>
      <c r="AP17" s="27"/>
      <c r="AQ17" s="27"/>
      <c r="AR17" s="27"/>
      <c r="AS17" s="28"/>
      <c r="AT17" s="28"/>
      <c r="AU17" s="28"/>
      <c r="AV17" s="28"/>
      <c r="AW17" s="28"/>
      <c r="AX17" s="28"/>
      <c r="AY17" s="28"/>
      <c r="AZ17" s="30"/>
      <c r="BA17" s="30"/>
      <c r="BB17" s="30"/>
      <c r="BC17" s="30"/>
      <c r="BD17" s="30"/>
      <c r="BE17" s="30"/>
      <c r="BF17" s="30"/>
      <c r="BG17" s="31"/>
      <c r="BH17" s="31"/>
      <c r="BI17" s="28"/>
      <c r="BJ17" s="32"/>
      <c r="BK17" s="32"/>
      <c r="BL17" s="28"/>
      <c r="BM17" s="28"/>
      <c r="BN17" s="26"/>
      <c r="BO17" s="33"/>
      <c r="BP17" s="34"/>
      <c r="BQ17" s="33"/>
      <c r="BR17" s="34"/>
    </row>
    <row r="18" spans="1:70" ht="17">
      <c r="A18" s="13" t="s">
        <v>79</v>
      </c>
      <c r="B18" s="14">
        <v>7</v>
      </c>
      <c r="C18" s="15">
        <v>-2.5430000000000001E-2</v>
      </c>
      <c r="D18" s="16">
        <v>0.11655015340305118</v>
      </c>
      <c r="E18" s="15">
        <v>0.12034184669661185</v>
      </c>
      <c r="F18" s="17">
        <v>0.25815070045039268</v>
      </c>
      <c r="G18" s="17">
        <v>2.0339520000000002</v>
      </c>
      <c r="H18" s="17">
        <v>1.7946860305975219</v>
      </c>
      <c r="I18" s="15">
        <v>0.16590600197532404</v>
      </c>
      <c r="J18" s="18">
        <v>1.7946860305975219</v>
      </c>
      <c r="K18" s="18">
        <v>2.0339520000000002</v>
      </c>
      <c r="L18" s="19">
        <v>0.12742476160000002</v>
      </c>
      <c r="M18" s="20">
        <v>0.68622838192890223</v>
      </c>
      <c r="N18" s="21">
        <v>4.6600000000000003E-2</v>
      </c>
      <c r="O18" s="19">
        <v>0.20518265447690798</v>
      </c>
      <c r="P18" s="21">
        <v>0.10775814585802992</v>
      </c>
      <c r="Q18" s="20">
        <v>1.5304583323466543</v>
      </c>
      <c r="R18" s="20">
        <v>2.8993910430486194</v>
      </c>
      <c r="S18" s="16">
        <v>15.832288275324883</v>
      </c>
      <c r="T18" s="14">
        <v>24.092802231510959</v>
      </c>
      <c r="U18" s="20">
        <v>30.215486723401334</v>
      </c>
      <c r="V18" s="16">
        <v>-1.2108456953235454E-2</v>
      </c>
      <c r="W18" s="19">
        <v>-1.446180511231775E-2</v>
      </c>
      <c r="X18" s="22">
        <v>0.12284157147150912</v>
      </c>
      <c r="Y18" s="23">
        <v>0.58061388625696841</v>
      </c>
      <c r="Z18" s="24">
        <v>0.36932405499999998</v>
      </c>
      <c r="AA18" s="25"/>
      <c r="AB18" s="25"/>
      <c r="AC18" s="25"/>
      <c r="AD18" s="26"/>
      <c r="AE18" s="27"/>
      <c r="AF18" s="26"/>
      <c r="AG18" s="27"/>
      <c r="AH18" s="28"/>
      <c r="AI18" s="28"/>
      <c r="AJ18" s="28"/>
      <c r="AK18" s="28"/>
      <c r="AL18" s="29"/>
      <c r="AM18" s="29"/>
      <c r="AN18" s="27"/>
      <c r="AO18" s="28"/>
      <c r="AP18" s="27"/>
      <c r="AQ18" s="27"/>
      <c r="AR18" s="27"/>
      <c r="AS18" s="28"/>
      <c r="AT18" s="28"/>
      <c r="AU18" s="28"/>
      <c r="AV18" s="28"/>
      <c r="AW18" s="28"/>
      <c r="AX18" s="28"/>
      <c r="AY18" s="28"/>
      <c r="AZ18" s="30"/>
      <c r="BA18" s="30"/>
      <c r="BB18" s="30"/>
      <c r="BC18" s="30"/>
      <c r="BD18" s="30"/>
      <c r="BE18" s="30"/>
      <c r="BF18" s="30"/>
      <c r="BG18" s="31"/>
      <c r="BH18" s="31"/>
      <c r="BI18" s="28"/>
      <c r="BJ18" s="32"/>
      <c r="BK18" s="32"/>
      <c r="BL18" s="28"/>
      <c r="BM18" s="28"/>
      <c r="BN18" s="26"/>
      <c r="BO18" s="33"/>
      <c r="BP18" s="34"/>
      <c r="BQ18" s="33"/>
      <c r="BR18" s="34"/>
    </row>
    <row r="19" spans="1:70" ht="17">
      <c r="A19" s="13" t="s">
        <v>80</v>
      </c>
      <c r="B19" s="14">
        <v>99</v>
      </c>
      <c r="C19" s="15">
        <v>1.4687058823529411E-2</v>
      </c>
      <c r="D19" s="16">
        <v>9.6445497066591945E-2</v>
      </c>
      <c r="E19" s="15">
        <v>0.1349711256848892</v>
      </c>
      <c r="F19" s="17">
        <v>0.27033919334590673</v>
      </c>
      <c r="G19" s="17">
        <v>1.1145862988505748</v>
      </c>
      <c r="H19" s="17">
        <v>0.94849956435812488</v>
      </c>
      <c r="I19" s="15">
        <v>0.16740059629441265</v>
      </c>
      <c r="J19" s="18">
        <v>0.94849956435812488</v>
      </c>
      <c r="K19" s="18">
        <v>1.1145862988505748</v>
      </c>
      <c r="L19" s="19">
        <v>8.0720983981609193E-2</v>
      </c>
      <c r="M19" s="20">
        <v>0.59686773150691852</v>
      </c>
      <c r="N19" s="21">
        <v>3.9099999999999996E-2</v>
      </c>
      <c r="O19" s="19">
        <v>0.21280866933961851</v>
      </c>
      <c r="P19" s="21">
        <v>6.9253534016831028E-2</v>
      </c>
      <c r="Q19" s="20">
        <v>1.3659769095123069</v>
      </c>
      <c r="R19" s="20">
        <v>2.7905593968738973</v>
      </c>
      <c r="S19" s="16">
        <v>13.893471273061243</v>
      </c>
      <c r="T19" s="14">
        <v>20.595830329466956</v>
      </c>
      <c r="U19" s="20">
        <v>165.87770683476504</v>
      </c>
      <c r="V19" s="16">
        <v>0.10439770533973879</v>
      </c>
      <c r="W19" s="19">
        <v>1.0583969985967021</v>
      </c>
      <c r="X19" s="22">
        <v>0.14256515681397558</v>
      </c>
      <c r="Y19" s="23">
        <v>0.3978527444703579</v>
      </c>
      <c r="Z19" s="24">
        <v>0.20919285800000001</v>
      </c>
      <c r="AA19" s="25"/>
      <c r="AB19" s="25"/>
      <c r="AC19" s="25"/>
      <c r="AD19" s="26"/>
      <c r="AE19" s="27"/>
      <c r="AF19" s="26"/>
      <c r="AG19" s="27"/>
      <c r="AH19" s="28"/>
      <c r="AI19" s="28"/>
      <c r="AJ19" s="28"/>
      <c r="AK19" s="28"/>
      <c r="AL19" s="29"/>
      <c r="AM19" s="29"/>
      <c r="AN19" s="27"/>
      <c r="AO19" s="28"/>
      <c r="AP19" s="27"/>
      <c r="AQ19" s="27"/>
      <c r="AR19" s="27"/>
      <c r="AS19" s="28"/>
      <c r="AT19" s="28"/>
      <c r="AU19" s="28"/>
      <c r="AV19" s="28"/>
      <c r="AW19" s="28"/>
      <c r="AX19" s="28"/>
      <c r="AY19" s="28"/>
      <c r="AZ19" s="30"/>
      <c r="BA19" s="30"/>
      <c r="BB19" s="30"/>
      <c r="BC19" s="30"/>
      <c r="BD19" s="30"/>
      <c r="BE19" s="30"/>
      <c r="BF19" s="30"/>
      <c r="BG19" s="31"/>
      <c r="BH19" s="31"/>
      <c r="BI19" s="28"/>
      <c r="BJ19" s="32"/>
      <c r="BK19" s="32"/>
      <c r="BL19" s="28"/>
      <c r="BM19" s="28"/>
      <c r="BN19" s="26"/>
      <c r="BO19" s="33"/>
      <c r="BP19" s="34"/>
      <c r="BQ19" s="33"/>
      <c r="BR19" s="34"/>
    </row>
    <row r="20" spans="1:70" ht="17">
      <c r="A20" s="13" t="s">
        <v>81</v>
      </c>
      <c r="B20" s="14">
        <v>30</v>
      </c>
      <c r="C20" s="15">
        <v>-4.0905714285714288E-2</v>
      </c>
      <c r="D20" s="16">
        <v>4.9422142800713907E-2</v>
      </c>
      <c r="E20" s="15">
        <v>8.8671732419013577E-2</v>
      </c>
      <c r="F20" s="17">
        <v>0.3940348842177489</v>
      </c>
      <c r="G20" s="17">
        <v>1.2487860000000002</v>
      </c>
      <c r="H20" s="17">
        <v>1.0423911214911201</v>
      </c>
      <c r="I20" s="15">
        <v>8.5314375936732162E-2</v>
      </c>
      <c r="J20" s="18">
        <v>1.0423911214911201</v>
      </c>
      <c r="K20" s="18">
        <v>1.2487860000000002</v>
      </c>
      <c r="L20" s="19">
        <v>8.7538328800000009E-2</v>
      </c>
      <c r="M20" s="20">
        <v>0.90614735376578259</v>
      </c>
      <c r="N20" s="21">
        <v>8.1600000000000006E-2</v>
      </c>
      <c r="O20" s="19">
        <v>0.28265783638467434</v>
      </c>
      <c r="P20" s="21">
        <v>7.9567400558558377E-2</v>
      </c>
      <c r="Q20" s="20">
        <v>1.0312085277483614</v>
      </c>
      <c r="R20" s="20">
        <v>1.012423159944593</v>
      </c>
      <c r="S20" s="16">
        <v>3.9282908554965892</v>
      </c>
      <c r="T20" s="14">
        <v>9.2366475521821112</v>
      </c>
      <c r="U20" s="20">
        <v>1276.0219004571425</v>
      </c>
      <c r="V20" s="16">
        <v>-6.4574555279055479E-2</v>
      </c>
      <c r="W20" s="19">
        <v>-0.49883540888825989</v>
      </c>
      <c r="X20" s="22" t="s">
        <v>69</v>
      </c>
      <c r="Y20" s="23">
        <v>0.15728551034563384</v>
      </c>
      <c r="Z20" s="24">
        <v>2.2692690789999999</v>
      </c>
      <c r="AA20" s="25"/>
      <c r="AB20" s="25"/>
      <c r="AC20" s="25"/>
      <c r="AD20" s="26"/>
      <c r="AE20" s="27"/>
      <c r="AF20" s="26"/>
      <c r="AG20" s="27"/>
      <c r="AH20" s="28"/>
      <c r="AI20" s="28"/>
      <c r="AJ20" s="28"/>
      <c r="AK20" s="28"/>
      <c r="AL20" s="29"/>
      <c r="AM20" s="29"/>
      <c r="AN20" s="27"/>
      <c r="AO20" s="28"/>
      <c r="AP20" s="27"/>
      <c r="AQ20" s="27"/>
      <c r="AR20" s="27"/>
      <c r="AS20" s="28"/>
      <c r="AT20" s="28"/>
      <c r="AU20" s="28"/>
      <c r="AV20" s="28"/>
      <c r="AW20" s="28"/>
      <c r="AX20" s="28"/>
      <c r="AY20" s="28"/>
      <c r="AZ20" s="30"/>
      <c r="BA20" s="30"/>
      <c r="BB20" s="30"/>
      <c r="BC20" s="30"/>
      <c r="BD20" s="30"/>
      <c r="BE20" s="30"/>
      <c r="BF20" s="30"/>
      <c r="BG20" s="31"/>
      <c r="BH20" s="31"/>
      <c r="BI20" s="28"/>
      <c r="BJ20" s="32"/>
      <c r="BK20" s="32"/>
      <c r="BL20" s="28"/>
      <c r="BM20" s="28"/>
      <c r="BN20" s="26"/>
      <c r="BO20" s="33"/>
      <c r="BP20" s="34"/>
      <c r="BQ20" s="33"/>
      <c r="BR20" s="34"/>
    </row>
    <row r="21" spans="1:70" ht="17">
      <c r="A21" s="13" t="s">
        <v>82</v>
      </c>
      <c r="B21" s="14">
        <v>111</v>
      </c>
      <c r="C21" s="15">
        <v>0.15305092592592595</v>
      </c>
      <c r="D21" s="16">
        <v>9.3989879226364606E-2</v>
      </c>
      <c r="E21" s="15">
        <v>8.2996219021859372E-2</v>
      </c>
      <c r="F21" s="17">
        <v>0.27193406584021618</v>
      </c>
      <c r="G21" s="17">
        <v>1.1013092473118284</v>
      </c>
      <c r="H21" s="17">
        <v>0.94403176532379973</v>
      </c>
      <c r="I21" s="15">
        <v>0.27960737590311713</v>
      </c>
      <c r="J21" s="18">
        <v>0.94403176532379973</v>
      </c>
      <c r="K21" s="18">
        <v>1.1013092473118284</v>
      </c>
      <c r="L21" s="19">
        <v>8.0046509763440882E-2</v>
      </c>
      <c r="M21" s="20">
        <v>0.48530569398662998</v>
      </c>
      <c r="N21" s="21">
        <v>3.9099999999999996E-2</v>
      </c>
      <c r="O21" s="19">
        <v>0.2137957250642403</v>
      </c>
      <c r="P21" s="21">
        <v>6.8186018386027197E-2</v>
      </c>
      <c r="Q21" s="20">
        <v>3.6946039130102197</v>
      </c>
      <c r="R21" s="20">
        <v>1.3377809169497061</v>
      </c>
      <c r="S21" s="16">
        <v>11.099665603984972</v>
      </c>
      <c r="T21" s="14">
        <v>16.092620851374065</v>
      </c>
      <c r="U21" s="20">
        <v>40.329456524881195</v>
      </c>
      <c r="V21" s="16">
        <v>1.440333957590709E-2</v>
      </c>
      <c r="W21" s="19">
        <v>0.22996248335630518</v>
      </c>
      <c r="X21" s="22">
        <v>0.21774188750860865</v>
      </c>
      <c r="Y21" s="23">
        <v>0.38552173255619815</v>
      </c>
      <c r="Z21" s="24">
        <v>0.125389158</v>
      </c>
      <c r="AA21" s="25"/>
      <c r="AB21" s="25"/>
      <c r="AC21" s="25"/>
      <c r="AD21" s="26"/>
      <c r="AE21" s="27"/>
      <c r="AF21" s="26"/>
      <c r="AG21" s="27"/>
      <c r="AH21" s="28"/>
      <c r="AI21" s="28"/>
      <c r="AJ21" s="28"/>
      <c r="AK21" s="28"/>
      <c r="AL21" s="29"/>
      <c r="AM21" s="29"/>
      <c r="AN21" s="27"/>
      <c r="AO21" s="28"/>
      <c r="AP21" s="27"/>
      <c r="AQ21" s="27"/>
      <c r="AR21" s="27"/>
      <c r="AS21" s="28"/>
      <c r="AT21" s="28"/>
      <c r="AU21" s="28"/>
      <c r="AV21" s="28"/>
      <c r="AW21" s="28"/>
      <c r="AX21" s="28"/>
      <c r="AY21" s="28"/>
      <c r="AZ21" s="30"/>
      <c r="BA21" s="30"/>
      <c r="BB21" s="30"/>
      <c r="BC21" s="30"/>
      <c r="BD21" s="30"/>
      <c r="BE21" s="30"/>
      <c r="BF21" s="30"/>
      <c r="BG21" s="31"/>
      <c r="BH21" s="31"/>
      <c r="BI21" s="28"/>
      <c r="BJ21" s="32"/>
      <c r="BK21" s="32"/>
      <c r="BL21" s="28"/>
      <c r="BM21" s="28"/>
      <c r="BN21" s="26"/>
      <c r="BO21" s="33"/>
      <c r="BP21" s="34"/>
      <c r="BQ21" s="33"/>
      <c r="BR21" s="34"/>
    </row>
    <row r="22" spans="1:70" ht="17">
      <c r="A22" s="13" t="s">
        <v>83</v>
      </c>
      <c r="B22" s="14">
        <v>58</v>
      </c>
      <c r="C22" s="15">
        <v>-2.6733333333333342E-2</v>
      </c>
      <c r="D22" s="16">
        <v>5.0338366458315402E-2</v>
      </c>
      <c r="E22" s="15">
        <v>0.19761590284105771</v>
      </c>
      <c r="F22" s="17">
        <v>0.16911290030692416</v>
      </c>
      <c r="G22" s="17">
        <v>1.0096550769230772</v>
      </c>
      <c r="H22" s="17">
        <v>0.92832562744044655</v>
      </c>
      <c r="I22" s="15">
        <v>0.23859785285448615</v>
      </c>
      <c r="J22" s="18">
        <v>0.92832562744044655</v>
      </c>
      <c r="K22" s="18">
        <v>1.0096550769230772</v>
      </c>
      <c r="L22" s="19">
        <v>7.5390477907692321E-2</v>
      </c>
      <c r="M22" s="20">
        <v>0.61378482546818147</v>
      </c>
      <c r="N22" s="21">
        <v>3.9099999999999996E-2</v>
      </c>
      <c r="O22" s="19">
        <v>0.14465061523359068</v>
      </c>
      <c r="P22" s="21">
        <v>6.8367820773180057E-2</v>
      </c>
      <c r="Q22" s="20">
        <v>1.2548327914833213</v>
      </c>
      <c r="R22" s="20">
        <v>3.0332971263837245</v>
      </c>
      <c r="S22" s="16">
        <v>12.011415397499693</v>
      </c>
      <c r="T22" s="14">
        <v>15.232651704456243</v>
      </c>
      <c r="U22" s="20">
        <v>108.61447948163642</v>
      </c>
      <c r="V22" s="16">
        <v>1.9926098191266686E-2</v>
      </c>
      <c r="W22" s="19">
        <v>3.0424576884912641E-2</v>
      </c>
      <c r="X22" s="22">
        <v>0.22054693891407304</v>
      </c>
      <c r="Y22" s="23">
        <v>0.28943953068942202</v>
      </c>
      <c r="Z22" s="24">
        <v>0.44576285100000002</v>
      </c>
      <c r="AA22" s="25"/>
      <c r="AB22" s="25"/>
      <c r="AC22" s="25"/>
      <c r="AD22" s="26"/>
      <c r="AE22" s="27"/>
      <c r="AF22" s="26"/>
      <c r="AG22" s="27"/>
      <c r="AH22" s="28"/>
      <c r="AI22" s="28"/>
      <c r="AJ22" s="28"/>
      <c r="AK22" s="28"/>
      <c r="AL22" s="29"/>
      <c r="AM22" s="29"/>
      <c r="AN22" s="27"/>
      <c r="AO22" s="28"/>
      <c r="AP22" s="27"/>
      <c r="AQ22" s="27"/>
      <c r="AR22" s="27"/>
      <c r="AS22" s="28"/>
      <c r="AT22" s="28"/>
      <c r="AU22" s="28"/>
      <c r="AV22" s="28"/>
      <c r="AW22" s="28"/>
      <c r="AX22" s="28"/>
      <c r="AY22" s="28"/>
      <c r="AZ22" s="30"/>
      <c r="BA22" s="30"/>
      <c r="BB22" s="30"/>
      <c r="BC22" s="30"/>
      <c r="BD22" s="30"/>
      <c r="BE22" s="30"/>
      <c r="BF22" s="30"/>
      <c r="BG22" s="31"/>
      <c r="BH22" s="31"/>
      <c r="BI22" s="28"/>
      <c r="BJ22" s="32"/>
      <c r="BK22" s="32"/>
      <c r="BL22" s="28"/>
      <c r="BM22" s="28"/>
      <c r="BN22" s="26"/>
      <c r="BO22" s="33"/>
      <c r="BP22" s="34"/>
      <c r="BQ22" s="33"/>
      <c r="BR22" s="34"/>
    </row>
    <row r="23" spans="1:70" ht="17">
      <c r="A23" s="13" t="s">
        <v>84</v>
      </c>
      <c r="B23" s="14">
        <v>49</v>
      </c>
      <c r="C23" s="15">
        <v>6.9450294117647068E-2</v>
      </c>
      <c r="D23" s="16">
        <v>0.17357517942673328</v>
      </c>
      <c r="E23" s="15">
        <v>9.623550741652212E-2</v>
      </c>
      <c r="F23" s="17">
        <v>0.30903145194824744</v>
      </c>
      <c r="G23" s="17">
        <v>1.1206965714285719</v>
      </c>
      <c r="H23" s="17">
        <v>0.9525776924015863</v>
      </c>
      <c r="I23" s="15">
        <v>0.1058815095945073</v>
      </c>
      <c r="J23" s="18">
        <v>0.9525776924015863</v>
      </c>
      <c r="K23" s="18">
        <v>1.1206965714285719</v>
      </c>
      <c r="L23" s="19">
        <v>8.1031385828571445E-2</v>
      </c>
      <c r="M23" s="20">
        <v>0.45667986340616401</v>
      </c>
      <c r="N23" s="21">
        <v>3.9099999999999996E-2</v>
      </c>
      <c r="O23" s="19">
        <v>0.23607641473267291</v>
      </c>
      <c r="P23" s="21">
        <v>6.8454387340263281E-2</v>
      </c>
      <c r="Q23" s="20">
        <v>1.3322952937056411</v>
      </c>
      <c r="R23" s="20">
        <v>2.1425435961839652</v>
      </c>
      <c r="S23" s="16">
        <v>14.508544481292025</v>
      </c>
      <c r="T23" s="14">
        <v>22.182858273124079</v>
      </c>
      <c r="U23" s="20">
        <v>41.997046525944093</v>
      </c>
      <c r="V23" s="16">
        <v>3.5426738101333871E-2</v>
      </c>
      <c r="W23" s="19">
        <v>0.67824624993640759</v>
      </c>
      <c r="X23" s="22">
        <v>0.10834677962284801</v>
      </c>
      <c r="Y23" s="23">
        <v>0.57629201824190834</v>
      </c>
      <c r="Z23" s="24">
        <v>0.28969199400000001</v>
      </c>
      <c r="AA23" s="25"/>
      <c r="AB23" s="25"/>
      <c r="AC23" s="25"/>
      <c r="AD23" s="26"/>
      <c r="AE23" s="27"/>
      <c r="AF23" s="26"/>
      <c r="AG23" s="27"/>
      <c r="AH23" s="28"/>
      <c r="AI23" s="28"/>
      <c r="AJ23" s="28"/>
      <c r="AK23" s="28"/>
      <c r="AL23" s="29"/>
      <c r="AM23" s="29"/>
      <c r="AN23" s="27"/>
      <c r="AO23" s="28"/>
      <c r="AP23" s="27"/>
      <c r="AQ23" s="27"/>
      <c r="AR23" s="27"/>
      <c r="AS23" s="28"/>
      <c r="AT23" s="28"/>
      <c r="AU23" s="28"/>
      <c r="AV23" s="28"/>
      <c r="AW23" s="28"/>
      <c r="AX23" s="28"/>
      <c r="AY23" s="28"/>
      <c r="AZ23" s="30"/>
      <c r="BA23" s="30"/>
      <c r="BB23" s="30"/>
      <c r="BC23" s="30"/>
      <c r="BD23" s="30"/>
      <c r="BE23" s="30"/>
      <c r="BF23" s="30"/>
      <c r="BG23" s="31"/>
      <c r="BH23" s="31"/>
      <c r="BI23" s="28"/>
      <c r="BJ23" s="32"/>
      <c r="BK23" s="32"/>
      <c r="BL23" s="28"/>
      <c r="BM23" s="28"/>
      <c r="BN23" s="26"/>
      <c r="BO23" s="33"/>
      <c r="BP23" s="34"/>
      <c r="BQ23" s="33"/>
      <c r="BR23" s="34"/>
    </row>
    <row r="24" spans="1:70" ht="17">
      <c r="A24" s="13" t="s">
        <v>85</v>
      </c>
      <c r="B24" s="14">
        <v>24</v>
      </c>
      <c r="C24" s="15">
        <v>2.8673333333333328E-2</v>
      </c>
      <c r="D24" s="16">
        <v>0.12089177599225004</v>
      </c>
      <c r="E24" s="15">
        <v>0.1294774415717227</v>
      </c>
      <c r="F24" s="17">
        <v>0.31026713811672979</v>
      </c>
      <c r="G24" s="17">
        <v>1.1944710588235292</v>
      </c>
      <c r="H24" s="17">
        <v>1.0135440097808579</v>
      </c>
      <c r="I24" s="15">
        <v>0.1097763752865651</v>
      </c>
      <c r="J24" s="18">
        <v>1.0135440097808579</v>
      </c>
      <c r="K24" s="18">
        <v>1.1944710588235292</v>
      </c>
      <c r="L24" s="19">
        <v>8.4779129788235277E-2</v>
      </c>
      <c r="M24" s="20">
        <v>0.26823043464696794</v>
      </c>
      <c r="N24" s="21">
        <v>3.61E-2</v>
      </c>
      <c r="O24" s="19">
        <v>0.23679685545856113</v>
      </c>
      <c r="P24" s="21">
        <v>7.0718103603116755E-2</v>
      </c>
      <c r="Q24" s="20">
        <v>0.95944434798558986</v>
      </c>
      <c r="R24" s="20">
        <v>2.6230193570937446</v>
      </c>
      <c r="S24" s="16">
        <v>14.685697722014694</v>
      </c>
      <c r="T24" s="14">
        <v>20.256101702672783</v>
      </c>
      <c r="U24" s="20">
        <v>25.959979965064598</v>
      </c>
      <c r="V24" s="16">
        <v>3.8843875940599404E-2</v>
      </c>
      <c r="W24" s="19">
        <v>0.41674829695807497</v>
      </c>
      <c r="X24" s="22">
        <v>8.9486149202232662E-2</v>
      </c>
      <c r="Y24" s="23">
        <v>0.35252718577957753</v>
      </c>
      <c r="Z24" s="24">
        <v>0.222819025</v>
      </c>
      <c r="AA24" s="25"/>
      <c r="AB24" s="25"/>
      <c r="AC24" s="25"/>
      <c r="AD24" s="26"/>
      <c r="AE24" s="27"/>
      <c r="AF24" s="26"/>
      <c r="AG24" s="27"/>
      <c r="AH24" s="28"/>
      <c r="AI24" s="28"/>
      <c r="AJ24" s="28"/>
      <c r="AK24" s="28"/>
      <c r="AL24" s="29"/>
      <c r="AM24" s="29"/>
      <c r="AN24" s="27"/>
      <c r="AO24" s="28"/>
      <c r="AP24" s="27"/>
      <c r="AQ24" s="27"/>
      <c r="AR24" s="27"/>
      <c r="AS24" s="28"/>
      <c r="AT24" s="28"/>
      <c r="AU24" s="28"/>
      <c r="AV24" s="28"/>
      <c r="AW24" s="28"/>
      <c r="AX24" s="28"/>
      <c r="AY24" s="28"/>
      <c r="AZ24" s="30"/>
      <c r="BA24" s="30"/>
      <c r="BB24" s="30"/>
      <c r="BC24" s="30"/>
      <c r="BD24" s="30"/>
      <c r="BE24" s="30"/>
      <c r="BF24" s="30"/>
      <c r="BG24" s="31"/>
      <c r="BH24" s="31"/>
      <c r="BI24" s="28"/>
      <c r="BJ24" s="32"/>
      <c r="BK24" s="32"/>
      <c r="BL24" s="28"/>
      <c r="BM24" s="28"/>
      <c r="BN24" s="26"/>
      <c r="BO24" s="33"/>
      <c r="BP24" s="34"/>
      <c r="BQ24" s="33"/>
      <c r="BR24" s="34"/>
    </row>
    <row r="25" spans="1:70" ht="17">
      <c r="A25" s="13" t="s">
        <v>86</v>
      </c>
      <c r="B25" s="14">
        <v>459</v>
      </c>
      <c r="C25" s="15">
        <v>0.32284351999999999</v>
      </c>
      <c r="D25" s="16">
        <v>1.3631845747389628E-2</v>
      </c>
      <c r="E25" s="15">
        <v>0.24916901246643255</v>
      </c>
      <c r="F25" s="17">
        <v>0.15095149611085146</v>
      </c>
      <c r="G25" s="17">
        <v>1.4397417229219145</v>
      </c>
      <c r="H25" s="17">
        <v>1.356530917137498</v>
      </c>
      <c r="I25" s="15">
        <v>0.11597451985107489</v>
      </c>
      <c r="J25" s="18">
        <v>1.356530917137498</v>
      </c>
      <c r="K25" s="18">
        <v>1.4397417229219145</v>
      </c>
      <c r="L25" s="19">
        <v>9.7238879524433247E-2</v>
      </c>
      <c r="M25" s="20">
        <v>0.94780627211676105</v>
      </c>
      <c r="N25" s="21">
        <v>8.1600000000000006E-2</v>
      </c>
      <c r="O25" s="19">
        <v>0.1311536555805588</v>
      </c>
      <c r="P25" s="21">
        <v>9.2424377725469242E-2</v>
      </c>
      <c r="Q25" s="20">
        <v>0.44897851819283108</v>
      </c>
      <c r="R25" s="20">
        <v>7.6978720923492494</v>
      </c>
      <c r="S25" s="16">
        <v>13.051547138523908</v>
      </c>
      <c r="T25" s="14">
        <v>24.218971853223948</v>
      </c>
      <c r="U25" s="20">
        <v>69.610534981048886</v>
      </c>
      <c r="V25" s="16">
        <v>9.9002589899939136E-3</v>
      </c>
      <c r="W25" s="19">
        <v>9.8279408386796191E-2</v>
      </c>
      <c r="X25" s="22">
        <v>7.3594542564944354E-2</v>
      </c>
      <c r="Y25" s="23">
        <v>0.6025514918188829</v>
      </c>
      <c r="Z25" s="24">
        <v>0.59976960700000004</v>
      </c>
      <c r="AA25" s="25"/>
      <c r="AB25" s="25"/>
      <c r="AC25" s="25"/>
      <c r="AD25" s="26"/>
      <c r="AE25" s="27"/>
      <c r="AF25" s="26"/>
      <c r="AG25" s="27"/>
      <c r="AH25" s="28"/>
      <c r="AI25" s="28"/>
      <c r="AJ25" s="28"/>
      <c r="AK25" s="28"/>
      <c r="AL25" s="29"/>
      <c r="AM25" s="29"/>
      <c r="AN25" s="27"/>
      <c r="AO25" s="28"/>
      <c r="AP25" s="27"/>
      <c r="AQ25" s="27"/>
      <c r="AR25" s="27"/>
      <c r="AS25" s="28"/>
      <c r="AT25" s="28"/>
      <c r="AU25" s="28"/>
      <c r="AV25" s="28"/>
      <c r="AW25" s="28"/>
      <c r="AX25" s="28"/>
      <c r="AY25" s="28"/>
      <c r="AZ25" s="30"/>
      <c r="BA25" s="30"/>
      <c r="BB25" s="30"/>
      <c r="BC25" s="30"/>
      <c r="BD25" s="30"/>
      <c r="BE25" s="30"/>
      <c r="BF25" s="30"/>
      <c r="BG25" s="31"/>
      <c r="BH25" s="31"/>
      <c r="BI25" s="28"/>
      <c r="BJ25" s="32"/>
      <c r="BK25" s="32"/>
      <c r="BL25" s="28"/>
      <c r="BM25" s="28"/>
      <c r="BN25" s="26"/>
      <c r="BO25" s="33"/>
      <c r="BP25" s="34"/>
      <c r="BQ25" s="33"/>
      <c r="BR25" s="34"/>
    </row>
    <row r="26" spans="1:70" ht="17">
      <c r="A26" s="13" t="s">
        <v>87</v>
      </c>
      <c r="B26" s="14">
        <v>185</v>
      </c>
      <c r="C26" s="15">
        <v>0.28077254901960791</v>
      </c>
      <c r="D26" s="16">
        <v>2.1132187170676182E-2</v>
      </c>
      <c r="E26" s="15">
        <v>0.23628661202417481</v>
      </c>
      <c r="F26" s="17">
        <v>0.14143521933732917</v>
      </c>
      <c r="G26" s="17">
        <v>1.2093351946308735</v>
      </c>
      <c r="H26" s="17">
        <v>1.1295686400812541</v>
      </c>
      <c r="I26" s="15">
        <v>0.17683207506584858</v>
      </c>
      <c r="J26" s="18">
        <v>1.1295686400812541</v>
      </c>
      <c r="K26" s="18">
        <v>1.2093351946308735</v>
      </c>
      <c r="L26" s="19">
        <v>8.5534227887248376E-2</v>
      </c>
      <c r="M26" s="20">
        <v>0.85704121729037708</v>
      </c>
      <c r="N26" s="21">
        <v>6.9099999999999995E-2</v>
      </c>
      <c r="O26" s="19">
        <v>0.12390998362521238</v>
      </c>
      <c r="P26" s="21">
        <v>8.1320337569483592E-2</v>
      </c>
      <c r="Q26" s="20">
        <v>0.71547909999828729</v>
      </c>
      <c r="R26" s="20">
        <v>5.0791894506825948</v>
      </c>
      <c r="S26" s="16">
        <v>14.448735274468474</v>
      </c>
      <c r="T26" s="14">
        <v>20.731247962345652</v>
      </c>
      <c r="U26" s="20">
        <v>366.68512118025086</v>
      </c>
      <c r="V26" s="16">
        <v>0.16271587488249067</v>
      </c>
      <c r="W26" s="19">
        <v>0.81488321535483355</v>
      </c>
      <c r="X26" s="22">
        <v>0.10510488209506678</v>
      </c>
      <c r="Y26" s="23">
        <v>0.83543163174010937</v>
      </c>
      <c r="Z26" s="24">
        <v>9.3191794999999994E-2</v>
      </c>
      <c r="AA26" s="25"/>
      <c r="AB26" s="25"/>
      <c r="AC26" s="25"/>
      <c r="AD26" s="26"/>
      <c r="AE26" s="27"/>
      <c r="AF26" s="26"/>
      <c r="AG26" s="27"/>
      <c r="AH26" s="28"/>
      <c r="AI26" s="28"/>
      <c r="AJ26" s="28"/>
      <c r="AK26" s="28"/>
      <c r="AL26" s="29"/>
      <c r="AM26" s="29"/>
      <c r="AN26" s="27"/>
      <c r="AO26" s="28"/>
      <c r="AP26" s="27"/>
      <c r="AQ26" s="27"/>
      <c r="AR26" s="27"/>
      <c r="AS26" s="28"/>
      <c r="AT26" s="28"/>
      <c r="AU26" s="28"/>
      <c r="AV26" s="28"/>
      <c r="AW26" s="28"/>
      <c r="AX26" s="28"/>
      <c r="AY26" s="28"/>
      <c r="AZ26" s="30"/>
      <c r="BA26" s="30"/>
      <c r="BB26" s="30"/>
      <c r="BC26" s="30"/>
      <c r="BD26" s="30"/>
      <c r="BE26" s="30"/>
      <c r="BF26" s="30"/>
      <c r="BG26" s="31"/>
      <c r="BH26" s="31"/>
      <c r="BI26" s="28"/>
      <c r="BJ26" s="32"/>
      <c r="BK26" s="32"/>
      <c r="BL26" s="28"/>
      <c r="BM26" s="28"/>
      <c r="BN26" s="26"/>
      <c r="BO26" s="33"/>
      <c r="BP26" s="34"/>
      <c r="BQ26" s="33"/>
      <c r="BR26" s="34"/>
    </row>
    <row r="27" spans="1:70" ht="17">
      <c r="A27" s="13" t="s">
        <v>88</v>
      </c>
      <c r="B27" s="14">
        <v>34</v>
      </c>
      <c r="C27" s="15">
        <v>-2.4248333333333337E-2</v>
      </c>
      <c r="D27" s="16">
        <v>8.2412864708489367E-2</v>
      </c>
      <c r="E27" s="15">
        <v>8.1713837174002713E-2</v>
      </c>
      <c r="F27" s="17">
        <v>0.24166970041069061</v>
      </c>
      <c r="G27" s="17">
        <v>1.1532870000000002</v>
      </c>
      <c r="H27" s="17">
        <v>0.95816165213647664</v>
      </c>
      <c r="I27" s="15">
        <v>0.11467007685863126</v>
      </c>
      <c r="J27" s="18">
        <v>0.95816165213647664</v>
      </c>
      <c r="K27" s="18">
        <v>1.1532870000000002</v>
      </c>
      <c r="L27" s="19">
        <v>8.2686979600000002E-2</v>
      </c>
      <c r="M27" s="20">
        <v>0.53589444325058544</v>
      </c>
      <c r="N27" s="21">
        <v>3.9099999999999996E-2</v>
      </c>
      <c r="O27" s="19">
        <v>0.194632840223738</v>
      </c>
      <c r="P27" s="21">
        <v>6.7872145304646497E-2</v>
      </c>
      <c r="Q27" s="20">
        <v>1.5120663231018099</v>
      </c>
      <c r="R27" s="20">
        <v>1.8660583686363723</v>
      </c>
      <c r="S27" s="16">
        <v>10.048510261927769</v>
      </c>
      <c r="T27" s="14">
        <v>21.581270748676506</v>
      </c>
      <c r="U27" s="20">
        <v>32.347630117990953</v>
      </c>
      <c r="V27" s="16">
        <v>3.2817315661696225E-2</v>
      </c>
      <c r="W27" s="19">
        <v>0.62839982770770353</v>
      </c>
      <c r="X27" s="22">
        <v>2.6043390015708566E-2</v>
      </c>
      <c r="Y27" s="23">
        <v>0.29685229628904031</v>
      </c>
      <c r="Z27" s="24">
        <v>0.25371028400000001</v>
      </c>
      <c r="AA27" s="25"/>
      <c r="AB27" s="25"/>
      <c r="AC27" s="25"/>
      <c r="AD27" s="26"/>
      <c r="AE27" s="27"/>
      <c r="AF27" s="26"/>
      <c r="AG27" s="27"/>
      <c r="AH27" s="28"/>
      <c r="AI27" s="28"/>
      <c r="AJ27" s="28"/>
      <c r="AK27" s="28"/>
      <c r="AL27" s="29"/>
      <c r="AM27" s="29"/>
      <c r="AN27" s="27"/>
      <c r="AO27" s="28"/>
      <c r="AP27" s="27"/>
      <c r="AQ27" s="27"/>
      <c r="AR27" s="27"/>
      <c r="AS27" s="28"/>
      <c r="AT27" s="28"/>
      <c r="AU27" s="28"/>
      <c r="AV27" s="28"/>
      <c r="AW27" s="28"/>
      <c r="AX27" s="28"/>
      <c r="AY27" s="28"/>
      <c r="AZ27" s="30"/>
      <c r="BA27" s="30"/>
      <c r="BB27" s="30"/>
      <c r="BC27" s="30"/>
      <c r="BD27" s="30"/>
      <c r="BE27" s="30"/>
      <c r="BF27" s="30"/>
      <c r="BG27" s="31"/>
      <c r="BH27" s="31"/>
      <c r="BI27" s="28"/>
      <c r="BJ27" s="32"/>
      <c r="BK27" s="32"/>
      <c r="BL27" s="28"/>
      <c r="BM27" s="28"/>
      <c r="BN27" s="26"/>
      <c r="BO27" s="33"/>
      <c r="BP27" s="34"/>
      <c r="BQ27" s="33"/>
      <c r="BR27" s="34"/>
    </row>
    <row r="28" spans="1:70" ht="17">
      <c r="A28" s="13" t="s">
        <v>89</v>
      </c>
      <c r="B28" s="14">
        <v>118</v>
      </c>
      <c r="C28" s="15">
        <v>-2.1368163265306134E-2</v>
      </c>
      <c r="D28" s="16">
        <v>5.0604905083211298E-2</v>
      </c>
      <c r="E28" s="15">
        <v>0.11891495086596297</v>
      </c>
      <c r="F28" s="17">
        <v>0.14506289213893606</v>
      </c>
      <c r="G28" s="17">
        <v>1.0848479230769237</v>
      </c>
      <c r="H28" s="17">
        <v>1.0244695712358811</v>
      </c>
      <c r="I28" s="15">
        <v>0.2188365814552507</v>
      </c>
      <c r="J28" s="18">
        <v>1.0244695712358811</v>
      </c>
      <c r="K28" s="18">
        <v>1.0848479230769237</v>
      </c>
      <c r="L28" s="19">
        <v>7.921027449230772E-2</v>
      </c>
      <c r="M28" s="20">
        <v>0.66165257285772261</v>
      </c>
      <c r="N28" s="21">
        <v>4.6600000000000003E-2</v>
      </c>
      <c r="O28" s="19">
        <v>0.12668552368155414</v>
      </c>
      <c r="P28" s="21">
        <v>7.3217730735319606E-2</v>
      </c>
      <c r="Q28" s="20">
        <v>1.9207529099236615</v>
      </c>
      <c r="R28" s="20">
        <v>2.4784693439259424</v>
      </c>
      <c r="S28" s="16">
        <v>13.977399445019261</v>
      </c>
      <c r="T28" s="14">
        <v>19.890726139727281</v>
      </c>
      <c r="U28" s="20">
        <v>23.652056002825354</v>
      </c>
      <c r="V28" s="16">
        <v>8.5824036288174144E-2</v>
      </c>
      <c r="W28" s="19">
        <v>1.0231420988487945</v>
      </c>
      <c r="X28" s="22">
        <v>0.11896399431196676</v>
      </c>
      <c r="Y28" s="23">
        <v>0.57587012623705702</v>
      </c>
      <c r="Z28" s="24">
        <v>0.156061963</v>
      </c>
      <c r="AA28" s="25"/>
      <c r="AB28" s="25"/>
      <c r="AC28" s="25"/>
      <c r="AD28" s="26"/>
      <c r="AE28" s="27"/>
      <c r="AF28" s="26"/>
      <c r="AG28" s="27"/>
      <c r="AH28" s="28"/>
      <c r="AI28" s="28"/>
      <c r="AJ28" s="28"/>
      <c r="AK28" s="28"/>
      <c r="AL28" s="29"/>
      <c r="AM28" s="29"/>
      <c r="AN28" s="27"/>
      <c r="AO28" s="28"/>
      <c r="AP28" s="27"/>
      <c r="AQ28" s="27"/>
      <c r="AR28" s="27"/>
      <c r="AS28" s="28"/>
      <c r="AT28" s="28"/>
      <c r="AU28" s="28"/>
      <c r="AV28" s="28"/>
      <c r="AW28" s="28"/>
      <c r="AX28" s="28"/>
      <c r="AY28" s="28"/>
      <c r="AZ28" s="30"/>
      <c r="BA28" s="30"/>
      <c r="BB28" s="30"/>
      <c r="BC28" s="30"/>
      <c r="BD28" s="30"/>
      <c r="BE28" s="30"/>
      <c r="BF28" s="30"/>
      <c r="BG28" s="31"/>
      <c r="BH28" s="31"/>
      <c r="BI28" s="28"/>
      <c r="BJ28" s="32"/>
      <c r="BK28" s="32"/>
      <c r="BL28" s="28"/>
      <c r="BM28" s="28"/>
      <c r="BN28" s="26"/>
      <c r="BO28" s="33"/>
      <c r="BP28" s="34"/>
      <c r="BQ28" s="33"/>
      <c r="BR28" s="34"/>
    </row>
    <row r="29" spans="1:70" ht="17">
      <c r="A29" s="13" t="s">
        <v>90</v>
      </c>
      <c r="B29" s="14">
        <v>24</v>
      </c>
      <c r="C29" s="15">
        <v>-4.8800000000000059E-3</v>
      </c>
      <c r="D29" s="16">
        <v>5.9802847456957048E-2</v>
      </c>
      <c r="E29" s="15">
        <v>-3.3577692215755454E-2</v>
      </c>
      <c r="F29" s="17">
        <v>4.8675212523912624E-2</v>
      </c>
      <c r="G29" s="17">
        <v>1.092384761904762</v>
      </c>
      <c r="H29" s="17">
        <v>1.0791543873676892</v>
      </c>
      <c r="I29" s="15">
        <v>-5.5411196987165984E-2</v>
      </c>
      <c r="J29" s="18">
        <v>1.0791543873676892</v>
      </c>
      <c r="K29" s="18">
        <v>1.092384761904762</v>
      </c>
      <c r="L29" s="19">
        <v>7.9593145904761908E-2</v>
      </c>
      <c r="M29" s="20">
        <v>0.70222244335200168</v>
      </c>
      <c r="N29" s="21">
        <v>4.6600000000000003E-2</v>
      </c>
      <c r="O29" s="19">
        <v>4.6415908321855846E-2</v>
      </c>
      <c r="P29" s="21">
        <v>7.672581384639704E-2</v>
      </c>
      <c r="Q29" s="20">
        <v>1.3944307598827406</v>
      </c>
      <c r="R29" s="20">
        <v>2.520170595340721</v>
      </c>
      <c r="S29" s="16">
        <v>17.172528416524827</v>
      </c>
      <c r="T29" s="14" t="s">
        <v>69</v>
      </c>
      <c r="U29" s="20">
        <v>79.937559264016897</v>
      </c>
      <c r="V29" s="16">
        <v>-1.2532991891135729E-3</v>
      </c>
      <c r="W29" s="19" t="s">
        <v>69</v>
      </c>
      <c r="X29" s="22">
        <v>-0.15277726893091442</v>
      </c>
      <c r="Y29" s="23">
        <v>1.7780748663101607E-3</v>
      </c>
      <c r="Z29" s="24">
        <v>2.5732313599999999</v>
      </c>
      <c r="AA29" s="25"/>
      <c r="AB29" s="25"/>
      <c r="AC29" s="25"/>
      <c r="AD29" s="26"/>
      <c r="AE29" s="27"/>
      <c r="AF29" s="26"/>
      <c r="AG29" s="27"/>
      <c r="AH29" s="28"/>
      <c r="AI29" s="28"/>
      <c r="AJ29" s="28"/>
      <c r="AK29" s="28"/>
      <c r="AL29" s="29"/>
      <c r="AM29" s="29"/>
      <c r="AN29" s="27"/>
      <c r="AO29" s="28"/>
      <c r="AP29" s="27"/>
      <c r="AQ29" s="27"/>
      <c r="AR29" s="27"/>
      <c r="AS29" s="28"/>
      <c r="AT29" s="28"/>
      <c r="AU29" s="28"/>
      <c r="AV29" s="28"/>
      <c r="AW29" s="28"/>
      <c r="AX29" s="28"/>
      <c r="AY29" s="28"/>
      <c r="AZ29" s="30"/>
      <c r="BA29" s="30"/>
      <c r="BB29" s="30"/>
      <c r="BC29" s="30"/>
      <c r="BD29" s="30"/>
      <c r="BE29" s="30"/>
      <c r="BF29" s="30"/>
      <c r="BG29" s="31"/>
      <c r="BH29" s="31"/>
      <c r="BI29" s="28"/>
      <c r="BJ29" s="32"/>
      <c r="BK29" s="32"/>
      <c r="BL29" s="28"/>
      <c r="BM29" s="28"/>
      <c r="BN29" s="26"/>
      <c r="BO29" s="33"/>
      <c r="BP29" s="34"/>
      <c r="BQ29" s="33"/>
      <c r="BR29" s="34"/>
    </row>
    <row r="30" spans="1:70" ht="17">
      <c r="A30" s="13" t="s">
        <v>91</v>
      </c>
      <c r="B30" s="14">
        <v>167</v>
      </c>
      <c r="C30" s="15">
        <v>6.8428558558558561E-2</v>
      </c>
      <c r="D30" s="16">
        <v>8.3375294121082216E-2</v>
      </c>
      <c r="E30" s="15">
        <v>9.4848247638980948E-2</v>
      </c>
      <c r="F30" s="17">
        <v>0.13435626855681557</v>
      </c>
      <c r="G30" s="17">
        <v>0.93790062337662305</v>
      </c>
      <c r="H30" s="17">
        <v>0.91332212369413268</v>
      </c>
      <c r="I30" s="15">
        <v>0.1355253853322213</v>
      </c>
      <c r="J30" s="18">
        <v>0.91332212369413268</v>
      </c>
      <c r="K30" s="18">
        <v>0.93790062337662305</v>
      </c>
      <c r="L30" s="19">
        <v>7.1745351667532445E-2</v>
      </c>
      <c r="M30" s="20">
        <v>0.60247419004277125</v>
      </c>
      <c r="N30" s="21">
        <v>3.9099999999999996E-2</v>
      </c>
      <c r="O30" s="19">
        <v>0.11844274350222467</v>
      </c>
      <c r="P30" s="21">
        <v>6.6272364485252366E-2</v>
      </c>
      <c r="Q30" s="20">
        <v>1.5026639992275732</v>
      </c>
      <c r="R30" s="20">
        <v>2.1188319410876901</v>
      </c>
      <c r="S30" s="16">
        <v>13.16329528818911</v>
      </c>
      <c r="T30" s="14">
        <v>21.932010099246657</v>
      </c>
      <c r="U30" s="20">
        <v>182.29977513069738</v>
      </c>
      <c r="V30" s="16">
        <v>7.7241951950662982E-2</v>
      </c>
      <c r="W30" s="19">
        <v>1.2201645487529122</v>
      </c>
      <c r="X30" s="22">
        <v>9.3249227380894445E-2</v>
      </c>
      <c r="Y30" s="23">
        <v>0.20224852392967493</v>
      </c>
      <c r="Z30" s="24">
        <v>0.28325545299999999</v>
      </c>
      <c r="AA30" s="25"/>
      <c r="AB30" s="25"/>
      <c r="AC30" s="25"/>
      <c r="AD30" s="26"/>
      <c r="AE30" s="27"/>
      <c r="AF30" s="26"/>
      <c r="AG30" s="27"/>
      <c r="AH30" s="28"/>
      <c r="AI30" s="28"/>
      <c r="AJ30" s="28"/>
      <c r="AK30" s="28"/>
      <c r="AL30" s="29"/>
      <c r="AM30" s="29"/>
      <c r="AN30" s="27"/>
      <c r="AO30" s="28"/>
      <c r="AP30" s="27"/>
      <c r="AQ30" s="27"/>
      <c r="AR30" s="27"/>
      <c r="AS30" s="28"/>
      <c r="AT30" s="28"/>
      <c r="AU30" s="28"/>
      <c r="AV30" s="28"/>
      <c r="AW30" s="28"/>
      <c r="AX30" s="28"/>
      <c r="AY30" s="28"/>
      <c r="AZ30" s="30"/>
      <c r="BA30" s="30"/>
      <c r="BB30" s="30"/>
      <c r="BC30" s="30"/>
      <c r="BD30" s="30"/>
      <c r="BE30" s="30"/>
      <c r="BF30" s="30"/>
      <c r="BG30" s="31"/>
      <c r="BH30" s="31"/>
      <c r="BI30" s="28"/>
      <c r="BJ30" s="32"/>
      <c r="BK30" s="32"/>
      <c r="BL30" s="28"/>
      <c r="BM30" s="28"/>
      <c r="BN30" s="26"/>
      <c r="BO30" s="33"/>
      <c r="BP30" s="34"/>
      <c r="BQ30" s="33"/>
      <c r="BR30" s="34"/>
    </row>
    <row r="31" spans="1:70" ht="17">
      <c r="A31" s="13" t="s">
        <v>92</v>
      </c>
      <c r="B31" s="14">
        <v>49</v>
      </c>
      <c r="C31" s="15">
        <v>9.6434333333333302E-2</v>
      </c>
      <c r="D31" s="16">
        <v>0.13370796063260443</v>
      </c>
      <c r="E31" s="15">
        <v>4.286972297728512E-2</v>
      </c>
      <c r="F31" s="17">
        <v>0.22592150610091327</v>
      </c>
      <c r="G31" s="17">
        <v>1.2703169777777779</v>
      </c>
      <c r="H31" s="17">
        <v>1.1280526539619411</v>
      </c>
      <c r="I31" s="15">
        <v>0.18434869129754181</v>
      </c>
      <c r="J31" s="18">
        <v>1.1280526539619411</v>
      </c>
      <c r="K31" s="18">
        <v>1.2703169777777779</v>
      </c>
      <c r="L31" s="19">
        <v>8.8632102471111113E-2</v>
      </c>
      <c r="M31" s="20">
        <v>0.53019913455460199</v>
      </c>
      <c r="N31" s="21">
        <v>3.9099999999999996E-2</v>
      </c>
      <c r="O31" s="19">
        <v>0.18428708932553489</v>
      </c>
      <c r="P31" s="21">
        <v>7.5135413439295459E-2</v>
      </c>
      <c r="Q31" s="20">
        <v>4.9740445489705811</v>
      </c>
      <c r="R31" s="20">
        <v>0.69480008937275062</v>
      </c>
      <c r="S31" s="16">
        <v>9.9208190726176948</v>
      </c>
      <c r="T31" s="14">
        <v>16.11335969831563</v>
      </c>
      <c r="U31" s="20">
        <v>33.839980924413268</v>
      </c>
      <c r="V31" s="16">
        <v>1.3082672770639882E-2</v>
      </c>
      <c r="W31" s="19">
        <v>0.61052348612494434</v>
      </c>
      <c r="X31" s="22">
        <v>7.6623066365203205E-2</v>
      </c>
      <c r="Y31" s="23">
        <v>0.16894438855093152</v>
      </c>
      <c r="Z31" s="24">
        <v>0.117800243</v>
      </c>
      <c r="AA31" s="25"/>
      <c r="AB31" s="25"/>
      <c r="AC31" s="25"/>
      <c r="AD31" s="26"/>
      <c r="AE31" s="27"/>
      <c r="AF31" s="26"/>
      <c r="AG31" s="27"/>
      <c r="AH31" s="28"/>
      <c r="AI31" s="28"/>
      <c r="AJ31" s="28"/>
      <c r="AK31" s="28"/>
      <c r="AL31" s="29"/>
      <c r="AM31" s="29"/>
      <c r="AN31" s="27"/>
      <c r="AO31" s="28"/>
      <c r="AP31" s="27"/>
      <c r="AQ31" s="27"/>
      <c r="AR31" s="27"/>
      <c r="AS31" s="28"/>
      <c r="AT31" s="28"/>
      <c r="AU31" s="28"/>
      <c r="AV31" s="28"/>
      <c r="AW31" s="28"/>
      <c r="AX31" s="28"/>
      <c r="AY31" s="28"/>
      <c r="AZ31" s="30"/>
      <c r="BA31" s="30"/>
      <c r="BB31" s="30"/>
      <c r="BC31" s="30"/>
      <c r="BD31" s="30"/>
      <c r="BE31" s="30"/>
      <c r="BF31" s="30"/>
      <c r="BG31" s="31"/>
      <c r="BH31" s="31"/>
      <c r="BI31" s="28"/>
      <c r="BJ31" s="32"/>
      <c r="BK31" s="32"/>
      <c r="BL31" s="28"/>
      <c r="BM31" s="28"/>
      <c r="BN31" s="26"/>
      <c r="BO31" s="33"/>
      <c r="BP31" s="34"/>
      <c r="BQ31" s="33"/>
      <c r="BR31" s="34"/>
    </row>
    <row r="32" spans="1:70" ht="17">
      <c r="A32" s="13" t="s">
        <v>93</v>
      </c>
      <c r="B32" s="14">
        <v>90</v>
      </c>
      <c r="C32" s="15">
        <v>3.3348636363636358E-2</v>
      </c>
      <c r="D32" s="16">
        <v>5.4484884133859358E-2</v>
      </c>
      <c r="E32" s="15">
        <v>0.20715470598067121</v>
      </c>
      <c r="F32" s="17">
        <v>0.28750544435046022</v>
      </c>
      <c r="G32" s="17">
        <v>1.1517724137931034</v>
      </c>
      <c r="H32" s="17">
        <v>0.95716683157974236</v>
      </c>
      <c r="I32" s="15">
        <v>0.31108160448399386</v>
      </c>
      <c r="J32" s="18">
        <v>0.95716683157974236</v>
      </c>
      <c r="K32" s="18">
        <v>1.1517724137931034</v>
      </c>
      <c r="L32" s="19">
        <v>8.2610038620689649E-2</v>
      </c>
      <c r="M32" s="20">
        <v>0.5493693393481448</v>
      </c>
      <c r="N32" s="21">
        <v>3.9099999999999996E-2</v>
      </c>
      <c r="O32" s="19">
        <v>0.22330425522628</v>
      </c>
      <c r="P32" s="21">
        <v>6.9265880341376415E-2</v>
      </c>
      <c r="Q32" s="20">
        <v>1.5877528771333678</v>
      </c>
      <c r="R32" s="20">
        <v>2.8738858326871219</v>
      </c>
      <c r="S32" s="16">
        <v>10.584346846852632</v>
      </c>
      <c r="T32" s="14">
        <v>13.807928832609347</v>
      </c>
      <c r="U32" s="20">
        <v>70.065608962496469</v>
      </c>
      <c r="V32" s="16">
        <v>4.2730804113703662E-2</v>
      </c>
      <c r="W32" s="19">
        <v>0.85177455119869772</v>
      </c>
      <c r="X32" s="22">
        <v>0.18969189526854055</v>
      </c>
      <c r="Y32" s="23">
        <v>0.29810124689985484</v>
      </c>
      <c r="Z32" s="24">
        <v>0.20361590600000001</v>
      </c>
      <c r="AA32" s="25"/>
      <c r="AB32" s="25"/>
      <c r="AC32" s="25"/>
      <c r="AD32" s="26"/>
      <c r="AE32" s="27"/>
      <c r="AF32" s="26"/>
      <c r="AG32" s="27"/>
      <c r="AH32" s="28"/>
      <c r="AI32" s="28"/>
      <c r="AJ32" s="28"/>
      <c r="AK32" s="28"/>
      <c r="AL32" s="29"/>
      <c r="AM32" s="29"/>
      <c r="AN32" s="27"/>
      <c r="AO32" s="28"/>
      <c r="AP32" s="27"/>
      <c r="AQ32" s="27"/>
      <c r="AR32" s="27"/>
      <c r="AS32" s="28"/>
      <c r="AT32" s="28"/>
      <c r="AU32" s="28"/>
      <c r="AV32" s="28"/>
      <c r="AW32" s="28"/>
      <c r="AX32" s="28"/>
      <c r="AY32" s="28"/>
      <c r="AZ32" s="30"/>
      <c r="BA32" s="30"/>
      <c r="BB32" s="30"/>
      <c r="BC32" s="30"/>
      <c r="BD32" s="30"/>
      <c r="BE32" s="30"/>
      <c r="BF32" s="30"/>
      <c r="BG32" s="31"/>
      <c r="BH32" s="31"/>
      <c r="BI32" s="28"/>
      <c r="BJ32" s="32"/>
      <c r="BK32" s="32"/>
      <c r="BL32" s="28"/>
      <c r="BM32" s="28"/>
      <c r="BN32" s="26"/>
      <c r="BO32" s="33"/>
      <c r="BP32" s="34"/>
      <c r="BQ32" s="33"/>
      <c r="BR32" s="34"/>
    </row>
    <row r="33" spans="1:70" ht="17">
      <c r="A33" s="13" t="s">
        <v>94</v>
      </c>
      <c r="B33" s="14">
        <v>87</v>
      </c>
      <c r="C33" s="15">
        <v>0.15919612903225802</v>
      </c>
      <c r="D33" s="16">
        <v>4.4506467120786625E-2</v>
      </c>
      <c r="E33" s="15">
        <v>0.12536507670840785</v>
      </c>
      <c r="F33" s="17">
        <v>0.317847605775051</v>
      </c>
      <c r="G33" s="17">
        <v>0.87699722222222221</v>
      </c>
      <c r="H33" s="17">
        <v>0.69977481842592981</v>
      </c>
      <c r="I33" s="15">
        <v>0.21281666656778458</v>
      </c>
      <c r="J33" s="18">
        <v>0.69977481842592981</v>
      </c>
      <c r="K33" s="18">
        <v>0.87699722222222221</v>
      </c>
      <c r="L33" s="19">
        <v>6.8651458888888892E-2</v>
      </c>
      <c r="M33" s="20">
        <v>0.65736792637714569</v>
      </c>
      <c r="N33" s="21">
        <v>4.6600000000000003E-2</v>
      </c>
      <c r="O33" s="19">
        <v>0.2411869205378408</v>
      </c>
      <c r="P33" s="21">
        <v>6.0058814229454333E-2</v>
      </c>
      <c r="Q33" s="20">
        <v>1.7763236718430828</v>
      </c>
      <c r="R33" s="20">
        <v>2.6252536850613644</v>
      </c>
      <c r="S33" s="16">
        <v>11.833228645198382</v>
      </c>
      <c r="T33" s="14">
        <v>20.798908689136923</v>
      </c>
      <c r="U33" s="20">
        <v>132.15099315523702</v>
      </c>
      <c r="V33" s="16">
        <v>2.3358351127411438E-2</v>
      </c>
      <c r="W33" s="19">
        <v>0.28487947949440429</v>
      </c>
      <c r="X33" s="22">
        <v>9.4550618467168127E-2</v>
      </c>
      <c r="Y33" s="23">
        <v>0.71145394973291953</v>
      </c>
      <c r="Z33" s="24">
        <v>0.126995735</v>
      </c>
      <c r="AA33" s="25"/>
      <c r="AB33" s="25"/>
      <c r="AC33" s="25"/>
      <c r="AD33" s="26"/>
      <c r="AE33" s="27"/>
      <c r="AF33" s="26"/>
      <c r="AG33" s="27"/>
      <c r="AH33" s="28"/>
      <c r="AI33" s="28"/>
      <c r="AJ33" s="28"/>
      <c r="AK33" s="28"/>
      <c r="AL33" s="29"/>
      <c r="AM33" s="29"/>
      <c r="AN33" s="27"/>
      <c r="AO33" s="28"/>
      <c r="AP33" s="27"/>
      <c r="AQ33" s="27"/>
      <c r="AR33" s="27"/>
      <c r="AS33" s="28"/>
      <c r="AT33" s="28"/>
      <c r="AU33" s="28"/>
      <c r="AV33" s="28"/>
      <c r="AW33" s="28"/>
      <c r="AX33" s="28"/>
      <c r="AY33" s="28"/>
      <c r="AZ33" s="30"/>
      <c r="BA33" s="30"/>
      <c r="BB33" s="30"/>
      <c r="BC33" s="30"/>
      <c r="BD33" s="30"/>
      <c r="BE33" s="30"/>
      <c r="BF33" s="30"/>
      <c r="BG33" s="31"/>
      <c r="BH33" s="31"/>
      <c r="BI33" s="28"/>
      <c r="BJ33" s="32"/>
      <c r="BK33" s="32"/>
      <c r="BL33" s="28"/>
      <c r="BM33" s="28"/>
      <c r="BN33" s="26"/>
      <c r="BO33" s="33"/>
      <c r="BP33" s="34"/>
      <c r="BQ33" s="33"/>
      <c r="BR33" s="34"/>
    </row>
    <row r="34" spans="1:70" ht="17">
      <c r="A34" s="13" t="s">
        <v>95</v>
      </c>
      <c r="B34" s="14">
        <v>34</v>
      </c>
      <c r="C34" s="15">
        <v>0.13077176470588237</v>
      </c>
      <c r="D34" s="16">
        <v>7.6900726414751902E-2</v>
      </c>
      <c r="E34" s="15">
        <v>4.4952006456508278E-2</v>
      </c>
      <c r="F34" s="17">
        <v>0.53426895209201763</v>
      </c>
      <c r="G34" s="17">
        <v>0.74491013333333334</v>
      </c>
      <c r="H34" s="17">
        <v>0.55737082155423068</v>
      </c>
      <c r="I34" s="15">
        <v>7.1386551883665023E-2</v>
      </c>
      <c r="J34" s="18">
        <v>0.55737082155423068</v>
      </c>
      <c r="K34" s="18">
        <v>0.74491013333333334</v>
      </c>
      <c r="L34" s="19">
        <v>6.1941434773333331E-2</v>
      </c>
      <c r="M34" s="20">
        <v>0.42567989882483803</v>
      </c>
      <c r="N34" s="21">
        <v>3.9099999999999996E-2</v>
      </c>
      <c r="O34" s="19">
        <v>0.34822379176970719</v>
      </c>
      <c r="P34" s="21">
        <v>5.0435020197642073E-2</v>
      </c>
      <c r="Q34" s="20">
        <v>1.7179415926745232</v>
      </c>
      <c r="R34" s="20">
        <v>1.0199034743834257</v>
      </c>
      <c r="S34" s="16">
        <v>13.818299820508807</v>
      </c>
      <c r="T34" s="14">
        <v>22.601545332977309</v>
      </c>
      <c r="U34" s="20">
        <v>23.276807176415904</v>
      </c>
      <c r="V34" s="16">
        <v>2.3777333572980459E-2</v>
      </c>
      <c r="W34" s="19">
        <v>1.0696274348773551</v>
      </c>
      <c r="X34" s="22">
        <v>0.10603557883471396</v>
      </c>
      <c r="Y34" s="23">
        <v>0.40751985730687523</v>
      </c>
      <c r="Z34" s="24">
        <v>0.25170654100000001</v>
      </c>
      <c r="AA34" s="25"/>
      <c r="AB34" s="25"/>
      <c r="AC34" s="25"/>
      <c r="AD34" s="26"/>
      <c r="AE34" s="27"/>
      <c r="AF34" s="26"/>
      <c r="AG34" s="27"/>
      <c r="AH34" s="28"/>
      <c r="AI34" s="28"/>
      <c r="AJ34" s="28"/>
      <c r="AK34" s="28"/>
      <c r="AL34" s="29"/>
      <c r="AM34" s="29"/>
      <c r="AN34" s="27"/>
      <c r="AO34" s="28"/>
      <c r="AP34" s="27"/>
      <c r="AQ34" s="27"/>
      <c r="AR34" s="27"/>
      <c r="AS34" s="28"/>
      <c r="AT34" s="28"/>
      <c r="AU34" s="28"/>
      <c r="AV34" s="28"/>
      <c r="AW34" s="28"/>
      <c r="AX34" s="28"/>
      <c r="AY34" s="28"/>
      <c r="AZ34" s="30"/>
      <c r="BA34" s="30"/>
      <c r="BB34" s="30"/>
      <c r="BC34" s="30"/>
      <c r="BD34" s="30"/>
      <c r="BE34" s="30"/>
      <c r="BF34" s="30"/>
      <c r="BG34" s="31"/>
      <c r="BH34" s="31"/>
      <c r="BI34" s="28"/>
      <c r="BJ34" s="32"/>
      <c r="BK34" s="32"/>
      <c r="BL34" s="28"/>
      <c r="BM34" s="28"/>
      <c r="BN34" s="26"/>
      <c r="BO34" s="33"/>
      <c r="BP34" s="34"/>
      <c r="BQ34" s="33"/>
      <c r="BR34" s="34"/>
    </row>
    <row r="35" spans="1:70" ht="17">
      <c r="A35" s="13" t="s">
        <v>96</v>
      </c>
      <c r="B35" s="14">
        <v>264</v>
      </c>
      <c r="C35" s="15">
        <v>0.10352006097560972</v>
      </c>
      <c r="D35" s="16">
        <v>0.19888330086224629</v>
      </c>
      <c r="E35" s="15">
        <v>7.2836408806911931E-2</v>
      </c>
      <c r="F35" s="17">
        <v>10.302316857187469</v>
      </c>
      <c r="G35" s="17">
        <v>0.60687176859504155</v>
      </c>
      <c r="H35" s="17">
        <v>7.0289080325756217E-2</v>
      </c>
      <c r="I35" s="15">
        <v>2.0540100826457069E-3</v>
      </c>
      <c r="J35" s="18">
        <v>7.0289080325756217E-2</v>
      </c>
      <c r="K35" s="18">
        <v>0.60687176859504155</v>
      </c>
      <c r="L35" s="19">
        <v>5.4929085844628106E-2</v>
      </c>
      <c r="M35" s="20">
        <v>0.3663335193266925</v>
      </c>
      <c r="N35" s="21">
        <v>3.61E-2</v>
      </c>
      <c r="O35" s="19">
        <v>0.91152256544957233</v>
      </c>
      <c r="P35" s="21">
        <v>2.9864315386341361E-2</v>
      </c>
      <c r="Q35" s="20">
        <v>3.4589817970381846E-2</v>
      </c>
      <c r="R35" s="20">
        <v>31.180550992003841</v>
      </c>
      <c r="S35" s="16" t="s">
        <v>69</v>
      </c>
      <c r="T35" s="14" t="s">
        <v>69</v>
      </c>
      <c r="U35" s="20">
        <v>31.9919344241762</v>
      </c>
      <c r="V35" s="16">
        <v>0.11691985540902013</v>
      </c>
      <c r="W35" s="19">
        <v>2.1631271640203216</v>
      </c>
      <c r="X35" s="22">
        <v>-2.869118837539225E-3</v>
      </c>
      <c r="Y35" s="23">
        <v>0.15294959986274523</v>
      </c>
      <c r="Z35" s="24">
        <v>0.53816399199999998</v>
      </c>
      <c r="AA35" s="25"/>
      <c r="AB35" s="25"/>
      <c r="AC35" s="25"/>
      <c r="AD35" s="26"/>
      <c r="AE35" s="27"/>
      <c r="AF35" s="26"/>
      <c r="AG35" s="27"/>
      <c r="AH35" s="28"/>
      <c r="AI35" s="28"/>
      <c r="AJ35" s="28"/>
      <c r="AK35" s="28"/>
      <c r="AL35" s="29"/>
      <c r="AM35" s="29"/>
      <c r="AN35" s="27"/>
      <c r="AO35" s="28"/>
      <c r="AP35" s="27"/>
      <c r="AQ35" s="27"/>
      <c r="AR35" s="27"/>
      <c r="AS35" s="28"/>
      <c r="AT35" s="28"/>
      <c r="AU35" s="28"/>
      <c r="AV35" s="28"/>
      <c r="AW35" s="28"/>
      <c r="AX35" s="28"/>
      <c r="AY35" s="28"/>
      <c r="AZ35" s="30"/>
      <c r="BA35" s="30"/>
      <c r="BB35" s="30"/>
      <c r="BC35" s="30"/>
      <c r="BD35" s="30"/>
      <c r="BE35" s="30"/>
      <c r="BF35" s="30"/>
      <c r="BG35" s="31"/>
      <c r="BH35" s="31"/>
      <c r="BI35" s="28"/>
      <c r="BJ35" s="32"/>
      <c r="BK35" s="32"/>
      <c r="BL35" s="28"/>
      <c r="BM35" s="28"/>
      <c r="BN35" s="26"/>
      <c r="BO35" s="33"/>
      <c r="BP35" s="34"/>
      <c r="BQ35" s="33"/>
      <c r="BR35" s="34"/>
    </row>
    <row r="36" spans="1:70" s="35" customFormat="1" ht="17">
      <c r="A36" s="13" t="s">
        <v>97</v>
      </c>
      <c r="B36" s="14">
        <v>87</v>
      </c>
      <c r="C36" s="15">
        <v>4.1166428571428569E-2</v>
      </c>
      <c r="D36" s="16">
        <v>0.15128595247278928</v>
      </c>
      <c r="E36" s="15">
        <v>0.14212773624945696</v>
      </c>
      <c r="F36" s="17">
        <v>0.29443196941750177</v>
      </c>
      <c r="G36" s="17">
        <v>0.6757656842105263</v>
      </c>
      <c r="H36" s="17">
        <v>0.55631901720276644</v>
      </c>
      <c r="I36" s="15">
        <v>0.19710222388402801</v>
      </c>
      <c r="J36" s="18">
        <v>0.55631901720276644</v>
      </c>
      <c r="K36" s="18">
        <v>0.6757656842105263</v>
      </c>
      <c r="L36" s="19">
        <v>5.8428896757894741E-2</v>
      </c>
      <c r="M36" s="20">
        <v>0.41184292964286978</v>
      </c>
      <c r="N36" s="21">
        <v>3.9099999999999996E-2</v>
      </c>
      <c r="O36" s="19">
        <v>0.2274603659163309</v>
      </c>
      <c r="P36" s="21">
        <v>5.1664873089194832E-2</v>
      </c>
      <c r="Q36" s="20">
        <v>1.6341833041868687</v>
      </c>
      <c r="R36" s="20">
        <v>2.4165274915596422</v>
      </c>
      <c r="S36" s="16">
        <v>13.379213322693204</v>
      </c>
      <c r="T36" s="14">
        <v>16.915702948769031</v>
      </c>
      <c r="U36" s="20">
        <v>100.8470811608433</v>
      </c>
      <c r="V36" s="16">
        <v>6.9987014516056864E-2</v>
      </c>
      <c r="W36" s="19">
        <v>0.68649982540342103</v>
      </c>
      <c r="X36" s="22">
        <v>0.1119562007948188</v>
      </c>
      <c r="Y36" s="23">
        <v>0.58833930890898112</v>
      </c>
      <c r="Z36" s="24">
        <v>0.254039599</v>
      </c>
      <c r="AA36" s="25"/>
      <c r="AB36" s="25"/>
      <c r="AC36" s="25"/>
      <c r="AD36" s="26"/>
      <c r="AE36" s="27"/>
      <c r="AF36" s="26"/>
      <c r="AG36" s="27"/>
      <c r="AH36" s="28"/>
      <c r="AI36" s="28"/>
      <c r="AJ36" s="28"/>
      <c r="AK36" s="28"/>
      <c r="AL36" s="29"/>
      <c r="AM36" s="29"/>
      <c r="AN36" s="27"/>
      <c r="AO36" s="28"/>
      <c r="AP36" s="27"/>
      <c r="AQ36" s="27"/>
      <c r="AR36" s="27"/>
      <c r="AS36" s="28"/>
      <c r="AT36" s="28"/>
      <c r="AU36" s="28"/>
      <c r="AV36" s="28"/>
      <c r="AW36" s="28"/>
      <c r="AX36" s="28"/>
      <c r="AY36" s="28"/>
      <c r="AZ36" s="30"/>
      <c r="BA36" s="30"/>
      <c r="BB36" s="30"/>
      <c r="BC36" s="30"/>
      <c r="BD36" s="30"/>
      <c r="BE36" s="30"/>
      <c r="BF36" s="30"/>
      <c r="BG36" s="31"/>
      <c r="BH36" s="31"/>
      <c r="BI36" s="28"/>
      <c r="BJ36" s="32"/>
      <c r="BK36" s="32"/>
      <c r="BL36" s="28"/>
      <c r="BM36" s="28"/>
      <c r="BN36" s="26"/>
      <c r="BO36" s="33"/>
      <c r="BP36" s="34"/>
      <c r="BQ36" s="33"/>
      <c r="BR36" s="34"/>
    </row>
    <row r="37" spans="1:70" s="35" customFormat="1" ht="17">
      <c r="A37" s="13" t="s">
        <v>98</v>
      </c>
      <c r="B37" s="14">
        <v>15</v>
      </c>
      <c r="C37" s="15">
        <v>8.8649999999999979E-2</v>
      </c>
      <c r="D37" s="16">
        <v>0.1190997738607486</v>
      </c>
      <c r="E37" s="15">
        <v>2.9779207103556065E-2</v>
      </c>
      <c r="F37" s="17">
        <v>0.34077536568053551</v>
      </c>
      <c r="G37" s="17">
        <v>1.7856129230769233</v>
      </c>
      <c r="H37" s="17">
        <v>1.4147585160608243</v>
      </c>
      <c r="I37" s="15">
        <v>0.1996331991717597</v>
      </c>
      <c r="J37" s="18">
        <v>1.4147585160608243</v>
      </c>
      <c r="K37" s="18">
        <v>1.7856129230769233</v>
      </c>
      <c r="L37" s="19">
        <v>0.1148091364923077</v>
      </c>
      <c r="M37" s="20">
        <v>0.55419287424397412</v>
      </c>
      <c r="N37" s="21">
        <v>3.9099999999999996E-2</v>
      </c>
      <c r="O37" s="19">
        <v>0.25416290782428613</v>
      </c>
      <c r="P37" s="21">
        <v>9.162035551386298E-2</v>
      </c>
      <c r="Q37" s="20">
        <v>7.6101447060746246</v>
      </c>
      <c r="R37" s="20">
        <v>0.52929230034670183</v>
      </c>
      <c r="S37" s="16">
        <v>11.625092449990715</v>
      </c>
      <c r="T37" s="14">
        <v>17.75723648779022</v>
      </c>
      <c r="U37" s="20">
        <v>25.876544379978196</v>
      </c>
      <c r="V37" s="16">
        <v>4.2873032226987181E-3</v>
      </c>
      <c r="W37" s="19">
        <v>0.35207389677692491</v>
      </c>
      <c r="X37" s="22">
        <v>0.1664447213018114</v>
      </c>
      <c r="Y37" s="23">
        <v>0.46220797553155774</v>
      </c>
      <c r="Z37" s="24">
        <v>0.15897264899999999</v>
      </c>
      <c r="AA37" s="25"/>
      <c r="AB37" s="25"/>
      <c r="AC37" s="25"/>
      <c r="AD37" s="26"/>
      <c r="AE37" s="27"/>
      <c r="AF37" s="26"/>
      <c r="AG37" s="27"/>
      <c r="AH37" s="28"/>
      <c r="AI37" s="28"/>
      <c r="AJ37" s="28"/>
      <c r="AK37" s="28"/>
      <c r="AL37" s="29"/>
      <c r="AM37" s="29"/>
      <c r="AN37" s="27"/>
      <c r="AO37" s="28"/>
      <c r="AP37" s="27"/>
      <c r="AQ37" s="27"/>
      <c r="AR37" s="27"/>
      <c r="AS37" s="28"/>
      <c r="AT37" s="28"/>
      <c r="AU37" s="28"/>
      <c r="AV37" s="28"/>
      <c r="AW37" s="28"/>
      <c r="AX37" s="28"/>
      <c r="AY37" s="28"/>
      <c r="AZ37" s="30"/>
      <c r="BA37" s="30"/>
      <c r="BB37" s="30"/>
      <c r="BC37" s="30"/>
      <c r="BD37" s="30"/>
      <c r="BE37" s="30"/>
      <c r="BF37" s="30"/>
      <c r="BG37" s="31"/>
      <c r="BH37" s="31"/>
      <c r="BI37" s="28"/>
      <c r="BJ37" s="32"/>
      <c r="BK37" s="32"/>
      <c r="BL37" s="28"/>
      <c r="BM37" s="28"/>
      <c r="BN37" s="26"/>
      <c r="BO37" s="33"/>
      <c r="BP37" s="34"/>
      <c r="BQ37" s="33"/>
      <c r="BR37" s="34"/>
    </row>
    <row r="38" spans="1:70" ht="17">
      <c r="A38" s="13" t="s">
        <v>99</v>
      </c>
      <c r="B38" s="14">
        <v>31</v>
      </c>
      <c r="C38" s="15">
        <v>9.9547999999999984E-2</v>
      </c>
      <c r="D38" s="16">
        <v>0.12555126804393535</v>
      </c>
      <c r="E38" s="15">
        <v>9.4239139132415203E-2</v>
      </c>
      <c r="F38" s="17">
        <v>0.23863989358535451</v>
      </c>
      <c r="G38" s="17">
        <v>0.79009285714285704</v>
      </c>
      <c r="H38" s="17">
        <v>0.67368656968976759</v>
      </c>
      <c r="I38" s="15">
        <v>0.1756086642171551</v>
      </c>
      <c r="J38" s="18">
        <v>0.67368656968976759</v>
      </c>
      <c r="K38" s="18">
        <v>0.79009285714285704</v>
      </c>
      <c r="L38" s="19">
        <v>6.4236717142857142E-2</v>
      </c>
      <c r="M38" s="20">
        <v>0.51258554901599895</v>
      </c>
      <c r="N38" s="21">
        <v>3.9099999999999996E-2</v>
      </c>
      <c r="O38" s="19">
        <v>0.19266285126227436</v>
      </c>
      <c r="P38" s="21">
        <v>5.6714071421499104E-2</v>
      </c>
      <c r="Q38" s="20">
        <v>2.1166070731360653</v>
      </c>
      <c r="R38" s="20">
        <v>1.4095204518464266</v>
      </c>
      <c r="S38" s="16">
        <v>10.376679045960501</v>
      </c>
      <c r="T38" s="14">
        <v>14.894158715339</v>
      </c>
      <c r="U38" s="20">
        <v>90.857391282429006</v>
      </c>
      <c r="V38" s="16">
        <v>3.6439922114834052E-2</v>
      </c>
      <c r="W38" s="19">
        <v>0.59896224658005615</v>
      </c>
      <c r="X38" s="22">
        <v>0.15476288208364808</v>
      </c>
      <c r="Y38" s="23">
        <v>0.23269694661929724</v>
      </c>
      <c r="Z38" s="24">
        <v>0.34052007499999998</v>
      </c>
      <c r="AA38" s="25"/>
      <c r="AB38" s="25"/>
      <c r="AC38" s="25"/>
      <c r="AD38" s="26"/>
      <c r="AE38" s="27"/>
      <c r="AF38" s="26"/>
      <c r="AG38" s="27"/>
      <c r="AH38" s="28"/>
      <c r="AI38" s="28"/>
      <c r="AJ38" s="28"/>
      <c r="AK38" s="28"/>
      <c r="AL38" s="29"/>
      <c r="AM38" s="29"/>
      <c r="AN38" s="27"/>
      <c r="AO38" s="28"/>
      <c r="AP38" s="27"/>
      <c r="AQ38" s="27"/>
      <c r="AR38" s="27"/>
      <c r="AS38" s="28"/>
      <c r="AT38" s="28"/>
      <c r="AU38" s="28"/>
      <c r="AV38" s="28"/>
      <c r="AW38" s="28"/>
      <c r="AX38" s="28"/>
      <c r="AY38" s="28"/>
      <c r="AZ38" s="30"/>
      <c r="BA38" s="30"/>
      <c r="BB38" s="30"/>
      <c r="BC38" s="30"/>
      <c r="BD38" s="30"/>
      <c r="BE38" s="30"/>
      <c r="BF38" s="30"/>
      <c r="BG38" s="31"/>
      <c r="BH38" s="31"/>
      <c r="BI38" s="28"/>
      <c r="BJ38" s="32"/>
      <c r="BK38" s="32"/>
      <c r="BL38" s="28"/>
      <c r="BM38" s="28"/>
      <c r="BN38" s="26"/>
      <c r="BO38" s="33"/>
      <c r="BP38" s="34"/>
      <c r="BQ38" s="33"/>
      <c r="BR38" s="34"/>
    </row>
    <row r="39" spans="1:70" ht="17">
      <c r="A39" s="13" t="s">
        <v>100</v>
      </c>
      <c r="B39" s="14">
        <v>22</v>
      </c>
      <c r="C39" s="15">
        <v>-4.7349999999999996E-2</v>
      </c>
      <c r="D39" s="16">
        <v>2.4120092157168094E-2</v>
      </c>
      <c r="E39" s="15">
        <v>0.11761485070673122</v>
      </c>
      <c r="F39" s="17">
        <v>0.90745699104724009</v>
      </c>
      <c r="G39" s="17">
        <v>1.2016165333333335</v>
      </c>
      <c r="H39" s="17">
        <v>0.72015964506798358</v>
      </c>
      <c r="I39" s="15">
        <v>1.9364212379220549E-2</v>
      </c>
      <c r="J39" s="18">
        <v>0.72015964506798358</v>
      </c>
      <c r="K39" s="18">
        <v>1.2016165333333335</v>
      </c>
      <c r="L39" s="19">
        <v>8.514211989333334E-2</v>
      </c>
      <c r="M39" s="20">
        <v>0.60288074582943474</v>
      </c>
      <c r="N39" s="21">
        <v>3.9099999999999996E-2</v>
      </c>
      <c r="O39" s="19">
        <v>0.47574178359273211</v>
      </c>
      <c r="P39" s="21">
        <v>5.767690939892689E-2</v>
      </c>
      <c r="Q39" s="20">
        <v>0.16916645012953516</v>
      </c>
      <c r="R39" s="20">
        <v>8.4015473097219679</v>
      </c>
      <c r="S39" s="16">
        <v>15.129489110344769</v>
      </c>
      <c r="T39" s="14">
        <v>69.091053342154098</v>
      </c>
      <c r="U39" s="20">
        <v>192.48759055802245</v>
      </c>
      <c r="V39" s="16">
        <v>0.13072924743410821</v>
      </c>
      <c r="W39" s="19">
        <v>1.6079035201442093</v>
      </c>
      <c r="X39" s="22">
        <v>6.3786815539992681E-3</v>
      </c>
      <c r="Y39" s="23">
        <v>7.3568620362420258</v>
      </c>
      <c r="Z39" s="24">
        <v>0.93854744400000001</v>
      </c>
      <c r="AA39" s="25"/>
      <c r="AB39" s="25"/>
      <c r="AC39" s="25"/>
      <c r="AD39" s="26"/>
      <c r="AE39" s="27"/>
      <c r="AF39" s="26"/>
      <c r="AG39" s="27"/>
      <c r="AH39" s="28"/>
      <c r="AI39" s="28"/>
      <c r="AJ39" s="28"/>
      <c r="AK39" s="28"/>
      <c r="AL39" s="29"/>
      <c r="AM39" s="29"/>
      <c r="AN39" s="27"/>
      <c r="AO39" s="28"/>
      <c r="AP39" s="27"/>
      <c r="AQ39" s="27"/>
      <c r="AR39" s="27"/>
      <c r="AS39" s="28"/>
      <c r="AT39" s="28"/>
      <c r="AU39" s="28"/>
      <c r="AV39" s="28"/>
      <c r="AW39" s="28"/>
      <c r="AX39" s="28"/>
      <c r="AY39" s="28"/>
      <c r="AZ39" s="30"/>
      <c r="BA39" s="30"/>
      <c r="BB39" s="30"/>
      <c r="BC39" s="30"/>
      <c r="BD39" s="30"/>
      <c r="BE39" s="30"/>
      <c r="BF39" s="30"/>
      <c r="BG39" s="31"/>
      <c r="BH39" s="31"/>
      <c r="BI39" s="28"/>
      <c r="BJ39" s="32"/>
      <c r="BK39" s="32"/>
      <c r="BL39" s="28"/>
      <c r="BM39" s="28"/>
      <c r="BN39" s="26"/>
      <c r="BO39" s="33"/>
      <c r="BP39" s="34"/>
      <c r="BQ39" s="33"/>
      <c r="BR39" s="34"/>
    </row>
    <row r="40" spans="1:70" ht="17">
      <c r="A40" s="13" t="s">
        <v>101</v>
      </c>
      <c r="B40" s="14">
        <v>251</v>
      </c>
      <c r="C40" s="15">
        <v>0.10539388429752058</v>
      </c>
      <c r="D40" s="16">
        <v>4.7892737399248736E-2</v>
      </c>
      <c r="E40" s="15">
        <v>0.15335796230684909</v>
      </c>
      <c r="F40" s="17">
        <v>0.16298830338972661</v>
      </c>
      <c r="G40" s="17">
        <v>0.9412867387387388</v>
      </c>
      <c r="H40" s="17">
        <v>0.88508346966591411</v>
      </c>
      <c r="I40" s="15">
        <v>0.1629850204863377</v>
      </c>
      <c r="J40" s="18">
        <v>0.88508346966591411</v>
      </c>
      <c r="K40" s="18">
        <v>0.9412867387387388</v>
      </c>
      <c r="L40" s="19">
        <v>7.1917366327927931E-2</v>
      </c>
      <c r="M40" s="20">
        <v>0.66920737677963871</v>
      </c>
      <c r="N40" s="21">
        <v>4.6600000000000003E-2</v>
      </c>
      <c r="O40" s="19">
        <v>0.14014612435453527</v>
      </c>
      <c r="P40" s="21">
        <v>6.6591594111414465E-2</v>
      </c>
      <c r="Q40" s="20">
        <v>1.0688796757942634</v>
      </c>
      <c r="R40" s="20">
        <v>4.7925885186424564</v>
      </c>
      <c r="S40" s="16">
        <v>18.965463063468921</v>
      </c>
      <c r="T40" s="14">
        <v>30.350964746113462</v>
      </c>
      <c r="U40" s="20">
        <v>91.798884703670979</v>
      </c>
      <c r="V40" s="16">
        <v>0.16309959379411004</v>
      </c>
      <c r="W40" s="19">
        <v>1.3058967986796071</v>
      </c>
      <c r="X40" s="22">
        <v>8.2633198347109971E-2</v>
      </c>
      <c r="Y40" s="23">
        <v>0.36914740020322401</v>
      </c>
      <c r="Z40" s="24">
        <v>0.108703223</v>
      </c>
      <c r="AA40" s="25"/>
      <c r="AB40" s="25"/>
      <c r="AC40" s="25"/>
      <c r="AD40" s="26"/>
      <c r="AE40" s="27"/>
      <c r="AF40" s="26"/>
      <c r="AG40" s="27"/>
      <c r="AH40" s="28"/>
      <c r="AI40" s="28"/>
      <c r="AJ40" s="28"/>
      <c r="AK40" s="28"/>
      <c r="AL40" s="29"/>
      <c r="AM40" s="29"/>
      <c r="AN40" s="27"/>
      <c r="AO40" s="28"/>
      <c r="AP40" s="27"/>
      <c r="AQ40" s="27"/>
      <c r="AR40" s="27"/>
      <c r="AS40" s="28"/>
      <c r="AT40" s="28"/>
      <c r="AU40" s="28"/>
      <c r="AV40" s="28"/>
      <c r="AW40" s="28"/>
      <c r="AX40" s="28"/>
      <c r="AY40" s="28"/>
      <c r="AZ40" s="30"/>
      <c r="BA40" s="30"/>
      <c r="BB40" s="30"/>
      <c r="BC40" s="30"/>
      <c r="BD40" s="30"/>
      <c r="BE40" s="30"/>
      <c r="BF40" s="30"/>
      <c r="BG40" s="31"/>
      <c r="BH40" s="31"/>
      <c r="BI40" s="28"/>
      <c r="BJ40" s="32"/>
      <c r="BK40" s="32"/>
      <c r="BL40" s="28"/>
      <c r="BM40" s="28"/>
      <c r="BN40" s="26"/>
      <c r="BO40" s="33"/>
      <c r="BP40" s="34"/>
      <c r="BQ40" s="33"/>
      <c r="BR40" s="34"/>
    </row>
    <row r="41" spans="1:70" ht="17">
      <c r="A41" s="13" t="s">
        <v>102</v>
      </c>
      <c r="B41" s="14">
        <v>115</v>
      </c>
      <c r="C41" s="15">
        <v>0.16545428571428569</v>
      </c>
      <c r="D41" s="16">
        <v>0.13689568254003312</v>
      </c>
      <c r="E41" s="15">
        <v>4.6800083221970379E-2</v>
      </c>
      <c r="F41" s="17">
        <v>0.22726900718925661</v>
      </c>
      <c r="G41" s="17">
        <v>0.89753850505050492</v>
      </c>
      <c r="H41" s="17">
        <v>0.82382035475319326</v>
      </c>
      <c r="I41" s="15">
        <v>0.50539653975147991</v>
      </c>
      <c r="J41" s="18">
        <v>0.82382035475319326</v>
      </c>
      <c r="K41" s="18">
        <v>0.89753850505050492</v>
      </c>
      <c r="L41" s="19">
        <v>6.9694956056565643E-2</v>
      </c>
      <c r="M41" s="20">
        <v>0.57442504919347648</v>
      </c>
      <c r="N41" s="21">
        <v>3.9099999999999996E-2</v>
      </c>
      <c r="O41" s="19">
        <v>0.18518271532804181</v>
      </c>
      <c r="P41" s="21">
        <v>6.1743408396740758E-2</v>
      </c>
      <c r="Q41" s="20">
        <v>12.54345098288676</v>
      </c>
      <c r="R41" s="20">
        <v>0.62400187518578432</v>
      </c>
      <c r="S41" s="16">
        <v>10.719757041137155</v>
      </c>
      <c r="T41" s="14">
        <v>13.273015038407566</v>
      </c>
      <c r="U41" s="20">
        <v>41.189689095330486</v>
      </c>
      <c r="V41" s="16">
        <v>1.454580892880543E-2</v>
      </c>
      <c r="W41" s="19">
        <v>0.559665928216591</v>
      </c>
      <c r="X41" s="22">
        <v>0.17162591761958523</v>
      </c>
      <c r="Y41" s="23">
        <v>0.18636772751629294</v>
      </c>
      <c r="Z41" s="24">
        <v>0.24222034200000001</v>
      </c>
      <c r="AA41" s="25"/>
      <c r="AB41" s="25"/>
      <c r="AC41" s="25"/>
      <c r="AD41" s="26"/>
      <c r="AE41" s="27"/>
      <c r="AF41" s="26"/>
      <c r="AG41" s="27"/>
      <c r="AH41" s="28"/>
      <c r="AI41" s="28"/>
      <c r="AJ41" s="28"/>
      <c r="AK41" s="28"/>
      <c r="AL41" s="29"/>
      <c r="AM41" s="29"/>
      <c r="AN41" s="27"/>
      <c r="AO41" s="28"/>
      <c r="AP41" s="27"/>
      <c r="AQ41" s="27"/>
      <c r="AR41" s="27"/>
      <c r="AS41" s="28"/>
      <c r="AT41" s="28"/>
      <c r="AU41" s="28"/>
      <c r="AV41" s="28"/>
      <c r="AW41" s="28"/>
      <c r="AX41" s="28"/>
      <c r="AY41" s="28"/>
      <c r="AZ41" s="30"/>
      <c r="BA41" s="30"/>
      <c r="BB41" s="30"/>
      <c r="BC41" s="30"/>
      <c r="BD41" s="30"/>
      <c r="BE41" s="30"/>
      <c r="BF41" s="30"/>
      <c r="BG41" s="31"/>
      <c r="BH41" s="31"/>
      <c r="BI41" s="28"/>
      <c r="BJ41" s="32"/>
      <c r="BK41" s="32"/>
      <c r="BL41" s="28"/>
      <c r="BM41" s="28"/>
      <c r="BN41" s="26"/>
      <c r="BO41" s="33"/>
      <c r="BP41" s="34"/>
      <c r="BQ41" s="33"/>
      <c r="BR41" s="34"/>
    </row>
    <row r="42" spans="1:70" ht="17">
      <c r="A42" s="13" t="s">
        <v>103</v>
      </c>
      <c r="B42" s="14">
        <v>112</v>
      </c>
      <c r="C42" s="15">
        <v>6.6784117647058799E-2</v>
      </c>
      <c r="D42" s="16">
        <v>5.9620068413511404E-2</v>
      </c>
      <c r="E42" s="15">
        <v>0.13769618443163406</v>
      </c>
      <c r="F42" s="17">
        <v>0.17873048039623385</v>
      </c>
      <c r="G42" s="17">
        <v>0.9791562399999999</v>
      </c>
      <c r="H42" s="17">
        <v>0.8837080124216079</v>
      </c>
      <c r="I42" s="15">
        <v>0.1573276665338359</v>
      </c>
      <c r="J42" s="18">
        <v>0.8837080124216079</v>
      </c>
      <c r="K42" s="18">
        <v>0.9791562399999999</v>
      </c>
      <c r="L42" s="19">
        <v>7.3841136991999998E-2</v>
      </c>
      <c r="M42" s="20">
        <v>0.58636122426977322</v>
      </c>
      <c r="N42" s="21">
        <v>3.9099999999999996E-2</v>
      </c>
      <c r="O42" s="19">
        <v>0.15162964169396301</v>
      </c>
      <c r="P42" s="21">
        <v>6.6704250407098015E-2</v>
      </c>
      <c r="Q42" s="20">
        <v>1.1637680036536446</v>
      </c>
      <c r="R42" s="20">
        <v>4.9468643986149692</v>
      </c>
      <c r="S42" s="16">
        <v>20.511044675862937</v>
      </c>
      <c r="T42" s="14">
        <v>35.153541425246189</v>
      </c>
      <c r="U42" s="20">
        <v>69.026288443748044</v>
      </c>
      <c r="V42" s="16">
        <v>0.1209385860345381</v>
      </c>
      <c r="W42" s="19">
        <v>1.216659147364523</v>
      </c>
      <c r="X42" s="22">
        <v>9.1426387895122557E-2</v>
      </c>
      <c r="Y42" s="23">
        <v>9.3185789574807845E-2</v>
      </c>
      <c r="Z42" s="24">
        <v>0.306399537</v>
      </c>
      <c r="AA42" s="25"/>
      <c r="AB42" s="25"/>
      <c r="AC42" s="25"/>
      <c r="AD42" s="26"/>
      <c r="AE42" s="27"/>
      <c r="AF42" s="26"/>
      <c r="AG42" s="27"/>
      <c r="AH42" s="28"/>
      <c r="AI42" s="28"/>
      <c r="AJ42" s="28"/>
      <c r="AK42" s="28"/>
      <c r="AL42" s="29"/>
      <c r="AM42" s="29"/>
      <c r="AN42" s="27"/>
      <c r="AO42" s="28"/>
      <c r="AP42" s="27"/>
      <c r="AQ42" s="27"/>
      <c r="AR42" s="27"/>
      <c r="AS42" s="28"/>
      <c r="AT42" s="28"/>
      <c r="AU42" s="28"/>
      <c r="AV42" s="28"/>
      <c r="AW42" s="28"/>
      <c r="AX42" s="28"/>
      <c r="AY42" s="28"/>
      <c r="AZ42" s="30"/>
      <c r="BA42" s="30"/>
      <c r="BB42" s="30"/>
      <c r="BC42" s="30"/>
      <c r="BD42" s="30"/>
      <c r="BE42" s="30"/>
      <c r="BF42" s="30"/>
      <c r="BG42" s="31"/>
      <c r="BH42" s="31"/>
      <c r="BI42" s="28"/>
      <c r="BJ42" s="32"/>
      <c r="BK42" s="32"/>
      <c r="BL42" s="28"/>
      <c r="BM42" s="28"/>
      <c r="BN42" s="26"/>
      <c r="BO42" s="33"/>
      <c r="BP42" s="34"/>
      <c r="BQ42" s="33"/>
      <c r="BR42" s="34"/>
    </row>
    <row r="43" spans="1:70" ht="17">
      <c r="A43" s="13" t="s">
        <v>104</v>
      </c>
      <c r="B43" s="14">
        <v>32</v>
      </c>
      <c r="C43" s="15">
        <v>0.22908571428571434</v>
      </c>
      <c r="D43" s="16">
        <v>0.23859318278618874</v>
      </c>
      <c r="E43" s="15">
        <v>0.10106891300172652</v>
      </c>
      <c r="F43" s="17">
        <v>0.38799230995346279</v>
      </c>
      <c r="G43" s="17">
        <v>1.1083664516129033</v>
      </c>
      <c r="H43" s="17">
        <v>0.89482816266964527</v>
      </c>
      <c r="I43" s="15">
        <v>9.3081964789527141E-2</v>
      </c>
      <c r="J43" s="18">
        <v>0.89482816266964527</v>
      </c>
      <c r="K43" s="18">
        <v>1.1083664516129033</v>
      </c>
      <c r="L43" s="19">
        <v>8.0405015741935482E-2</v>
      </c>
      <c r="M43" s="20">
        <v>0.44699654028218339</v>
      </c>
      <c r="N43" s="21">
        <v>3.9099999999999996E-2</v>
      </c>
      <c r="O43" s="19">
        <v>0.27953491324924673</v>
      </c>
      <c r="P43" s="21">
        <v>6.6012949433732357E-2</v>
      </c>
      <c r="Q43" s="20">
        <v>1.2095704991892824</v>
      </c>
      <c r="R43" s="20">
        <v>1.4887746916288438</v>
      </c>
      <c r="S43" s="16">
        <v>13.781555827255266</v>
      </c>
      <c r="T43" s="14">
        <v>14.720093728802491</v>
      </c>
      <c r="U43" s="20">
        <v>24.372311003971877</v>
      </c>
      <c r="V43" s="16">
        <v>1.3483111539249486E-2</v>
      </c>
      <c r="W43" s="19">
        <v>0.70681498949828303</v>
      </c>
      <c r="X43" s="22">
        <v>0.1248557453349329</v>
      </c>
      <c r="Y43" s="23">
        <v>8.355432006416065E-2</v>
      </c>
      <c r="Z43" s="24">
        <v>1.2807430200000001</v>
      </c>
      <c r="AA43" s="25"/>
      <c r="AB43" s="25"/>
      <c r="AC43" s="25"/>
      <c r="AD43" s="26"/>
      <c r="AE43" s="27"/>
      <c r="AF43" s="26"/>
      <c r="AG43" s="27"/>
      <c r="AH43" s="28"/>
      <c r="AI43" s="28"/>
      <c r="AJ43" s="28"/>
      <c r="AK43" s="28"/>
      <c r="AL43" s="29"/>
      <c r="AM43" s="29"/>
      <c r="AN43" s="27"/>
      <c r="AO43" s="28"/>
      <c r="AP43" s="27"/>
      <c r="AQ43" s="27"/>
      <c r="AR43" s="27"/>
      <c r="AS43" s="28"/>
      <c r="AT43" s="28"/>
      <c r="AU43" s="28"/>
      <c r="AV43" s="28"/>
      <c r="AW43" s="28"/>
      <c r="AX43" s="28"/>
      <c r="AY43" s="28"/>
      <c r="AZ43" s="30"/>
      <c r="BA43" s="30"/>
      <c r="BB43" s="30"/>
      <c r="BC43" s="30"/>
      <c r="BD43" s="30"/>
      <c r="BE43" s="30"/>
      <c r="BF43" s="30"/>
      <c r="BG43" s="31"/>
      <c r="BH43" s="31"/>
      <c r="BI43" s="28"/>
      <c r="BJ43" s="32"/>
      <c r="BK43" s="32"/>
      <c r="BL43" s="28"/>
      <c r="BM43" s="28"/>
      <c r="BN43" s="26"/>
      <c r="BO43" s="33"/>
      <c r="BP43" s="34"/>
      <c r="BQ43" s="33"/>
      <c r="BR43" s="34"/>
    </row>
    <row r="44" spans="1:70" ht="17">
      <c r="A44" s="13" t="s">
        <v>105</v>
      </c>
      <c r="B44" s="14">
        <v>35</v>
      </c>
      <c r="C44" s="15">
        <v>8.1875500000000018E-2</v>
      </c>
      <c r="D44" s="16">
        <v>0.10570982989457005</v>
      </c>
      <c r="E44" s="15">
        <v>8.8086569162812434E-2</v>
      </c>
      <c r="F44" s="17">
        <v>1.5120444558970396</v>
      </c>
      <c r="G44" s="17">
        <v>1.1785352</v>
      </c>
      <c r="H44" s="17">
        <v>0.5122854446277495</v>
      </c>
      <c r="I44" s="15">
        <v>0.1183693780819782</v>
      </c>
      <c r="J44" s="18">
        <v>0.5122854446277495</v>
      </c>
      <c r="K44" s="18">
        <v>1.1785352</v>
      </c>
      <c r="L44" s="19">
        <v>8.3969588159999997E-2</v>
      </c>
      <c r="M44" s="20">
        <v>0.60628194314050954</v>
      </c>
      <c r="N44" s="21">
        <v>3.9099999999999996E-2</v>
      </c>
      <c r="O44" s="19">
        <v>0.60191787304858646</v>
      </c>
      <c r="P44" s="21">
        <v>4.9336602843862216E-2</v>
      </c>
      <c r="Q44" s="20">
        <v>1.5026057441220912</v>
      </c>
      <c r="R44" s="20">
        <v>1.3236785163479872</v>
      </c>
      <c r="S44" s="16">
        <v>8.2376181558204404</v>
      </c>
      <c r="T44" s="14">
        <v>14.973507413199933</v>
      </c>
      <c r="U44" s="20">
        <v>19.77256223310841</v>
      </c>
      <c r="V44" s="16">
        <v>2.5638741888251541E-2</v>
      </c>
      <c r="W44" s="19">
        <v>1.1041296966509815</v>
      </c>
      <c r="X44" s="22">
        <v>8.2122345260154286E-2</v>
      </c>
      <c r="Y44" s="23">
        <v>0.24140641271037688</v>
      </c>
      <c r="Z44" s="24">
        <v>0.302013643</v>
      </c>
      <c r="AA44" s="25"/>
      <c r="AB44" s="25"/>
      <c r="AC44" s="25"/>
      <c r="AD44" s="26"/>
      <c r="AE44" s="27"/>
      <c r="AF44" s="26"/>
      <c r="AG44" s="27"/>
      <c r="AH44" s="28"/>
      <c r="AI44" s="28"/>
      <c r="AJ44" s="28"/>
      <c r="AK44" s="28"/>
      <c r="AL44" s="29"/>
      <c r="AM44" s="29"/>
      <c r="AN44" s="27"/>
      <c r="AO44" s="28"/>
      <c r="AP44" s="27"/>
      <c r="AQ44" s="27"/>
      <c r="AR44" s="27"/>
      <c r="AS44" s="28"/>
      <c r="AT44" s="28"/>
      <c r="AU44" s="28"/>
      <c r="AV44" s="28"/>
      <c r="AW44" s="28"/>
      <c r="AX44" s="28"/>
      <c r="AY44" s="28"/>
      <c r="AZ44" s="30"/>
      <c r="BA44" s="30"/>
      <c r="BB44" s="30"/>
      <c r="BC44" s="30"/>
      <c r="BD44" s="30"/>
      <c r="BE44" s="30"/>
      <c r="BF44" s="30"/>
      <c r="BG44" s="31"/>
      <c r="BH44" s="31"/>
      <c r="BI44" s="28"/>
      <c r="BJ44" s="32"/>
      <c r="BK44" s="32"/>
      <c r="BL44" s="28"/>
      <c r="BM44" s="28"/>
      <c r="BN44" s="26"/>
      <c r="BO44" s="33"/>
      <c r="BP44" s="34"/>
      <c r="BQ44" s="33"/>
      <c r="BR44" s="34"/>
    </row>
    <row r="45" spans="1:70" ht="17">
      <c r="A45" s="13" t="s">
        <v>106</v>
      </c>
      <c r="B45" s="14">
        <v>70</v>
      </c>
      <c r="C45" s="15">
        <v>7.8601951219512203E-2</v>
      </c>
      <c r="D45" s="16">
        <v>0.14005722065168572</v>
      </c>
      <c r="E45" s="15">
        <v>0.19596688620396369</v>
      </c>
      <c r="F45" s="17">
        <v>0.37128470323932172</v>
      </c>
      <c r="G45" s="17">
        <v>0.93865277419354842</v>
      </c>
      <c r="H45" s="17">
        <v>0.74415946232869168</v>
      </c>
      <c r="I45" s="15">
        <v>0.11330146432956961</v>
      </c>
      <c r="J45" s="18">
        <v>0.74415946232869168</v>
      </c>
      <c r="K45" s="18">
        <v>0.93865277419354842</v>
      </c>
      <c r="L45" s="19">
        <v>7.1783560929032264E-2</v>
      </c>
      <c r="M45" s="20">
        <v>0.45513831797484544</v>
      </c>
      <c r="N45" s="21">
        <v>3.9099999999999996E-2</v>
      </c>
      <c r="O45" s="19">
        <v>0.27075683288981001</v>
      </c>
      <c r="P45" s="21">
        <v>5.9784350242444356E-2</v>
      </c>
      <c r="Q45" s="20">
        <v>0.67261691317594707</v>
      </c>
      <c r="R45" s="20">
        <v>4.1531113931626598</v>
      </c>
      <c r="S45" s="16">
        <v>13.365907322870244</v>
      </c>
      <c r="T45" s="14">
        <v>21.099932122098494</v>
      </c>
      <c r="U45" s="20">
        <v>54.561463221435382</v>
      </c>
      <c r="V45" s="16">
        <v>1.4294660295492957E-2</v>
      </c>
      <c r="W45" s="19">
        <v>9.4122950010503872E-2</v>
      </c>
      <c r="X45" s="22">
        <v>0.12774423548687586</v>
      </c>
      <c r="Y45" s="23">
        <v>0.63063726996817726</v>
      </c>
      <c r="Z45" s="24">
        <v>0.266360402</v>
      </c>
      <c r="AA45" s="25"/>
      <c r="AB45" s="25"/>
      <c r="AC45" s="25"/>
      <c r="AD45" s="26"/>
      <c r="AE45" s="27"/>
      <c r="AF45" s="26"/>
      <c r="AG45" s="27"/>
      <c r="AH45" s="28"/>
      <c r="AI45" s="28"/>
      <c r="AJ45" s="28"/>
      <c r="AK45" s="28"/>
      <c r="AL45" s="29"/>
      <c r="AM45" s="29"/>
      <c r="AN45" s="27"/>
      <c r="AO45" s="28"/>
      <c r="AP45" s="27"/>
      <c r="AQ45" s="27"/>
      <c r="AR45" s="27"/>
      <c r="AS45" s="28"/>
      <c r="AT45" s="28"/>
      <c r="AU45" s="28"/>
      <c r="AV45" s="28"/>
      <c r="AW45" s="28"/>
      <c r="AX45" s="28"/>
      <c r="AY45" s="28"/>
      <c r="AZ45" s="30"/>
      <c r="BA45" s="30"/>
      <c r="BB45" s="30"/>
      <c r="BC45" s="30"/>
      <c r="BD45" s="30"/>
      <c r="BE45" s="30"/>
      <c r="BF45" s="30"/>
      <c r="BG45" s="31"/>
      <c r="BH45" s="31"/>
      <c r="BI45" s="28"/>
      <c r="BJ45" s="32"/>
      <c r="BK45" s="32"/>
      <c r="BL45" s="28"/>
      <c r="BM45" s="28"/>
      <c r="BN45" s="26"/>
      <c r="BO45" s="33"/>
      <c r="BP45" s="34"/>
      <c r="BQ45" s="33"/>
      <c r="BR45" s="34"/>
    </row>
    <row r="46" spans="1:70" ht="17">
      <c r="A46" s="13" t="s">
        <v>107</v>
      </c>
      <c r="B46" s="14">
        <v>131</v>
      </c>
      <c r="C46" s="15">
        <v>7.3411090909090898E-2</v>
      </c>
      <c r="D46" s="16">
        <v>7.3546857251817907E-2</v>
      </c>
      <c r="E46" s="15">
        <v>0.18243058081680344</v>
      </c>
      <c r="F46" s="17">
        <v>0.19415582890414076</v>
      </c>
      <c r="G46" s="17">
        <v>0.99621300000000035</v>
      </c>
      <c r="H46" s="17">
        <v>0.87926933287734055</v>
      </c>
      <c r="I46" s="15">
        <v>0.2951790059622168</v>
      </c>
      <c r="J46" s="18">
        <v>0.87926933287734055</v>
      </c>
      <c r="K46" s="18">
        <v>0.99621300000000035</v>
      </c>
      <c r="L46" s="19">
        <v>7.4707620400000022E-2</v>
      </c>
      <c r="M46" s="20">
        <v>0.56296915370311507</v>
      </c>
      <c r="N46" s="21">
        <v>3.9099999999999996E-2</v>
      </c>
      <c r="O46" s="19">
        <v>0.16258835254550882</v>
      </c>
      <c r="P46" s="21">
        <v>6.6890575303609312E-2</v>
      </c>
      <c r="Q46" s="20">
        <v>1.7407939570715367</v>
      </c>
      <c r="R46" s="20">
        <v>3.2987169079214378</v>
      </c>
      <c r="S46" s="16">
        <v>14.18840219898887</v>
      </c>
      <c r="T46" s="14">
        <v>18.038863757755191</v>
      </c>
      <c r="U46" s="20">
        <v>48.589875032112353</v>
      </c>
      <c r="V46" s="16">
        <v>3.7366098543218165E-2</v>
      </c>
      <c r="W46" s="19">
        <v>0.28080266876370064</v>
      </c>
      <c r="X46" s="22">
        <v>0.26055193913750263</v>
      </c>
      <c r="Y46" s="23">
        <v>0.49615049848516796</v>
      </c>
      <c r="Z46" s="24">
        <v>6.3946316000000003E-2</v>
      </c>
      <c r="AA46" s="25"/>
      <c r="AB46" s="25"/>
      <c r="AC46" s="25"/>
      <c r="AD46" s="26"/>
      <c r="AE46" s="27"/>
      <c r="AF46" s="26"/>
      <c r="AG46" s="27"/>
      <c r="AH46" s="28"/>
      <c r="AI46" s="28"/>
      <c r="AJ46" s="28"/>
      <c r="AK46" s="28"/>
      <c r="AL46" s="29"/>
      <c r="AM46" s="29"/>
      <c r="AN46" s="27"/>
      <c r="AO46" s="28"/>
      <c r="AP46" s="27"/>
      <c r="AQ46" s="27"/>
      <c r="AR46" s="27"/>
      <c r="AS46" s="28"/>
      <c r="AT46" s="28"/>
      <c r="AU46" s="28"/>
      <c r="AV46" s="28"/>
      <c r="AW46" s="28"/>
      <c r="AX46" s="28"/>
      <c r="AY46" s="28"/>
      <c r="AZ46" s="30"/>
      <c r="BA46" s="30"/>
      <c r="BB46" s="30"/>
      <c r="BC46" s="30"/>
      <c r="BD46" s="30"/>
      <c r="BE46" s="30"/>
      <c r="BF46" s="30"/>
      <c r="BG46" s="31"/>
      <c r="BH46" s="31"/>
      <c r="BI46" s="28"/>
      <c r="BJ46" s="32"/>
      <c r="BK46" s="32"/>
      <c r="BL46" s="28"/>
      <c r="BM46" s="28"/>
      <c r="BN46" s="26"/>
      <c r="BO46" s="33"/>
      <c r="BP46" s="34"/>
      <c r="BQ46" s="33"/>
      <c r="BR46" s="34"/>
    </row>
    <row r="47" spans="1:70" ht="17">
      <c r="A47" s="13" t="s">
        <v>108</v>
      </c>
      <c r="B47" s="14">
        <v>61</v>
      </c>
      <c r="C47" s="15">
        <v>6.9383846153846185E-2</v>
      </c>
      <c r="D47" s="16">
        <v>0.15898478583594786</v>
      </c>
      <c r="E47" s="15">
        <v>0.25323773255682913</v>
      </c>
      <c r="F47" s="17">
        <v>0.14882185220551006</v>
      </c>
      <c r="G47" s="17">
        <v>0.88160296296296281</v>
      </c>
      <c r="H47" s="17">
        <v>0.82102604136194945</v>
      </c>
      <c r="I47" s="15">
        <v>0.33510939162754816</v>
      </c>
      <c r="J47" s="18">
        <v>0.82102604136194945</v>
      </c>
      <c r="K47" s="18">
        <v>0.88160296296296281</v>
      </c>
      <c r="L47" s="19">
        <v>6.8885430518518503E-2</v>
      </c>
      <c r="M47" s="20">
        <v>0.4134862338488251</v>
      </c>
      <c r="N47" s="21">
        <v>3.9099999999999996E-2</v>
      </c>
      <c r="O47" s="19">
        <v>0.12954302002508192</v>
      </c>
      <c r="P47" s="21">
        <v>6.3567994459851243E-2</v>
      </c>
      <c r="Q47" s="20">
        <v>1.5676179589546289</v>
      </c>
      <c r="R47" s="20">
        <v>6.0330412461210337</v>
      </c>
      <c r="S47" s="16">
        <v>18.741070958469077</v>
      </c>
      <c r="T47" s="14">
        <v>23.457131318650529</v>
      </c>
      <c r="U47" s="20">
        <v>34.305330748671587</v>
      </c>
      <c r="V47" s="16">
        <v>1.1075998492262927E-2</v>
      </c>
      <c r="W47" s="19">
        <v>0.1356963247586731</v>
      </c>
      <c r="X47" s="22">
        <v>0.19841632710784785</v>
      </c>
      <c r="Y47" s="23">
        <v>0.27257269531260719</v>
      </c>
      <c r="Z47" s="24">
        <v>0.34442750100000002</v>
      </c>
      <c r="AA47" s="25"/>
      <c r="AB47" s="25"/>
      <c r="AC47" s="25"/>
      <c r="AD47" s="26"/>
      <c r="AE47" s="27"/>
      <c r="AF47" s="26"/>
      <c r="AG47" s="27"/>
      <c r="AH47" s="28"/>
      <c r="AI47" s="28"/>
      <c r="AJ47" s="28"/>
      <c r="AK47" s="28"/>
      <c r="AL47" s="29"/>
      <c r="AM47" s="29"/>
      <c r="AN47" s="27"/>
      <c r="AO47" s="28"/>
      <c r="AP47" s="27"/>
      <c r="AQ47" s="27"/>
      <c r="AR47" s="27"/>
      <c r="AS47" s="28"/>
      <c r="AT47" s="28"/>
      <c r="AU47" s="28"/>
      <c r="AV47" s="28"/>
      <c r="AW47" s="28"/>
      <c r="AX47" s="28"/>
      <c r="AY47" s="28"/>
      <c r="AZ47" s="30"/>
      <c r="BA47" s="30"/>
      <c r="BB47" s="30"/>
      <c r="BC47" s="30"/>
      <c r="BD47" s="30"/>
      <c r="BE47" s="30"/>
      <c r="BF47" s="30"/>
      <c r="BG47" s="31"/>
      <c r="BH47" s="31"/>
      <c r="BI47" s="28"/>
      <c r="BJ47" s="32"/>
      <c r="BK47" s="32"/>
      <c r="BL47" s="28"/>
      <c r="BM47" s="28"/>
      <c r="BN47" s="26"/>
      <c r="BO47" s="33"/>
      <c r="BP47" s="34"/>
      <c r="BQ47" s="33"/>
      <c r="BR47" s="34"/>
    </row>
    <row r="48" spans="1:70" ht="17">
      <c r="A48" s="13" t="s">
        <v>109</v>
      </c>
      <c r="B48" s="14">
        <v>21</v>
      </c>
      <c r="C48" s="15">
        <v>4.967470588235294E-2</v>
      </c>
      <c r="D48" s="16">
        <v>0.14709368295301348</v>
      </c>
      <c r="E48" s="15">
        <v>5.1074712303384659E-2</v>
      </c>
      <c r="F48" s="17">
        <v>0.35644103023328882</v>
      </c>
      <c r="G48" s="17">
        <v>0.78385485714285708</v>
      </c>
      <c r="H48" s="17">
        <v>0.63161786013410837</v>
      </c>
      <c r="I48" s="15">
        <v>2.8235211225178334E-2</v>
      </c>
      <c r="J48" s="18">
        <v>0.63161786013410837</v>
      </c>
      <c r="K48" s="18">
        <v>0.78385485714285708</v>
      </c>
      <c r="L48" s="19">
        <v>6.3919826742857136E-2</v>
      </c>
      <c r="M48" s="20">
        <v>0.37213973394262012</v>
      </c>
      <c r="N48" s="21">
        <v>3.61E-2</v>
      </c>
      <c r="O48" s="19">
        <v>0.26277665028459513</v>
      </c>
      <c r="P48" s="21">
        <v>5.3778287029146256E-2</v>
      </c>
      <c r="Q48" s="20">
        <v>0.64835063575712815</v>
      </c>
      <c r="R48" s="20">
        <v>1.8350717498975582</v>
      </c>
      <c r="S48" s="16">
        <v>16.444239925816127</v>
      </c>
      <c r="T48" s="14">
        <v>35.87878870790091</v>
      </c>
      <c r="U48" s="20">
        <v>22.155024874734821</v>
      </c>
      <c r="V48" s="16">
        <v>-1.1072805559717038E-2</v>
      </c>
      <c r="W48" s="19">
        <v>0.19282066032758652</v>
      </c>
      <c r="X48" s="22">
        <v>1.9651875333028878E-2</v>
      </c>
      <c r="Y48" s="23">
        <v>1.0114857129446226</v>
      </c>
      <c r="Z48" s="24">
        <v>0.76789298399999995</v>
      </c>
      <c r="AA48" s="25"/>
      <c r="AB48" s="25"/>
      <c r="AC48" s="25"/>
      <c r="AD48" s="26"/>
      <c r="AE48" s="27"/>
      <c r="AF48" s="26"/>
      <c r="AG48" s="27"/>
      <c r="AH48" s="28"/>
      <c r="AI48" s="28"/>
      <c r="AJ48" s="28"/>
      <c r="AK48" s="28"/>
      <c r="AL48" s="29"/>
      <c r="AM48" s="29"/>
      <c r="AN48" s="27"/>
      <c r="AO48" s="28"/>
      <c r="AP48" s="27"/>
      <c r="AQ48" s="27"/>
      <c r="AR48" s="27"/>
      <c r="AS48" s="28"/>
      <c r="AT48" s="28"/>
      <c r="AU48" s="28"/>
      <c r="AV48" s="28"/>
      <c r="AW48" s="28"/>
      <c r="AX48" s="28"/>
      <c r="AY48" s="28"/>
      <c r="AZ48" s="30"/>
      <c r="BA48" s="30"/>
      <c r="BB48" s="30"/>
      <c r="BC48" s="30"/>
      <c r="BD48" s="30"/>
      <c r="BE48" s="30"/>
      <c r="BF48" s="30"/>
      <c r="BG48" s="31"/>
      <c r="BH48" s="31"/>
      <c r="BI48" s="28"/>
      <c r="BJ48" s="32"/>
      <c r="BK48" s="32"/>
      <c r="BL48" s="28"/>
      <c r="BM48" s="28"/>
      <c r="BN48" s="26"/>
      <c r="BO48" s="33"/>
      <c r="BP48" s="34"/>
      <c r="BQ48" s="33"/>
      <c r="BR48" s="34"/>
    </row>
    <row r="49" spans="1:70" ht="17">
      <c r="A49" s="13" t="s">
        <v>110</v>
      </c>
      <c r="B49" s="14">
        <v>25</v>
      </c>
      <c r="C49" s="15">
        <v>1.2959000000000004E-2</v>
      </c>
      <c r="D49" s="16">
        <v>0.1532282850177959</v>
      </c>
      <c r="E49" s="15">
        <v>8.2054600400632921E-2</v>
      </c>
      <c r="F49" s="17">
        <v>0.55545738593532989</v>
      </c>
      <c r="G49" s="17">
        <v>1.0076621818181819</v>
      </c>
      <c r="H49" s="17">
        <v>0.80519497929401429</v>
      </c>
      <c r="I49" s="15">
        <v>4.4003708225644714E-2</v>
      </c>
      <c r="J49" s="18">
        <v>0.80519497929401429</v>
      </c>
      <c r="K49" s="18">
        <v>1.0076621818181819</v>
      </c>
      <c r="L49" s="19">
        <v>7.5289238836363639E-2</v>
      </c>
      <c r="M49" s="20">
        <v>0.37335819471308729</v>
      </c>
      <c r="N49" s="21">
        <v>3.61E-2</v>
      </c>
      <c r="O49" s="19">
        <v>0.35710228448420106</v>
      </c>
      <c r="P49" s="21">
        <v>5.7905081924941412E-2</v>
      </c>
      <c r="Q49" s="20">
        <v>0.63331534456291005</v>
      </c>
      <c r="R49" s="20">
        <v>1.4480531498685549</v>
      </c>
      <c r="S49" s="16">
        <v>8.3737807491359906</v>
      </c>
      <c r="T49" s="14">
        <v>11.365193691801879</v>
      </c>
      <c r="U49" s="20">
        <v>18.168926549249139</v>
      </c>
      <c r="V49" s="16">
        <v>-2.7799093828968506E-3</v>
      </c>
      <c r="W49" s="19">
        <v>0.16466924597929275</v>
      </c>
      <c r="X49" s="22">
        <v>4.1716921679320125E-2</v>
      </c>
      <c r="Y49" s="23">
        <v>0.65774901012196418</v>
      </c>
      <c r="Z49" s="24">
        <v>0.36744834300000001</v>
      </c>
      <c r="AA49" s="25"/>
      <c r="AB49" s="25"/>
      <c r="AC49" s="25"/>
      <c r="AD49" s="26"/>
      <c r="AE49" s="27"/>
      <c r="AF49" s="26"/>
      <c r="AG49" s="27"/>
      <c r="AH49" s="28"/>
      <c r="AI49" s="28"/>
      <c r="AJ49" s="28"/>
      <c r="AK49" s="28"/>
      <c r="AL49" s="29"/>
      <c r="AM49" s="29"/>
      <c r="AN49" s="27"/>
      <c r="AO49" s="28"/>
      <c r="AP49" s="27"/>
      <c r="AQ49" s="27"/>
      <c r="AR49" s="27"/>
      <c r="AS49" s="28"/>
      <c r="AT49" s="28"/>
      <c r="AU49" s="28"/>
      <c r="AV49" s="28"/>
      <c r="AW49" s="28"/>
      <c r="AX49" s="28"/>
      <c r="AY49" s="28"/>
      <c r="AZ49" s="30"/>
      <c r="BA49" s="30"/>
      <c r="BB49" s="30"/>
      <c r="BC49" s="30"/>
      <c r="BD49" s="30"/>
      <c r="BE49" s="30"/>
      <c r="BF49" s="30"/>
      <c r="BG49" s="31"/>
      <c r="BH49" s="31"/>
      <c r="BI49" s="28"/>
      <c r="BJ49" s="32"/>
      <c r="BK49" s="32"/>
      <c r="BL49" s="28"/>
      <c r="BM49" s="28"/>
      <c r="BN49" s="26"/>
      <c r="BO49" s="33"/>
      <c r="BP49" s="34"/>
      <c r="BQ49" s="33"/>
      <c r="BR49" s="34"/>
    </row>
    <row r="50" spans="1:70" ht="17">
      <c r="A50" s="13" t="s">
        <v>111</v>
      </c>
      <c r="B50" s="14">
        <v>50</v>
      </c>
      <c r="C50" s="15">
        <v>6.816682926829272E-2</v>
      </c>
      <c r="D50" s="16">
        <v>0.18502031896713994</v>
      </c>
      <c r="E50" s="15">
        <v>9.2964764244262574E-2</v>
      </c>
      <c r="F50" s="17">
        <v>0.24565871388099761</v>
      </c>
      <c r="G50" s="17">
        <v>0.83840033333333308</v>
      </c>
      <c r="H50" s="17">
        <v>0.72774299007849574</v>
      </c>
      <c r="I50" s="15">
        <v>8.321458017575703E-2</v>
      </c>
      <c r="J50" s="18">
        <v>0.72774299007849574</v>
      </c>
      <c r="K50" s="18">
        <v>0.83840033333333308</v>
      </c>
      <c r="L50" s="19">
        <v>6.6690736933333314E-2</v>
      </c>
      <c r="M50" s="20">
        <v>0.34652799338581941</v>
      </c>
      <c r="N50" s="21">
        <v>3.61E-2</v>
      </c>
      <c r="O50" s="19">
        <v>0.19721189371013084</v>
      </c>
      <c r="P50" s="21">
        <v>5.8485514222891763E-2</v>
      </c>
      <c r="Q50" s="20">
        <v>1.0983336087056448</v>
      </c>
      <c r="R50" s="20">
        <v>1.521539288439145</v>
      </c>
      <c r="S50" s="16">
        <v>11.913078998680563</v>
      </c>
      <c r="T50" s="14">
        <v>15.355944309798755</v>
      </c>
      <c r="U50" s="20">
        <v>49.687740357686764</v>
      </c>
      <c r="V50" s="16">
        <v>5.722110975046971E-3</v>
      </c>
      <c r="W50" s="19">
        <v>0.16365715185530655</v>
      </c>
      <c r="X50" s="22">
        <v>7.2896981603998726E-2</v>
      </c>
      <c r="Y50" s="23">
        <v>0.426481343558619</v>
      </c>
      <c r="Z50" s="24">
        <v>0.57827139100000002</v>
      </c>
      <c r="AA50" s="25"/>
      <c r="AB50" s="25"/>
      <c r="AC50" s="25"/>
      <c r="AD50" s="26"/>
      <c r="AE50" s="27"/>
      <c r="AF50" s="26"/>
      <c r="AG50" s="27"/>
      <c r="AH50" s="28"/>
      <c r="AI50" s="28"/>
      <c r="AJ50" s="28"/>
      <c r="AK50" s="28"/>
      <c r="AL50" s="29"/>
      <c r="AM50" s="29"/>
      <c r="AN50" s="27"/>
      <c r="AO50" s="28"/>
      <c r="AP50" s="27"/>
      <c r="AQ50" s="27"/>
      <c r="AR50" s="27"/>
      <c r="AS50" s="28"/>
      <c r="AT50" s="28"/>
      <c r="AU50" s="28"/>
      <c r="AV50" s="28"/>
      <c r="AW50" s="28"/>
      <c r="AX50" s="28"/>
      <c r="AY50" s="28"/>
      <c r="AZ50" s="30"/>
      <c r="BA50" s="30"/>
      <c r="BB50" s="30"/>
      <c r="BC50" s="30"/>
      <c r="BD50" s="30"/>
      <c r="BE50" s="30"/>
      <c r="BF50" s="30"/>
      <c r="BG50" s="31"/>
      <c r="BH50" s="31"/>
      <c r="BI50" s="28"/>
      <c r="BJ50" s="32"/>
      <c r="BK50" s="32"/>
      <c r="BL50" s="28"/>
      <c r="BM50" s="28"/>
      <c r="BN50" s="26"/>
      <c r="BO50" s="33"/>
      <c r="BP50" s="34"/>
      <c r="BQ50" s="33"/>
      <c r="BR50" s="34"/>
    </row>
    <row r="51" spans="1:70" ht="17">
      <c r="A51" s="13" t="s">
        <v>112</v>
      </c>
      <c r="B51" s="14">
        <v>165</v>
      </c>
      <c r="C51" s="15">
        <v>7.8606315789473719E-2</v>
      </c>
      <c r="D51" s="16">
        <v>8.2979537643097526E-2</v>
      </c>
      <c r="E51" s="15">
        <v>0.19950557183433074</v>
      </c>
      <c r="F51" s="17">
        <v>0.40061020431621275</v>
      </c>
      <c r="G51" s="17">
        <v>0.98742882644628183</v>
      </c>
      <c r="H51" s="17">
        <v>0.86690937652117939</v>
      </c>
      <c r="I51" s="15">
        <v>9.887989338689944E-2</v>
      </c>
      <c r="J51" s="18">
        <v>0.86690937652117939</v>
      </c>
      <c r="K51" s="18">
        <v>0.98742882644628183</v>
      </c>
      <c r="L51" s="19">
        <v>7.4261384383471116E-2</v>
      </c>
      <c r="M51" s="20">
        <v>0.40996093158687158</v>
      </c>
      <c r="N51" s="21">
        <v>3.9099999999999996E-2</v>
      </c>
      <c r="O51" s="19">
        <v>0.28602547881035417</v>
      </c>
      <c r="P51" s="21">
        <v>6.1068514108728683E-2</v>
      </c>
      <c r="Q51" s="20">
        <v>0.53963056503840579</v>
      </c>
      <c r="R51" s="20">
        <v>4.9637961938064734</v>
      </c>
      <c r="S51" s="16">
        <v>21.418689802875324</v>
      </c>
      <c r="T51" s="14">
        <v>24.314161582643347</v>
      </c>
      <c r="U51" s="20">
        <v>158.40592211225112</v>
      </c>
      <c r="V51" s="16">
        <v>3.5739011964767198E-2</v>
      </c>
      <c r="W51" s="19">
        <v>0.36901568749334696</v>
      </c>
      <c r="X51" s="22">
        <v>0.13655981611508689</v>
      </c>
      <c r="Y51" s="23">
        <v>0.36325454131761636</v>
      </c>
      <c r="Z51" s="24">
        <v>0.27098351500000001</v>
      </c>
      <c r="AA51" s="25"/>
      <c r="AB51" s="25"/>
      <c r="AC51" s="25"/>
      <c r="AD51" s="26"/>
      <c r="AE51" s="27"/>
      <c r="AF51" s="26"/>
      <c r="AG51" s="27"/>
      <c r="AH51" s="28"/>
      <c r="AI51" s="28"/>
      <c r="AJ51" s="28"/>
      <c r="AK51" s="28"/>
      <c r="AL51" s="29"/>
      <c r="AM51" s="29"/>
      <c r="AN51" s="27"/>
      <c r="AO51" s="28"/>
      <c r="AP51" s="27"/>
      <c r="AQ51" s="27"/>
      <c r="AR51" s="27"/>
      <c r="AS51" s="28"/>
      <c r="AT51" s="28"/>
      <c r="AU51" s="28"/>
      <c r="AV51" s="28"/>
      <c r="AW51" s="28"/>
      <c r="AX51" s="28"/>
      <c r="AY51" s="28"/>
      <c r="AZ51" s="30"/>
      <c r="BA51" s="30"/>
      <c r="BB51" s="30"/>
      <c r="BC51" s="30"/>
      <c r="BD51" s="30"/>
      <c r="BE51" s="30"/>
      <c r="BF51" s="30"/>
      <c r="BG51" s="31"/>
      <c r="BH51" s="31"/>
      <c r="BI51" s="28"/>
      <c r="BJ51" s="32"/>
      <c r="BK51" s="32"/>
      <c r="BL51" s="28"/>
      <c r="BM51" s="28"/>
      <c r="BN51" s="26"/>
      <c r="BO51" s="33"/>
      <c r="BP51" s="34"/>
      <c r="BQ51" s="33"/>
      <c r="BR51" s="34"/>
    </row>
    <row r="52" spans="1:70" ht="17">
      <c r="A52" s="13" t="s">
        <v>113</v>
      </c>
      <c r="B52" s="14">
        <v>126</v>
      </c>
      <c r="C52" s="15">
        <v>1.8409493670886078E-2</v>
      </c>
      <c r="D52" s="16">
        <v>0.14054020214357629</v>
      </c>
      <c r="E52" s="15">
        <v>0.1360198468921876</v>
      </c>
      <c r="F52" s="17">
        <v>0.18559308396829746</v>
      </c>
      <c r="G52" s="17">
        <v>1.1493211214953274</v>
      </c>
      <c r="H52" s="17">
        <v>1.0376808387746204</v>
      </c>
      <c r="I52" s="15">
        <v>0.25888143465746444</v>
      </c>
      <c r="J52" s="18">
        <v>1.0376808387746204</v>
      </c>
      <c r="K52" s="18">
        <v>1.1493211214953274</v>
      </c>
      <c r="L52" s="19">
        <v>8.2485512971962632E-2</v>
      </c>
      <c r="M52" s="20">
        <v>0.43170960058226454</v>
      </c>
      <c r="N52" s="21">
        <v>3.9099999999999996E-2</v>
      </c>
      <c r="O52" s="19">
        <v>0.15654028897258665</v>
      </c>
      <c r="P52" s="21">
        <v>7.3783976478620283E-2</v>
      </c>
      <c r="Q52" s="20">
        <v>2.1994666926495841</v>
      </c>
      <c r="R52" s="20">
        <v>2.6543183234585417</v>
      </c>
      <c r="S52" s="16">
        <v>14.848400069911069</v>
      </c>
      <c r="T52" s="14">
        <v>19.489631726402958</v>
      </c>
      <c r="U52" s="20">
        <v>32.743345807199233</v>
      </c>
      <c r="V52" s="16">
        <v>0.10378821359822865</v>
      </c>
      <c r="W52" s="19">
        <v>1.1247558044529287</v>
      </c>
      <c r="X52" s="22">
        <v>0.16824318983511152</v>
      </c>
      <c r="Y52" s="23">
        <v>0.30098343598363603</v>
      </c>
      <c r="Z52" s="24">
        <v>0.20887931200000001</v>
      </c>
      <c r="AA52" s="25"/>
      <c r="AB52" s="25"/>
      <c r="AC52" s="25"/>
      <c r="AD52" s="26"/>
      <c r="AE52" s="27"/>
      <c r="AF52" s="26"/>
      <c r="AG52" s="27"/>
      <c r="AH52" s="28"/>
      <c r="AI52" s="28"/>
      <c r="AJ52" s="28"/>
      <c r="AK52" s="28"/>
      <c r="AL52" s="29"/>
      <c r="AM52" s="29"/>
      <c r="AN52" s="27"/>
      <c r="AO52" s="28"/>
      <c r="AP52" s="27"/>
      <c r="AQ52" s="27"/>
      <c r="AR52" s="27"/>
      <c r="AS52" s="28"/>
      <c r="AT52" s="28"/>
      <c r="AU52" s="28"/>
      <c r="AV52" s="28"/>
      <c r="AW52" s="28"/>
      <c r="AX52" s="28"/>
      <c r="AY52" s="28"/>
      <c r="AZ52" s="30"/>
      <c r="BA52" s="30"/>
      <c r="BB52" s="30"/>
      <c r="BC52" s="30"/>
      <c r="BD52" s="30"/>
      <c r="BE52" s="30"/>
      <c r="BF52" s="30"/>
      <c r="BG52" s="31"/>
      <c r="BH52" s="31"/>
      <c r="BI52" s="28"/>
      <c r="BJ52" s="32"/>
      <c r="BK52" s="32"/>
      <c r="BL52" s="28"/>
      <c r="BM52" s="28"/>
      <c r="BN52" s="26"/>
      <c r="BO52" s="33"/>
      <c r="BP52" s="34"/>
      <c r="BQ52" s="33"/>
      <c r="BR52" s="34"/>
    </row>
    <row r="53" spans="1:70" ht="17">
      <c r="A53" s="13" t="s">
        <v>114</v>
      </c>
      <c r="B53" s="14">
        <v>102</v>
      </c>
      <c r="C53" s="15">
        <v>0.14721846153846155</v>
      </c>
      <c r="D53" s="16">
        <v>1.6599829891674158E-2</v>
      </c>
      <c r="E53" s="15">
        <v>0.1794458395585814</v>
      </c>
      <c r="F53" s="17">
        <v>0.29788067514795136</v>
      </c>
      <c r="G53" s="17">
        <v>1.1032091294117645</v>
      </c>
      <c r="H53" s="17">
        <v>0.96016218423880206</v>
      </c>
      <c r="I53" s="15">
        <v>0.14344929651934318</v>
      </c>
      <c r="J53" s="18">
        <v>0.96016218423880206</v>
      </c>
      <c r="K53" s="18">
        <v>1.1032091294117645</v>
      </c>
      <c r="L53" s="19">
        <v>8.0143023774117639E-2</v>
      </c>
      <c r="M53" s="20">
        <v>0.82328079886594596</v>
      </c>
      <c r="N53" s="21">
        <v>6.9099999999999995E-2</v>
      </c>
      <c r="O53" s="19">
        <v>0.2295131446610025</v>
      </c>
      <c r="P53" s="21">
        <v>7.3679695600709139E-2</v>
      </c>
      <c r="Q53" s="20">
        <v>0.81357245944963419</v>
      </c>
      <c r="R53" s="20">
        <v>2.5390062333792294</v>
      </c>
      <c r="S53" s="16">
        <v>8.814370019199794</v>
      </c>
      <c r="T53" s="14">
        <v>13.938116771681049</v>
      </c>
      <c r="U53" s="20">
        <v>52.109037519254031</v>
      </c>
      <c r="V53" s="16">
        <v>-1.0898063577131649E-3</v>
      </c>
      <c r="W53" s="19">
        <v>0.25875404465398422</v>
      </c>
      <c r="X53" s="22">
        <v>0.1067068698078751</v>
      </c>
      <c r="Y53" s="23">
        <v>0.18572170214191219</v>
      </c>
      <c r="Z53" s="24">
        <v>0.40506124100000002</v>
      </c>
      <c r="AA53" s="25"/>
      <c r="AB53" s="25"/>
      <c r="AC53" s="25"/>
      <c r="AD53" s="26"/>
      <c r="AE53" s="27"/>
      <c r="AF53" s="26"/>
      <c r="AG53" s="27"/>
      <c r="AH53" s="28"/>
      <c r="AI53" s="28"/>
      <c r="AJ53" s="28"/>
      <c r="AK53" s="28"/>
      <c r="AL53" s="29"/>
      <c r="AM53" s="29"/>
      <c r="AN53" s="27"/>
      <c r="AO53" s="28"/>
      <c r="AP53" s="27"/>
      <c r="AQ53" s="27"/>
      <c r="AR53" s="27"/>
      <c r="AS53" s="28"/>
      <c r="AT53" s="28"/>
      <c r="AU53" s="28"/>
      <c r="AV53" s="28"/>
      <c r="AW53" s="28"/>
      <c r="AX53" s="28"/>
      <c r="AY53" s="28"/>
      <c r="AZ53" s="30"/>
      <c r="BA53" s="30"/>
      <c r="BB53" s="30"/>
      <c r="BC53" s="30"/>
      <c r="BD53" s="30"/>
      <c r="BE53" s="30"/>
      <c r="BF53" s="30"/>
      <c r="BG53" s="31"/>
      <c r="BH53" s="31"/>
      <c r="BI53" s="28"/>
      <c r="BJ53" s="32"/>
      <c r="BK53" s="32"/>
      <c r="BL53" s="28"/>
      <c r="BM53" s="28"/>
      <c r="BN53" s="26"/>
      <c r="BO53" s="33"/>
      <c r="BP53" s="34"/>
      <c r="BQ53" s="33"/>
      <c r="BR53" s="34"/>
    </row>
    <row r="54" spans="1:70" ht="17">
      <c r="A54" s="13" t="s">
        <v>115</v>
      </c>
      <c r="B54" s="14">
        <v>24</v>
      </c>
      <c r="C54" s="15">
        <v>4.264133333333333E-2</v>
      </c>
      <c r="D54" s="16">
        <v>0.18369375333537005</v>
      </c>
      <c r="E54" s="15">
        <v>8.5619634910328757E-2</v>
      </c>
      <c r="F54" s="17">
        <v>0.44888150813015121</v>
      </c>
      <c r="G54" s="17">
        <v>1.3734419047619046</v>
      </c>
      <c r="H54" s="17">
        <v>1.0984143438538143</v>
      </c>
      <c r="I54" s="15">
        <v>0.17715975041930154</v>
      </c>
      <c r="J54" s="18">
        <v>1.0984143438538143</v>
      </c>
      <c r="K54" s="18">
        <v>1.3734419047619046</v>
      </c>
      <c r="L54" s="19">
        <v>9.3870848761904754E-2</v>
      </c>
      <c r="M54" s="20">
        <v>0.49658828746227324</v>
      </c>
      <c r="N54" s="21">
        <v>3.9099999999999996E-2</v>
      </c>
      <c r="O54" s="19">
        <v>0.30981243504822809</v>
      </c>
      <c r="P54" s="21">
        <v>7.2021262636175698E-2</v>
      </c>
      <c r="Q54" s="20">
        <v>2.5224766014077571</v>
      </c>
      <c r="R54" s="20">
        <v>1.0215806368030287</v>
      </c>
      <c r="S54" s="16">
        <v>8.3703979055973203</v>
      </c>
      <c r="T54" s="14">
        <v>11.930064651214805</v>
      </c>
      <c r="U54" s="20">
        <v>35.376266441201516</v>
      </c>
      <c r="V54" s="16">
        <v>3.1044348943725757E-2</v>
      </c>
      <c r="W54" s="19">
        <v>0.40661208774473084</v>
      </c>
      <c r="X54" s="22">
        <v>7.3234886535646429E-2</v>
      </c>
      <c r="Y54" s="23">
        <v>0.82360220916458116</v>
      </c>
      <c r="Z54" s="24">
        <v>0.18320408099999999</v>
      </c>
      <c r="AA54" s="25"/>
      <c r="AB54" s="25"/>
      <c r="AC54" s="25"/>
      <c r="AD54" s="26"/>
      <c r="AE54" s="27"/>
      <c r="AF54" s="26"/>
      <c r="AG54" s="27"/>
      <c r="AH54" s="28"/>
      <c r="AI54" s="28"/>
      <c r="AJ54" s="28"/>
      <c r="AK54" s="28"/>
      <c r="AL54" s="29"/>
      <c r="AM54" s="29"/>
      <c r="AN54" s="27"/>
      <c r="AO54" s="28"/>
      <c r="AP54" s="27"/>
      <c r="AQ54" s="27"/>
      <c r="AR54" s="27"/>
      <c r="AS54" s="28"/>
      <c r="AT54" s="28"/>
      <c r="AU54" s="28"/>
      <c r="AV54" s="28"/>
      <c r="AW54" s="28"/>
      <c r="AX54" s="28"/>
      <c r="AY54" s="28"/>
      <c r="AZ54" s="30"/>
      <c r="BA54" s="30"/>
      <c r="BB54" s="30"/>
      <c r="BC54" s="30"/>
      <c r="BD54" s="30"/>
      <c r="BE54" s="30"/>
      <c r="BF54" s="30"/>
      <c r="BG54" s="31"/>
      <c r="BH54" s="31"/>
      <c r="BI54" s="28"/>
      <c r="BJ54" s="32"/>
      <c r="BK54" s="32"/>
      <c r="BL54" s="28"/>
      <c r="BM54" s="28"/>
      <c r="BN54" s="26"/>
      <c r="BO54" s="33"/>
      <c r="BP54" s="34"/>
      <c r="BQ54" s="33"/>
      <c r="BR54" s="34"/>
    </row>
    <row r="55" spans="1:70" ht="17">
      <c r="A55" s="13" t="s">
        <v>116</v>
      </c>
      <c r="B55" s="14">
        <v>5</v>
      </c>
      <c r="C55" s="15">
        <v>-0.12333333333333334</v>
      </c>
      <c r="D55" s="16">
        <v>0.10964704594563976</v>
      </c>
      <c r="E55" s="15">
        <v>2.936770981046722E-2</v>
      </c>
      <c r="F55" s="17">
        <v>0.14248562964472675</v>
      </c>
      <c r="G55" s="17">
        <v>1.3724000000000003</v>
      </c>
      <c r="H55" s="17">
        <v>1.2507640353953937</v>
      </c>
      <c r="I55" s="15">
        <v>2.1514270249145432E-2</v>
      </c>
      <c r="J55" s="18">
        <v>1.2507640353953937</v>
      </c>
      <c r="K55" s="18">
        <v>1.3724000000000003</v>
      </c>
      <c r="L55" s="19">
        <v>9.3817920000000013E-2</v>
      </c>
      <c r="M55" s="20">
        <v>0.20212920654914845</v>
      </c>
      <c r="N55" s="21">
        <v>3.1099999999999999E-2</v>
      </c>
      <c r="O55" s="19">
        <v>0.12471546770267457</v>
      </c>
      <c r="P55" s="21">
        <v>8.4508600899913244E-2</v>
      </c>
      <c r="Q55" s="20">
        <v>0.82546241599788139</v>
      </c>
      <c r="R55" s="20">
        <v>2.0661784298786094</v>
      </c>
      <c r="S55" s="16">
        <v>12.946499018069632</v>
      </c>
      <c r="T55" s="14">
        <v>70.355411873658511</v>
      </c>
      <c r="U55" s="20">
        <v>55.942501942296097</v>
      </c>
      <c r="V55" s="16">
        <v>-2.7795971720522297E-2</v>
      </c>
      <c r="W55" s="19">
        <v>-0.92813229702282019</v>
      </c>
      <c r="X55" s="22">
        <v>5.8148180418808634E-2</v>
      </c>
      <c r="Y55" s="23">
        <v>1.1621365517929281</v>
      </c>
      <c r="Z55" s="24">
        <v>0.61701369299999997</v>
      </c>
      <c r="AA55" s="25"/>
      <c r="AB55" s="25"/>
      <c r="AC55" s="25"/>
      <c r="AD55" s="26"/>
      <c r="AE55" s="27"/>
      <c r="AF55" s="26"/>
      <c r="AG55" s="27"/>
      <c r="AH55" s="28"/>
      <c r="AI55" s="28"/>
      <c r="AJ55" s="28"/>
      <c r="AK55" s="28"/>
      <c r="AL55" s="29"/>
      <c r="AM55" s="29"/>
      <c r="AN55" s="27"/>
      <c r="AO55" s="28"/>
      <c r="AP55" s="27"/>
      <c r="AQ55" s="27"/>
      <c r="AR55" s="27"/>
      <c r="AS55" s="28"/>
      <c r="AT55" s="28"/>
      <c r="AU55" s="28"/>
      <c r="AV55" s="28"/>
      <c r="AW55" s="28"/>
      <c r="AX55" s="28"/>
      <c r="AY55" s="28"/>
      <c r="AZ55" s="30"/>
      <c r="BA55" s="30"/>
      <c r="BB55" s="30"/>
      <c r="BC55" s="30"/>
      <c r="BD55" s="30"/>
      <c r="BE55" s="30"/>
      <c r="BF55" s="30"/>
      <c r="BG55" s="31"/>
      <c r="BH55" s="31"/>
      <c r="BI55" s="28"/>
      <c r="BJ55" s="32"/>
      <c r="BK55" s="32"/>
      <c r="BL55" s="28"/>
      <c r="BM55" s="28"/>
      <c r="BN55" s="26"/>
      <c r="BO55" s="33"/>
      <c r="BP55" s="34"/>
      <c r="BQ55" s="33"/>
      <c r="BR55" s="34"/>
    </row>
    <row r="56" spans="1:70" ht="17">
      <c r="A56" s="13" t="s">
        <v>117</v>
      </c>
      <c r="B56" s="14">
        <v>311</v>
      </c>
      <c r="C56" s="15">
        <v>-1.7194193548387089E-2</v>
      </c>
      <c r="D56" s="16">
        <v>2.1840447167455472E-2</v>
      </c>
      <c r="E56" s="15">
        <v>2.5870383104359173E-3</v>
      </c>
      <c r="F56" s="17">
        <v>0.40041807023024123</v>
      </c>
      <c r="G56" s="17">
        <v>1.2587320149812737</v>
      </c>
      <c r="H56" s="17">
        <v>1.0036901148132051</v>
      </c>
      <c r="I56" s="15">
        <v>8.6135625051514311E-4</v>
      </c>
      <c r="J56" s="18">
        <v>1.0036901148132051</v>
      </c>
      <c r="K56" s="18">
        <v>1.2587320149812737</v>
      </c>
      <c r="L56" s="19">
        <v>8.8043586361048698E-2</v>
      </c>
      <c r="M56" s="20">
        <v>0.78882535429222089</v>
      </c>
      <c r="N56" s="21">
        <v>6.9099999999999995E-2</v>
      </c>
      <c r="O56" s="19">
        <v>0.2859275231748537</v>
      </c>
      <c r="P56" s="21">
        <v>7.7551116723478364E-2</v>
      </c>
      <c r="Q56" s="20">
        <v>0.37902124697249057</v>
      </c>
      <c r="R56" s="20">
        <v>4.3286610153669143</v>
      </c>
      <c r="S56" s="16">
        <v>10.555040183716942</v>
      </c>
      <c r="T56" s="14" t="s">
        <v>69</v>
      </c>
      <c r="U56" s="20">
        <v>126.14508317046595</v>
      </c>
      <c r="V56" s="16">
        <v>0.22033927900276781</v>
      </c>
      <c r="W56" s="19" t="s">
        <v>69</v>
      </c>
      <c r="X56" s="22">
        <v>-4.8762489807291517E-2</v>
      </c>
      <c r="Y56" s="23">
        <v>8.2698453644181394E-3</v>
      </c>
      <c r="Z56" s="24">
        <v>1.0935744489999999</v>
      </c>
      <c r="AA56" s="25"/>
      <c r="AB56" s="25"/>
      <c r="AC56" s="25"/>
      <c r="AD56" s="26"/>
      <c r="AE56" s="27"/>
      <c r="AF56" s="26"/>
      <c r="AG56" s="27"/>
      <c r="AH56" s="28"/>
      <c r="AI56" s="28"/>
      <c r="AJ56" s="28"/>
      <c r="AK56" s="28"/>
      <c r="AL56" s="29"/>
      <c r="AM56" s="29"/>
      <c r="AN56" s="27"/>
      <c r="AO56" s="28"/>
      <c r="AP56" s="27"/>
      <c r="AQ56" s="27"/>
      <c r="AR56" s="27"/>
      <c r="AS56" s="28"/>
      <c r="AT56" s="28"/>
      <c r="AU56" s="28"/>
      <c r="AV56" s="28"/>
      <c r="AW56" s="28"/>
      <c r="AX56" s="28"/>
      <c r="AY56" s="28"/>
      <c r="AZ56" s="30"/>
      <c r="BA56" s="30"/>
      <c r="BB56" s="30"/>
      <c r="BC56" s="30"/>
      <c r="BD56" s="30"/>
      <c r="BE56" s="30"/>
      <c r="BF56" s="30"/>
      <c r="BG56" s="31"/>
      <c r="BH56" s="31"/>
      <c r="BI56" s="28"/>
      <c r="BJ56" s="32"/>
      <c r="BK56" s="32"/>
      <c r="BL56" s="28"/>
      <c r="BM56" s="28"/>
      <c r="BN56" s="26"/>
      <c r="BO56" s="33"/>
      <c r="BP56" s="34"/>
      <c r="BQ56" s="33"/>
      <c r="BR56" s="34"/>
    </row>
    <row r="57" spans="1:70" ht="17">
      <c r="A57" s="13" t="s">
        <v>118</v>
      </c>
      <c r="B57" s="14">
        <v>16</v>
      </c>
      <c r="C57" s="15">
        <v>0.13888499999999998</v>
      </c>
      <c r="D57" s="16">
        <v>4.8372163749564705E-2</v>
      </c>
      <c r="E57" s="15">
        <v>0.17796226217629194</v>
      </c>
      <c r="F57" s="17">
        <v>0.91834947265166611</v>
      </c>
      <c r="G57" s="17">
        <v>1.2064832000000001</v>
      </c>
      <c r="H57" s="17">
        <v>0.71646756268516709</v>
      </c>
      <c r="I57" s="15">
        <v>6.1284012268537934E-2</v>
      </c>
      <c r="J57" s="18">
        <v>0.71646756268516709</v>
      </c>
      <c r="K57" s="18">
        <v>1.2064832000000001</v>
      </c>
      <c r="L57" s="19">
        <v>8.5389346559999996E-2</v>
      </c>
      <c r="M57" s="20">
        <v>0.62786694689603006</v>
      </c>
      <c r="N57" s="21">
        <v>3.9099999999999996E-2</v>
      </c>
      <c r="O57" s="19">
        <v>0.47871854724273172</v>
      </c>
      <c r="P57" s="21">
        <v>5.8498538675385139E-2</v>
      </c>
      <c r="Q57" s="20">
        <v>0.3618696296926226</v>
      </c>
      <c r="R57" s="20">
        <v>4.5196656856499198</v>
      </c>
      <c r="S57" s="16">
        <v>14.577435277419207</v>
      </c>
      <c r="T57" s="14">
        <v>25.295507661192961</v>
      </c>
      <c r="U57" s="20">
        <v>43.873605631437044</v>
      </c>
      <c r="V57" s="16">
        <v>0.12979705922886733</v>
      </c>
      <c r="W57" s="19">
        <v>0.98647691753934008</v>
      </c>
      <c r="X57" s="22">
        <v>1.9724465938520841E-2</v>
      </c>
      <c r="Y57" s="23">
        <v>3.1026852256667308</v>
      </c>
      <c r="Z57" s="24">
        <v>0.304829872</v>
      </c>
      <c r="AA57" s="25"/>
      <c r="AB57" s="25"/>
      <c r="AC57" s="25"/>
      <c r="AD57" s="26"/>
      <c r="AE57" s="27"/>
      <c r="AF57" s="26"/>
      <c r="AG57" s="27"/>
      <c r="AH57" s="28"/>
      <c r="AI57" s="28"/>
      <c r="AJ57" s="28"/>
      <c r="AK57" s="28"/>
      <c r="AL57" s="29"/>
      <c r="AM57" s="29"/>
      <c r="AN57" s="27"/>
      <c r="AO57" s="28"/>
      <c r="AP57" s="27"/>
      <c r="AQ57" s="27"/>
      <c r="AR57" s="27"/>
      <c r="AS57" s="28"/>
      <c r="AT57" s="28"/>
      <c r="AU57" s="28"/>
      <c r="AV57" s="28"/>
      <c r="AW57" s="28"/>
      <c r="AX57" s="28"/>
      <c r="AY57" s="28"/>
      <c r="AZ57" s="30"/>
      <c r="BA57" s="30"/>
      <c r="BB57" s="30"/>
      <c r="BC57" s="30"/>
      <c r="BD57" s="30"/>
      <c r="BE57" s="30"/>
      <c r="BF57" s="30"/>
      <c r="BG57" s="31"/>
      <c r="BH57" s="31"/>
      <c r="BI57" s="28"/>
      <c r="BJ57" s="32"/>
      <c r="BK57" s="32"/>
      <c r="BL57" s="28"/>
      <c r="BM57" s="28"/>
      <c r="BN57" s="26"/>
      <c r="BO57" s="33"/>
      <c r="BP57" s="34"/>
      <c r="BQ57" s="33"/>
      <c r="BR57" s="34"/>
    </row>
    <row r="58" spans="1:70" ht="17">
      <c r="A58" s="13" t="s">
        <v>119</v>
      </c>
      <c r="B58" s="14">
        <v>130</v>
      </c>
      <c r="C58" s="15">
        <v>-4.9305000000000002E-2</v>
      </c>
      <c r="D58" s="16">
        <v>5.2670159272357069E-2</v>
      </c>
      <c r="E58" s="15">
        <v>3.2307625550533875E-2</v>
      </c>
      <c r="F58" s="17">
        <v>0.27292981682858153</v>
      </c>
      <c r="G58" s="17">
        <v>1.2272059428571427</v>
      </c>
      <c r="H58" s="17">
        <v>1.0558983129597594</v>
      </c>
      <c r="I58" s="15">
        <v>6.4161071037434431E-2</v>
      </c>
      <c r="J58" s="18">
        <v>1.0558983129597594</v>
      </c>
      <c r="K58" s="18">
        <v>1.2272059428571427</v>
      </c>
      <c r="L58" s="19">
        <v>8.6442061897142847E-2</v>
      </c>
      <c r="M58" s="20">
        <v>0.73286391629531544</v>
      </c>
      <c r="N58" s="21">
        <v>4.6600000000000003E-2</v>
      </c>
      <c r="O58" s="19">
        <v>0.21441073437070371</v>
      </c>
      <c r="P58" s="21">
        <v>7.4373364488634644E-2</v>
      </c>
      <c r="Q58" s="20">
        <v>2.1180278048406578</v>
      </c>
      <c r="R58" s="20">
        <v>1.0150833904921943</v>
      </c>
      <c r="S58" s="16">
        <v>12.145856672039216</v>
      </c>
      <c r="T58" s="14">
        <v>30.03205718715698</v>
      </c>
      <c r="U58" s="20">
        <v>131.00464328657549</v>
      </c>
      <c r="V58" s="16">
        <v>1.1545290016387762E-2</v>
      </c>
      <c r="W58" s="19">
        <v>0.72525884110631189</v>
      </c>
      <c r="X58" s="22">
        <v>1.8238247526016434E-2</v>
      </c>
      <c r="Y58" s="23">
        <v>2.4226705138063074</v>
      </c>
      <c r="Z58" s="24">
        <v>0.42067486100000001</v>
      </c>
      <c r="AA58" s="25"/>
      <c r="AB58" s="25"/>
      <c r="AC58" s="25"/>
      <c r="AD58" s="26"/>
      <c r="AE58" s="27"/>
      <c r="AF58" s="26"/>
      <c r="AG58" s="27"/>
      <c r="AH58" s="28"/>
      <c r="AI58" s="28"/>
      <c r="AJ58" s="28"/>
      <c r="AK58" s="28"/>
      <c r="AL58" s="29"/>
      <c r="AM58" s="29"/>
      <c r="AN58" s="27"/>
      <c r="AO58" s="28"/>
      <c r="AP58" s="27"/>
      <c r="AQ58" s="27"/>
      <c r="AR58" s="27"/>
      <c r="AS58" s="28"/>
      <c r="AT58" s="28"/>
      <c r="AU58" s="28"/>
      <c r="AV58" s="28"/>
      <c r="AW58" s="28"/>
      <c r="AX58" s="28"/>
      <c r="AY58" s="28"/>
      <c r="AZ58" s="30"/>
      <c r="BA58" s="30"/>
      <c r="BB58" s="30"/>
      <c r="BC58" s="30"/>
      <c r="BD58" s="30"/>
      <c r="BE58" s="30"/>
      <c r="BF58" s="30"/>
      <c r="BG58" s="31"/>
      <c r="BH58" s="31"/>
      <c r="BI58" s="28"/>
      <c r="BJ58" s="32"/>
      <c r="BK58" s="32"/>
      <c r="BL58" s="28"/>
      <c r="BM58" s="28"/>
      <c r="BN58" s="26"/>
      <c r="BO58" s="33"/>
      <c r="BP58" s="34"/>
      <c r="BQ58" s="33"/>
      <c r="BR58" s="34"/>
    </row>
    <row r="59" spans="1:70" ht="17">
      <c r="A59" s="13" t="s">
        <v>120</v>
      </c>
      <c r="B59" s="14">
        <v>25</v>
      </c>
      <c r="C59" s="15">
        <v>1.6736111111111104E-2</v>
      </c>
      <c r="D59" s="16">
        <v>0.22371596004611088</v>
      </c>
      <c r="E59" s="15">
        <v>0.1000463121321319</v>
      </c>
      <c r="F59" s="17">
        <v>0.47833862179250053</v>
      </c>
      <c r="G59" s="17">
        <v>0.73852581818181806</v>
      </c>
      <c r="H59" s="17">
        <v>0.55106848014820298</v>
      </c>
      <c r="I59" s="15">
        <v>0.14576128623491769</v>
      </c>
      <c r="J59" s="18">
        <v>0.55106848014820298</v>
      </c>
      <c r="K59" s="18">
        <v>0.73852581818181806</v>
      </c>
      <c r="L59" s="19">
        <v>6.1617111563636362E-2</v>
      </c>
      <c r="M59" s="20">
        <v>0.27674733987108008</v>
      </c>
      <c r="N59" s="21">
        <v>3.61E-2</v>
      </c>
      <c r="O59" s="19">
        <v>0.3235649902811239</v>
      </c>
      <c r="P59" s="21">
        <v>5.0189428882322355E-2</v>
      </c>
      <c r="Q59" s="20">
        <v>1.8769868095319042</v>
      </c>
      <c r="R59" s="20">
        <v>1.6493481897316691</v>
      </c>
      <c r="S59" s="16">
        <v>10.29828857874184</v>
      </c>
      <c r="T59" s="14">
        <v>16.464157734758196</v>
      </c>
      <c r="U59" s="20">
        <v>26.437475828278913</v>
      </c>
      <c r="V59" s="16">
        <v>6.485213549811035E-2</v>
      </c>
      <c r="W59" s="19">
        <v>0.89332830816285769</v>
      </c>
      <c r="X59" s="22">
        <v>0.19389194574081184</v>
      </c>
      <c r="Y59" s="23">
        <v>0.39590226921054733</v>
      </c>
      <c r="Z59" s="24">
        <v>0.17888163300000001</v>
      </c>
      <c r="AA59" s="25"/>
      <c r="AB59" s="25"/>
      <c r="AC59" s="25"/>
      <c r="AD59" s="26"/>
      <c r="AE59" s="27"/>
      <c r="AF59" s="26"/>
      <c r="AG59" s="27"/>
      <c r="AH59" s="28"/>
      <c r="AI59" s="28"/>
      <c r="AJ59" s="28"/>
      <c r="AK59" s="28"/>
      <c r="AL59" s="29"/>
      <c r="AM59" s="29"/>
      <c r="AN59" s="27"/>
      <c r="AO59" s="28"/>
      <c r="AP59" s="27"/>
      <c r="AQ59" s="27"/>
      <c r="AR59" s="27"/>
      <c r="AS59" s="28"/>
      <c r="AT59" s="28"/>
      <c r="AU59" s="28"/>
      <c r="AV59" s="28"/>
      <c r="AW59" s="28"/>
      <c r="AX59" s="28"/>
      <c r="AY59" s="28"/>
      <c r="AZ59" s="30"/>
      <c r="BA59" s="30"/>
      <c r="BB59" s="30"/>
      <c r="BC59" s="30"/>
      <c r="BD59" s="30"/>
      <c r="BE59" s="30"/>
      <c r="BF59" s="30"/>
      <c r="BG59" s="31"/>
      <c r="BH59" s="31"/>
      <c r="BI59" s="28"/>
      <c r="BJ59" s="32"/>
      <c r="BK59" s="32"/>
      <c r="BL59" s="28"/>
      <c r="BM59" s="28"/>
      <c r="BN59" s="26"/>
      <c r="BO59" s="33"/>
      <c r="BP59" s="34"/>
      <c r="BQ59" s="33"/>
      <c r="BR59" s="34"/>
    </row>
    <row r="60" spans="1:70" ht="17">
      <c r="A60" s="13" t="s">
        <v>121</v>
      </c>
      <c r="B60" s="14">
        <v>21</v>
      </c>
      <c r="C60" s="15">
        <v>7.2335333333333349E-2</v>
      </c>
      <c r="D60" s="16">
        <v>0.14181158027093016</v>
      </c>
      <c r="E60" s="15">
        <v>5.4319383781430371E-2</v>
      </c>
      <c r="F60" s="17">
        <v>0.36462769566837755</v>
      </c>
      <c r="G60" s="17">
        <v>1.1990846315789474</v>
      </c>
      <c r="H60" s="17">
        <v>0.97753020034772831</v>
      </c>
      <c r="I60" s="15">
        <v>8.4788148754722584E-2</v>
      </c>
      <c r="J60" s="18">
        <v>0.97753020034772831</v>
      </c>
      <c r="K60" s="18">
        <v>1.1990846315789474</v>
      </c>
      <c r="L60" s="19">
        <v>8.5013499284210522E-2</v>
      </c>
      <c r="M60" s="20">
        <v>0.5681363319706948</v>
      </c>
      <c r="N60" s="21">
        <v>3.9099999999999996E-2</v>
      </c>
      <c r="O60" s="19">
        <v>0.26719939572220647</v>
      </c>
      <c r="P60" s="21">
        <v>6.9211971077012324E-2</v>
      </c>
      <c r="Q60" s="20">
        <v>1.8162155400610296</v>
      </c>
      <c r="R60" s="20">
        <v>0.9702911759112629</v>
      </c>
      <c r="S60" s="16">
        <v>8.8980281692720453</v>
      </c>
      <c r="T60" s="14">
        <v>17.712072953840909</v>
      </c>
      <c r="U60" s="20">
        <v>75.088352223531174</v>
      </c>
      <c r="V60" s="16">
        <v>1.4999146540625371E-2</v>
      </c>
      <c r="W60" s="19">
        <v>0.42849679674633506</v>
      </c>
      <c r="X60" s="22">
        <v>6.108102672090223E-2</v>
      </c>
      <c r="Y60" s="23">
        <v>0.46742274231984005</v>
      </c>
      <c r="Z60" s="24">
        <v>0.34504319</v>
      </c>
      <c r="AA60" s="25"/>
      <c r="AB60" s="25"/>
      <c r="AC60" s="25"/>
      <c r="AD60" s="26"/>
      <c r="AE60" s="27"/>
      <c r="AF60" s="26"/>
      <c r="AG60" s="27"/>
      <c r="AH60" s="28"/>
      <c r="AI60" s="28"/>
      <c r="AJ60" s="28"/>
      <c r="AK60" s="28"/>
      <c r="AL60" s="29"/>
      <c r="AM60" s="29"/>
      <c r="AN60" s="27"/>
      <c r="AO60" s="28"/>
      <c r="AP60" s="27"/>
      <c r="AQ60" s="27"/>
      <c r="AR60" s="27"/>
      <c r="AS60" s="28"/>
      <c r="AT60" s="28"/>
      <c r="AU60" s="28"/>
      <c r="AV60" s="28"/>
      <c r="AW60" s="28"/>
      <c r="AX60" s="28"/>
      <c r="AY60" s="28"/>
      <c r="AZ60" s="30"/>
      <c r="BA60" s="30"/>
      <c r="BB60" s="30"/>
      <c r="BC60" s="30"/>
      <c r="BD60" s="30"/>
      <c r="BE60" s="30"/>
      <c r="BF60" s="30"/>
      <c r="BG60" s="31"/>
      <c r="BH60" s="31"/>
      <c r="BI60" s="28"/>
      <c r="BJ60" s="32"/>
      <c r="BK60" s="32"/>
      <c r="BL60" s="28"/>
      <c r="BM60" s="28"/>
      <c r="BN60" s="26"/>
      <c r="BO60" s="33"/>
      <c r="BP60" s="34"/>
      <c r="BQ60" s="33"/>
      <c r="BR60" s="34"/>
    </row>
    <row r="61" spans="1:70" ht="17">
      <c r="A61" s="13" t="s">
        <v>122</v>
      </c>
      <c r="B61" s="14">
        <v>61</v>
      </c>
      <c r="C61" s="15">
        <v>7.7802745098039208E-2</v>
      </c>
      <c r="D61" s="16">
        <v>0.2030772173613937</v>
      </c>
      <c r="E61" s="15">
        <v>0.17938262154102436</v>
      </c>
      <c r="F61" s="17">
        <v>0.7264775546936767</v>
      </c>
      <c r="G61" s="17">
        <v>0.50452294736842129</v>
      </c>
      <c r="H61" s="17">
        <v>0.32493565540349184</v>
      </c>
      <c r="I61" s="15">
        <v>6.4259133515667186E-2</v>
      </c>
      <c r="J61" s="18">
        <v>0.32493565540349184</v>
      </c>
      <c r="K61" s="18">
        <v>0.50452294736842129</v>
      </c>
      <c r="L61" s="19">
        <v>4.9729765726315801E-2</v>
      </c>
      <c r="M61" s="20">
        <v>0.31226008199155658</v>
      </c>
      <c r="N61" s="21">
        <v>3.61E-2</v>
      </c>
      <c r="O61" s="19">
        <v>0.42078598283461216</v>
      </c>
      <c r="P61" s="21">
        <v>4.0076919732589061E-2</v>
      </c>
      <c r="Q61" s="20">
        <v>0.45023553625913909</v>
      </c>
      <c r="R61" s="20">
        <v>3.5101805771475756</v>
      </c>
      <c r="S61" s="16">
        <v>10.545868042651529</v>
      </c>
      <c r="T61" s="14">
        <v>19.56490568240941</v>
      </c>
      <c r="U61" s="20">
        <v>25.953938237171378</v>
      </c>
      <c r="V61" s="16">
        <v>0.18479320936284621</v>
      </c>
      <c r="W61" s="19">
        <v>1.367142638200225</v>
      </c>
      <c r="X61" s="22">
        <v>0.1547427387865638</v>
      </c>
      <c r="Y61" s="23">
        <v>0.45741917002609861</v>
      </c>
      <c r="Z61" s="24">
        <v>8.3721451000000002E-2</v>
      </c>
      <c r="AA61" s="25"/>
      <c r="AB61" s="25"/>
      <c r="AC61" s="25"/>
      <c r="AD61" s="26"/>
      <c r="AE61" s="27"/>
      <c r="AF61" s="26"/>
      <c r="AG61" s="27"/>
      <c r="AH61" s="28"/>
      <c r="AI61" s="28"/>
      <c r="AJ61" s="28"/>
      <c r="AK61" s="28"/>
      <c r="AL61" s="29"/>
      <c r="AM61" s="29"/>
      <c r="AN61" s="27"/>
      <c r="AO61" s="28"/>
      <c r="AP61" s="27"/>
      <c r="AQ61" s="27"/>
      <c r="AR61" s="27"/>
      <c r="AS61" s="28"/>
      <c r="AT61" s="28"/>
      <c r="AU61" s="28"/>
      <c r="AV61" s="28"/>
      <c r="AW61" s="28"/>
      <c r="AX61" s="28"/>
      <c r="AY61" s="28"/>
      <c r="AZ61" s="30"/>
      <c r="BA61" s="30"/>
      <c r="BB61" s="30"/>
      <c r="BC61" s="30"/>
      <c r="BD61" s="30"/>
      <c r="BE61" s="30"/>
      <c r="BF61" s="30"/>
      <c r="BG61" s="31"/>
      <c r="BH61" s="31"/>
      <c r="BI61" s="28"/>
      <c r="BJ61" s="32"/>
      <c r="BK61" s="32"/>
      <c r="BL61" s="28"/>
      <c r="BM61" s="28"/>
      <c r="BN61" s="26"/>
      <c r="BO61" s="33"/>
      <c r="BP61" s="34"/>
      <c r="BQ61" s="33"/>
      <c r="BR61" s="34"/>
    </row>
    <row r="62" spans="1:70" ht="17">
      <c r="A62" s="13" t="s">
        <v>123</v>
      </c>
      <c r="B62" s="14">
        <v>111</v>
      </c>
      <c r="C62" s="15">
        <v>-5.543E-2</v>
      </c>
      <c r="D62" s="16">
        <v>2.1564068485459217E-2</v>
      </c>
      <c r="E62" s="15">
        <v>0.173767072548598</v>
      </c>
      <c r="F62" s="17">
        <v>0.17577503432060235</v>
      </c>
      <c r="G62" s="17">
        <v>0.96314967088607595</v>
      </c>
      <c r="H62" s="17">
        <v>0.94639980978395732</v>
      </c>
      <c r="I62" s="15">
        <v>7.5340895170879441E-2</v>
      </c>
      <c r="J62" s="18">
        <v>0.94639980978395732</v>
      </c>
      <c r="K62" s="18">
        <v>0.96314967088607595</v>
      </c>
      <c r="L62" s="19">
        <v>7.3028003281012652E-2</v>
      </c>
      <c r="M62" s="20">
        <v>0.91351576742305929</v>
      </c>
      <c r="N62" s="21">
        <v>8.1600000000000006E-2</v>
      </c>
      <c r="O62" s="19">
        <v>0.1494971650101164</v>
      </c>
      <c r="P62" s="21">
        <v>7.1360155225873148E-2</v>
      </c>
      <c r="Q62" s="20">
        <v>0.44283973696838919</v>
      </c>
      <c r="R62" s="20">
        <v>3.240228609523975</v>
      </c>
      <c r="S62" s="16">
        <v>8.3786583067483988</v>
      </c>
      <c r="T62" s="14">
        <v>18.141071555611529</v>
      </c>
      <c r="U62" s="20">
        <v>36.158047998058947</v>
      </c>
      <c r="V62" s="16">
        <v>1.0835478371876289E-2</v>
      </c>
      <c r="W62" s="19">
        <v>0.22252686175082451</v>
      </c>
      <c r="X62" s="22">
        <v>1.8527712602837487E-2</v>
      </c>
      <c r="Y62" s="23">
        <v>0.63784910912843396</v>
      </c>
      <c r="Z62" s="24">
        <v>0.72709218799999997</v>
      </c>
      <c r="AA62" s="25"/>
      <c r="AB62" s="25"/>
      <c r="AC62" s="25"/>
      <c r="AD62" s="26"/>
      <c r="AE62" s="27"/>
      <c r="AF62" s="26"/>
      <c r="AG62" s="27"/>
      <c r="AH62" s="28"/>
      <c r="AI62" s="28"/>
      <c r="AJ62" s="28"/>
      <c r="AK62" s="28"/>
      <c r="AL62" s="29"/>
      <c r="AM62" s="29"/>
      <c r="AN62" s="27"/>
      <c r="AO62" s="28"/>
      <c r="AP62" s="27"/>
      <c r="AQ62" s="27"/>
      <c r="AR62" s="27"/>
      <c r="AS62" s="28"/>
      <c r="AT62" s="28"/>
      <c r="AU62" s="28"/>
      <c r="AV62" s="28"/>
      <c r="AW62" s="28"/>
      <c r="AX62" s="28"/>
      <c r="AY62" s="28"/>
      <c r="AZ62" s="30"/>
      <c r="BA62" s="30"/>
      <c r="BB62" s="30"/>
      <c r="BC62" s="30"/>
      <c r="BD62" s="30"/>
      <c r="BE62" s="30"/>
      <c r="BF62" s="30"/>
      <c r="BG62" s="31"/>
      <c r="BH62" s="31"/>
      <c r="BI62" s="28"/>
      <c r="BJ62" s="32"/>
      <c r="BK62" s="32"/>
      <c r="BL62" s="28"/>
      <c r="BM62" s="28"/>
      <c r="BN62" s="26"/>
      <c r="BO62" s="33"/>
      <c r="BP62" s="34"/>
      <c r="BQ62" s="33"/>
      <c r="BR62" s="34"/>
    </row>
    <row r="63" spans="1:70" ht="17">
      <c r="A63" s="13" t="s">
        <v>124</v>
      </c>
      <c r="B63" s="14">
        <v>41</v>
      </c>
      <c r="C63" s="15">
        <v>-1.65095238095238E-2</v>
      </c>
      <c r="D63" s="16">
        <v>0.11919935500199633</v>
      </c>
      <c r="E63" s="15">
        <v>7.4346519742406705E-2</v>
      </c>
      <c r="F63" s="17">
        <v>0.33649173711072822</v>
      </c>
      <c r="G63" s="17">
        <v>1.0189909743589745</v>
      </c>
      <c r="H63" s="17">
        <v>0.82623364138876865</v>
      </c>
      <c r="I63" s="15">
        <v>0.13482425768748221</v>
      </c>
      <c r="J63" s="18">
        <v>0.82623364138876865</v>
      </c>
      <c r="K63" s="18">
        <v>1.0189909743589745</v>
      </c>
      <c r="L63" s="19">
        <v>7.5864741497435897E-2</v>
      </c>
      <c r="M63" s="20">
        <v>0.54141231976377924</v>
      </c>
      <c r="N63" s="21">
        <v>3.9099999999999996E-2</v>
      </c>
      <c r="O63" s="19">
        <v>0.2517724036499972</v>
      </c>
      <c r="P63" s="21">
        <v>6.1654549533248615E-2</v>
      </c>
      <c r="Q63" s="20">
        <v>2.0608688842425171</v>
      </c>
      <c r="R63" s="20">
        <v>1.042684047333206</v>
      </c>
      <c r="S63" s="16">
        <v>8.0228421221710864</v>
      </c>
      <c r="T63" s="14">
        <v>13.853665507245449</v>
      </c>
      <c r="U63" s="20">
        <v>69.166306038067177</v>
      </c>
      <c r="V63" s="16">
        <v>6.3302352670759603E-3</v>
      </c>
      <c r="W63" s="19">
        <v>0.10540501303367417</v>
      </c>
      <c r="X63" s="22">
        <v>-2.5010610165442721E-2</v>
      </c>
      <c r="Y63" s="23">
        <v>6.2742389729284042E-3</v>
      </c>
      <c r="Z63" s="24">
        <v>0.135459051</v>
      </c>
      <c r="AA63" s="25"/>
      <c r="AB63" s="25"/>
      <c r="AC63" s="25"/>
      <c r="AD63" s="26"/>
      <c r="AE63" s="27"/>
      <c r="AF63" s="26"/>
      <c r="AG63" s="27"/>
      <c r="AH63" s="28"/>
      <c r="AI63" s="28"/>
      <c r="AJ63" s="28"/>
      <c r="AK63" s="28"/>
      <c r="AL63" s="29"/>
      <c r="AM63" s="29"/>
      <c r="AN63" s="27"/>
      <c r="AO63" s="28"/>
      <c r="AP63" s="27"/>
      <c r="AQ63" s="27"/>
      <c r="AR63" s="27"/>
      <c r="AS63" s="28"/>
      <c r="AT63" s="28"/>
      <c r="AU63" s="28"/>
      <c r="AV63" s="28"/>
      <c r="AW63" s="28"/>
      <c r="AX63" s="28"/>
      <c r="AY63" s="28"/>
      <c r="AZ63" s="30"/>
      <c r="BA63" s="30"/>
      <c r="BB63" s="30"/>
      <c r="BC63" s="30"/>
      <c r="BD63" s="30"/>
      <c r="BE63" s="30"/>
      <c r="BF63" s="30"/>
      <c r="BG63" s="31"/>
      <c r="BH63" s="31"/>
      <c r="BI63" s="28"/>
      <c r="BJ63" s="32"/>
      <c r="BK63" s="32"/>
      <c r="BL63" s="28"/>
      <c r="BM63" s="28"/>
      <c r="BN63" s="26"/>
      <c r="BO63" s="33"/>
      <c r="BP63" s="34"/>
      <c r="BQ63" s="33"/>
      <c r="BR63" s="34"/>
    </row>
    <row r="64" spans="1:70" ht="17">
      <c r="A64" s="13" t="s">
        <v>125</v>
      </c>
      <c r="B64" s="14">
        <v>244</v>
      </c>
      <c r="C64" s="15">
        <v>0.15015940828402366</v>
      </c>
      <c r="D64" s="16">
        <v>1.959011630449543E-2</v>
      </c>
      <c r="E64" s="15">
        <v>0.22309184561692932</v>
      </c>
      <c r="F64" s="17">
        <v>0.73997509005797191</v>
      </c>
      <c r="G64" s="17">
        <v>0.65925714782608735</v>
      </c>
      <c r="H64" s="17">
        <v>0.421335920717823</v>
      </c>
      <c r="I64" s="15">
        <v>3.0797432393043136E-2</v>
      </c>
      <c r="J64" s="18">
        <v>0.421335920717823</v>
      </c>
      <c r="K64" s="18">
        <v>0.65925714782608735</v>
      </c>
      <c r="L64" s="19">
        <v>5.7590263109565235E-2</v>
      </c>
      <c r="M64" s="20">
        <v>0.32140323120719289</v>
      </c>
      <c r="N64" s="21">
        <v>3.61E-2</v>
      </c>
      <c r="O64" s="19">
        <v>0.42527912858414407</v>
      </c>
      <c r="P64" s="21">
        <v>4.4328857284275977E-2</v>
      </c>
      <c r="Q64" s="20">
        <v>0.14081606788640541</v>
      </c>
      <c r="R64" s="20">
        <v>11.475026137681878</v>
      </c>
      <c r="S64" s="16">
        <v>20.788927836368664</v>
      </c>
      <c r="T64" s="14">
        <v>46.796566651298498</v>
      </c>
      <c r="U64" s="20">
        <v>42.50302517946843</v>
      </c>
      <c r="V64" s="16">
        <v>-8.3940780485568425E-2</v>
      </c>
      <c r="W64" s="19">
        <v>-0.35980163194306702</v>
      </c>
      <c r="X64" s="22">
        <v>9.5338579503205068E-2</v>
      </c>
      <c r="Y64" s="23">
        <v>1.0486875180897337</v>
      </c>
      <c r="Z64" s="24">
        <v>0.30616188999999999</v>
      </c>
      <c r="AA64" s="25"/>
      <c r="AB64" s="25"/>
      <c r="AC64" s="25"/>
      <c r="AD64" s="26"/>
      <c r="AE64" s="27"/>
      <c r="AF64" s="26"/>
      <c r="AG64" s="27"/>
      <c r="AH64" s="28"/>
      <c r="AI64" s="28"/>
      <c r="AJ64" s="28"/>
      <c r="AK64" s="28"/>
      <c r="AL64" s="29"/>
      <c r="AM64" s="29"/>
      <c r="AN64" s="27"/>
      <c r="AO64" s="28"/>
      <c r="AP64" s="27"/>
      <c r="AQ64" s="27"/>
      <c r="AR64" s="27"/>
      <c r="AS64" s="28"/>
      <c r="AT64" s="28"/>
      <c r="AU64" s="28"/>
      <c r="AV64" s="28"/>
      <c r="AW64" s="28"/>
      <c r="AX64" s="28"/>
      <c r="AY64" s="28"/>
      <c r="AZ64" s="30"/>
      <c r="BA64" s="30"/>
      <c r="BB64" s="30"/>
      <c r="BC64" s="30"/>
      <c r="BD64" s="30"/>
      <c r="BE64" s="30"/>
      <c r="BF64" s="30"/>
      <c r="BG64" s="31"/>
      <c r="BH64" s="31"/>
      <c r="BI64" s="28"/>
      <c r="BJ64" s="32"/>
      <c r="BK64" s="32"/>
      <c r="BL64" s="28"/>
      <c r="BM64" s="28"/>
      <c r="BN64" s="26"/>
      <c r="BO64" s="33"/>
      <c r="BP64" s="34"/>
      <c r="BQ64" s="33"/>
      <c r="BR64" s="34"/>
    </row>
    <row r="65" spans="1:70" ht="17">
      <c r="A65" s="13" t="s">
        <v>126</v>
      </c>
      <c r="B65" s="14">
        <v>20</v>
      </c>
      <c r="C65" s="15">
        <v>0.13901666666666665</v>
      </c>
      <c r="D65" s="16">
        <v>5.8002794303018058E-2</v>
      </c>
      <c r="E65" s="15">
        <v>0.11585584372209874</v>
      </c>
      <c r="F65" s="17">
        <v>0.42320587011788158</v>
      </c>
      <c r="G65" s="17">
        <v>0.74950400000000006</v>
      </c>
      <c r="H65" s="17">
        <v>0.61355811294464702</v>
      </c>
      <c r="I65" s="15">
        <v>2.2716325164062835E-2</v>
      </c>
      <c r="J65" s="18">
        <v>0.61355811294464702</v>
      </c>
      <c r="K65" s="18">
        <v>0.74950400000000006</v>
      </c>
      <c r="L65" s="19">
        <v>6.2174803200000003E-2</v>
      </c>
      <c r="M65" s="20">
        <v>0.44266156959705771</v>
      </c>
      <c r="N65" s="21">
        <v>3.9099999999999996E-2</v>
      </c>
      <c r="O65" s="19">
        <v>0.29736096442802623</v>
      </c>
      <c r="P65" s="21">
        <v>5.2054889413823566E-2</v>
      </c>
      <c r="Q65" s="20">
        <v>0.20814717346424116</v>
      </c>
      <c r="R65" s="20">
        <v>7.4210403915065823</v>
      </c>
      <c r="S65" s="16">
        <v>28.916007346600793</v>
      </c>
      <c r="T65" s="14">
        <v>63.215589520380583</v>
      </c>
      <c r="U65" s="20">
        <v>38.106621246528469</v>
      </c>
      <c r="V65" s="16">
        <v>-5.1113458140048584E-2</v>
      </c>
      <c r="W65" s="19">
        <v>6.9910032673071595E-2</v>
      </c>
      <c r="X65" s="22">
        <v>4.6152039189415447E-2</v>
      </c>
      <c r="Y65" s="23">
        <v>0</v>
      </c>
      <c r="Z65" s="24">
        <v>1.3675652309999999</v>
      </c>
      <c r="AA65" s="25"/>
      <c r="AB65" s="25"/>
      <c r="AC65" s="25"/>
      <c r="AD65" s="26"/>
      <c r="AE65" s="27"/>
      <c r="AF65" s="26"/>
      <c r="AG65" s="27"/>
      <c r="AH65" s="28"/>
      <c r="AI65" s="28"/>
      <c r="AJ65" s="28"/>
      <c r="AK65" s="28"/>
      <c r="AL65" s="29"/>
      <c r="AM65" s="29"/>
      <c r="AN65" s="27"/>
      <c r="AO65" s="28"/>
      <c r="AP65" s="27"/>
      <c r="AQ65" s="27"/>
      <c r="AR65" s="27"/>
      <c r="AS65" s="28"/>
      <c r="AT65" s="28"/>
      <c r="AU65" s="28"/>
      <c r="AV65" s="28"/>
      <c r="AW65" s="28"/>
      <c r="AX65" s="28"/>
      <c r="AY65" s="28"/>
      <c r="AZ65" s="30"/>
      <c r="BA65" s="30"/>
      <c r="BB65" s="30"/>
      <c r="BC65" s="30"/>
      <c r="BD65" s="30"/>
      <c r="BE65" s="30"/>
      <c r="BF65" s="30"/>
      <c r="BG65" s="31"/>
      <c r="BH65" s="31"/>
      <c r="BI65" s="28"/>
      <c r="BJ65" s="32"/>
      <c r="BK65" s="32"/>
      <c r="BL65" s="28"/>
      <c r="BM65" s="28"/>
      <c r="BN65" s="26"/>
      <c r="BO65" s="33"/>
      <c r="BP65" s="34"/>
      <c r="BQ65" s="33"/>
      <c r="BR65" s="34"/>
    </row>
    <row r="66" spans="1:70" ht="17">
      <c r="A66" s="13" t="s">
        <v>127</v>
      </c>
      <c r="B66" s="14">
        <v>10</v>
      </c>
      <c r="C66" s="15">
        <v>0.30990000000000001</v>
      </c>
      <c r="D66" s="16">
        <v>0.12770355980680748</v>
      </c>
      <c r="E66" s="15">
        <v>0.14635991789460856</v>
      </c>
      <c r="F66" s="17">
        <v>0.22749551546447758</v>
      </c>
      <c r="G66" s="17">
        <v>0.74512977777777789</v>
      </c>
      <c r="H66" s="17">
        <v>0.73331096910868621</v>
      </c>
      <c r="I66" s="15">
        <v>4.315030302184325E-2</v>
      </c>
      <c r="J66" s="18">
        <v>0.73331096910868621</v>
      </c>
      <c r="K66" s="18">
        <v>0.74512977777777789</v>
      </c>
      <c r="L66" s="19">
        <v>6.1952592711111115E-2</v>
      </c>
      <c r="M66" s="20">
        <v>0.41067832346576089</v>
      </c>
      <c r="N66" s="21">
        <v>3.9099999999999996E-2</v>
      </c>
      <c r="O66" s="19">
        <v>0.1853330725842974</v>
      </c>
      <c r="P66" s="21">
        <v>5.5796445337995333E-2</v>
      </c>
      <c r="Q66" s="20">
        <v>0.33798512929127894</v>
      </c>
      <c r="R66" s="20">
        <v>6.2003245044433415</v>
      </c>
      <c r="S66" s="16">
        <v>11.961760842960453</v>
      </c>
      <c r="T66" s="14">
        <v>29.067518427544943</v>
      </c>
      <c r="U66" s="20">
        <v>28.47432235643894</v>
      </c>
      <c r="V66" s="16">
        <v>-0.11849742022712595</v>
      </c>
      <c r="W66" s="19">
        <v>-2.1650425112524827</v>
      </c>
      <c r="X66" s="22">
        <v>4.1671641057931925E-2</v>
      </c>
      <c r="Y66" s="23">
        <v>0.2790910876825356</v>
      </c>
      <c r="Z66" s="24">
        <v>2.0405124159999999</v>
      </c>
      <c r="AA66" s="25"/>
      <c r="AB66" s="25"/>
      <c r="AC66" s="25"/>
      <c r="AD66" s="26"/>
      <c r="AE66" s="27"/>
      <c r="AF66" s="26"/>
      <c r="AG66" s="27"/>
      <c r="AH66" s="28"/>
      <c r="AI66" s="28"/>
      <c r="AJ66" s="28"/>
      <c r="AK66" s="28"/>
      <c r="AL66" s="29"/>
      <c r="AM66" s="29"/>
      <c r="AN66" s="27"/>
      <c r="AO66" s="28"/>
      <c r="AP66" s="27"/>
      <c r="AQ66" s="27"/>
      <c r="AR66" s="27"/>
      <c r="AS66" s="28"/>
      <c r="AT66" s="28"/>
      <c r="AU66" s="28"/>
      <c r="AV66" s="28"/>
      <c r="AW66" s="28"/>
      <c r="AX66" s="28"/>
      <c r="AY66" s="28"/>
      <c r="AZ66" s="30"/>
      <c r="BA66" s="30"/>
      <c r="BB66" s="30"/>
      <c r="BC66" s="30"/>
      <c r="BD66" s="30"/>
      <c r="BE66" s="30"/>
      <c r="BF66" s="30"/>
      <c r="BG66" s="31"/>
      <c r="BH66" s="31"/>
      <c r="BI66" s="28"/>
      <c r="BJ66" s="32"/>
      <c r="BK66" s="32"/>
      <c r="BL66" s="28"/>
      <c r="BM66" s="28"/>
      <c r="BN66" s="26"/>
      <c r="BO66" s="33"/>
      <c r="BP66" s="34"/>
      <c r="BQ66" s="33"/>
      <c r="BR66" s="34"/>
    </row>
    <row r="67" spans="1:70" ht="17">
      <c r="A67" s="13" t="s">
        <v>128</v>
      </c>
      <c r="B67" s="14">
        <v>60</v>
      </c>
      <c r="C67" s="15">
        <v>1.8947368421052637E-3</v>
      </c>
      <c r="D67" s="16">
        <v>8.8156595754890058E-2</v>
      </c>
      <c r="E67" s="15">
        <v>7.5581129536299724E-2</v>
      </c>
      <c r="F67" s="17">
        <v>0.40105900687227597</v>
      </c>
      <c r="G67" s="17">
        <v>1.0225766666666665</v>
      </c>
      <c r="H67" s="17">
        <v>0.80185642216849129</v>
      </c>
      <c r="I67" s="15">
        <v>0.11048524973121876</v>
      </c>
      <c r="J67" s="18">
        <v>0.80185642216849129</v>
      </c>
      <c r="K67" s="18">
        <v>1.0225766666666665</v>
      </c>
      <c r="L67" s="19">
        <v>7.6046894666666656E-2</v>
      </c>
      <c r="M67" s="20">
        <v>0.54014341374190844</v>
      </c>
      <c r="N67" s="21">
        <v>3.9099999999999996E-2</v>
      </c>
      <c r="O67" s="19">
        <v>0.28625418694363208</v>
      </c>
      <c r="P67" s="21">
        <v>6.1295049179420621E-2</v>
      </c>
      <c r="Q67" s="20">
        <v>1.5969085182421894</v>
      </c>
      <c r="R67" s="20">
        <v>1.9870560898931791</v>
      </c>
      <c r="S67" s="16">
        <v>14.07908968017451</v>
      </c>
      <c r="T67" s="14">
        <v>24.607680867518138</v>
      </c>
      <c r="U67" s="20">
        <v>75.202581650243744</v>
      </c>
      <c r="V67" s="16">
        <v>-1.27960646910907E-2</v>
      </c>
      <c r="W67" s="19">
        <v>3.6015613818999849E-2</v>
      </c>
      <c r="X67" s="22">
        <v>0.14984922883458709</v>
      </c>
      <c r="Y67" s="23">
        <v>9.8994121920223763E-2</v>
      </c>
      <c r="Z67" s="24">
        <v>0.42660091500000002</v>
      </c>
      <c r="AA67" s="25"/>
      <c r="AB67" s="25"/>
      <c r="AC67" s="25"/>
      <c r="AD67" s="26"/>
      <c r="AE67" s="27"/>
      <c r="AF67" s="26"/>
      <c r="AG67" s="27"/>
      <c r="AH67" s="28"/>
      <c r="AI67" s="28"/>
      <c r="AJ67" s="28"/>
      <c r="AK67" s="28"/>
      <c r="AL67" s="29"/>
      <c r="AM67" s="29"/>
      <c r="AN67" s="27"/>
      <c r="AO67" s="28"/>
      <c r="AP67" s="27"/>
      <c r="AQ67" s="27"/>
      <c r="AR67" s="27"/>
      <c r="AS67" s="28"/>
      <c r="AT67" s="28"/>
      <c r="AU67" s="28"/>
      <c r="AV67" s="28"/>
      <c r="AW67" s="28"/>
      <c r="AX67" s="28"/>
      <c r="AY67" s="28"/>
      <c r="AZ67" s="30"/>
      <c r="BA67" s="30"/>
      <c r="BB67" s="30"/>
      <c r="BC67" s="30"/>
      <c r="BD67" s="30"/>
      <c r="BE67" s="30"/>
      <c r="BF67" s="30"/>
      <c r="BG67" s="31"/>
      <c r="BH67" s="31"/>
      <c r="BI67" s="28"/>
      <c r="BJ67" s="32"/>
      <c r="BK67" s="32"/>
      <c r="BL67" s="28"/>
      <c r="BM67" s="28"/>
      <c r="BN67" s="26"/>
      <c r="BO67" s="33"/>
      <c r="BP67" s="34"/>
      <c r="BQ67" s="33"/>
      <c r="BR67" s="34"/>
    </row>
    <row r="68" spans="1:70" ht="17">
      <c r="A68" s="13" t="s">
        <v>129</v>
      </c>
      <c r="B68" s="14">
        <v>70</v>
      </c>
      <c r="C68" s="15">
        <v>8.631935483870954E-3</v>
      </c>
      <c r="D68" s="16">
        <v>0.10159538723319951</v>
      </c>
      <c r="E68" s="15">
        <v>0.10924410542109533</v>
      </c>
      <c r="F68" s="17">
        <v>0.25413126626052213</v>
      </c>
      <c r="G68" s="17">
        <v>0.84953386666666675</v>
      </c>
      <c r="H68" s="17">
        <v>0.72607338801137411</v>
      </c>
      <c r="I68" s="15">
        <v>0.14588172329809124</v>
      </c>
      <c r="J68" s="18">
        <v>0.72607338801137411</v>
      </c>
      <c r="K68" s="18">
        <v>0.84953386666666675</v>
      </c>
      <c r="L68" s="19">
        <v>6.7256320426666669E-2</v>
      </c>
      <c r="M68" s="20">
        <v>0.5084978234562898</v>
      </c>
      <c r="N68" s="21">
        <v>3.9099999999999996E-2</v>
      </c>
      <c r="O68" s="19">
        <v>0.20263530070362756</v>
      </c>
      <c r="P68" s="21">
        <v>5.8685437838585479E-2</v>
      </c>
      <c r="Q68" s="20">
        <v>1.4613203579830902</v>
      </c>
      <c r="R68" s="20">
        <v>2.0175762746827011</v>
      </c>
      <c r="S68" s="16">
        <v>11.678995367261026</v>
      </c>
      <c r="T68" s="14">
        <v>18.393647265223873</v>
      </c>
      <c r="U68" s="20">
        <v>21.935351348497772</v>
      </c>
      <c r="V68" s="16">
        <v>3.8970474752028424E-2</v>
      </c>
      <c r="W68" s="19">
        <v>0.50389727785556615</v>
      </c>
      <c r="X68" s="22">
        <v>4.7002797126388982E-2</v>
      </c>
      <c r="Y68" s="23">
        <v>2.0082799967177452</v>
      </c>
      <c r="Z68" s="24">
        <v>0.47628386099999998</v>
      </c>
      <c r="AA68" s="25"/>
      <c r="AB68" s="25"/>
      <c r="AC68" s="25"/>
      <c r="AD68" s="26"/>
      <c r="AE68" s="27"/>
      <c r="AF68" s="26"/>
      <c r="AG68" s="27"/>
      <c r="AH68" s="28"/>
      <c r="AI68" s="28"/>
      <c r="AJ68" s="28"/>
      <c r="AK68" s="28"/>
      <c r="AL68" s="29"/>
      <c r="AM68" s="29"/>
      <c r="AN68" s="27"/>
      <c r="AO68" s="28"/>
      <c r="AP68" s="27"/>
      <c r="AQ68" s="27"/>
      <c r="AR68" s="27"/>
      <c r="AS68" s="28"/>
      <c r="AT68" s="28"/>
      <c r="AU68" s="28"/>
      <c r="AV68" s="28"/>
      <c r="AW68" s="28"/>
      <c r="AX68" s="28"/>
      <c r="AY68" s="28"/>
      <c r="AZ68" s="30"/>
      <c r="BA68" s="30"/>
      <c r="BB68" s="30"/>
      <c r="BC68" s="30"/>
      <c r="BD68" s="30"/>
      <c r="BE68" s="30"/>
      <c r="BF68" s="30"/>
      <c r="BG68" s="31"/>
      <c r="BH68" s="31"/>
      <c r="BI68" s="28"/>
      <c r="BJ68" s="32"/>
      <c r="BK68" s="32"/>
      <c r="BL68" s="28"/>
      <c r="BM68" s="28"/>
      <c r="BN68" s="26"/>
      <c r="BO68" s="33"/>
      <c r="BP68" s="34"/>
      <c r="BQ68" s="33"/>
      <c r="BR68" s="34"/>
    </row>
    <row r="69" spans="1:70" ht="17">
      <c r="A69" s="13" t="s">
        <v>130</v>
      </c>
      <c r="B69" s="14">
        <v>3</v>
      </c>
      <c r="C69" s="15">
        <v>-2.8699999999999996E-2</v>
      </c>
      <c r="D69" s="16">
        <v>0.10916673711499984</v>
      </c>
      <c r="E69" s="15">
        <v>7.3055318687141588E-2</v>
      </c>
      <c r="F69" s="17">
        <v>0.26285328147487125</v>
      </c>
      <c r="G69" s="17">
        <v>0.5215280000000001</v>
      </c>
      <c r="H69" s="17">
        <v>0.46721027861075448</v>
      </c>
      <c r="I69" s="15">
        <v>5.9739574603904916E-2</v>
      </c>
      <c r="J69" s="18">
        <v>0.46721027861075448</v>
      </c>
      <c r="K69" s="18">
        <v>0.5215280000000001</v>
      </c>
      <c r="L69" s="19">
        <v>5.0593622400000003E-2</v>
      </c>
      <c r="M69" s="20">
        <v>0.18991191418399067</v>
      </c>
      <c r="N69" s="21">
        <v>3.1099999999999999E-2</v>
      </c>
      <c r="O69" s="19">
        <v>0.20814237515215389</v>
      </c>
      <c r="P69" s="21">
        <v>4.4741732151117986E-2</v>
      </c>
      <c r="Q69" s="20">
        <v>0.91793908332078877</v>
      </c>
      <c r="R69" s="20">
        <v>1.229427228246069</v>
      </c>
      <c r="S69" s="16">
        <v>14.250264258221415</v>
      </c>
      <c r="T69" s="14">
        <v>16.722344860237076</v>
      </c>
      <c r="U69" s="20">
        <v>486.85531898448011</v>
      </c>
      <c r="V69" s="16">
        <v>3.8476389476036757E-3</v>
      </c>
      <c r="W69" s="19">
        <v>0.79884368467910793</v>
      </c>
      <c r="X69" s="22">
        <v>6.0472745053135844E-2</v>
      </c>
      <c r="Y69" s="23">
        <v>0.11401784983214608</v>
      </c>
      <c r="Z69" s="24">
        <v>0.52130012999999997</v>
      </c>
      <c r="AA69" s="25"/>
      <c r="AB69" s="25"/>
      <c r="AC69" s="25"/>
      <c r="AD69" s="26"/>
      <c r="AE69" s="27"/>
      <c r="AF69" s="26"/>
      <c r="AG69" s="27"/>
      <c r="AH69" s="28"/>
      <c r="AI69" s="28"/>
      <c r="AJ69" s="28"/>
      <c r="AK69" s="28"/>
      <c r="AL69" s="29"/>
      <c r="AM69" s="29"/>
      <c r="AN69" s="27"/>
      <c r="AO69" s="28"/>
      <c r="AP69" s="27"/>
      <c r="AQ69" s="27"/>
      <c r="AR69" s="27"/>
      <c r="AS69" s="28"/>
      <c r="AT69" s="28"/>
      <c r="AU69" s="28"/>
      <c r="AV69" s="28"/>
      <c r="AW69" s="28"/>
      <c r="AX69" s="28"/>
      <c r="AY69" s="28"/>
      <c r="AZ69" s="30"/>
      <c r="BA69" s="30"/>
      <c r="BB69" s="30"/>
      <c r="BC69" s="30"/>
      <c r="BD69" s="30"/>
      <c r="BE69" s="30"/>
      <c r="BF69" s="30"/>
      <c r="BG69" s="31"/>
      <c r="BH69" s="31"/>
      <c r="BI69" s="28"/>
      <c r="BJ69" s="32"/>
      <c r="BK69" s="32"/>
      <c r="BL69" s="28"/>
      <c r="BM69" s="28"/>
      <c r="BN69" s="26"/>
      <c r="BO69" s="33"/>
      <c r="BP69" s="34"/>
      <c r="BQ69" s="33"/>
      <c r="BR69" s="34"/>
    </row>
    <row r="70" spans="1:70" ht="17">
      <c r="A70" s="13" t="s">
        <v>131</v>
      </c>
      <c r="B70" s="14">
        <v>81</v>
      </c>
      <c r="C70" s="15">
        <v>0.14114125000000002</v>
      </c>
      <c r="D70" s="16">
        <v>0.14990957671006841</v>
      </c>
      <c r="E70" s="15">
        <v>0.14545851586063049</v>
      </c>
      <c r="F70" s="17">
        <v>0.206729031540268</v>
      </c>
      <c r="G70" s="17">
        <v>0.85012096000000004</v>
      </c>
      <c r="H70" s="17">
        <v>0.69579089837083374</v>
      </c>
      <c r="I70" s="15">
        <v>0.17008714699999702</v>
      </c>
      <c r="J70" s="18">
        <v>0.69579089837083374</v>
      </c>
      <c r="K70" s="18">
        <v>0.85012096000000004</v>
      </c>
      <c r="L70" s="19">
        <v>6.7286144768000003E-2</v>
      </c>
      <c r="M70" s="20">
        <v>0.48406407784006877</v>
      </c>
      <c r="N70" s="21">
        <v>3.9099999999999996E-2</v>
      </c>
      <c r="O70" s="19">
        <v>0.17131354772860583</v>
      </c>
      <c r="P70" s="21">
        <v>5.8133588313123215E-2</v>
      </c>
      <c r="Q70" s="20">
        <v>1.3755739583746898</v>
      </c>
      <c r="R70" s="20">
        <v>3.5412185241897327</v>
      </c>
      <c r="S70" s="16">
        <v>13.838569673570673</v>
      </c>
      <c r="T70" s="14">
        <v>24.317350093026366</v>
      </c>
      <c r="U70" s="20">
        <v>49.463306816606867</v>
      </c>
      <c r="V70" s="16">
        <v>2.2811350949333141E-2</v>
      </c>
      <c r="W70" s="19">
        <v>0.24704531787591727</v>
      </c>
      <c r="X70" s="22">
        <v>0.95000203047048526</v>
      </c>
      <c r="Y70" s="23">
        <v>0.51118054725705275</v>
      </c>
      <c r="Z70" s="24">
        <v>0.18735631</v>
      </c>
      <c r="AA70" s="25"/>
      <c r="AB70" s="25"/>
      <c r="AC70" s="25"/>
      <c r="AD70" s="26"/>
      <c r="AE70" s="27"/>
      <c r="AF70" s="26"/>
      <c r="AG70" s="27"/>
      <c r="AH70" s="28"/>
      <c r="AI70" s="28"/>
      <c r="AJ70" s="28"/>
      <c r="AK70" s="28"/>
      <c r="AL70" s="29"/>
      <c r="AM70" s="29"/>
      <c r="AN70" s="27"/>
      <c r="AO70" s="28"/>
      <c r="AP70" s="27"/>
      <c r="AQ70" s="27"/>
      <c r="AR70" s="27"/>
      <c r="AS70" s="28"/>
      <c r="AT70" s="28"/>
      <c r="AU70" s="28"/>
      <c r="AV70" s="28"/>
      <c r="AW70" s="28"/>
      <c r="AX70" s="28"/>
      <c r="AY70" s="28"/>
      <c r="AZ70" s="30"/>
      <c r="BA70" s="30"/>
      <c r="BB70" s="30"/>
      <c r="BC70" s="30"/>
      <c r="BD70" s="30"/>
      <c r="BE70" s="30"/>
      <c r="BF70" s="30"/>
      <c r="BG70" s="31"/>
      <c r="BH70" s="31"/>
      <c r="BI70" s="28"/>
      <c r="BJ70" s="32"/>
      <c r="BK70" s="32"/>
      <c r="BL70" s="28"/>
      <c r="BM70" s="28"/>
      <c r="BN70" s="26"/>
      <c r="BO70" s="33"/>
      <c r="BP70" s="34"/>
      <c r="BQ70" s="33"/>
      <c r="BR70" s="34"/>
    </row>
    <row r="71" spans="1:70" ht="17">
      <c r="A71" s="13" t="s">
        <v>132</v>
      </c>
      <c r="B71" s="14">
        <v>25</v>
      </c>
      <c r="C71" s="15">
        <v>9.9426666666666663E-2</v>
      </c>
      <c r="D71" s="16">
        <v>0.1903751688856416</v>
      </c>
      <c r="E71" s="15">
        <v>5.3908599430081097E-2</v>
      </c>
      <c r="F71" s="17">
        <v>0.58345935701948959</v>
      </c>
      <c r="G71" s="17">
        <v>1.0108533333333338</v>
      </c>
      <c r="H71" s="17">
        <v>0.64728168498738969</v>
      </c>
      <c r="I71" s="15">
        <v>0.1037815523972625</v>
      </c>
      <c r="J71" s="18">
        <v>0.64728168498738969</v>
      </c>
      <c r="K71" s="18">
        <v>1.0108533333333338</v>
      </c>
      <c r="L71" s="19">
        <v>7.5451349333333362E-2</v>
      </c>
      <c r="M71" s="20">
        <v>0.42622924960257097</v>
      </c>
      <c r="N71" s="21">
        <v>3.9099999999999996E-2</v>
      </c>
      <c r="O71" s="19">
        <v>0.36847131846675379</v>
      </c>
      <c r="P71" s="21">
        <v>5.5707864005778637E-2</v>
      </c>
      <c r="Q71" s="20">
        <v>2.3778162705211692</v>
      </c>
      <c r="R71" s="20">
        <v>0.94862532647611952</v>
      </c>
      <c r="S71" s="16">
        <v>10.997643074859266</v>
      </c>
      <c r="T71" s="14">
        <v>17.535264668200202</v>
      </c>
      <c r="U71" s="20">
        <v>16.091630003180136</v>
      </c>
      <c r="V71" s="16">
        <v>2.1535851558282519E-2</v>
      </c>
      <c r="W71" s="19">
        <v>0.82035899644501897</v>
      </c>
      <c r="X71" s="22">
        <v>0.34258249090490794</v>
      </c>
      <c r="Y71" s="23">
        <v>4.594572523992603E-2</v>
      </c>
      <c r="Z71" s="24">
        <v>0.35815302500000001</v>
      </c>
      <c r="AA71" s="25"/>
      <c r="AB71" s="25"/>
      <c r="AC71" s="25"/>
      <c r="AD71" s="26"/>
      <c r="AE71" s="27"/>
      <c r="AF71" s="26"/>
      <c r="AG71" s="27"/>
      <c r="AH71" s="28"/>
      <c r="AI71" s="28"/>
      <c r="AJ71" s="28"/>
      <c r="AK71" s="28"/>
      <c r="AL71" s="29"/>
      <c r="AM71" s="29"/>
      <c r="AN71" s="27"/>
      <c r="AO71" s="28"/>
      <c r="AP71" s="27"/>
      <c r="AQ71" s="27"/>
      <c r="AR71" s="27"/>
      <c r="AS71" s="28"/>
      <c r="AT71" s="28"/>
      <c r="AU71" s="28"/>
      <c r="AV71" s="28"/>
      <c r="AW71" s="28"/>
      <c r="AX71" s="28"/>
      <c r="AY71" s="28"/>
      <c r="AZ71" s="30"/>
      <c r="BA71" s="30"/>
      <c r="BB71" s="30"/>
      <c r="BC71" s="30"/>
      <c r="BD71" s="30"/>
      <c r="BE71" s="30"/>
      <c r="BF71" s="30"/>
      <c r="BG71" s="31"/>
      <c r="BH71" s="31"/>
      <c r="BI71" s="28"/>
      <c r="BJ71" s="32"/>
      <c r="BK71" s="32"/>
      <c r="BL71" s="28"/>
      <c r="BM71" s="28"/>
      <c r="BN71" s="26"/>
      <c r="BO71" s="33"/>
      <c r="BP71" s="34"/>
      <c r="BQ71" s="33"/>
      <c r="BR71" s="34"/>
    </row>
    <row r="72" spans="1:70" ht="17">
      <c r="A72" s="13" t="s">
        <v>133</v>
      </c>
      <c r="B72" s="14">
        <v>8</v>
      </c>
      <c r="C72" s="15">
        <v>5.4079999999999996E-2</v>
      </c>
      <c r="D72" s="16">
        <v>0.15357769346448241</v>
      </c>
      <c r="E72" s="15">
        <v>0.11630149379123988</v>
      </c>
      <c r="F72" s="17">
        <v>0.13782952011440344</v>
      </c>
      <c r="G72" s="17">
        <v>0.85650742857142848</v>
      </c>
      <c r="H72" s="17">
        <v>0.76337725014628455</v>
      </c>
      <c r="I72" s="15">
        <v>0.30300046876164194</v>
      </c>
      <c r="J72" s="18">
        <v>0.76337725014628455</v>
      </c>
      <c r="K72" s="18">
        <v>0.85650742857142848</v>
      </c>
      <c r="L72" s="19">
        <v>6.761057737142856E-2</v>
      </c>
      <c r="M72" s="20">
        <v>0.5344483409793267</v>
      </c>
      <c r="N72" s="21">
        <v>3.9099999999999996E-2</v>
      </c>
      <c r="O72" s="19">
        <v>0.12113371790577672</v>
      </c>
      <c r="P72" s="21">
        <v>6.1868486655612599E-2</v>
      </c>
      <c r="Q72" s="20">
        <v>3.078016242795715</v>
      </c>
      <c r="R72" s="20">
        <v>2.0547436114308537</v>
      </c>
      <c r="S72" s="16">
        <v>13.519066779089581</v>
      </c>
      <c r="T72" s="14">
        <v>17.663876248838605</v>
      </c>
      <c r="U72" s="20">
        <v>34.845443084430613</v>
      </c>
      <c r="V72" s="16">
        <v>3.5845675247847368E-3</v>
      </c>
      <c r="W72" s="19">
        <v>3.4579106321163525E-2</v>
      </c>
      <c r="X72" s="22">
        <v>0.91249572209683638</v>
      </c>
      <c r="Y72" s="23">
        <v>0.43636676674091529</v>
      </c>
      <c r="Z72" s="24">
        <v>0.28475928499999997</v>
      </c>
      <c r="AA72" s="25"/>
      <c r="AB72" s="25"/>
      <c r="AC72" s="25"/>
      <c r="AD72" s="26"/>
      <c r="AE72" s="27"/>
      <c r="AF72" s="26"/>
      <c r="AG72" s="27"/>
      <c r="AH72" s="28"/>
      <c r="AI72" s="28"/>
      <c r="AJ72" s="28"/>
      <c r="AK72" s="28"/>
      <c r="AL72" s="29"/>
      <c r="AM72" s="29"/>
      <c r="AN72" s="27"/>
      <c r="AO72" s="28"/>
      <c r="AP72" s="27"/>
      <c r="AQ72" s="27"/>
      <c r="AR72" s="27"/>
      <c r="AS72" s="28"/>
      <c r="AT72" s="28"/>
      <c r="AU72" s="28"/>
      <c r="AV72" s="28"/>
      <c r="AW72" s="28"/>
      <c r="AX72" s="28"/>
      <c r="AY72" s="28"/>
      <c r="AZ72" s="30"/>
      <c r="BA72" s="30"/>
      <c r="BB72" s="30"/>
      <c r="BC72" s="30"/>
      <c r="BD72" s="30"/>
      <c r="BE72" s="30"/>
      <c r="BF72" s="30"/>
      <c r="BG72" s="31"/>
      <c r="BH72" s="31"/>
      <c r="BI72" s="28"/>
      <c r="BJ72" s="32"/>
      <c r="BK72" s="32"/>
      <c r="BL72" s="28"/>
      <c r="BM72" s="28"/>
      <c r="BN72" s="26"/>
      <c r="BO72" s="33"/>
      <c r="BP72" s="34"/>
      <c r="BQ72" s="33"/>
      <c r="BR72" s="34"/>
    </row>
    <row r="73" spans="1:70" ht="17">
      <c r="A73" s="13" t="s">
        <v>134</v>
      </c>
      <c r="B73" s="14">
        <v>92</v>
      </c>
      <c r="C73" s="15">
        <v>6.4555555555555533E-2</v>
      </c>
      <c r="D73" s="16">
        <v>0.14201239842212565</v>
      </c>
      <c r="E73" s="15">
        <v>7.9689310137250946E-2</v>
      </c>
      <c r="F73" s="17">
        <v>0.4050671860478256</v>
      </c>
      <c r="G73" s="17">
        <v>1.1487356842105261</v>
      </c>
      <c r="H73" s="17">
        <v>0.87123518742109773</v>
      </c>
      <c r="I73" s="15">
        <v>0.13182520508686749</v>
      </c>
      <c r="J73" s="18">
        <v>0.87123518742109773</v>
      </c>
      <c r="K73" s="18">
        <v>1.1487356842105261</v>
      </c>
      <c r="L73" s="19">
        <v>8.2455772757894716E-2</v>
      </c>
      <c r="M73" s="20">
        <v>0.4923922315042048</v>
      </c>
      <c r="N73" s="21">
        <v>3.9099999999999996E-2</v>
      </c>
      <c r="O73" s="19">
        <v>0.28829026118473311</v>
      </c>
      <c r="P73" s="21">
        <v>6.5943794860994526E-2</v>
      </c>
      <c r="Q73" s="20">
        <v>1.9274816896710598</v>
      </c>
      <c r="R73" s="20">
        <v>1.3639781284198793</v>
      </c>
      <c r="S73" s="16">
        <v>13.480813650136794</v>
      </c>
      <c r="T73" s="14">
        <v>17.060540630481682</v>
      </c>
      <c r="U73" s="20">
        <v>111.56489529293881</v>
      </c>
      <c r="V73" s="16">
        <v>5.2486157886092344E-2</v>
      </c>
      <c r="W73" s="19">
        <v>1.1102797949448526</v>
      </c>
      <c r="X73" s="22">
        <v>0.16043138394582926</v>
      </c>
      <c r="Y73" s="23">
        <v>0.30208034561573283</v>
      </c>
      <c r="Z73" s="24">
        <v>0.35398361699999997</v>
      </c>
      <c r="AA73" s="25"/>
      <c r="AB73" s="25"/>
      <c r="AC73" s="25"/>
      <c r="AD73" s="26"/>
      <c r="AE73" s="27"/>
      <c r="AF73" s="26"/>
      <c r="AG73" s="27"/>
      <c r="AH73" s="28"/>
      <c r="AI73" s="28"/>
      <c r="AJ73" s="28"/>
      <c r="AK73" s="28"/>
      <c r="AL73" s="29"/>
      <c r="AM73" s="29"/>
      <c r="AN73" s="27"/>
      <c r="AO73" s="28"/>
      <c r="AP73" s="27"/>
      <c r="AQ73" s="27"/>
      <c r="AR73" s="27"/>
      <c r="AS73" s="28"/>
      <c r="AT73" s="28"/>
      <c r="AU73" s="28"/>
      <c r="AV73" s="28"/>
      <c r="AW73" s="28"/>
      <c r="AX73" s="28"/>
      <c r="AY73" s="28"/>
      <c r="AZ73" s="30"/>
      <c r="BA73" s="30"/>
      <c r="BB73" s="30"/>
      <c r="BC73" s="30"/>
      <c r="BD73" s="30"/>
      <c r="BE73" s="30"/>
      <c r="BF73" s="30"/>
      <c r="BG73" s="31"/>
      <c r="BH73" s="31"/>
      <c r="BI73" s="28"/>
      <c r="BJ73" s="32"/>
      <c r="BK73" s="32"/>
      <c r="BL73" s="28"/>
      <c r="BM73" s="28"/>
      <c r="BN73" s="26"/>
      <c r="BO73" s="33"/>
      <c r="BP73" s="34"/>
      <c r="BQ73" s="33"/>
      <c r="BR73" s="34"/>
    </row>
    <row r="74" spans="1:70" ht="17">
      <c r="A74" s="13" t="s">
        <v>135</v>
      </c>
      <c r="B74" s="14">
        <v>18</v>
      </c>
      <c r="C74" s="15">
        <v>2.0755624999999993E-2</v>
      </c>
      <c r="D74" s="16">
        <v>0.22959904231832087</v>
      </c>
      <c r="E74" s="15">
        <v>4.2077384240752143E-2</v>
      </c>
      <c r="F74" s="17">
        <v>0.20889741900231132</v>
      </c>
      <c r="G74" s="17">
        <v>1.0500875555555558</v>
      </c>
      <c r="H74" s="17">
        <v>0.87430045257361966</v>
      </c>
      <c r="I74" s="15">
        <v>0.11902996347107103</v>
      </c>
      <c r="J74" s="18">
        <v>0.87430045257361966</v>
      </c>
      <c r="K74" s="18">
        <v>1.0500875555555558</v>
      </c>
      <c r="L74" s="19">
        <v>7.7444447822222234E-2</v>
      </c>
      <c r="M74" s="20">
        <v>0.49939769837804354</v>
      </c>
      <c r="N74" s="21">
        <v>3.9099999999999996E-2</v>
      </c>
      <c r="O74" s="19">
        <v>0.17279995450293201</v>
      </c>
      <c r="P74" s="21">
        <v>6.6108321432434433E-2</v>
      </c>
      <c r="Q74" s="20">
        <v>3.6718992160620263</v>
      </c>
      <c r="R74" s="20">
        <v>0.7420475392844923</v>
      </c>
      <c r="S74" s="16">
        <v>9.4658421872138856</v>
      </c>
      <c r="T74" s="14">
        <v>17.420404717644082</v>
      </c>
      <c r="U74" s="20">
        <v>21.018223637806333</v>
      </c>
      <c r="V74" s="16">
        <v>4.1577552788982805E-4</v>
      </c>
      <c r="W74" s="19">
        <v>-0.2292116648234164</v>
      </c>
      <c r="X74" s="22">
        <v>0.1609548762573311</v>
      </c>
      <c r="Y74" s="23">
        <v>0.49526824501534139</v>
      </c>
      <c r="Z74" s="24">
        <v>6.3399130999999997E-2</v>
      </c>
      <c r="AA74" s="25"/>
      <c r="AB74" s="25"/>
      <c r="AC74" s="25"/>
      <c r="AD74" s="26"/>
      <c r="AE74" s="27"/>
      <c r="AF74" s="26"/>
      <c r="AG74" s="27"/>
      <c r="AH74" s="28"/>
      <c r="AI74" s="28"/>
      <c r="AJ74" s="28"/>
      <c r="AK74" s="28"/>
      <c r="AL74" s="29"/>
      <c r="AM74" s="29"/>
      <c r="AN74" s="27"/>
      <c r="AO74" s="28"/>
      <c r="AP74" s="27"/>
      <c r="AQ74" s="27"/>
      <c r="AR74" s="27"/>
      <c r="AS74" s="28"/>
      <c r="AT74" s="28"/>
      <c r="AU74" s="28"/>
      <c r="AV74" s="28"/>
      <c r="AW74" s="28"/>
      <c r="AX74" s="28"/>
      <c r="AY74" s="28"/>
      <c r="AZ74" s="30"/>
      <c r="BA74" s="30"/>
      <c r="BB74" s="30"/>
      <c r="BC74" s="30"/>
      <c r="BD74" s="30"/>
      <c r="BE74" s="30"/>
      <c r="BF74" s="30"/>
      <c r="BG74" s="31"/>
      <c r="BH74" s="31"/>
      <c r="BI74" s="28"/>
      <c r="BJ74" s="32"/>
      <c r="BK74" s="32"/>
      <c r="BL74" s="28"/>
      <c r="BM74" s="28"/>
      <c r="BN74" s="26"/>
      <c r="BO74" s="33"/>
      <c r="BP74" s="34"/>
      <c r="BQ74" s="33"/>
      <c r="BR74" s="34"/>
    </row>
    <row r="75" spans="1:70" ht="17">
      <c r="A75" s="13" t="s">
        <v>136</v>
      </c>
      <c r="B75" s="14">
        <v>14</v>
      </c>
      <c r="C75" s="15">
        <v>5.3900000000000003E-2</v>
      </c>
      <c r="D75" s="16">
        <v>0.21037589654066582</v>
      </c>
      <c r="E75" s="15">
        <v>2.3320671042961226E-2</v>
      </c>
      <c r="F75" s="17">
        <v>0.56683472206862529</v>
      </c>
      <c r="G75" s="17">
        <v>0.70657538461538449</v>
      </c>
      <c r="H75" s="17">
        <v>0.43896032167678312</v>
      </c>
      <c r="I75" s="15">
        <v>8.7476307516340085E-2</v>
      </c>
      <c r="J75" s="18">
        <v>0.43896032167678312</v>
      </c>
      <c r="K75" s="18">
        <v>0.70657538461538449</v>
      </c>
      <c r="L75" s="19">
        <v>5.999402953846153E-2</v>
      </c>
      <c r="M75" s="20">
        <v>0.45726609179578859</v>
      </c>
      <c r="N75" s="21">
        <v>3.9099999999999996E-2</v>
      </c>
      <c r="O75" s="19">
        <v>0.3617705901489453</v>
      </c>
      <c r="P75" s="21">
        <v>4.6199968423700895E-2</v>
      </c>
      <c r="Q75" s="20">
        <v>4.7503871221498581</v>
      </c>
      <c r="R75" s="20">
        <v>0.40507438740988794</v>
      </c>
      <c r="S75" s="16">
        <v>7.1584057447413327</v>
      </c>
      <c r="T75" s="14">
        <v>17.369252459961153</v>
      </c>
      <c r="U75" s="20">
        <v>40.72122511360967</v>
      </c>
      <c r="V75" s="16">
        <v>7.2868863437662024E-3</v>
      </c>
      <c r="W75" s="19">
        <v>0.46141835322679614</v>
      </c>
      <c r="X75" s="22">
        <v>0.24431742838415868</v>
      </c>
      <c r="Y75" s="23">
        <v>0.2102185168457433</v>
      </c>
      <c r="Z75" s="24">
        <v>0.176303298</v>
      </c>
      <c r="AA75" s="25"/>
      <c r="AB75" s="25"/>
      <c r="AC75" s="25"/>
      <c r="AD75" s="26"/>
      <c r="AE75" s="27"/>
      <c r="AF75" s="26"/>
      <c r="AG75" s="27"/>
      <c r="AH75" s="28"/>
      <c r="AI75" s="28"/>
      <c r="AJ75" s="28"/>
      <c r="AK75" s="28"/>
      <c r="AL75" s="29"/>
      <c r="AM75" s="29"/>
      <c r="AN75" s="27"/>
      <c r="AO75" s="28"/>
      <c r="AP75" s="27"/>
      <c r="AQ75" s="27"/>
      <c r="AR75" s="27"/>
      <c r="AS75" s="28"/>
      <c r="AT75" s="28"/>
      <c r="AU75" s="28"/>
      <c r="AV75" s="28"/>
      <c r="AW75" s="28"/>
      <c r="AX75" s="28"/>
      <c r="AY75" s="28"/>
      <c r="AZ75" s="30"/>
      <c r="BA75" s="30"/>
      <c r="BB75" s="30"/>
      <c r="BC75" s="30"/>
      <c r="BD75" s="30"/>
      <c r="BE75" s="30"/>
      <c r="BF75" s="30"/>
      <c r="BG75" s="31"/>
      <c r="BH75" s="31"/>
      <c r="BI75" s="28"/>
      <c r="BJ75" s="32"/>
      <c r="BK75" s="32"/>
      <c r="BL75" s="28"/>
      <c r="BM75" s="28"/>
      <c r="BN75" s="26"/>
      <c r="BO75" s="33"/>
      <c r="BP75" s="34"/>
      <c r="BQ75" s="33"/>
      <c r="BR75" s="34"/>
    </row>
    <row r="76" spans="1:70" ht="17">
      <c r="A76" s="13" t="s">
        <v>137</v>
      </c>
      <c r="B76" s="14">
        <v>61</v>
      </c>
      <c r="C76" s="15">
        <v>0.10160045454545454</v>
      </c>
      <c r="D76" s="16">
        <v>7.5668813439303997E-2</v>
      </c>
      <c r="E76" s="15">
        <v>3.7601043014003264E-2</v>
      </c>
      <c r="F76" s="17">
        <v>9.933716920130696E-2</v>
      </c>
      <c r="G76" s="17">
        <v>1.1818858867924533</v>
      </c>
      <c r="H76" s="17">
        <v>1.123659807701672</v>
      </c>
      <c r="I76" s="15">
        <v>0.13396498378906091</v>
      </c>
      <c r="J76" s="18">
        <v>1.123659807701672</v>
      </c>
      <c r="K76" s="18">
        <v>1.1818858867924533</v>
      </c>
      <c r="L76" s="19">
        <v>8.4139803049056633E-2</v>
      </c>
      <c r="M76" s="20">
        <v>0.60635345709831356</v>
      </c>
      <c r="N76" s="21">
        <v>3.9099999999999996E-2</v>
      </c>
      <c r="O76" s="19">
        <v>9.036096657541165E-2</v>
      </c>
      <c r="P76" s="21">
        <v>7.8564289262688367E-2</v>
      </c>
      <c r="Q76" s="20">
        <v>3.4732226455333515</v>
      </c>
      <c r="R76" s="20">
        <v>3.576982609398244</v>
      </c>
      <c r="S76" s="16">
        <v>32.470096860511731</v>
      </c>
      <c r="T76" s="14">
        <v>93.527527061329138</v>
      </c>
      <c r="U76" s="20">
        <v>64.870381376112888</v>
      </c>
      <c r="V76" s="16">
        <v>4.8487902696058592E-2</v>
      </c>
      <c r="W76" s="19">
        <v>1.5875079266865426</v>
      </c>
      <c r="X76" s="22">
        <v>0.17441559329379411</v>
      </c>
      <c r="Y76" s="23">
        <v>6.4637724763541474E-2</v>
      </c>
      <c r="Z76" s="24">
        <v>0.49318799200000002</v>
      </c>
      <c r="AA76" s="25"/>
      <c r="AB76" s="25"/>
      <c r="AC76" s="25"/>
      <c r="AD76" s="26"/>
      <c r="AE76" s="27"/>
      <c r="AF76" s="26"/>
      <c r="AG76" s="27"/>
      <c r="AH76" s="28"/>
      <c r="AI76" s="28"/>
      <c r="AJ76" s="28"/>
      <c r="AK76" s="28"/>
      <c r="AL76" s="29"/>
      <c r="AM76" s="29"/>
      <c r="AN76" s="27"/>
      <c r="AO76" s="28"/>
      <c r="AP76" s="27"/>
      <c r="AQ76" s="27"/>
      <c r="AR76" s="27"/>
      <c r="AS76" s="28"/>
      <c r="AT76" s="28"/>
      <c r="AU76" s="28"/>
      <c r="AV76" s="28"/>
      <c r="AW76" s="28"/>
      <c r="AX76" s="28"/>
      <c r="AY76" s="28"/>
      <c r="AZ76" s="30"/>
      <c r="BA76" s="30"/>
      <c r="BB76" s="30"/>
      <c r="BC76" s="30"/>
      <c r="BD76" s="30"/>
      <c r="BE76" s="30"/>
      <c r="BF76" s="30"/>
      <c r="BG76" s="31"/>
      <c r="BH76" s="31"/>
      <c r="BI76" s="28"/>
      <c r="BJ76" s="32"/>
      <c r="BK76" s="32"/>
      <c r="BL76" s="28"/>
      <c r="BM76" s="28"/>
      <c r="BN76" s="26"/>
      <c r="BO76" s="33"/>
      <c r="BP76" s="34"/>
      <c r="BQ76" s="33"/>
      <c r="BR76" s="34"/>
    </row>
    <row r="77" spans="1:70" ht="17">
      <c r="A77" s="13" t="s">
        <v>138</v>
      </c>
      <c r="B77" s="14">
        <v>106</v>
      </c>
      <c r="C77" s="15">
        <v>4.8983802816901408E-2</v>
      </c>
      <c r="D77" s="16">
        <v>0.22005237551028448</v>
      </c>
      <c r="E77" s="15">
        <v>5.8235798990379048E-2</v>
      </c>
      <c r="F77" s="17">
        <v>0.21107606376511606</v>
      </c>
      <c r="G77" s="17">
        <v>1.1111364210526322</v>
      </c>
      <c r="H77" s="17">
        <v>0.82009589746205391</v>
      </c>
      <c r="I77" s="15">
        <v>0.11691704433264821</v>
      </c>
      <c r="J77" s="18">
        <v>0.82009589746205391</v>
      </c>
      <c r="K77" s="18">
        <v>1.1111364210526322</v>
      </c>
      <c r="L77" s="19">
        <v>8.054573018947371E-2</v>
      </c>
      <c r="M77" s="20">
        <v>0.59678948350789141</v>
      </c>
      <c r="N77" s="21">
        <v>3.9099999999999996E-2</v>
      </c>
      <c r="O77" s="19">
        <v>0.17428803200758622</v>
      </c>
      <c r="P77" s="21">
        <v>6.2938677810032623E-2</v>
      </c>
      <c r="Q77" s="20">
        <v>2.5733549630712673</v>
      </c>
      <c r="R77" s="20">
        <v>0.94225883204058347</v>
      </c>
      <c r="S77" s="16">
        <v>7.9118761806056517</v>
      </c>
      <c r="T77" s="14">
        <v>16.164833354016356</v>
      </c>
      <c r="U77" s="20">
        <v>34.983124254600575</v>
      </c>
      <c r="V77" s="16">
        <v>3.8018074127331622E-3</v>
      </c>
      <c r="W77" s="19">
        <v>-3.6004087571778642E-2</v>
      </c>
      <c r="X77" s="22">
        <v>0.16434733957207229</v>
      </c>
      <c r="Y77" s="23">
        <v>0.40015106482830964</v>
      </c>
      <c r="Z77" s="24">
        <v>0.22092988499999999</v>
      </c>
      <c r="AA77" s="25"/>
      <c r="AB77" s="25"/>
      <c r="AC77" s="25"/>
      <c r="AD77" s="26"/>
      <c r="AE77" s="27"/>
      <c r="AF77" s="26"/>
      <c r="AG77" s="27"/>
      <c r="AH77" s="28"/>
      <c r="AI77" s="28"/>
      <c r="AJ77" s="28"/>
      <c r="AK77" s="28"/>
      <c r="AL77" s="29"/>
      <c r="AM77" s="29"/>
      <c r="AN77" s="27"/>
      <c r="AO77" s="28"/>
      <c r="AP77" s="27"/>
      <c r="AQ77" s="27"/>
      <c r="AR77" s="27"/>
      <c r="AS77" s="28"/>
      <c r="AT77" s="28"/>
      <c r="AU77" s="28"/>
      <c r="AV77" s="28"/>
      <c r="AW77" s="28"/>
      <c r="AX77" s="28"/>
      <c r="AY77" s="28"/>
      <c r="AZ77" s="30"/>
      <c r="BA77" s="30"/>
      <c r="BB77" s="30"/>
      <c r="BC77" s="30"/>
      <c r="BD77" s="30"/>
      <c r="BE77" s="30"/>
      <c r="BF77" s="30"/>
      <c r="BG77" s="31"/>
      <c r="BH77" s="31"/>
      <c r="BI77" s="28"/>
      <c r="BJ77" s="32"/>
      <c r="BK77" s="32"/>
      <c r="BL77" s="28"/>
      <c r="BM77" s="28"/>
      <c r="BN77" s="26"/>
      <c r="BO77" s="33"/>
      <c r="BP77" s="34"/>
      <c r="BQ77" s="33"/>
      <c r="BR77" s="34"/>
    </row>
    <row r="78" spans="1:70" ht="17">
      <c r="A78" s="13" t="s">
        <v>139</v>
      </c>
      <c r="B78" s="14">
        <v>4</v>
      </c>
      <c r="C78" s="15">
        <v>-6.4650000000000013E-2</v>
      </c>
      <c r="D78" s="16">
        <v>7.9072435267125527E-2</v>
      </c>
      <c r="E78" s="15">
        <v>0.10311344745164179</v>
      </c>
      <c r="F78" s="17">
        <v>0.67777790514411873</v>
      </c>
      <c r="G78" s="17">
        <v>0.952824</v>
      </c>
      <c r="H78" s="17">
        <v>0.63726360428336914</v>
      </c>
      <c r="I78" s="15">
        <v>0.13957592440742742</v>
      </c>
      <c r="J78" s="18">
        <v>0.63726360428336914</v>
      </c>
      <c r="K78" s="18">
        <v>0.952824</v>
      </c>
      <c r="L78" s="19">
        <v>7.2503459199999995E-2</v>
      </c>
      <c r="M78" s="20">
        <v>0.56236112819903739</v>
      </c>
      <c r="N78" s="21">
        <v>3.9099999999999996E-2</v>
      </c>
      <c r="O78" s="19">
        <v>0.40397355518035538</v>
      </c>
      <c r="P78" s="21">
        <v>5.3755073959045614E-2</v>
      </c>
      <c r="Q78" s="20">
        <v>1.4664188739300466</v>
      </c>
      <c r="R78" s="20">
        <v>0.92447906135617031</v>
      </c>
      <c r="S78" s="16">
        <v>5.5961928014983107</v>
      </c>
      <c r="T78" s="14">
        <v>8.8657213089346172</v>
      </c>
      <c r="U78" s="20">
        <v>77.731755225703594</v>
      </c>
      <c r="V78" s="16">
        <v>1.7163411521356215E-2</v>
      </c>
      <c r="W78" s="19">
        <v>0.40144197343650201</v>
      </c>
      <c r="X78" s="22">
        <v>0.17360898727897378</v>
      </c>
      <c r="Y78" s="23">
        <v>0.10317625286647265</v>
      </c>
      <c r="Z78" s="24">
        <v>0.42440621299999998</v>
      </c>
      <c r="AA78" s="25"/>
      <c r="AB78" s="25"/>
      <c r="AC78" s="25"/>
      <c r="AD78" s="26"/>
      <c r="AE78" s="27"/>
      <c r="AF78" s="26"/>
      <c r="AG78" s="27"/>
      <c r="AH78" s="28"/>
      <c r="AI78" s="28"/>
      <c r="AJ78" s="28"/>
      <c r="AK78" s="28"/>
      <c r="AL78" s="29"/>
      <c r="AM78" s="29"/>
      <c r="AN78" s="27"/>
      <c r="AO78" s="28"/>
      <c r="AP78" s="27"/>
      <c r="AQ78" s="27"/>
      <c r="AR78" s="27"/>
      <c r="AS78" s="28"/>
      <c r="AT78" s="28"/>
      <c r="AU78" s="28"/>
      <c r="AV78" s="28"/>
      <c r="AW78" s="28"/>
      <c r="AX78" s="28"/>
      <c r="AY78" s="28"/>
      <c r="AZ78" s="30"/>
      <c r="BA78" s="30"/>
      <c r="BB78" s="30"/>
      <c r="BC78" s="30"/>
      <c r="BD78" s="30"/>
      <c r="BE78" s="30"/>
      <c r="BF78" s="30"/>
      <c r="BG78" s="31"/>
      <c r="BH78" s="31"/>
      <c r="BI78" s="28"/>
      <c r="BJ78" s="32"/>
      <c r="BK78" s="32"/>
      <c r="BL78" s="28"/>
      <c r="BM78" s="28"/>
      <c r="BN78" s="26"/>
      <c r="BO78" s="33"/>
      <c r="BP78" s="34"/>
      <c r="BQ78" s="33"/>
      <c r="BR78" s="34"/>
    </row>
    <row r="79" spans="1:70" ht="17">
      <c r="A79" s="13" t="s">
        <v>140</v>
      </c>
      <c r="B79" s="14">
        <v>72</v>
      </c>
      <c r="C79" s="15">
        <v>8.7238571428571415E-2</v>
      </c>
      <c r="D79" s="16">
        <v>8.0391982164916109E-2</v>
      </c>
      <c r="E79" s="15">
        <v>0.25018602875058121</v>
      </c>
      <c r="F79" s="17">
        <v>0.12623595855305964</v>
      </c>
      <c r="G79" s="17">
        <v>1.17248847761194</v>
      </c>
      <c r="H79" s="17">
        <v>1.1567611674673315</v>
      </c>
      <c r="I79" s="15">
        <v>0.16128529346193524</v>
      </c>
      <c r="J79" s="18">
        <v>1.1567611674673315</v>
      </c>
      <c r="K79" s="18">
        <v>1.17248847761194</v>
      </c>
      <c r="L79" s="19">
        <v>8.3662414662686549E-2</v>
      </c>
      <c r="M79" s="20">
        <v>0.52676201419733037</v>
      </c>
      <c r="N79" s="21">
        <v>3.9099999999999996E-2</v>
      </c>
      <c r="O79" s="19">
        <v>0.11208659925513502</v>
      </c>
      <c r="P79" s="21">
        <v>7.7415142900088788E-2</v>
      </c>
      <c r="Q79" s="20">
        <v>0.67042359674974616</v>
      </c>
      <c r="R79" s="20">
        <v>4.3519674739673233</v>
      </c>
      <c r="S79" s="16">
        <v>11.820198278273477</v>
      </c>
      <c r="T79" s="14">
        <v>17.048973465871722</v>
      </c>
      <c r="U79" s="20">
        <v>43.795695283687813</v>
      </c>
      <c r="V79" s="16">
        <v>0.2354823909961774</v>
      </c>
      <c r="W79" s="19">
        <v>1.311815988997352</v>
      </c>
      <c r="X79" s="22">
        <v>0.13386778831339063</v>
      </c>
      <c r="Y79" s="23">
        <v>0.37482091505200676</v>
      </c>
      <c r="Z79" s="24">
        <v>0.30347690599999999</v>
      </c>
      <c r="AA79" s="25"/>
      <c r="AB79" s="25"/>
      <c r="AC79" s="25"/>
      <c r="AD79" s="26"/>
      <c r="AE79" s="27"/>
      <c r="AF79" s="26"/>
      <c r="AG79" s="27"/>
      <c r="AH79" s="28"/>
      <c r="AI79" s="28"/>
      <c r="AJ79" s="28"/>
      <c r="AK79" s="28"/>
      <c r="AL79" s="29"/>
      <c r="AM79" s="29"/>
      <c r="AN79" s="27"/>
      <c r="AO79" s="28"/>
      <c r="AP79" s="27"/>
      <c r="AQ79" s="27"/>
      <c r="AR79" s="27"/>
      <c r="AS79" s="28"/>
      <c r="AT79" s="28"/>
      <c r="AU79" s="28"/>
      <c r="AV79" s="28"/>
      <c r="AW79" s="28"/>
      <c r="AX79" s="28"/>
      <c r="AY79" s="28"/>
      <c r="AZ79" s="30"/>
      <c r="BA79" s="30"/>
      <c r="BB79" s="30"/>
      <c r="BC79" s="30"/>
      <c r="BD79" s="30"/>
      <c r="BE79" s="30"/>
      <c r="BF79" s="30"/>
      <c r="BG79" s="31"/>
      <c r="BH79" s="31"/>
      <c r="BI79" s="28"/>
      <c r="BJ79" s="32"/>
      <c r="BK79" s="32"/>
      <c r="BL79" s="28"/>
      <c r="BM79" s="28"/>
      <c r="BN79" s="26"/>
      <c r="BO79" s="33"/>
      <c r="BP79" s="34"/>
      <c r="BQ79" s="33"/>
      <c r="BR79" s="34"/>
    </row>
    <row r="80" spans="1:70" ht="17">
      <c r="A80" s="13" t="s">
        <v>141</v>
      </c>
      <c r="B80" s="14">
        <v>45</v>
      </c>
      <c r="C80" s="15">
        <v>5.40116129032258E-2</v>
      </c>
      <c r="D80" s="16">
        <v>8.5065129957868649E-2</v>
      </c>
      <c r="E80" s="15">
        <v>0.22551128094920431</v>
      </c>
      <c r="F80" s="17">
        <v>0.11044147880616435</v>
      </c>
      <c r="G80" s="17">
        <v>0.98194000000000026</v>
      </c>
      <c r="H80" s="17">
        <v>0.98519547259696216</v>
      </c>
      <c r="I80" s="15">
        <v>0.29056277229654887</v>
      </c>
      <c r="J80" s="18">
        <v>0.98519547259696216</v>
      </c>
      <c r="K80" s="18">
        <v>0.98194000000000026</v>
      </c>
      <c r="L80" s="19">
        <v>7.3982552000000007E-2</v>
      </c>
      <c r="M80" s="20">
        <v>0.61043147021180055</v>
      </c>
      <c r="N80" s="21">
        <v>3.9099999999999996E-2</v>
      </c>
      <c r="O80" s="19">
        <v>9.9457270746856452E-2</v>
      </c>
      <c r="P80" s="21">
        <v>6.94045648889067E-2</v>
      </c>
      <c r="Q80" s="20">
        <v>1.3365085529441227</v>
      </c>
      <c r="R80" s="20">
        <v>3.2273795519182911</v>
      </c>
      <c r="S80" s="16">
        <v>11.661839831126516</v>
      </c>
      <c r="T80" s="14">
        <v>14.301310961306353</v>
      </c>
      <c r="U80" s="20">
        <v>23.711714407370092</v>
      </c>
      <c r="V80" s="16">
        <v>4.5698690459335771E-2</v>
      </c>
      <c r="W80" s="19">
        <v>0.41948520551875856</v>
      </c>
      <c r="X80" s="22">
        <v>0.22806291570123957</v>
      </c>
      <c r="Y80" s="23">
        <v>0.14934746632991208</v>
      </c>
      <c r="Z80" s="24">
        <v>0.52846202600000003</v>
      </c>
      <c r="AA80" s="25"/>
      <c r="AB80" s="25"/>
      <c r="AC80" s="25"/>
      <c r="AD80" s="26"/>
      <c r="AE80" s="27"/>
      <c r="AF80" s="26"/>
      <c r="AG80" s="27"/>
      <c r="AH80" s="28"/>
      <c r="AI80" s="28"/>
      <c r="AJ80" s="28"/>
      <c r="AK80" s="28"/>
      <c r="AL80" s="29"/>
      <c r="AM80" s="29"/>
      <c r="AN80" s="27"/>
      <c r="AO80" s="28"/>
      <c r="AP80" s="27"/>
      <c r="AQ80" s="27"/>
      <c r="AR80" s="27"/>
      <c r="AS80" s="28"/>
      <c r="AT80" s="28"/>
      <c r="AU80" s="28"/>
      <c r="AV80" s="28"/>
      <c r="AW80" s="28"/>
      <c r="AX80" s="28"/>
      <c r="AY80" s="28"/>
      <c r="AZ80" s="30"/>
      <c r="BA80" s="30"/>
      <c r="BB80" s="30"/>
      <c r="BC80" s="30"/>
      <c r="BD80" s="30"/>
      <c r="BE80" s="30"/>
      <c r="BF80" s="30"/>
      <c r="BG80" s="31"/>
      <c r="BH80" s="31"/>
      <c r="BI80" s="28"/>
      <c r="BJ80" s="32"/>
      <c r="BK80" s="32"/>
      <c r="BL80" s="28"/>
      <c r="BM80" s="28"/>
      <c r="BN80" s="26"/>
      <c r="BO80" s="33"/>
      <c r="BP80" s="34"/>
      <c r="BQ80" s="33"/>
      <c r="BR80" s="34"/>
    </row>
    <row r="81" spans="1:70" ht="17">
      <c r="A81" s="13" t="s">
        <v>142</v>
      </c>
      <c r="B81" s="14">
        <v>9</v>
      </c>
      <c r="C81" s="15">
        <v>-4.4366666666666665E-2</v>
      </c>
      <c r="D81" s="16">
        <v>8.3122748737569585E-2</v>
      </c>
      <c r="E81" s="15">
        <v>7.4003531777101075E-2</v>
      </c>
      <c r="F81" s="17">
        <v>0.41682077081484675</v>
      </c>
      <c r="G81" s="17">
        <v>1.3406053333333334</v>
      </c>
      <c r="H81" s="17">
        <v>1.0134798161115919</v>
      </c>
      <c r="I81" s="15">
        <v>4.8768040972795669E-2</v>
      </c>
      <c r="J81" s="18">
        <v>1.0134798161115919</v>
      </c>
      <c r="K81" s="18">
        <v>1.3406053333333334</v>
      </c>
      <c r="L81" s="19">
        <v>9.2202750933333327E-2</v>
      </c>
      <c r="M81" s="20">
        <v>0.94398944225482639</v>
      </c>
      <c r="N81" s="21">
        <v>8.1600000000000006E-2</v>
      </c>
      <c r="O81" s="19">
        <v>0.29419442416497282</v>
      </c>
      <c r="P81" s="21">
        <v>8.255770632294096E-2</v>
      </c>
      <c r="Q81" s="20">
        <v>0.71873975287745451</v>
      </c>
      <c r="R81" s="20">
        <v>2.2850127983898316</v>
      </c>
      <c r="S81" s="16">
        <v>10.69817271923827</v>
      </c>
      <c r="T81" s="14">
        <v>26.311395948597433</v>
      </c>
      <c r="U81" s="20">
        <v>24.785129905464391</v>
      </c>
      <c r="V81" s="16">
        <v>0.15948263428440035</v>
      </c>
      <c r="W81" s="19">
        <v>3.8361223188954598</v>
      </c>
      <c r="X81" s="22">
        <v>-1.8763961280714815E-2</v>
      </c>
      <c r="Y81" s="23">
        <v>9.9168646080760093E-4</v>
      </c>
      <c r="Z81" s="24">
        <v>0.29814322700000001</v>
      </c>
      <c r="AA81" s="25"/>
      <c r="AB81" s="25"/>
      <c r="AC81" s="25"/>
      <c r="AD81" s="26"/>
      <c r="AE81" s="27"/>
      <c r="AF81" s="26"/>
      <c r="AG81" s="27"/>
      <c r="AH81" s="28"/>
      <c r="AI81" s="28"/>
      <c r="AJ81" s="28"/>
      <c r="AK81" s="28"/>
      <c r="AL81" s="29"/>
      <c r="AM81" s="29"/>
      <c r="AN81" s="27"/>
      <c r="AO81" s="28"/>
      <c r="AP81" s="27"/>
      <c r="AQ81" s="27"/>
      <c r="AR81" s="27"/>
      <c r="AS81" s="28"/>
      <c r="AT81" s="28"/>
      <c r="AU81" s="28"/>
      <c r="AV81" s="28"/>
      <c r="AW81" s="28"/>
      <c r="AX81" s="28"/>
      <c r="AY81" s="28"/>
      <c r="AZ81" s="30"/>
      <c r="BA81" s="30"/>
      <c r="BB81" s="30"/>
      <c r="BC81" s="30"/>
      <c r="BD81" s="30"/>
      <c r="BE81" s="30"/>
      <c r="BF81" s="30"/>
      <c r="BG81" s="31"/>
      <c r="BH81" s="31"/>
      <c r="BI81" s="28"/>
      <c r="BJ81" s="32"/>
      <c r="BK81" s="32"/>
      <c r="BL81" s="28"/>
      <c r="BM81" s="28"/>
      <c r="BN81" s="26"/>
      <c r="BO81" s="33"/>
      <c r="BP81" s="34"/>
      <c r="BQ81" s="33"/>
      <c r="BR81" s="34"/>
    </row>
    <row r="82" spans="1:70" s="35" customFormat="1" ht="17">
      <c r="A82" s="13" t="s">
        <v>143</v>
      </c>
      <c r="B82" s="14">
        <v>11</v>
      </c>
      <c r="C82" s="15">
        <v>6.6424999999999998E-2</v>
      </c>
      <c r="D82" s="16">
        <v>0.16752178607663978</v>
      </c>
      <c r="E82" s="15">
        <v>0.11385465045360954</v>
      </c>
      <c r="F82" s="17">
        <v>4.914299154665093E-2</v>
      </c>
      <c r="G82" s="17">
        <v>0.88091600000000025</v>
      </c>
      <c r="H82" s="17">
        <v>0.86065185848202708</v>
      </c>
      <c r="I82" s="15">
        <v>0.20404001919502757</v>
      </c>
      <c r="J82" s="18">
        <v>0.86065185848202708</v>
      </c>
      <c r="K82" s="18">
        <v>0.88091600000000025</v>
      </c>
      <c r="L82" s="19">
        <v>6.8850532800000017E-2</v>
      </c>
      <c r="M82" s="20">
        <v>0.44394077180425084</v>
      </c>
      <c r="N82" s="21">
        <v>3.9099999999999996E-2</v>
      </c>
      <c r="O82" s="19">
        <v>4.6841080713129604E-2</v>
      </c>
      <c r="P82" s="21">
        <v>6.5405135628312294E-2</v>
      </c>
      <c r="Q82" s="20">
        <v>2.1552551557113127</v>
      </c>
      <c r="R82" s="20">
        <v>2.6758116850251072</v>
      </c>
      <c r="S82" s="16">
        <v>16.793354398363022</v>
      </c>
      <c r="T82" s="14">
        <v>23.500499807851099</v>
      </c>
      <c r="U82" s="20">
        <v>35.876891093593805</v>
      </c>
      <c r="V82" s="16">
        <v>-1.5069844103814673E-2</v>
      </c>
      <c r="W82" s="19">
        <v>-0.15619463466600778</v>
      </c>
      <c r="X82" s="22">
        <v>0.25084254207124895</v>
      </c>
      <c r="Y82" s="23">
        <v>0.28493744217756123</v>
      </c>
      <c r="Z82" s="24">
        <v>0.25364115799999998</v>
      </c>
      <c r="AA82" s="25"/>
      <c r="AB82" s="25"/>
      <c r="AC82" s="25"/>
      <c r="AD82" s="26"/>
      <c r="AE82" s="27"/>
      <c r="AF82" s="26"/>
      <c r="AG82" s="27"/>
      <c r="AH82" s="28"/>
      <c r="AI82" s="28"/>
      <c r="AJ82" s="28"/>
      <c r="AK82" s="28"/>
      <c r="AL82" s="29"/>
      <c r="AM82" s="29"/>
      <c r="AN82" s="27"/>
      <c r="AO82" s="28"/>
      <c r="AP82" s="27"/>
      <c r="AQ82" s="27"/>
      <c r="AR82" s="27"/>
      <c r="AS82" s="28"/>
      <c r="AT82" s="28"/>
      <c r="AU82" s="28"/>
      <c r="AV82" s="28"/>
      <c r="AW82" s="28"/>
      <c r="AX82" s="28"/>
      <c r="AY82" s="28"/>
      <c r="AZ82" s="30"/>
      <c r="BA82" s="30"/>
      <c r="BB82" s="30"/>
      <c r="BC82" s="30"/>
      <c r="BD82" s="30"/>
      <c r="BE82" s="30"/>
      <c r="BF82" s="30"/>
      <c r="BG82" s="31"/>
      <c r="BH82" s="31"/>
      <c r="BI82" s="28"/>
      <c r="BJ82" s="32"/>
      <c r="BK82" s="32"/>
      <c r="BL82" s="28"/>
      <c r="BM82" s="28"/>
      <c r="BN82" s="26"/>
      <c r="BO82" s="33"/>
      <c r="BP82" s="34"/>
      <c r="BQ82" s="33"/>
      <c r="BR82" s="34"/>
    </row>
    <row r="83" spans="1:70" ht="17">
      <c r="A83" s="13" t="s">
        <v>144</v>
      </c>
      <c r="B83" s="14">
        <v>13</v>
      </c>
      <c r="C83" s="15">
        <v>2.9579999999999992E-2</v>
      </c>
      <c r="D83" s="16">
        <v>2.2138327611478961E-2</v>
      </c>
      <c r="E83" s="15">
        <v>0.2056628588647117</v>
      </c>
      <c r="F83" s="17">
        <v>5.6306581212703925E-2</v>
      </c>
      <c r="G83" s="17">
        <v>0.89102981818181837</v>
      </c>
      <c r="H83" s="17">
        <v>0.9110162753522365</v>
      </c>
      <c r="I83" s="15">
        <v>0.2779404350031538</v>
      </c>
      <c r="J83" s="18">
        <v>0.9110162753522365</v>
      </c>
      <c r="K83" s="18">
        <v>0.89102981818181837</v>
      </c>
      <c r="L83" s="19">
        <v>6.9364314763636373E-2</v>
      </c>
      <c r="M83" s="20">
        <v>0.49614375430824476</v>
      </c>
      <c r="N83" s="21">
        <v>3.9099999999999996E-2</v>
      </c>
      <c r="O83" s="19">
        <v>5.3305150430910463E-2</v>
      </c>
      <c r="P83" s="21">
        <v>6.6961907305770535E-2</v>
      </c>
      <c r="Q83" s="20">
        <v>1.2868706584998693</v>
      </c>
      <c r="R83" s="20">
        <v>6.3896843609700218</v>
      </c>
      <c r="S83" s="16">
        <v>21.972541753464263</v>
      </c>
      <c r="T83" s="14">
        <v>30.098309577879494</v>
      </c>
      <c r="U83" s="20">
        <v>42.652740727760232</v>
      </c>
      <c r="V83" s="16">
        <v>-6.6747731474935106E-3</v>
      </c>
      <c r="W83" s="19">
        <v>8.5710371745920402E-2</v>
      </c>
      <c r="X83" s="22">
        <v>0.11462406634205827</v>
      </c>
      <c r="Y83" s="23">
        <v>9.5661520299667027E-2</v>
      </c>
      <c r="Z83" s="24">
        <v>1.039337621</v>
      </c>
      <c r="AA83" s="25"/>
      <c r="AB83" s="25"/>
      <c r="AC83" s="25"/>
      <c r="AD83" s="26"/>
      <c r="AE83" s="27"/>
      <c r="AF83" s="26"/>
      <c r="AG83" s="27"/>
      <c r="AH83" s="28"/>
      <c r="AI83" s="28"/>
      <c r="AJ83" s="28"/>
      <c r="AK83" s="28"/>
      <c r="AL83" s="29"/>
      <c r="AM83" s="29"/>
      <c r="AN83" s="27"/>
      <c r="AO83" s="28"/>
      <c r="AP83" s="27"/>
      <c r="AQ83" s="27"/>
      <c r="AR83" s="27"/>
      <c r="AS83" s="28"/>
      <c r="AT83" s="28"/>
      <c r="AU83" s="28"/>
      <c r="AV83" s="28"/>
      <c r="AW83" s="28"/>
      <c r="AX83" s="28"/>
      <c r="AY83" s="28"/>
      <c r="AZ83" s="30"/>
      <c r="BA83" s="30"/>
      <c r="BB83" s="30"/>
      <c r="BC83" s="30"/>
      <c r="BD83" s="30"/>
      <c r="BE83" s="30"/>
      <c r="BF83" s="30"/>
      <c r="BG83" s="31"/>
      <c r="BH83" s="31"/>
      <c r="BI83" s="28"/>
      <c r="BJ83" s="32"/>
      <c r="BK83" s="32"/>
      <c r="BL83" s="28"/>
      <c r="BM83" s="28"/>
      <c r="BN83" s="26"/>
      <c r="BO83" s="33"/>
      <c r="BP83" s="34"/>
      <c r="BQ83" s="33"/>
      <c r="BR83" s="34"/>
    </row>
    <row r="84" spans="1:70" ht="17">
      <c r="A84" s="13" t="s">
        <v>145</v>
      </c>
      <c r="B84" s="14">
        <v>305</v>
      </c>
      <c r="C84" s="15">
        <v>0.19717178571428573</v>
      </c>
      <c r="D84" s="16">
        <v>2.5022189496399477E-2</v>
      </c>
      <c r="E84" s="15">
        <v>0.24306168909181491</v>
      </c>
      <c r="F84" s="17">
        <v>2.4061716171054379E-2</v>
      </c>
      <c r="G84" s="17">
        <v>1.2033409053497943</v>
      </c>
      <c r="H84" s="17">
        <v>1.1991307944510419</v>
      </c>
      <c r="I84" s="15">
        <v>0.16634693330054598</v>
      </c>
      <c r="J84" s="18">
        <v>1.1991307944510419</v>
      </c>
      <c r="K84" s="18">
        <v>1.2033409053497943</v>
      </c>
      <c r="L84" s="19">
        <v>8.5229717991769552E-2</v>
      </c>
      <c r="M84" s="20">
        <v>0.65595239422637031</v>
      </c>
      <c r="N84" s="21">
        <v>4.6600000000000003E-2</v>
      </c>
      <c r="O84" s="19">
        <v>2.3496353580153975E-2</v>
      </c>
      <c r="P84" s="21">
        <v>8.363076999495149E-2</v>
      </c>
      <c r="Q84" s="20">
        <v>0.65410370744738877</v>
      </c>
      <c r="R84" s="20">
        <v>8.040099716913323</v>
      </c>
      <c r="S84" s="16">
        <v>22.892820387959951</v>
      </c>
      <c r="T84" s="14">
        <v>31.930739569596135</v>
      </c>
      <c r="U84" s="20">
        <v>76.025528641239106</v>
      </c>
      <c r="V84" s="16">
        <v>8.9211007685272112E-2</v>
      </c>
      <c r="W84" s="19">
        <v>0.56718544839357188</v>
      </c>
      <c r="X84" s="22">
        <v>0.1465644936717036</v>
      </c>
      <c r="Y84" s="23">
        <v>2.6673210898300725E-3</v>
      </c>
      <c r="Z84" s="24">
        <v>0.497765662</v>
      </c>
      <c r="AA84" s="25"/>
      <c r="AB84" s="25"/>
      <c r="AC84" s="25"/>
      <c r="AD84" s="26"/>
      <c r="AE84" s="27"/>
      <c r="AF84" s="26"/>
      <c r="AG84" s="27"/>
      <c r="AH84" s="28"/>
      <c r="AI84" s="28"/>
      <c r="AJ84" s="28"/>
      <c r="AK84" s="28"/>
      <c r="AL84" s="29"/>
      <c r="AM84" s="29"/>
      <c r="AN84" s="27"/>
      <c r="AO84" s="28"/>
      <c r="AP84" s="27"/>
      <c r="AQ84" s="27"/>
      <c r="AR84" s="27"/>
      <c r="AS84" s="28"/>
      <c r="AT84" s="28"/>
      <c r="AU84" s="28"/>
      <c r="AV84" s="28"/>
      <c r="AW84" s="28"/>
      <c r="AX84" s="28"/>
      <c r="AY84" s="28"/>
      <c r="AZ84" s="30"/>
      <c r="BA84" s="30"/>
      <c r="BB84" s="30"/>
      <c r="BC84" s="30"/>
      <c r="BD84" s="30"/>
      <c r="BE84" s="30"/>
      <c r="BF84" s="30"/>
      <c r="BG84" s="31"/>
      <c r="BH84" s="31"/>
      <c r="BI84" s="28"/>
      <c r="BJ84" s="32"/>
      <c r="BK84" s="32"/>
      <c r="BL84" s="28"/>
      <c r="BM84" s="28"/>
      <c r="BN84" s="26"/>
      <c r="BO84" s="33"/>
      <c r="BP84" s="34"/>
      <c r="BQ84" s="33"/>
      <c r="BR84" s="34"/>
    </row>
    <row r="85" spans="1:70" ht="17">
      <c r="A85" s="13" t="s">
        <v>146</v>
      </c>
      <c r="B85" s="14">
        <v>255</v>
      </c>
      <c r="C85" s="15">
        <v>0.12711257425742573</v>
      </c>
      <c r="D85" s="16">
        <v>3.9808396003550434E-2</v>
      </c>
      <c r="E85" s="15">
        <v>0.19251980527951623</v>
      </c>
      <c r="F85" s="17">
        <v>0.12939388640194671</v>
      </c>
      <c r="G85" s="17">
        <v>1.0875484112149532</v>
      </c>
      <c r="H85" s="17">
        <v>1.0202561296564998</v>
      </c>
      <c r="I85" s="15">
        <v>0.14823289628166247</v>
      </c>
      <c r="J85" s="18">
        <v>1.0202561296564998</v>
      </c>
      <c r="K85" s="18">
        <v>1.0875484112149532</v>
      </c>
      <c r="L85" s="19">
        <v>7.9347459289719618E-2</v>
      </c>
      <c r="M85" s="20">
        <v>0.53268281751336732</v>
      </c>
      <c r="N85" s="21">
        <v>3.9099999999999996E-2</v>
      </c>
      <c r="O85" s="19">
        <v>0.11456931718850827</v>
      </c>
      <c r="P85" s="21">
        <v>7.3198834126562917E-2</v>
      </c>
      <c r="Q85" s="20">
        <v>0.72921064723986073</v>
      </c>
      <c r="R85" s="20">
        <v>7.2717738016400677</v>
      </c>
      <c r="S85" s="16">
        <v>22.619181009064601</v>
      </c>
      <c r="T85" s="14">
        <v>35.023661963500743</v>
      </c>
      <c r="U85" s="20">
        <v>362.13555448213032</v>
      </c>
      <c r="V85" s="16">
        <v>0.16885953169557708</v>
      </c>
      <c r="W85" s="19">
        <v>1.0913946738068041</v>
      </c>
      <c r="X85" s="22">
        <v>0.12006653017395004</v>
      </c>
      <c r="Y85" s="23">
        <v>0.50282218249497279</v>
      </c>
      <c r="Z85" s="24">
        <v>0.13173128000000001</v>
      </c>
      <c r="AA85" s="25"/>
      <c r="AB85" s="25"/>
      <c r="AC85" s="25"/>
      <c r="AD85" s="26"/>
      <c r="AE85" s="27"/>
      <c r="AF85" s="26"/>
      <c r="AG85" s="27"/>
      <c r="AH85" s="28"/>
      <c r="AI85" s="28"/>
      <c r="AJ85" s="28"/>
      <c r="AK85" s="28"/>
      <c r="AL85" s="29"/>
      <c r="AM85" s="29"/>
      <c r="AN85" s="27"/>
      <c r="AO85" s="28"/>
      <c r="AP85" s="27"/>
      <c r="AQ85" s="27"/>
      <c r="AR85" s="27"/>
      <c r="AS85" s="28"/>
      <c r="AT85" s="28"/>
      <c r="AU85" s="28"/>
      <c r="AV85" s="28"/>
      <c r="AW85" s="28"/>
      <c r="AX85" s="28"/>
      <c r="AY85" s="28"/>
      <c r="AZ85" s="30"/>
      <c r="BA85" s="30"/>
      <c r="BB85" s="30"/>
      <c r="BC85" s="30"/>
      <c r="BD85" s="30"/>
      <c r="BE85" s="30"/>
      <c r="BF85" s="30"/>
      <c r="BG85" s="31"/>
      <c r="BH85" s="31"/>
      <c r="BI85" s="28"/>
      <c r="BJ85" s="32"/>
      <c r="BK85" s="32"/>
      <c r="BL85" s="28"/>
      <c r="BM85" s="28"/>
      <c r="BN85" s="26"/>
      <c r="BO85" s="33"/>
      <c r="BP85" s="34"/>
      <c r="BQ85" s="33"/>
      <c r="BR85" s="34"/>
    </row>
    <row r="86" spans="1:70" ht="17">
      <c r="A86" s="13" t="s">
        <v>147</v>
      </c>
      <c r="B86" s="14">
        <v>37</v>
      </c>
      <c r="C86" s="15">
        <v>-4.3814761904761905E-2</v>
      </c>
      <c r="D86" s="16">
        <v>7.0538391996600447E-2</v>
      </c>
      <c r="E86" s="15">
        <v>7.2877195677620452E-2</v>
      </c>
      <c r="F86" s="17">
        <v>0.34288835649814187</v>
      </c>
      <c r="G86" s="17">
        <v>1.8166750967741936</v>
      </c>
      <c r="H86" s="17">
        <v>1.5326927281923055</v>
      </c>
      <c r="I86" s="15">
        <v>0.15665869807769453</v>
      </c>
      <c r="J86" s="18">
        <v>1.5326927281923055</v>
      </c>
      <c r="K86" s="18">
        <v>1.8166750967741936</v>
      </c>
      <c r="L86" s="19">
        <v>0.11638709491612903</v>
      </c>
      <c r="M86" s="20">
        <v>0.70399000337334361</v>
      </c>
      <c r="N86" s="21">
        <v>4.6600000000000003E-2</v>
      </c>
      <c r="O86" s="19">
        <v>0.25533645804502608</v>
      </c>
      <c r="P86" s="21">
        <v>9.4854083857638924E-2</v>
      </c>
      <c r="Q86" s="20">
        <v>2.3120636033703388</v>
      </c>
      <c r="R86" s="20">
        <v>0.9593604589041278</v>
      </c>
      <c r="S86" s="16">
        <v>8.4353015801086286</v>
      </c>
      <c r="T86" s="14">
        <v>12.933715887442064</v>
      </c>
      <c r="U86" s="20">
        <v>32.304755096559276</v>
      </c>
      <c r="V86" s="16">
        <v>1.7386373130175891E-2</v>
      </c>
      <c r="W86" s="19">
        <v>0.63720824361439299</v>
      </c>
      <c r="X86" s="22">
        <v>0.12126285812269905</v>
      </c>
      <c r="Y86" s="23">
        <v>0.34260056258279237</v>
      </c>
      <c r="Z86" s="24">
        <v>0.73586047399999999</v>
      </c>
      <c r="AA86" s="25"/>
      <c r="AB86" s="25"/>
      <c r="AC86" s="25"/>
      <c r="AD86" s="26"/>
      <c r="AE86" s="27"/>
      <c r="AF86" s="26"/>
      <c r="AG86" s="27"/>
      <c r="AH86" s="28"/>
      <c r="AI86" s="28"/>
      <c r="AJ86" s="28"/>
      <c r="AK86" s="28"/>
      <c r="AL86" s="29"/>
      <c r="AM86" s="29"/>
      <c r="AN86" s="27"/>
      <c r="AO86" s="28"/>
      <c r="AP86" s="27"/>
      <c r="AQ86" s="27"/>
      <c r="AR86" s="27"/>
      <c r="AS86" s="28"/>
      <c r="AT86" s="28"/>
      <c r="AU86" s="28"/>
      <c r="AV86" s="28"/>
      <c r="AW86" s="28"/>
      <c r="AX86" s="28"/>
      <c r="AY86" s="28"/>
      <c r="AZ86" s="30"/>
      <c r="BA86" s="30"/>
      <c r="BB86" s="30"/>
      <c r="BC86" s="30"/>
      <c r="BD86" s="30"/>
      <c r="BE86" s="30"/>
      <c r="BF86" s="30"/>
      <c r="BG86" s="31"/>
      <c r="BH86" s="31"/>
      <c r="BI86" s="28"/>
      <c r="BJ86" s="32"/>
      <c r="BK86" s="32"/>
      <c r="BL86" s="28"/>
      <c r="BM86" s="28"/>
      <c r="BN86" s="26"/>
      <c r="BO86" s="33"/>
      <c r="BP86" s="34"/>
      <c r="BQ86" s="33"/>
      <c r="BR86" s="34"/>
    </row>
    <row r="87" spans="1:70" ht="17">
      <c r="A87" s="13" t="s">
        <v>148</v>
      </c>
      <c r="B87" s="14">
        <v>18</v>
      </c>
      <c r="C87" s="15">
        <v>8.1285714285714347E-3</v>
      </c>
      <c r="D87" s="16">
        <v>7.9481199703112571E-2</v>
      </c>
      <c r="E87" s="15">
        <v>8.7740798673047266E-2</v>
      </c>
      <c r="F87" s="17">
        <v>0.87801636979771147</v>
      </c>
      <c r="G87" s="17">
        <v>1.3017575384615385</v>
      </c>
      <c r="H87" s="17">
        <v>0.70836900322043828</v>
      </c>
      <c r="I87" s="15">
        <v>5.4344354922842619E-2</v>
      </c>
      <c r="J87" s="18">
        <v>0.70836900322043828</v>
      </c>
      <c r="K87" s="18">
        <v>1.3017575384615385</v>
      </c>
      <c r="L87" s="19">
        <v>9.0229282953846149E-2</v>
      </c>
      <c r="M87" s="20">
        <v>0.54461508606497722</v>
      </c>
      <c r="N87" s="21">
        <v>3.9099999999999996E-2</v>
      </c>
      <c r="O87" s="19">
        <v>0.46752327824079942</v>
      </c>
      <c r="P87" s="21">
        <v>5.7225283061476888E-2</v>
      </c>
      <c r="Q87" s="20">
        <v>0.67236706648130862</v>
      </c>
      <c r="R87" s="20">
        <v>2.1549666426617811</v>
      </c>
      <c r="S87" s="16">
        <v>6.2383354898818473</v>
      </c>
      <c r="T87" s="14">
        <v>24.557848782255352</v>
      </c>
      <c r="U87" s="20">
        <v>118.32784446126438</v>
      </c>
      <c r="V87" s="16">
        <v>-5.1472167218548949E-2</v>
      </c>
      <c r="W87" s="19">
        <v>0.50024574398919419</v>
      </c>
      <c r="X87" s="22">
        <v>1.8739310656476733E-2</v>
      </c>
      <c r="Y87" s="23">
        <v>0.11065889431236905</v>
      </c>
      <c r="Z87" s="24">
        <v>0.38355499700000001</v>
      </c>
      <c r="AA87" s="25"/>
      <c r="AB87" s="25"/>
      <c r="AC87" s="25"/>
      <c r="AD87" s="26"/>
      <c r="AE87" s="27"/>
      <c r="AF87" s="26"/>
      <c r="AG87" s="27"/>
      <c r="AH87" s="28"/>
      <c r="AI87" s="28"/>
      <c r="AJ87" s="28"/>
      <c r="AK87" s="28"/>
      <c r="AL87" s="29"/>
      <c r="AM87" s="29"/>
      <c r="AN87" s="27"/>
      <c r="AO87" s="28"/>
      <c r="AP87" s="27"/>
      <c r="AQ87" s="27"/>
      <c r="AR87" s="27"/>
      <c r="AS87" s="28"/>
      <c r="AT87" s="28"/>
      <c r="AU87" s="28"/>
      <c r="AV87" s="28"/>
      <c r="AW87" s="28"/>
      <c r="AX87" s="28"/>
      <c r="AY87" s="28"/>
      <c r="AZ87" s="30"/>
      <c r="BA87" s="30"/>
      <c r="BB87" s="30"/>
      <c r="BC87" s="30"/>
      <c r="BD87" s="30"/>
      <c r="BE87" s="30"/>
      <c r="BF87" s="30"/>
      <c r="BG87" s="31"/>
      <c r="BH87" s="31"/>
      <c r="BI87" s="28"/>
      <c r="BJ87" s="32"/>
      <c r="BK87" s="32"/>
      <c r="BL87" s="28"/>
      <c r="BM87" s="28"/>
      <c r="BN87" s="26"/>
      <c r="BO87" s="33"/>
      <c r="BP87" s="34"/>
      <c r="BQ87" s="33"/>
      <c r="BR87" s="34"/>
    </row>
    <row r="88" spans="1:70" ht="17">
      <c r="A88" s="13" t="s">
        <v>149</v>
      </c>
      <c r="B88" s="14">
        <v>104</v>
      </c>
      <c r="C88" s="15">
        <v>4.3613499999999993E-2</v>
      </c>
      <c r="D88" s="16">
        <v>8.1216264904198157E-2</v>
      </c>
      <c r="E88" s="15">
        <v>0.18365511792742836</v>
      </c>
      <c r="F88" s="17">
        <v>0.1944182111011529</v>
      </c>
      <c r="G88" s="17">
        <v>1.0344774468085107</v>
      </c>
      <c r="H88" s="17">
        <v>0.95898598463913076</v>
      </c>
      <c r="I88" s="15">
        <v>0.135873101682357</v>
      </c>
      <c r="J88" s="18">
        <v>0.95898598463913076</v>
      </c>
      <c r="K88" s="18">
        <v>1.0344774468085107</v>
      </c>
      <c r="L88" s="19">
        <v>7.6651454297872346E-2</v>
      </c>
      <c r="M88" s="20">
        <v>0.57867075380931088</v>
      </c>
      <c r="N88" s="21">
        <v>3.9099999999999996E-2</v>
      </c>
      <c r="O88" s="19">
        <v>0.16277230981091262</v>
      </c>
      <c r="P88" s="21">
        <v>6.8592163621240446E-2</v>
      </c>
      <c r="Q88" s="20">
        <v>0.79849689349426667</v>
      </c>
      <c r="R88" s="20">
        <v>3.4759261780859712</v>
      </c>
      <c r="S88" s="16">
        <v>13.577112581120407</v>
      </c>
      <c r="T88" s="14">
        <v>18.11576168642625</v>
      </c>
      <c r="U88" s="20">
        <v>56.525267962443138</v>
      </c>
      <c r="V88" s="16">
        <v>5.674188622269969E-2</v>
      </c>
      <c r="W88" s="19">
        <v>0.44109818580030735</v>
      </c>
      <c r="X88" s="22">
        <v>0.10997714583124082</v>
      </c>
      <c r="Y88" s="23">
        <v>0.43904155230185921</v>
      </c>
      <c r="Z88" s="24">
        <v>0.201123934</v>
      </c>
      <c r="AA88" s="25"/>
      <c r="AB88" s="25"/>
      <c r="AC88" s="25"/>
      <c r="AD88" s="26"/>
      <c r="AE88" s="27"/>
      <c r="AF88" s="26"/>
      <c r="AG88" s="27"/>
      <c r="AH88" s="28"/>
      <c r="AI88" s="28"/>
      <c r="AJ88" s="28"/>
      <c r="AK88" s="28"/>
      <c r="AL88" s="29"/>
      <c r="AM88" s="29"/>
      <c r="AN88" s="27"/>
      <c r="AO88" s="28"/>
      <c r="AP88" s="27"/>
      <c r="AQ88" s="27"/>
      <c r="AR88" s="27"/>
      <c r="AS88" s="28"/>
      <c r="AT88" s="28"/>
      <c r="AU88" s="28"/>
      <c r="AV88" s="28"/>
      <c r="AW88" s="28"/>
      <c r="AX88" s="28"/>
      <c r="AY88" s="28"/>
      <c r="AZ88" s="30"/>
      <c r="BA88" s="30"/>
      <c r="BB88" s="30"/>
      <c r="BC88" s="30"/>
      <c r="BD88" s="30"/>
      <c r="BE88" s="30"/>
      <c r="BF88" s="30"/>
      <c r="BG88" s="31"/>
      <c r="BH88" s="31"/>
      <c r="BI88" s="28"/>
      <c r="BJ88" s="32"/>
      <c r="BK88" s="32"/>
      <c r="BL88" s="28"/>
      <c r="BM88" s="28"/>
      <c r="BN88" s="26"/>
      <c r="BO88" s="33"/>
      <c r="BP88" s="34"/>
      <c r="BQ88" s="33"/>
      <c r="BR88" s="34"/>
    </row>
    <row r="89" spans="1:70" ht="17">
      <c r="A89" s="13" t="s">
        <v>150</v>
      </c>
      <c r="B89" s="14">
        <v>66</v>
      </c>
      <c r="C89" s="15">
        <v>6.3216896551724133E-2</v>
      </c>
      <c r="D89" s="16">
        <v>8.045749317568289E-2</v>
      </c>
      <c r="E89" s="15">
        <v>0.17576331463144051</v>
      </c>
      <c r="F89" s="17">
        <v>0.7024106730249956</v>
      </c>
      <c r="G89" s="17">
        <v>1.0833453793103449</v>
      </c>
      <c r="H89" s="17">
        <v>0.71930948488842505</v>
      </c>
      <c r="I89" s="15">
        <v>0.15967967834448035</v>
      </c>
      <c r="J89" s="18">
        <v>0.71930948488842505</v>
      </c>
      <c r="K89" s="18">
        <v>1.0833453793103449</v>
      </c>
      <c r="L89" s="19">
        <v>7.9133945268965514E-2</v>
      </c>
      <c r="M89" s="20">
        <v>0.52566842279583215</v>
      </c>
      <c r="N89" s="21">
        <v>3.9099999999999996E-2</v>
      </c>
      <c r="O89" s="19">
        <v>0.41259766762204886</v>
      </c>
      <c r="P89" s="21">
        <v>5.7241992254404017E-2</v>
      </c>
      <c r="Q89" s="20">
        <v>0.987930043679494</v>
      </c>
      <c r="R89" s="20">
        <v>2.5681120498298906</v>
      </c>
      <c r="S89" s="16">
        <v>7.3228085903937412</v>
      </c>
      <c r="T89" s="14">
        <v>14.57533134983573</v>
      </c>
      <c r="U89" s="20">
        <v>45.548508751914518</v>
      </c>
      <c r="V89" s="16">
        <v>2.4407642665317007E-2</v>
      </c>
      <c r="W89" s="19">
        <v>0.38616829315809592</v>
      </c>
      <c r="X89" s="22">
        <v>0.15824612158493154</v>
      </c>
      <c r="Y89" s="23">
        <v>0.84411894628325057</v>
      </c>
      <c r="Z89" s="24">
        <v>0.34871539099999999</v>
      </c>
      <c r="AA89" s="25"/>
      <c r="AB89" s="25"/>
      <c r="AC89" s="25"/>
      <c r="AD89" s="26"/>
      <c r="AE89" s="27"/>
      <c r="AF89" s="26"/>
      <c r="AG89" s="27"/>
      <c r="AH89" s="28"/>
      <c r="AI89" s="28"/>
      <c r="AJ89" s="28"/>
      <c r="AK89" s="28"/>
      <c r="AL89" s="29"/>
      <c r="AM89" s="29"/>
      <c r="AN89" s="27"/>
      <c r="AO89" s="28"/>
      <c r="AP89" s="27"/>
      <c r="AQ89" s="27"/>
      <c r="AR89" s="27"/>
      <c r="AS89" s="28"/>
      <c r="AT89" s="28"/>
      <c r="AU89" s="28"/>
      <c r="AV89" s="28"/>
      <c r="AW89" s="28"/>
      <c r="AX89" s="28"/>
      <c r="AY89" s="28"/>
      <c r="AZ89" s="30"/>
      <c r="BA89" s="30"/>
      <c r="BB89" s="30"/>
      <c r="BC89" s="30"/>
      <c r="BD89" s="30"/>
      <c r="BE89" s="30"/>
      <c r="BF89" s="30"/>
      <c r="BG89" s="31"/>
      <c r="BH89" s="31"/>
      <c r="BI89" s="28"/>
      <c r="BJ89" s="32"/>
      <c r="BK89" s="32"/>
      <c r="BL89" s="28"/>
      <c r="BM89" s="28"/>
      <c r="BN89" s="26"/>
      <c r="BO89" s="33"/>
      <c r="BP89" s="34"/>
      <c r="BQ89" s="33"/>
      <c r="BR89" s="34"/>
    </row>
    <row r="90" spans="1:70" ht="17">
      <c r="A90" s="13" t="s">
        <v>151</v>
      </c>
      <c r="B90" s="14">
        <v>24</v>
      </c>
      <c r="C90" s="15">
        <v>0.85315000000000007</v>
      </c>
      <c r="D90" s="16">
        <v>5.2533669558107815E-2</v>
      </c>
      <c r="E90" s="15">
        <v>0.4059947761756596</v>
      </c>
      <c r="F90" s="17">
        <v>0.16789979187838919</v>
      </c>
      <c r="G90" s="17">
        <v>1.2622025263157897</v>
      </c>
      <c r="H90" s="17">
        <v>1.1518437689270005</v>
      </c>
      <c r="I90" s="15">
        <v>0.95594189954726327</v>
      </c>
      <c r="J90" s="18">
        <v>1.1518437689270005</v>
      </c>
      <c r="K90" s="18">
        <v>1.2622025263157897</v>
      </c>
      <c r="L90" s="19">
        <v>8.8219888336842106E-2</v>
      </c>
      <c r="M90" s="20">
        <v>0.45158247313451244</v>
      </c>
      <c r="N90" s="21">
        <v>3.9099999999999996E-2</v>
      </c>
      <c r="O90" s="19">
        <v>0.14376215583389043</v>
      </c>
      <c r="P90" s="21">
        <v>7.9661092359585989E-2</v>
      </c>
      <c r="Q90" s="20">
        <v>2.4839380457625468</v>
      </c>
      <c r="R90" s="20">
        <v>6.6307058671313639</v>
      </c>
      <c r="S90" s="16">
        <v>15.308547143749378</v>
      </c>
      <c r="T90" s="14">
        <v>16.286461807180039</v>
      </c>
      <c r="U90" s="20">
        <v>26.305016219326109</v>
      </c>
      <c r="V90" s="16">
        <v>-6.4232137309194887E-2</v>
      </c>
      <c r="W90" s="19">
        <v>-0.17293006388779569</v>
      </c>
      <c r="X90" s="22" t="s">
        <v>69</v>
      </c>
      <c r="Y90" s="23">
        <v>0.50439602521281002</v>
      </c>
      <c r="Z90" s="24">
        <v>0.13916129199999999</v>
      </c>
      <c r="AA90" s="25"/>
      <c r="AB90" s="25"/>
      <c r="AC90" s="25"/>
      <c r="AD90" s="26"/>
      <c r="AE90" s="27"/>
      <c r="AF90" s="26"/>
      <c r="AG90" s="27"/>
      <c r="AH90" s="28"/>
      <c r="AI90" s="28"/>
      <c r="AJ90" s="28"/>
      <c r="AK90" s="28"/>
      <c r="AL90" s="29"/>
      <c r="AM90" s="29"/>
      <c r="AN90" s="27"/>
      <c r="AO90" s="28"/>
      <c r="AP90" s="27"/>
      <c r="AQ90" s="27"/>
      <c r="AR90" s="27"/>
      <c r="AS90" s="28"/>
      <c r="AT90" s="28"/>
      <c r="AU90" s="28"/>
      <c r="AV90" s="28"/>
      <c r="AW90" s="28"/>
      <c r="AX90" s="28"/>
      <c r="AY90" s="28"/>
      <c r="AZ90" s="30"/>
      <c r="BA90" s="30"/>
      <c r="BB90" s="30"/>
      <c r="BC90" s="30"/>
      <c r="BD90" s="30"/>
      <c r="BE90" s="30"/>
      <c r="BF90" s="30"/>
      <c r="BG90" s="31"/>
      <c r="BH90" s="31"/>
      <c r="BI90" s="28"/>
      <c r="BJ90" s="32"/>
      <c r="BK90" s="32"/>
      <c r="BL90" s="28"/>
      <c r="BM90" s="28"/>
      <c r="BN90" s="26"/>
      <c r="BO90" s="33"/>
      <c r="BP90" s="34"/>
      <c r="BQ90" s="33"/>
      <c r="BR90" s="34"/>
    </row>
    <row r="91" spans="1:70" ht="17">
      <c r="A91" s="13" t="s">
        <v>152</v>
      </c>
      <c r="B91" s="14">
        <v>18</v>
      </c>
      <c r="C91" s="15">
        <v>0.19123846153846152</v>
      </c>
      <c r="D91" s="16">
        <v>0.21919401350748385</v>
      </c>
      <c r="E91" s="15">
        <v>7.7153232868497054E-2</v>
      </c>
      <c r="F91" s="17">
        <v>0.20726865858417587</v>
      </c>
      <c r="G91" s="17">
        <v>0.94903250000000017</v>
      </c>
      <c r="H91" s="17">
        <v>0.79664864200617935</v>
      </c>
      <c r="I91" s="15">
        <v>0.17605587954076538</v>
      </c>
      <c r="J91" s="18">
        <v>0.79664864200617935</v>
      </c>
      <c r="K91" s="18">
        <v>0.94903250000000017</v>
      </c>
      <c r="L91" s="19">
        <v>7.2310851000000009E-2</v>
      </c>
      <c r="M91" s="20">
        <v>0.46364371286295797</v>
      </c>
      <c r="N91" s="21">
        <v>3.9099999999999996E-2</v>
      </c>
      <c r="O91" s="19">
        <v>0.17168395543975287</v>
      </c>
      <c r="P91" s="21">
        <v>6.2475260588514124E-2</v>
      </c>
      <c r="Q91" s="20">
        <v>2.9219144916433262</v>
      </c>
      <c r="R91" s="20">
        <v>1.543939881758823</v>
      </c>
      <c r="S91" s="16">
        <v>11.219394807242882</v>
      </c>
      <c r="T91" s="14">
        <v>20.010903950151302</v>
      </c>
      <c r="U91" s="20">
        <v>31.811538866261515</v>
      </c>
      <c r="V91" s="16">
        <v>3.4627212521407005E-2</v>
      </c>
      <c r="W91" s="19">
        <v>0.92444941731215757</v>
      </c>
      <c r="X91" s="22">
        <v>0.28894641685656947</v>
      </c>
      <c r="Y91" s="23">
        <v>0.47338766894795675</v>
      </c>
      <c r="Z91" s="24">
        <v>0.25067726099999998</v>
      </c>
      <c r="AA91" s="25"/>
      <c r="AB91" s="25"/>
      <c r="AC91" s="25"/>
      <c r="AD91" s="26"/>
      <c r="AE91" s="27"/>
      <c r="AF91" s="26"/>
      <c r="AG91" s="27"/>
      <c r="AH91" s="28"/>
      <c r="AI91" s="28"/>
      <c r="AJ91" s="28"/>
      <c r="AK91" s="28"/>
      <c r="AL91" s="29"/>
      <c r="AM91" s="29"/>
      <c r="AN91" s="27"/>
      <c r="AO91" s="28"/>
      <c r="AP91" s="27"/>
      <c r="AQ91" s="27"/>
      <c r="AR91" s="27"/>
      <c r="AS91" s="28"/>
      <c r="AT91" s="28"/>
      <c r="AU91" s="28"/>
      <c r="AV91" s="28"/>
      <c r="AW91" s="28"/>
      <c r="AX91" s="28"/>
      <c r="AY91" s="28"/>
      <c r="AZ91" s="30"/>
      <c r="BA91" s="30"/>
      <c r="BB91" s="30"/>
      <c r="BC91" s="30"/>
      <c r="BD91" s="30"/>
      <c r="BE91" s="30"/>
      <c r="BF91" s="30"/>
      <c r="BG91" s="31"/>
      <c r="BH91" s="31"/>
      <c r="BI91" s="28"/>
      <c r="BJ91" s="32"/>
      <c r="BK91" s="32"/>
      <c r="BL91" s="28"/>
      <c r="BM91" s="28"/>
      <c r="BN91" s="26"/>
      <c r="BO91" s="33"/>
      <c r="BP91" s="34"/>
      <c r="BQ91" s="33"/>
      <c r="BR91" s="34"/>
    </row>
    <row r="92" spans="1:70" ht="17">
      <c r="A92" s="13" t="s">
        <v>153</v>
      </c>
      <c r="B92" s="14">
        <v>8</v>
      </c>
      <c r="C92" s="15">
        <v>4.2552000000000006E-2</v>
      </c>
      <c r="D92" s="16">
        <v>0.23820780862959604</v>
      </c>
      <c r="E92" s="15">
        <v>0.34326886764218212</v>
      </c>
      <c r="F92" s="17">
        <v>0.20674494955018488</v>
      </c>
      <c r="G92" s="17">
        <v>1.0054434285714287</v>
      </c>
      <c r="H92" s="17">
        <v>0.86883727686550138</v>
      </c>
      <c r="I92" s="15">
        <v>0.13553339796025746</v>
      </c>
      <c r="J92" s="18">
        <v>0.86883727686550138</v>
      </c>
      <c r="K92" s="18">
        <v>1.0054434285714287</v>
      </c>
      <c r="L92" s="19">
        <v>7.5176526171428573E-2</v>
      </c>
      <c r="M92" s="20">
        <v>0.29770670385325121</v>
      </c>
      <c r="N92" s="21">
        <v>3.61E-2</v>
      </c>
      <c r="O92" s="19">
        <v>0.17132447881986099</v>
      </c>
      <c r="P92" s="21">
        <v>6.635601777142118E-2</v>
      </c>
      <c r="Q92" s="20">
        <v>0.51829305876343135</v>
      </c>
      <c r="R92" s="20">
        <v>5.3957965101792214</v>
      </c>
      <c r="S92" s="16">
        <v>11.559032609932196</v>
      </c>
      <c r="T92" s="14">
        <v>15.716560424147559</v>
      </c>
      <c r="U92" s="20">
        <v>26.097114934186607</v>
      </c>
      <c r="V92" s="16">
        <v>9.151118126428362E-2</v>
      </c>
      <c r="W92" s="19">
        <v>0.42800680116893419</v>
      </c>
      <c r="X92" s="22">
        <v>0.17405031187881279</v>
      </c>
      <c r="Y92" s="23">
        <v>0.38151198286988025</v>
      </c>
      <c r="Z92" s="24">
        <v>0.24459715400000001</v>
      </c>
      <c r="AA92" s="25"/>
      <c r="AB92" s="25"/>
      <c r="AC92" s="25"/>
      <c r="AD92" s="26"/>
      <c r="AE92" s="27"/>
      <c r="AF92" s="26"/>
      <c r="AG92" s="27"/>
      <c r="AH92" s="28"/>
      <c r="AI92" s="28"/>
      <c r="AJ92" s="28"/>
      <c r="AK92" s="28"/>
      <c r="AL92" s="29"/>
      <c r="AM92" s="29"/>
      <c r="AN92" s="27"/>
      <c r="AO92" s="28"/>
      <c r="AP92" s="27"/>
      <c r="AQ92" s="27"/>
      <c r="AR92" s="27"/>
      <c r="AS92" s="28"/>
      <c r="AT92" s="28"/>
      <c r="AU92" s="28"/>
      <c r="AV92" s="28"/>
      <c r="AW92" s="28"/>
      <c r="AX92" s="28"/>
      <c r="AY92" s="28"/>
      <c r="AZ92" s="30"/>
      <c r="BA92" s="30"/>
      <c r="BB92" s="30"/>
      <c r="BC92" s="30"/>
      <c r="BD92" s="30"/>
      <c r="BE92" s="30"/>
      <c r="BF92" s="30"/>
      <c r="BG92" s="31"/>
      <c r="BH92" s="31"/>
      <c r="BI92" s="28"/>
      <c r="BJ92" s="32"/>
      <c r="BK92" s="32"/>
      <c r="BL92" s="28"/>
      <c r="BM92" s="28"/>
      <c r="BN92" s="26"/>
      <c r="BO92" s="33"/>
      <c r="BP92" s="34"/>
      <c r="BQ92" s="33"/>
      <c r="BR92" s="34"/>
    </row>
    <row r="93" spans="1:70" ht="17">
      <c r="A93" s="13" t="s">
        <v>154</v>
      </c>
      <c r="B93" s="14">
        <v>30</v>
      </c>
      <c r="C93" s="15">
        <v>3.4800499999999991E-2</v>
      </c>
      <c r="D93" s="16">
        <v>0.20556036083898679</v>
      </c>
      <c r="E93" s="15">
        <v>7.6508939883019572E-2</v>
      </c>
      <c r="F93" s="17">
        <v>0.63897266633308558</v>
      </c>
      <c r="G93" s="17">
        <v>1.19801632</v>
      </c>
      <c r="H93" s="17">
        <v>0.80694623223928075</v>
      </c>
      <c r="I93" s="15">
        <v>7.0697261683897297E-2</v>
      </c>
      <c r="J93" s="18">
        <v>0.80694623223928075</v>
      </c>
      <c r="K93" s="18">
        <v>1.19801632</v>
      </c>
      <c r="L93" s="19">
        <v>8.4959229055999994E-2</v>
      </c>
      <c r="M93" s="20">
        <v>0.54247188914489886</v>
      </c>
      <c r="N93" s="21">
        <v>3.9099999999999996E-2</v>
      </c>
      <c r="O93" s="19">
        <v>0.38986169779309071</v>
      </c>
      <c r="P93" s="21">
        <v>6.2250890642490647E-2</v>
      </c>
      <c r="Q93" s="20">
        <v>1.1621564310698609</v>
      </c>
      <c r="R93" s="20">
        <v>1.7881421287575399</v>
      </c>
      <c r="S93" s="16">
        <v>11.456022208117428</v>
      </c>
      <c r="T93" s="14">
        <v>23.307439989418139</v>
      </c>
      <c r="U93" s="20">
        <v>41.455096012423802</v>
      </c>
      <c r="V93" s="16">
        <v>0.11165133337424715</v>
      </c>
      <c r="W93" s="19">
        <v>2.3101795642027376</v>
      </c>
      <c r="X93" s="22">
        <v>7.8571562866233152E-2</v>
      </c>
      <c r="Y93" s="23">
        <v>0.27458820393411248</v>
      </c>
      <c r="Z93" s="24">
        <v>0.34402504900000003</v>
      </c>
      <c r="AA93" s="25"/>
      <c r="AB93" s="25"/>
      <c r="AC93" s="25"/>
      <c r="AD93" s="26"/>
      <c r="AE93" s="27"/>
      <c r="AF93" s="26"/>
      <c r="AG93" s="27"/>
      <c r="AH93" s="28"/>
      <c r="AI93" s="28"/>
      <c r="AJ93" s="28"/>
      <c r="AK93" s="28"/>
      <c r="AL93" s="29"/>
      <c r="AM93" s="29"/>
      <c r="AN93" s="27"/>
      <c r="AO93" s="28"/>
      <c r="AP93" s="27"/>
      <c r="AQ93" s="27"/>
      <c r="AR93" s="27"/>
      <c r="AS93" s="28"/>
      <c r="AT93" s="28"/>
      <c r="AU93" s="28"/>
      <c r="AV93" s="28"/>
      <c r="AW93" s="28"/>
      <c r="AX93" s="28"/>
      <c r="AY93" s="28"/>
      <c r="AZ93" s="30"/>
      <c r="BA93" s="30"/>
      <c r="BB93" s="30"/>
      <c r="BC93" s="30"/>
      <c r="BD93" s="30"/>
      <c r="BE93" s="30"/>
      <c r="BF93" s="30"/>
      <c r="BG93" s="31"/>
      <c r="BH93" s="31"/>
      <c r="BI93" s="28"/>
      <c r="BJ93" s="32"/>
      <c r="BK93" s="32"/>
      <c r="BL93" s="28"/>
      <c r="BM93" s="28"/>
      <c r="BN93" s="26"/>
      <c r="BO93" s="33"/>
      <c r="BP93" s="34"/>
      <c r="BQ93" s="33"/>
      <c r="BR93" s="34"/>
    </row>
    <row r="94" spans="1:70" ht="17">
      <c r="A94" s="13" t="s">
        <v>155</v>
      </c>
      <c r="B94" s="14">
        <v>18</v>
      </c>
      <c r="C94" s="15">
        <v>2.4564444444444441E-2</v>
      </c>
      <c r="D94" s="16">
        <v>0.30888817710706301</v>
      </c>
      <c r="E94" s="15">
        <v>0.1938906583141006</v>
      </c>
      <c r="F94" s="17">
        <v>0.66057127556427864</v>
      </c>
      <c r="G94" s="17">
        <v>0.29336711111111113</v>
      </c>
      <c r="H94" s="17">
        <v>0.19528826349103087</v>
      </c>
      <c r="I94" s="15">
        <v>6.2131011151535291E-2</v>
      </c>
      <c r="J94" s="18">
        <v>0.19528826349103087</v>
      </c>
      <c r="K94" s="18">
        <v>0.29336711111111113</v>
      </c>
      <c r="L94" s="19">
        <v>3.9003049244444449E-2</v>
      </c>
      <c r="M94" s="20">
        <v>0.20666930846389703</v>
      </c>
      <c r="N94" s="21">
        <v>3.1099999999999999E-2</v>
      </c>
      <c r="O94" s="19">
        <v>0.39779760452607488</v>
      </c>
      <c r="P94" s="21">
        <v>3.2824705463568055E-2</v>
      </c>
      <c r="Q94" s="20">
        <v>0.46365184987230396</v>
      </c>
      <c r="R94" s="20">
        <v>3.7286908267407646</v>
      </c>
      <c r="S94" s="16">
        <v>11.812815639626667</v>
      </c>
      <c r="T94" s="14">
        <v>19.230894665901484</v>
      </c>
      <c r="U94" s="20">
        <v>23.99863472225833</v>
      </c>
      <c r="V94" s="16">
        <v>0.19762730254704591</v>
      </c>
      <c r="W94" s="19">
        <v>1.4906765326521059</v>
      </c>
      <c r="X94" s="22">
        <v>9.9410852938293853E-2</v>
      </c>
      <c r="Y94" s="23">
        <v>0.76333585904692325</v>
      </c>
      <c r="Z94" s="24">
        <v>7.0203847E-2</v>
      </c>
      <c r="AA94" s="25"/>
      <c r="AB94" s="25"/>
      <c r="AC94" s="25"/>
      <c r="AD94" s="26"/>
      <c r="AE94" s="27"/>
      <c r="AF94" s="26"/>
      <c r="AG94" s="27"/>
      <c r="AH94" s="28"/>
      <c r="AI94" s="28"/>
      <c r="AJ94" s="28"/>
      <c r="AK94" s="28"/>
      <c r="AL94" s="29"/>
      <c r="AM94" s="29"/>
      <c r="AN94" s="27"/>
      <c r="AO94" s="28"/>
      <c r="AP94" s="27"/>
      <c r="AQ94" s="27"/>
      <c r="AR94" s="27"/>
      <c r="AS94" s="28"/>
      <c r="AT94" s="28"/>
      <c r="AU94" s="28"/>
      <c r="AV94" s="28"/>
      <c r="AW94" s="28"/>
      <c r="AX94" s="28"/>
      <c r="AY94" s="28"/>
      <c r="AZ94" s="36"/>
      <c r="BA94" s="36"/>
      <c r="BB94" s="36"/>
      <c r="BC94" s="36"/>
      <c r="BD94" s="36"/>
      <c r="BE94" s="36"/>
      <c r="BF94" s="36"/>
      <c r="BG94" s="31"/>
      <c r="BH94" s="31"/>
      <c r="BI94" s="28"/>
      <c r="BJ94" s="32"/>
      <c r="BK94" s="32"/>
      <c r="BL94" s="28"/>
      <c r="BM94" s="28"/>
      <c r="BN94" s="26"/>
      <c r="BO94" s="33"/>
      <c r="BP94" s="34"/>
      <c r="BQ94" s="33"/>
      <c r="BR94" s="34"/>
    </row>
    <row r="95" spans="1:70" ht="17">
      <c r="A95" s="13" t="s">
        <v>156</v>
      </c>
      <c r="B95" s="14">
        <v>23</v>
      </c>
      <c r="C95" s="15">
        <v>3.7748666666666673E-2</v>
      </c>
      <c r="D95" s="16">
        <v>0.15091085451497918</v>
      </c>
      <c r="E95" s="15">
        <v>0.28305971112982953</v>
      </c>
      <c r="F95" s="17">
        <v>0.37604330384151285</v>
      </c>
      <c r="G95" s="17">
        <v>0.34238400000000002</v>
      </c>
      <c r="H95" s="17">
        <v>0.26742845919334141</v>
      </c>
      <c r="I95" s="15">
        <v>6.5254302137292247E-2</v>
      </c>
      <c r="J95" s="18">
        <v>0.26742845919334141</v>
      </c>
      <c r="K95" s="18">
        <v>0.34238400000000002</v>
      </c>
      <c r="L95" s="19">
        <v>4.1493107200000004E-2</v>
      </c>
      <c r="M95" s="20">
        <v>0.34496000487072065</v>
      </c>
      <c r="N95" s="21">
        <v>3.61E-2</v>
      </c>
      <c r="O95" s="19">
        <v>0.2732786844656046</v>
      </c>
      <c r="P95" s="21">
        <v>3.7612028707622959E-2</v>
      </c>
      <c r="Q95" s="20">
        <v>0.36896911796314175</v>
      </c>
      <c r="R95" s="20">
        <v>6.4756686149224842</v>
      </c>
      <c r="S95" s="16">
        <v>15.212628773192339</v>
      </c>
      <c r="T95" s="14">
        <v>22.56348244188294</v>
      </c>
      <c r="U95" s="20">
        <v>137.5822128048874</v>
      </c>
      <c r="V95" s="16">
        <v>0.26068325983892215</v>
      </c>
      <c r="W95" s="19">
        <v>1.5721436341318689</v>
      </c>
      <c r="X95" s="22">
        <v>9.8947365412968821E-2</v>
      </c>
      <c r="Y95" s="23">
        <v>0.58233539184861338</v>
      </c>
      <c r="Z95" s="24">
        <v>0.24028211699999999</v>
      </c>
      <c r="AA95" s="25"/>
      <c r="AB95" s="25"/>
      <c r="AC95" s="25"/>
      <c r="AD95" s="26"/>
      <c r="AE95" s="27"/>
      <c r="AF95" s="26"/>
      <c r="AG95" s="27"/>
      <c r="AH95" s="28"/>
      <c r="AI95" s="28"/>
      <c r="AJ95" s="28"/>
      <c r="AK95" s="28"/>
      <c r="AL95" s="29"/>
      <c r="AM95" s="29"/>
      <c r="AN95" s="27"/>
      <c r="AO95" s="28"/>
      <c r="AP95" s="27"/>
      <c r="AQ95" s="27"/>
      <c r="AR95" s="27"/>
      <c r="AS95" s="28"/>
      <c r="AT95" s="28"/>
      <c r="AU95" s="28"/>
      <c r="AV95" s="28"/>
      <c r="AW95" s="28"/>
      <c r="AX95" s="28"/>
      <c r="AY95" s="28"/>
      <c r="AZ95" s="30"/>
      <c r="BA95" s="30"/>
      <c r="BB95" s="30"/>
      <c r="BC95" s="30"/>
      <c r="BD95" s="30"/>
      <c r="BE95" s="30"/>
      <c r="BF95" s="30"/>
      <c r="BG95" s="31"/>
      <c r="BH95" s="31"/>
      <c r="BI95" s="28"/>
      <c r="BJ95" s="32"/>
      <c r="BK95" s="32"/>
      <c r="BL95" s="28"/>
      <c r="BM95" s="28"/>
      <c r="BN95" s="26"/>
      <c r="BO95" s="33"/>
      <c r="BP95" s="34"/>
      <c r="BQ95" s="33"/>
      <c r="BR95" s="34"/>
    </row>
    <row r="96" spans="1:70" ht="17">
      <c r="A96" s="13" t="s">
        <v>157</v>
      </c>
      <c r="B96" s="37">
        <v>7247</v>
      </c>
      <c r="C96" s="38">
        <v>9.009734483718343E-2</v>
      </c>
      <c r="D96" s="37">
        <v>0.10041087858995314</v>
      </c>
      <c r="E96" s="38">
        <v>0.1055924685996774</v>
      </c>
      <c r="F96" s="17">
        <v>0.55848156529873949</v>
      </c>
      <c r="G96" s="17">
        <v>0.9998353328012789</v>
      </c>
      <c r="H96" s="17">
        <v>0.7245711625183886</v>
      </c>
      <c r="I96" s="38">
        <v>6.5254302137292247E-2</v>
      </c>
      <c r="J96" s="37">
        <v>0.7245711625183886</v>
      </c>
      <c r="K96" s="37">
        <v>0.9998353328012789</v>
      </c>
      <c r="L96" s="37">
        <v>7.489163490630496E-2</v>
      </c>
      <c r="M96" s="39">
        <v>0.53520914170505862</v>
      </c>
      <c r="N96" s="40">
        <v>3.9099999999999996E-2</v>
      </c>
      <c r="O96" s="37">
        <v>0.35834980517827697</v>
      </c>
      <c r="P96" s="40">
        <v>5.8127414023018825E-2</v>
      </c>
      <c r="Q96" s="39">
        <v>0.67673149236697971</v>
      </c>
      <c r="R96" s="39">
        <v>3.1028222475928495</v>
      </c>
      <c r="S96" s="37">
        <v>17.424818779416036</v>
      </c>
      <c r="T96" s="37">
        <v>28.652073628905413</v>
      </c>
      <c r="U96" s="39">
        <v>65.33094542901037</v>
      </c>
      <c r="V96" s="37">
        <v>4.1909103821558033E-2</v>
      </c>
      <c r="W96" s="37">
        <v>0.63337745159644365</v>
      </c>
      <c r="X96" s="22">
        <v>0.12384462104559461</v>
      </c>
      <c r="Y96" s="41">
        <v>0.42942630525144759</v>
      </c>
      <c r="Z96" s="24">
        <v>0.159166211</v>
      </c>
    </row>
    <row r="97" spans="1:26" ht="17">
      <c r="A97" s="13" t="s">
        <v>158</v>
      </c>
      <c r="B97" s="37">
        <v>6057</v>
      </c>
      <c r="C97" s="38">
        <v>9.0662165586117546E-2</v>
      </c>
      <c r="D97" s="37">
        <v>7.9202112518498693E-2</v>
      </c>
      <c r="E97" s="38">
        <v>0.11190889422005652</v>
      </c>
      <c r="F97" s="17">
        <v>0.27474427597571277</v>
      </c>
      <c r="G97" s="17">
        <v>4.5067028413784529</v>
      </c>
      <c r="H97" s="17">
        <v>3.8033263274117419</v>
      </c>
      <c r="I97" s="38">
        <v>0.12762972351375101</v>
      </c>
      <c r="J97" s="37">
        <v>3.8033263274117419</v>
      </c>
      <c r="K97" s="37">
        <v>4.5067028413784529</v>
      </c>
      <c r="L97" s="37">
        <v>21.624311850225947</v>
      </c>
      <c r="M97" s="39">
        <v>0.57157233662996776</v>
      </c>
      <c r="N97" s="40">
        <v>3.9099999999999996E-2</v>
      </c>
      <c r="O97" s="37">
        <v>0.21552893482531499</v>
      </c>
      <c r="P97" s="40">
        <v>6.6944046467098312E-2</v>
      </c>
      <c r="Q97" s="39">
        <v>1.2198667881358991</v>
      </c>
      <c r="R97" s="39">
        <v>2.4851976983701247</v>
      </c>
      <c r="S97" s="37">
        <v>13.102509406287899</v>
      </c>
      <c r="T97" s="37">
        <v>21.624311850225947</v>
      </c>
      <c r="U97" s="39">
        <v>69.197594266688384</v>
      </c>
      <c r="V97" s="37">
        <v>4.3060016876307436E-2</v>
      </c>
      <c r="W97" s="37">
        <v>0.59271971986523697</v>
      </c>
      <c r="X97" s="22">
        <v>0.12778506296345976</v>
      </c>
      <c r="Y97" s="41">
        <v>0.47229503848625548</v>
      </c>
      <c r="Z97" s="24">
        <v>0.15061101900000001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2E1E5-DD90-C84B-8B77-F0DB397CE585}">
  <sheetPr>
    <tabColor rgb="FFFF0000"/>
  </sheetPr>
  <dimension ref="A1:N43"/>
  <sheetViews>
    <sheetView workbookViewId="0">
      <selection activeCell="E3" sqref="E3"/>
    </sheetView>
  </sheetViews>
  <sheetFormatPr baseColWidth="10" defaultRowHeight="16"/>
  <cols>
    <col min="1" max="1" width="30.5" bestFit="1" customWidth="1"/>
    <col min="2" max="2" width="10.83203125" customWidth="1"/>
    <col min="3" max="3" width="29" bestFit="1" customWidth="1"/>
    <col min="4" max="4" width="15.6640625" bestFit="1" customWidth="1"/>
    <col min="5" max="5" width="18.1640625" bestFit="1" customWidth="1"/>
    <col min="6" max="6" width="15.1640625" bestFit="1" customWidth="1"/>
    <col min="7" max="7" width="12.83203125" bestFit="1" customWidth="1"/>
    <col min="8" max="8" width="15.1640625" bestFit="1" customWidth="1"/>
    <col min="9" max="9" width="13.83203125" bestFit="1" customWidth="1"/>
    <col min="10" max="10" width="11.83203125" bestFit="1" customWidth="1"/>
    <col min="11" max="11" width="15.1640625" bestFit="1" customWidth="1"/>
    <col min="12" max="12" width="12.1640625" bestFit="1" customWidth="1"/>
    <col min="13" max="13" width="12.33203125" bestFit="1" customWidth="1"/>
    <col min="14" max="14" width="16.83203125" bestFit="1" customWidth="1"/>
  </cols>
  <sheetData>
    <row r="1" spans="1:14">
      <c r="A1" s="251" t="s">
        <v>349</v>
      </c>
      <c r="B1" s="252" t="s">
        <v>351</v>
      </c>
      <c r="C1" s="251" t="s">
        <v>494</v>
      </c>
      <c r="D1" s="270" t="s">
        <v>498</v>
      </c>
    </row>
    <row r="2" spans="1:14">
      <c r="A2" s="253" t="s">
        <v>345</v>
      </c>
      <c r="B2" s="255" t="s">
        <v>352</v>
      </c>
      <c r="C2" s="256" t="s">
        <v>244</v>
      </c>
      <c r="D2" s="271" t="s">
        <v>499</v>
      </c>
    </row>
    <row r="3" spans="1:14" ht="17" thickBot="1">
      <c r="A3" s="254" t="s">
        <v>350</v>
      </c>
      <c r="B3" s="257" t="s">
        <v>353</v>
      </c>
      <c r="C3" s="256" t="s">
        <v>194</v>
      </c>
      <c r="D3" s="272" t="s">
        <v>352</v>
      </c>
    </row>
    <row r="4" spans="1:14" ht="17" thickBot="1">
      <c r="A4" s="134"/>
      <c r="B4" s="134"/>
      <c r="C4" s="273" t="s">
        <v>504</v>
      </c>
      <c r="D4" s="175"/>
    </row>
    <row r="5" spans="1:14">
      <c r="A5" s="134"/>
      <c r="B5" s="134"/>
    </row>
    <row r="7" spans="1:14">
      <c r="A7" s="135" t="s">
        <v>4</v>
      </c>
      <c r="B7" s="135" t="s">
        <v>5</v>
      </c>
      <c r="C7" s="136" t="s">
        <v>214</v>
      </c>
      <c r="D7" s="136" t="s">
        <v>163</v>
      </c>
      <c r="E7" s="136" t="s">
        <v>188</v>
      </c>
      <c r="F7" s="136" t="s">
        <v>215</v>
      </c>
      <c r="G7" s="136" t="s">
        <v>216</v>
      </c>
      <c r="H7" s="136" t="s">
        <v>427</v>
      </c>
      <c r="I7" s="136" t="s">
        <v>246</v>
      </c>
      <c r="J7" s="136" t="s">
        <v>247</v>
      </c>
      <c r="K7" s="136" t="s">
        <v>57</v>
      </c>
    </row>
    <row r="8" spans="1:14">
      <c r="A8" s="3" t="str">
        <f>INPUT!A10</f>
        <v>Construction Supplies</v>
      </c>
      <c r="B8" s="87">
        <f>INPUT!B10</f>
        <v>0.5</v>
      </c>
      <c r="C8" s="137">
        <f>(VLOOKUP($A$8,INDUSTRY!$A$1:$Z$97,3,))*$B$8</f>
        <v>3.4725147058823534E-2</v>
      </c>
      <c r="D8" s="137">
        <f>(VLOOKUP($A$8,INDUSTRY!$A$1:$Z$97,5,))*$B$8</f>
        <v>4.811775370826106E-2</v>
      </c>
      <c r="E8" s="138">
        <f>(VLOOKUP($A$8,INDUSTRY!$A$1:$Z$97,16,))*$B$8</f>
        <v>3.4227193670131641E-2</v>
      </c>
      <c r="F8" s="137">
        <f>(VLOOKUP($A$8,INDUSTRY!$A$1:$Z$97,9,))*$B$8</f>
        <v>5.2940754797253652E-2</v>
      </c>
      <c r="G8" s="137">
        <f>(VLOOKUP($A$8,INDUSTRY!$A$1:$Z$97,16,))*$B$8</f>
        <v>3.4227193670131641E-2</v>
      </c>
      <c r="H8" s="137">
        <f>(VLOOKUP($A$8,INDUSTRY!$A$1:$Z$97,15,))*$B$8</f>
        <v>0.11803820736633645</v>
      </c>
      <c r="I8" s="138">
        <f>(VLOOKUP($A$8,INDUSTRY!$A$1:$Z$97,8,))*$B$8</f>
        <v>0.47628884620079315</v>
      </c>
      <c r="J8" s="138">
        <f>(VLOOKUP($A$8,INDUSTRY!$A$1:$Z$97,6,))*$B$8</f>
        <v>0.15451572597412372</v>
      </c>
      <c r="K8" s="138">
        <f>(VLOOKUP($A$8,INDUSTRY!$A$1:$Z$97,22,))*$B$8</f>
        <v>1.7713369050666936E-2</v>
      </c>
    </row>
    <row r="9" spans="1:14">
      <c r="A9" s="3" t="str">
        <f>INPUT!A11</f>
        <v>Paper/Forest Products</v>
      </c>
      <c r="B9" s="87">
        <f>INPUT!B11</f>
        <v>0.5</v>
      </c>
      <c r="C9" s="137">
        <f>(VLOOKUP($A$9,INDUSTRY!$A$1:$Z$97,3,))*$B$9</f>
        <v>3.6167666666666674E-2</v>
      </c>
      <c r="D9" s="137">
        <f>(VLOOKUP($A$9,INDUSTRY!$A$1:$Z$97,5,))*$B$9</f>
        <v>2.7159691890715185E-2</v>
      </c>
      <c r="E9" s="138">
        <f>(VLOOKUP($A$9,INDUSTRY!$A$1:$Z$97,16,))*$B$9</f>
        <v>3.4605985538506162E-2</v>
      </c>
      <c r="F9" s="137">
        <f>(VLOOKUP($A$9,INDUSTRY!$A$1:$Z$97,9,))*$B$9</f>
        <v>4.2394074377361292E-2</v>
      </c>
      <c r="G9" s="137">
        <f>(VLOOKUP($A$9,INDUSTRY!$A$1:$Z$97,16,))*$B$9</f>
        <v>3.4605985538506162E-2</v>
      </c>
      <c r="H9" s="137">
        <f>(VLOOKUP($A$9,INDUSTRY!$A$1:$Z$97,15,))*$B$9</f>
        <v>0.13359969786110323</v>
      </c>
      <c r="I9" s="138">
        <f>(VLOOKUP($A$9,INDUSTRY!$A$1:$Z$97,8,))*$B$9</f>
        <v>0.48876510017386415</v>
      </c>
      <c r="J9" s="138">
        <f>(VLOOKUP($A$9,INDUSTRY!$A$1:$Z$97,6,))*$B$9</f>
        <v>0.18231384783418877</v>
      </c>
      <c r="K9" s="138">
        <f>(VLOOKUP($A$9,INDUSTRY!$A$1:$Z$97,22,))*$B$9</f>
        <v>7.4995732703126853E-3</v>
      </c>
    </row>
    <row r="10" spans="1:14">
      <c r="A10" s="3">
        <f>INPUT!A12</f>
        <v>0</v>
      </c>
      <c r="B10" s="87">
        <f>INPUT!B12</f>
        <v>0</v>
      </c>
      <c r="C10" s="137" t="e">
        <f>(VLOOKUP($A$10,INDUSTRY!$A$1:$Z$97,3,))*$B$10</f>
        <v>#N/A</v>
      </c>
      <c r="D10" s="137" t="e">
        <f>(VLOOKUP($A$10,INDUSTRY!$A$1:$Z$97,5,))*$B$10</f>
        <v>#N/A</v>
      </c>
      <c r="E10" s="138" t="e">
        <f>(VLOOKUP($A$10,INDUSTRY!$A$1:$Z$97,16,))*$B$10</f>
        <v>#N/A</v>
      </c>
      <c r="F10" s="137" t="e">
        <f>(VLOOKUP($A$10,INDUSTRY!$A$1:$Z$97,9,))*$B$10</f>
        <v>#N/A</v>
      </c>
      <c r="G10" s="137" t="e">
        <f>(VLOOKUP($A$10,INDUSTRY!$A$1:$Z$97,16,))*$B$10</f>
        <v>#N/A</v>
      </c>
      <c r="H10" s="137" t="e">
        <f>(VLOOKUP($A$10,INDUSTRY!$A$1:$Z$97,15,))*$B$10</f>
        <v>#N/A</v>
      </c>
      <c r="I10" s="138" t="e">
        <f>(VLOOKUP($A$10,INDUSTRY!$A$1:$Z$97,8,))*$B$10</f>
        <v>#N/A</v>
      </c>
      <c r="J10" s="138" t="e">
        <f>(VLOOKUP($A$10,INDUSTRY!$A$1:$Z$97,6,))*$B$10</f>
        <v>#N/A</v>
      </c>
      <c r="K10" s="138" t="e">
        <f>(VLOOKUP($A$10,INDUSTRY!$A$1:$Z$97,22,))*$B$10</f>
        <v>#N/A</v>
      </c>
    </row>
    <row r="11" spans="1:14">
      <c r="A11" s="3">
        <f>INPUT!A13</f>
        <v>0</v>
      </c>
      <c r="B11" s="87">
        <f>INPUT!B13</f>
        <v>0</v>
      </c>
      <c r="C11" s="137" t="e">
        <f>(VLOOKUP($A$11,INDUSTRY!$A$1:$Z$97,3,))*$B$11</f>
        <v>#N/A</v>
      </c>
      <c r="D11" s="137" t="e">
        <f>(VLOOKUP($A$11,INDUSTRY!$A$1:$Z$97,5,))*$B$11</f>
        <v>#N/A</v>
      </c>
      <c r="E11" s="138" t="e">
        <f>(VLOOKUP($A$11,INDUSTRY!$A$1:$Z$97,16,))*$B$11</f>
        <v>#N/A</v>
      </c>
      <c r="F11" s="137" t="e">
        <f>(VLOOKUP($A$11,INDUSTRY!$A$1:$Z$97,9,))*$B$11</f>
        <v>#N/A</v>
      </c>
      <c r="G11" s="137" t="e">
        <f>(VLOOKUP($A$11,INDUSTRY!$A$1:$Z$97,16,))*$B$11</f>
        <v>#N/A</v>
      </c>
      <c r="H11" s="137" t="e">
        <f>(VLOOKUP($A$11,INDUSTRY!$A$1:$Z$97,15,))*$B$11</f>
        <v>#N/A</v>
      </c>
      <c r="I11" s="138" t="e">
        <f>(VLOOKUP($A$11,INDUSTRY!$A$1:$Z$97,8,))*$B$11</f>
        <v>#N/A</v>
      </c>
      <c r="J11" s="138" t="e">
        <f>(VLOOKUP($A$11,INDUSTRY!$A$1:$Z$97,6,))*$B$11</f>
        <v>#N/A</v>
      </c>
      <c r="K11" s="138" t="e">
        <f>(VLOOKUP($A$11,INDUSTRY!$A$1:$Z$97,22,))*$B$11</f>
        <v>#N/A</v>
      </c>
    </row>
    <row r="12" spans="1:14">
      <c r="A12" s="3">
        <f>INPUT!A14</f>
        <v>0</v>
      </c>
      <c r="B12" s="87">
        <f>INPUT!B14</f>
        <v>0</v>
      </c>
      <c r="C12" s="137" t="e">
        <f>(VLOOKUP($A$12,INDUSTRY!$A$1:$Z$97,3,))*$B$12</f>
        <v>#N/A</v>
      </c>
      <c r="D12" s="137" t="e">
        <f>(VLOOKUP($A$12,INDUSTRY!$A$1:$Z$97,5,))*$B$12</f>
        <v>#N/A</v>
      </c>
      <c r="E12" s="138" t="e">
        <f>(VLOOKUP($A$12,INDUSTRY!$A$1:$Z$97,16,))*$B$12</f>
        <v>#N/A</v>
      </c>
      <c r="F12" s="137" t="e">
        <f>(VLOOKUP($A$12,INDUSTRY!$A$1:$Z$97,9,))*$B$12</f>
        <v>#N/A</v>
      </c>
      <c r="G12" s="137" t="e">
        <f>(VLOOKUP($A$12,INDUSTRY!$A$1:$Z$97,16,))*$B$12</f>
        <v>#N/A</v>
      </c>
      <c r="H12" s="137" t="e">
        <f>(VLOOKUP($A$12,INDUSTRY!$A$1:$Z$97,15,))*$B$12</f>
        <v>#N/A</v>
      </c>
      <c r="I12" s="138" t="e">
        <f>(VLOOKUP($A$12,INDUSTRY!$A$1:$Z$97,8,))*$B$12</f>
        <v>#N/A</v>
      </c>
      <c r="J12" s="138" t="e">
        <f>(VLOOKUP($A$12,INDUSTRY!$A$1:$Z$97,6,))*$B$12</f>
        <v>#N/A</v>
      </c>
      <c r="K12" s="138" t="e">
        <f>(VLOOKUP($A$12,INDUSTRY!$A$1:$Z$97,22,))*$B$12</f>
        <v>#N/A</v>
      </c>
    </row>
    <row r="13" spans="1:14">
      <c r="A13" s="393" t="s">
        <v>385</v>
      </c>
      <c r="B13" s="393"/>
      <c r="C13" s="139">
        <f>IF(_xlfn.IFNA(C9,"NA")="NA",C8,IF(_xlfn.IFNA(C10,"NA")="NA",SUM(C8:C9),IF(_xlfn.IFNA(C11,"NA")="NA",SUM(C8:C10),IF(_xlfn.IFNA(C12,"NA")="NA",SUM(C8:C11),SUM(C8:C12)))))</f>
        <v>7.0892813725490209E-2</v>
      </c>
      <c r="D13" s="139">
        <f t="shared" ref="D13:K13" si="0">IF(_xlfn.IFNA(D9,"NA")="NA",D8,IF(_xlfn.IFNA(D10,"NA")="NA",SUM(D8:D9),IF(_xlfn.IFNA(D11,"NA")="NA",SUM(D8:D10),IF(_xlfn.IFNA(D12,"NA")="NA",SUM(D8:D11),SUM(D8:D12)))))</f>
        <v>7.5277445598976242E-2</v>
      </c>
      <c r="E13" s="140">
        <f t="shared" si="0"/>
        <v>6.8833179208637796E-2</v>
      </c>
      <c r="F13" s="139">
        <f t="shared" si="0"/>
        <v>9.5334829174614943E-2</v>
      </c>
      <c r="G13" s="139">
        <f t="shared" si="0"/>
        <v>6.8833179208637796E-2</v>
      </c>
      <c r="H13" s="139">
        <f t="shared" si="0"/>
        <v>0.25163790522743967</v>
      </c>
      <c r="I13" s="140">
        <f t="shared" si="0"/>
        <v>0.96505394637465725</v>
      </c>
      <c r="J13" s="140">
        <f t="shared" si="0"/>
        <v>0.33682957380831247</v>
      </c>
      <c r="K13" s="140">
        <f t="shared" si="0"/>
        <v>2.521294232097962E-2</v>
      </c>
    </row>
    <row r="14" spans="1:14">
      <c r="C14" s="47"/>
      <c r="D14" s="47"/>
      <c r="E14" s="47"/>
      <c r="F14" s="47"/>
      <c r="G14" s="47"/>
      <c r="H14" s="47"/>
      <c r="I14" s="47"/>
      <c r="J14" s="47"/>
      <c r="K14" s="47"/>
    </row>
    <row r="15" spans="1:14">
      <c r="A15" s="152" t="s">
        <v>40</v>
      </c>
      <c r="B15" s="153">
        <f>'10K-S'!B3</f>
        <v>39783</v>
      </c>
      <c r="C15" s="153">
        <f>'10K-S'!C3</f>
        <v>40148</v>
      </c>
      <c r="D15" s="153">
        <f>'10K-S'!D3</f>
        <v>40513</v>
      </c>
      <c r="E15" s="153">
        <f>'10K-S'!E3</f>
        <v>40878</v>
      </c>
      <c r="F15" s="153">
        <f>'10K-S'!F3</f>
        <v>41244</v>
      </c>
      <c r="G15" s="153">
        <f>'10K-S'!G3</f>
        <v>41609</v>
      </c>
      <c r="H15" s="153">
        <f>'10K-S'!H3</f>
        <v>41974</v>
      </c>
      <c r="I15" s="153">
        <f>'10K-S'!I3</f>
        <v>42339</v>
      </c>
      <c r="J15" s="153">
        <f>'10K-S'!J3</f>
        <v>42705</v>
      </c>
      <c r="K15" s="153">
        <f>'10K-S'!K3</f>
        <v>43070</v>
      </c>
      <c r="L15" s="153" t="s">
        <v>394</v>
      </c>
      <c r="M15" s="153" t="s">
        <v>425</v>
      </c>
      <c r="N15" s="152" t="s">
        <v>395</v>
      </c>
    </row>
    <row r="16" spans="1:14">
      <c r="A16" s="149" t="s">
        <v>39</v>
      </c>
      <c r="B16" s="3"/>
      <c r="C16" s="3">
        <f>('10K-S'!C4-'10K-S'!B4)/'10K-S'!B4</f>
        <v>-0.18836140888208269</v>
      </c>
      <c r="D16" s="3">
        <f>('10K-S'!D4-'10K-S'!C4)/'10K-S'!C4</f>
        <v>0.14622641509433962</v>
      </c>
      <c r="E16" s="3">
        <f>('10K-S'!E4-'10K-S'!D4)/'10K-S'!D4</f>
        <v>-3.7037037037037038E-3</v>
      </c>
      <c r="F16" s="3">
        <f>('10K-S'!F4-'10K-S'!E4)/'10K-S'!E4</f>
        <v>0.12102437009500207</v>
      </c>
      <c r="G16" s="3">
        <f>('10K-S'!G4-'10K-S'!F4)/'10K-S'!F4</f>
        <v>0.17722918201915991</v>
      </c>
      <c r="H16" s="3">
        <f>('10K-S'!H4-'10K-S'!G4)/'10K-S'!G4</f>
        <v>4.788732394366197E-2</v>
      </c>
      <c r="I16" s="3">
        <f>('10K-S'!I4-'10K-S'!H4)/'10K-S'!H4</f>
        <v>0.17234169653524492</v>
      </c>
      <c r="J16" s="3">
        <f>('10K-S'!J4-'10K-S'!I4)/'10K-S'!I4</f>
        <v>7.8980891719745219E-2</v>
      </c>
      <c r="K16" s="3">
        <f>('10K-S'!K4-'10K-S'!J4)/'10K-S'!J4</f>
        <v>0.10011806375442739</v>
      </c>
      <c r="L16" s="240">
        <f>IF(INPUT!D46="5 Year",AVERAGE('Aux Info'!C16:F16),AVERAGE('Aux Info'!C16:K16))</f>
        <v>7.2415870063977178E-2</v>
      </c>
      <c r="M16" s="240">
        <f>IF(INPUT!D46="5 Year",MEDIAN(C16:F16),MEDIAN(C16:K16))</f>
        <v>0.10011806375442739</v>
      </c>
      <c r="N16" s="240">
        <f>IF(INPUT!D46="5 Year",STDEV(C16:F16),STDEV(C16:K16))</f>
        <v>0.1140136632910671</v>
      </c>
    </row>
    <row r="17" spans="1:14">
      <c r="A17" s="150" t="s">
        <v>21</v>
      </c>
      <c r="B17" s="155">
        <f>'10K-S'!O11/'10K-S'!O22</f>
        <v>1.9672131147540983</v>
      </c>
      <c r="C17" s="155">
        <f>'10K-S'!P11/'10K-S'!P22</f>
        <v>2.6167883211678831</v>
      </c>
      <c r="D17" s="155">
        <f>'10K-S'!Q11/'10K-S'!Q22</f>
        <v>0.79076343072573041</v>
      </c>
      <c r="E17" s="155">
        <f>'10K-S'!R11/'10K-S'!R22</f>
        <v>1.5227882037533511</v>
      </c>
      <c r="F17" s="155">
        <f>'10K-S'!S11/'10K-S'!S22</f>
        <v>1.3186180422264875</v>
      </c>
      <c r="G17" s="155">
        <f>'10K-S'!T11/'10K-S'!T22</f>
        <v>1.709090909090909</v>
      </c>
      <c r="H17" s="155">
        <f>'10K-S'!U11/'10K-S'!U22</f>
        <v>2.119718309859155</v>
      </c>
      <c r="I17" s="155">
        <f>'10K-S'!V11/'10K-S'!V22</f>
        <v>1.5606299212598425</v>
      </c>
      <c r="J17" s="155">
        <f>'10K-S'!W11/'10K-S'!W22</f>
        <v>1.9661354581673307</v>
      </c>
      <c r="K17" s="155">
        <f>'10K-S'!X11/'10K-S'!X22</f>
        <v>2.3211538461538463</v>
      </c>
      <c r="L17" s="243">
        <f>IF(INPUT!$D$46="5 Year",AVERAGE('Aux Info'!B17:F17),AVERAGE('Aux Info'!B17:K17))</f>
        <v>1.7892899557158635</v>
      </c>
      <c r="M17" s="243">
        <f>IF(INPUT!D46="5 Year",MEDIAN('Aux Info'!B17:F17),MEDIAN('Aux Info'!B17:K17))</f>
        <v>1.8376131836291199</v>
      </c>
      <c r="N17" s="99">
        <f>IF(INPUT!$D$46="5 Year",STDEV(B17:F17),STDEV(G17:K17))</f>
        <v>0.30634634784795028</v>
      </c>
    </row>
    <row r="18" spans="1:14">
      <c r="A18" s="150" t="s">
        <v>207</v>
      </c>
      <c r="B18" s="155">
        <f>('10K-S'!O7+'10K-S'!O9)/'10K-S'!O22</f>
        <v>1.02367941712204</v>
      </c>
      <c r="C18" s="155">
        <f>('10K-S'!P7+'10K-S'!P9)/'10K-S'!P22</f>
        <v>1.1386861313868613</v>
      </c>
      <c r="D18" s="155">
        <f>('10K-S'!Q7+'10K-S'!Q9)/'10K-S'!Q22</f>
        <v>0.43449575871819041</v>
      </c>
      <c r="E18" s="155">
        <f>('10K-S'!R7+'10K-S'!R9)/'10K-S'!R22</f>
        <v>0.53619302949061665</v>
      </c>
      <c r="F18" s="155">
        <f>('10K-S'!S7+'10K-S'!S9)/'10K-S'!S22</f>
        <v>0.19769673704414586</v>
      </c>
      <c r="G18" s="155">
        <f>('10K-S'!T7+'10K-S'!T9)/'10K-S'!T22</f>
        <v>0.46136363636363636</v>
      </c>
      <c r="H18" s="155">
        <f>('10K-S'!U7+'10K-S'!U9)/'10K-S'!U22</f>
        <v>0.58450704225352113</v>
      </c>
      <c r="I18" s="155">
        <f>('10K-S'!V7+'10K-S'!V9)/'10K-S'!V22</f>
        <v>0.45669291338582679</v>
      </c>
      <c r="J18" s="155">
        <f>('10K-S'!W7+'10K-S'!W9)/'10K-S'!W22</f>
        <v>0.6394422310756972</v>
      </c>
      <c r="K18" s="155">
        <f>('10K-S'!X7+'10K-S'!X9)/'10K-S'!X22</f>
        <v>0.92500000000000004</v>
      </c>
      <c r="L18" s="243">
        <f>IF(INPUT!$D$46="5 Year",AVERAGE('Aux Info'!B18:F18),AVERAGE('Aux Info'!B18:K18))</f>
        <v>0.63977568968405352</v>
      </c>
      <c r="M18" s="243">
        <f>IF(INPUT!D47="5 Year",MEDIAN('Aux Info'!B18:F18),MEDIAN('Aux Info'!B18:K18))</f>
        <v>0.56035003587206889</v>
      </c>
      <c r="N18" s="99">
        <f>IF(INPUT!$D$46="5 Year",STDEV(B18:F18),STDEV(G18:K18))</f>
        <v>0.19123266435341854</v>
      </c>
    </row>
    <row r="19" spans="1:14">
      <c r="A19" s="150" t="s">
        <v>208</v>
      </c>
      <c r="B19" s="155">
        <f>'10K-S'!B10/'10K-S'!B4</f>
        <v>-4.0199081163859111E-2</v>
      </c>
      <c r="C19" s="155">
        <f>'10K-S'!C10/'10K-S'!C4</f>
        <v>-8.4905660377358486E-2</v>
      </c>
      <c r="D19" s="155">
        <f>'10K-S'!D10/'10K-S'!D4</f>
        <v>8.3127572016460899E-2</v>
      </c>
      <c r="E19" s="155">
        <f>'10K-S'!E10/'10K-S'!E4</f>
        <v>2.3130937629078894E-2</v>
      </c>
      <c r="F19" s="155">
        <f>'10K-S'!F10/'10K-S'!F4</f>
        <v>3.5372144436256449E-2</v>
      </c>
      <c r="G19" s="155">
        <f>'10K-S'!G10/'10K-S'!G4</f>
        <v>0.1107981220657277</v>
      </c>
      <c r="H19" s="155">
        <f>'10K-S'!H10/'10K-S'!H4</f>
        <v>0.1003584229390681</v>
      </c>
      <c r="I19" s="155">
        <f>'10K-S'!I10/'10K-S'!I4</f>
        <v>4.2292993630573247E-2</v>
      </c>
      <c r="J19" s="155">
        <f>'10K-S'!J10/'10K-S'!J4</f>
        <v>7.2255017709563163E-2</v>
      </c>
      <c r="K19" s="155">
        <f>'10K-S'!K10/'10K-S'!K4</f>
        <v>0.11933891393002791</v>
      </c>
      <c r="L19" s="243">
        <f>IF(INPUT!$D$46="5 Year",AVERAGE('Aux Info'!B19:F19),AVERAGE('Aux Info'!B19:K19))</f>
        <v>4.6156938281553872E-2</v>
      </c>
      <c r="M19" s="243">
        <f>IF(INPUT!D48="5 Year",MEDIAN('Aux Info'!B19:F19),MEDIAN('Aux Info'!B19:K19))</f>
        <v>5.7274005670068205E-2</v>
      </c>
      <c r="N19" s="99">
        <f>IF(INPUT!$D$46="5 Year",STDEV(B19:F19),STDEV(G19:K19))</f>
        <v>3.1569606006713581E-2</v>
      </c>
    </row>
    <row r="20" spans="1:14">
      <c r="A20" s="150" t="s">
        <v>209</v>
      </c>
      <c r="B20" s="155">
        <f>'10K-S'!B15/'10K-S'!B4</f>
        <v>-0.13208269525267993</v>
      </c>
      <c r="C20" s="155">
        <f>'10K-S'!C15/'10K-S'!C4</f>
        <v>-3.3018867924528301E-2</v>
      </c>
      <c r="D20" s="155">
        <f>'10K-S'!D15/'10K-S'!D4</f>
        <v>6.6255144032921806E-2</v>
      </c>
      <c r="E20" s="155">
        <f>'10K-S'!E15/'10K-S'!E4</f>
        <v>-2.3543990086741014E-2</v>
      </c>
      <c r="F20" s="155">
        <f>'10K-S'!F15/'10K-S'!F4</f>
        <v>1.1790714812085483E-2</v>
      </c>
      <c r="G20" s="155">
        <f>'10K-S'!G15/'10K-S'!G4</f>
        <v>7.1674491392801257E-2</v>
      </c>
      <c r="H20" s="155">
        <f>'10K-S'!H15/'10K-S'!H4</f>
        <v>5.2270011947431305E-2</v>
      </c>
      <c r="I20" s="155">
        <f>'10K-S'!I15/'10K-S'!I4</f>
        <v>6.369426751592357E-3</v>
      </c>
      <c r="J20" s="155">
        <f>'10K-S'!J15/'10K-S'!J4</f>
        <v>3.5655253837072021E-2</v>
      </c>
      <c r="K20" s="155">
        <f>'10K-S'!K15/'10K-S'!K4</f>
        <v>7.4050225370251133E-2</v>
      </c>
      <c r="L20" s="243">
        <f>IF(INPUT!$D$46="5 Year",AVERAGE('Aux Info'!B20:F20),AVERAGE('Aux Info'!B20:K20))</f>
        <v>1.294197148802061E-2</v>
      </c>
      <c r="M20" s="243">
        <f>IF(INPUT!D49="5 Year",MEDIAN('Aux Info'!B20:F20),MEDIAN('Aux Info'!B20:K20))</f>
        <v>2.3722984324578752E-2</v>
      </c>
      <c r="N20" s="99">
        <f>IF(INPUT!$D$46="5 Year",STDEV(B20:F20),STDEV(G20:K20))</f>
        <v>2.80304570871306E-2</v>
      </c>
    </row>
    <row r="21" spans="1:14">
      <c r="A21" s="150" t="s">
        <v>198</v>
      </c>
      <c r="B21" s="156">
        <f>IF('10K-S'!B11=0,0,('10K-S'!B10+'10K-S'!AA6)/'10K-S'!B11)</f>
        <v>1.6923076923076923</v>
      </c>
      <c r="C21" s="156">
        <f>IF('10K-S'!C11=0,0,('10K-S'!C10+'10K-S'!AB6)/'10K-S'!C11)</f>
        <v>-0.75757575757575757</v>
      </c>
      <c r="D21" s="156">
        <f>IF('10K-S'!D11=0,0,('10K-S'!D10+'10K-S'!AC6)/'10K-S'!D11)</f>
        <v>13.76923076923077</v>
      </c>
      <c r="E21" s="156">
        <f>IF('10K-S'!E11=0,0,('10K-S'!E10+'10K-S'!AD6)/'10K-S'!E11)</f>
        <v>10.227272727272727</v>
      </c>
      <c r="F21" s="156">
        <f>IF('10K-S'!F11=0,0,('10K-S'!F10+'10K-S'!AE6)/'10K-S'!F11)</f>
        <v>11.32</v>
      </c>
      <c r="G21" s="156">
        <f>IF('10K-S'!G11=0,0,('10K-S'!G10+'10K-S'!AF6)/'10K-S'!G11)</f>
        <v>18.620689655172413</v>
      </c>
      <c r="H21" s="156">
        <f>IF('10K-S'!H11=0,0,('10K-S'!B10+'10K-S'!AA6)/'10K-S'!H11)</f>
        <v>3.3</v>
      </c>
      <c r="I21" s="156">
        <f>IF('10K-S'!I11=0,0,('10K-S'!C10+'10K-S'!AB6)/'10K-S'!I11)</f>
        <v>-1</v>
      </c>
      <c r="J21" s="156">
        <f>IF('10K-S'!J11=0,0,('10K-S'!D10+'10K-S'!AC6)/'10K-S'!J11)</f>
        <v>10.848484848484848</v>
      </c>
      <c r="K21" s="156">
        <f>IF('10K-S'!K11=0,0,('10K-S'!E10+'10K-S'!AD6)/'10K-S'!K11)</f>
        <v>7.03125</v>
      </c>
      <c r="L21" s="243">
        <f>IF(INPUT!$D$46="5 Year",AVERAGE('Aux Info'!B21:F21),AVERAGE('Aux Info'!B21:K21))</f>
        <v>7.5051659934892685</v>
      </c>
      <c r="M21" s="243">
        <f>IF(INPUT!D50="5 Year",MEDIAN('Aux Info'!B21:F21),MEDIAN('Aux Info'!B21:K21))</f>
        <v>8.6292613636363633</v>
      </c>
      <c r="N21" s="244">
        <f>IF(INPUT!$D$46="5 Year",STDEV(B21:F21),STDEV(G21:K21))</f>
        <v>7.4942243589938773</v>
      </c>
    </row>
    <row r="22" spans="1:14">
      <c r="A22" s="151" t="s">
        <v>22</v>
      </c>
      <c r="B22" s="155">
        <f>'10K-S'!B15/'10K-S'!O16</f>
        <v>-0.10781250000000001</v>
      </c>
      <c r="C22" s="155">
        <f>'10K-S'!C15/'10K-S'!P16</f>
        <v>-2.6138909634055265E-2</v>
      </c>
      <c r="D22" s="155">
        <f>'10K-S'!D15/'10K-S'!Q16</f>
        <v>5.7955363570914326E-2</v>
      </c>
      <c r="E22" s="155">
        <f>'10K-S'!E15/'10K-S'!R16</f>
        <v>-2.3730224812656121E-2</v>
      </c>
      <c r="F22" s="155">
        <f>'10K-S'!F15/'10K-S'!S16</f>
        <v>1.2861736334405145E-2</v>
      </c>
      <c r="G22" s="155">
        <f>'10K-S'!G15/'10K-S'!T16</f>
        <v>8.5035276643148902E-2</v>
      </c>
      <c r="H22" s="155">
        <f>'10K-S'!H15/'10K-S'!U16</f>
        <v>6.1468212153143659E-2</v>
      </c>
      <c r="I22" s="155">
        <f>'10K-S'!I15/'10K-S'!V16</f>
        <v>7.5872534142640367E-3</v>
      </c>
      <c r="J22" s="155">
        <f>'10K-S'!J15/'10K-S'!W16</f>
        <v>4.6078730546231308E-2</v>
      </c>
      <c r="K22" s="155">
        <f>'10K-S'!K15/'10K-S'!X16</f>
        <v>9.8910550458715593E-2</v>
      </c>
      <c r="L22" s="243">
        <f>IF(INPUT!$D$46="5 Year",AVERAGE('Aux Info'!B22:F22),AVERAGE('Aux Info'!B22:K22))</f>
        <v>2.1221548867411157E-2</v>
      </c>
      <c r="M22" s="243">
        <f>IF(INPUT!D51="5 Year",MEDIAN('Aux Info'!B22:F22),MEDIAN('Aux Info'!B22:K22))</f>
        <v>2.9470233440318228E-2</v>
      </c>
      <c r="N22" s="99">
        <f>IF(INPUT!$D$46="5 Year",STDEV(B22:F22),STDEV(G22:K22))</f>
        <v>3.5649965417003202E-2</v>
      </c>
    </row>
    <row r="23" spans="1:14">
      <c r="A23" s="150" t="s">
        <v>23</v>
      </c>
      <c r="B23" s="155">
        <f>'10K-S'!B15/'10K-S'!O31</f>
        <v>-0.23076923076923078</v>
      </c>
      <c r="C23" s="155">
        <f>'10K-S'!C15/'10K-S'!P31</f>
        <v>-5.0468637346791634E-2</v>
      </c>
      <c r="D23" s="155">
        <f>'10K-S'!D15/'10K-S'!Q31</f>
        <v>0.11126468555632343</v>
      </c>
      <c r="E23" s="155">
        <f>'10K-S'!E15/'10K-S'!R31</f>
        <v>-5.0576752440106475E-2</v>
      </c>
      <c r="F23" s="155">
        <f>'10K-S'!F15/'10K-S'!S31</f>
        <v>2.8802880288028802E-2</v>
      </c>
      <c r="G23" s="155">
        <f>'10K-S'!G15/'10K-S'!T31</f>
        <v>0.16666666666666666</v>
      </c>
      <c r="H23" s="155">
        <f>'10K-S'!H15/'10K-S'!U31</f>
        <v>0.12617159336697908</v>
      </c>
      <c r="I23" s="155">
        <f>'10K-S'!I15/'10K-S'!V31</f>
        <v>1.8782870022539443E-2</v>
      </c>
      <c r="J23" s="155">
        <f>'10K-S'!J15/'10K-S'!W31</f>
        <v>0.10175202156334232</v>
      </c>
      <c r="K23" s="155">
        <f>'10K-S'!K15/'10K-S'!X31</f>
        <v>0.19930675909878684</v>
      </c>
      <c r="L23" s="243">
        <f>IF(INPUT!$D$46="5 Year",AVERAGE('Aux Info'!B23:F23),AVERAGE('Aux Info'!B23:K23))</f>
        <v>4.2093285600653771E-2</v>
      </c>
      <c r="M23" s="243">
        <f>IF(INPUT!D52="5 Year",MEDIAN('Aux Info'!B23:F23),MEDIAN('Aux Info'!B23:K23))</f>
        <v>6.5277450925685557E-2</v>
      </c>
      <c r="N23" s="99">
        <f>IF(INPUT!$D$46="5 Year",STDEV(B23:F23),STDEV(G23:K23))</f>
        <v>6.901298514039246E-2</v>
      </c>
    </row>
    <row r="24" spans="1:14">
      <c r="A24" s="150" t="s">
        <v>24</v>
      </c>
      <c r="B24" s="155">
        <f>'10K-S'!B15/('10K-S'!O31+'10K-S'!O24)</f>
        <v>-0.17931392931392931</v>
      </c>
      <c r="C24" s="155">
        <f>'10K-S'!C15/('10K-S'!P31+'10K-S'!P24)</f>
        <v>-4.0697674418604654E-2</v>
      </c>
      <c r="D24" s="155">
        <f>'10K-S'!D15/('10K-S'!Q31+'10K-S'!Q24)</f>
        <v>0.11126468555632343</v>
      </c>
      <c r="E24" s="155">
        <f>'10K-S'!E15/('10K-S'!R31+'10K-S'!R24)</f>
        <v>-4.3346007604562739E-2</v>
      </c>
      <c r="F24" s="155">
        <f>'10K-S'!F15/('10K-S'!S31+'10K-S'!S24)</f>
        <v>2.6424442609413706E-2</v>
      </c>
      <c r="G24" s="155">
        <f>'10K-S'!G15/('10K-S'!T31+'10K-S'!T24)</f>
        <v>0.14996725605762934</v>
      </c>
      <c r="H24" s="155">
        <f>'10K-S'!H15/('10K-S'!U31+'10K-S'!U24)</f>
        <v>0.10829207920792079</v>
      </c>
      <c r="I24" s="155">
        <f>'10K-S'!I15/('10K-S'!V31+'10K-S'!V24)</f>
        <v>1.3989927252378288E-2</v>
      </c>
      <c r="J24" s="155">
        <f>'10K-S'!J15/('10K-S'!W31+'10K-S'!W24)</f>
        <v>7.8157349896480335E-2</v>
      </c>
      <c r="K24" s="155">
        <f>'10K-S'!K15/('10K-S'!X31+'10K-S'!X24)</f>
        <v>0.16304347826086957</v>
      </c>
      <c r="L24" s="243">
        <f>IF(INPUT!$D$46="5 Year",AVERAGE('Aux Info'!B24:F24),AVERAGE('Aux Info'!B24:K24))</f>
        <v>3.877816075039188E-2</v>
      </c>
      <c r="M24" s="243">
        <f>IF(INPUT!D53="5 Year",MEDIAN('Aux Info'!B24:F24),MEDIAN('Aux Info'!B24:K24))</f>
        <v>5.2290896252947021E-2</v>
      </c>
      <c r="N24" s="99">
        <f>IF(INPUT!$D$46="5 Year",STDEV(B24:F24),STDEV(G24:K24))</f>
        <v>5.9955438444959215E-2</v>
      </c>
    </row>
    <row r="25" spans="1:14" s="268" customFormat="1">
      <c r="A25" s="266" t="s">
        <v>378</v>
      </c>
      <c r="B25" s="157">
        <f>'10K-S'!B4/('10K-S'!O24+'10K-S'!O31)</f>
        <v>1.3575883575883576</v>
      </c>
      <c r="C25" s="157">
        <f>'10K-S'!C4/('10K-S'!P24+'10K-S'!P31)</f>
        <v>1.2325581395348837</v>
      </c>
      <c r="D25" s="157">
        <f>'10K-S'!D4/('10K-S'!Q24+'10K-S'!Q31)</f>
        <v>1.6793365583966828</v>
      </c>
      <c r="E25" s="157">
        <f>'10K-S'!E4/('10K-S'!R24+'10K-S'!R31)</f>
        <v>1.8410646387832699</v>
      </c>
      <c r="F25" s="157">
        <f>'10K-S'!F4/('10K-S'!S24+'10K-S'!S31)</f>
        <v>2.2411230388109002</v>
      </c>
      <c r="G25" s="157">
        <f>'10K-S'!G4/('10K-S'!T24+'10K-S'!T31)</f>
        <v>2.0923379174852652</v>
      </c>
      <c r="H25" s="157">
        <f>'10K-S'!H4/('10K-S'!U24+'10K-S'!U31)</f>
        <v>2.0717821782178216</v>
      </c>
      <c r="I25" s="157">
        <f>'10K-S'!I4/('10K-S'!V24+'10K-S'!V31)</f>
        <v>2.196418578623391</v>
      </c>
      <c r="J25" s="157">
        <f>'10K-S'!J4/('10K-S'!W24+'10K-S'!W31)</f>
        <v>2.1920289855072466</v>
      </c>
      <c r="K25" s="157">
        <f>'10K-S'!K4/('10K-S'!X24+'10K-S'!X31)</f>
        <v>2.20179584120983</v>
      </c>
      <c r="L25" s="245">
        <f>IF(INPUT!$D$46="5 Year",AVERAGE('Aux Info'!B25:F25),AVERAGE('Aux Info'!B25:K25))</f>
        <v>1.9106034234157647</v>
      </c>
      <c r="M25" s="245">
        <f>IF(INPUT!D54="5 Year",MEDIAN('Aux Info'!B25:F25),MEDIAN('Aux Info'!B25:K25))</f>
        <v>2.0820600478515434</v>
      </c>
      <c r="N25" s="267">
        <f>IF(INPUT!$D$46="5 Year",STDEV(B25:F25),STDEV(G25:K25))</f>
        <v>6.3330609911068023E-2</v>
      </c>
    </row>
    <row r="26" spans="1:14">
      <c r="A26" s="150" t="s">
        <v>210</v>
      </c>
      <c r="B26" s="3">
        <f>'10K-S'!O24/('10K-S'!O9+'10K-S'!O10-'10K-S'!O20)</f>
        <v>0.70909090909090911</v>
      </c>
      <c r="C26" s="3">
        <f>'10K-S'!P24/('10K-S'!P9+'10K-S'!P10-'10K-S'!P20)</f>
        <v>0.67959183673469392</v>
      </c>
      <c r="D26" s="3">
        <f>'10K-S'!Q24/('10K-S'!Q9+'10K-S'!Q10-'10K-S'!Q20)</f>
        <v>0</v>
      </c>
      <c r="E26" s="3">
        <f>'10K-S'!R24/('10K-S'!R9+'10K-S'!R10-'10K-S'!R20)</f>
        <v>0.3622350674373796</v>
      </c>
      <c r="F26" s="3">
        <f>'10K-S'!S24/('10K-S'!S9+'10K-S'!S10-'10K-S'!S20)</f>
        <v>0.25773195876288657</v>
      </c>
      <c r="G26" s="3">
        <f>'10K-S'!T24/('10K-S'!T9+'10K-S'!T10-'10K-S'!T20)</f>
        <v>0.37777777777777777</v>
      </c>
      <c r="H26" s="3">
        <f>'10K-S'!U24/('10K-S'!U9+'10K-S'!U10-'10K-S'!U20)</f>
        <v>0.52283105022831056</v>
      </c>
      <c r="I26" s="3">
        <f>'10K-S'!V24/('10K-S'!V9+'10K-S'!V10-'10K-S'!V20)</f>
        <v>0.78892733564013839</v>
      </c>
      <c r="J26" s="3">
        <f>'10K-S'!W24/('10K-S'!W9+'10K-S'!W10-'10K-S'!W20)</f>
        <v>0.92181069958847739</v>
      </c>
      <c r="K26" s="3">
        <f>'10K-S'!X24/('10K-S'!X9+'10K-S'!X10-'10K-S'!X20)</f>
        <v>0.72232645403377116</v>
      </c>
      <c r="L26" s="245">
        <f>IF(INPUT!$D$46="5 Year",AVERAGE('Aux Info'!B26:F26),AVERAGE('Aux Info'!B26:K26))</f>
        <v>0.53423230892943452</v>
      </c>
      <c r="M26" s="243">
        <f>IF(INPUT!D55="5 Year",MEDIAN('Aux Info'!B26:F26),MEDIAN('Aux Info'!B26:K26))</f>
        <v>0.60121144348150224</v>
      </c>
      <c r="N26" s="246">
        <f>IF(INPUT!$D$46="5 Year",STDEV(B26:F26),STDEV(G26:K26))</f>
        <v>0.21638484940323433</v>
      </c>
    </row>
    <row r="27" spans="1:14">
      <c r="A27" s="150" t="s">
        <v>211</v>
      </c>
      <c r="B27" s="3">
        <f>'10K-S'!O24/'10K-S'!O31</f>
        <v>0.28695652173913044</v>
      </c>
      <c r="C27" s="3">
        <f>'10K-S'!P24/'10K-S'!P31</f>
        <v>0.24008651766402306</v>
      </c>
      <c r="D27" s="3">
        <f>'10K-S'!Q24/'10K-S'!Q31</f>
        <v>0</v>
      </c>
      <c r="E27" s="3">
        <f>'10K-S'!R24/'10K-S'!R31</f>
        <v>0.1668145519077196</v>
      </c>
      <c r="F27" s="3">
        <f>'10K-S'!S24/'10K-S'!S31</f>
        <v>9.0009000900090008E-2</v>
      </c>
      <c r="G27" s="3">
        <f>'10K-S'!T24/'10K-S'!T31</f>
        <v>0.11135371179039301</v>
      </c>
      <c r="H27" s="3">
        <f>'10K-S'!U24/'10K-S'!U31</f>
        <v>0.1651045421773612</v>
      </c>
      <c r="I27" s="3">
        <f>'10K-S'!V24/'10K-S'!V31</f>
        <v>0.34259954921111946</v>
      </c>
      <c r="J27" s="3">
        <f>'10K-S'!W24/'10K-S'!W31</f>
        <v>0.30188679245283018</v>
      </c>
      <c r="K27" s="3">
        <f>'10K-S'!X24/'10K-S'!X31</f>
        <v>0.22241478913922588</v>
      </c>
      <c r="L27" s="245">
        <f>IF(INPUT!$D$46="5 Year",AVERAGE('Aux Info'!B27:F27),AVERAGE('Aux Info'!B27:K27))</f>
        <v>0.19272259769818928</v>
      </c>
      <c r="M27" s="243">
        <f>IF(INPUT!D56="5 Year",MEDIAN('Aux Info'!B27:F27),MEDIAN('Aux Info'!B27:K27))</f>
        <v>0.19461467052347275</v>
      </c>
      <c r="N27" s="246">
        <f>IF(INPUT!$D$46="5 Year",STDEV(B27:F27),STDEV(G27:K27))</f>
        <v>9.5109735875604479E-2</v>
      </c>
    </row>
    <row r="30" spans="1:14">
      <c r="A30" s="150" t="s">
        <v>479</v>
      </c>
      <c r="B30" s="153">
        <f>'10K-S'!B3</f>
        <v>39783</v>
      </c>
      <c r="C30" s="153">
        <f>'10K-S'!C3</f>
        <v>40148</v>
      </c>
      <c r="D30" s="153">
        <f>'10K-S'!D3</f>
        <v>40513</v>
      </c>
      <c r="E30" s="153">
        <f>'10K-S'!E3</f>
        <v>40878</v>
      </c>
      <c r="F30" s="153">
        <f>'10K-S'!F3</f>
        <v>41244</v>
      </c>
      <c r="G30" s="153">
        <f>'10K-S'!G3</f>
        <v>41609</v>
      </c>
      <c r="H30" s="153">
        <f>'10K-S'!H3</f>
        <v>41974</v>
      </c>
      <c r="I30" s="153">
        <f>'10K-S'!I3</f>
        <v>42339</v>
      </c>
      <c r="J30" s="153">
        <f>'10K-S'!J3</f>
        <v>42705</v>
      </c>
      <c r="K30" s="153">
        <f>'10K-S'!K3</f>
        <v>43070</v>
      </c>
      <c r="L30" s="152" t="s">
        <v>394</v>
      </c>
      <c r="M30" s="152" t="s">
        <v>486</v>
      </c>
      <c r="N30" s="152" t="s">
        <v>488</v>
      </c>
    </row>
    <row r="31" spans="1:14">
      <c r="A31" s="152" t="s">
        <v>217</v>
      </c>
      <c r="B31" s="3">
        <f>'10K-S'!B4</f>
        <v>2612</v>
      </c>
      <c r="C31" s="3">
        <f>'10K-S'!C4</f>
        <v>2120</v>
      </c>
      <c r="D31" s="3">
        <f>'10K-S'!D4</f>
        <v>2430</v>
      </c>
      <c r="E31" s="3">
        <f>'10K-S'!E4</f>
        <v>2421</v>
      </c>
      <c r="F31" s="3">
        <f>'10K-S'!F4</f>
        <v>2714</v>
      </c>
      <c r="G31" s="3">
        <f>'10K-S'!G4</f>
        <v>3195</v>
      </c>
      <c r="H31" s="3">
        <f>'10K-S'!H4</f>
        <v>3348</v>
      </c>
      <c r="I31" s="3">
        <f>'10K-S'!I4</f>
        <v>3925</v>
      </c>
      <c r="J31" s="3">
        <f>'10K-S'!J4</f>
        <v>4235</v>
      </c>
      <c r="K31" s="3">
        <f>'10K-S'!K4</f>
        <v>4659</v>
      </c>
      <c r="L31" s="249">
        <f>IF(INPUT!$D$46="5 Year",AVERAGE('Aux Info'!C31:F31),AVERAGE('Aux Info'!C31:K31))</f>
        <v>3227.4444444444443</v>
      </c>
      <c r="M31" s="76"/>
      <c r="N31" s="3">
        <f>IF(INPUT!$D$46="5 Year",CORREL($B$31:$F$31,B31:F31),CORREL($B$31:$K$31,B31:K31))</f>
        <v>1.0000000000000002</v>
      </c>
    </row>
    <row r="32" spans="1:14">
      <c r="A32" s="248" t="s">
        <v>482</v>
      </c>
      <c r="B32" s="76"/>
      <c r="C32" s="88">
        <f>(C31-B31)/B31</f>
        <v>-0.18836140888208269</v>
      </c>
      <c r="D32" s="88">
        <f t="shared" ref="D32:K32" si="1">(D31-C31)/C31</f>
        <v>0.14622641509433962</v>
      </c>
      <c r="E32" s="88">
        <f t="shared" si="1"/>
        <v>-3.7037037037037038E-3</v>
      </c>
      <c r="F32" s="88">
        <f t="shared" si="1"/>
        <v>0.12102437009500207</v>
      </c>
      <c r="G32" s="88">
        <f t="shared" si="1"/>
        <v>0.17722918201915991</v>
      </c>
      <c r="H32" s="88">
        <f t="shared" si="1"/>
        <v>4.788732394366197E-2</v>
      </c>
      <c r="I32" s="88">
        <f t="shared" si="1"/>
        <v>0.17234169653524492</v>
      </c>
      <c r="J32" s="88">
        <f t="shared" si="1"/>
        <v>7.8980891719745219E-2</v>
      </c>
      <c r="K32" s="88">
        <f t="shared" si="1"/>
        <v>0.10011806375442739</v>
      </c>
      <c r="L32" s="242">
        <f>IF(INPUT!$D$46="5 Year",AVERAGE('Aux Info'!C32:F32),AVERAGE('Aux Info'!C32:K32))</f>
        <v>7.2415870063977178E-2</v>
      </c>
      <c r="M32" s="76"/>
      <c r="N32" s="3">
        <f>IF(INPUT!$D$46="5 Year",CORREL($C$32:$F$32,C32:F32),CORREL($C$32:$K$32,C32:K32))</f>
        <v>1.0000000000000002</v>
      </c>
    </row>
    <row r="33" spans="1:14">
      <c r="A33" s="152" t="s">
        <v>495</v>
      </c>
      <c r="B33" s="3">
        <f>'10K-S'!B10</f>
        <v>-105</v>
      </c>
      <c r="C33" s="3">
        <f>'10K-S'!C10</f>
        <v>-180</v>
      </c>
      <c r="D33" s="3">
        <f>'10K-S'!D10</f>
        <v>202</v>
      </c>
      <c r="E33" s="3">
        <f>'10K-S'!E10</f>
        <v>56</v>
      </c>
      <c r="F33" s="3">
        <f>'10K-S'!F10</f>
        <v>96</v>
      </c>
      <c r="G33" s="3">
        <f>'10K-S'!G10</f>
        <v>354</v>
      </c>
      <c r="H33" s="3">
        <f>'10K-S'!H10</f>
        <v>336</v>
      </c>
      <c r="I33" s="3">
        <f>'10K-S'!I10</f>
        <v>166</v>
      </c>
      <c r="J33" s="3">
        <f>'10K-S'!J10</f>
        <v>306</v>
      </c>
      <c r="K33" s="3">
        <f>'10K-S'!K10</f>
        <v>556</v>
      </c>
      <c r="L33" s="249">
        <f>IF(INPUT!$D$46="5 Year",AVERAGE('Aux Info'!C33:F33),AVERAGE('Aux Info'!C33:K33))</f>
        <v>210.22222222222223</v>
      </c>
      <c r="M33" s="76"/>
      <c r="N33" s="250">
        <f>IF(INPUT!$D$46="5 Year",CORREL($B$31:$F$31,B33:F33),CORREL($B$31:$K$31,B33:K33))</f>
        <v>0.79221469211606355</v>
      </c>
    </row>
    <row r="34" spans="1:14">
      <c r="A34" s="248" t="s">
        <v>496</v>
      </c>
      <c r="B34" s="76"/>
      <c r="C34" s="88">
        <f>(C33-B33)/B33</f>
        <v>0.7142857142857143</v>
      </c>
      <c r="D34" s="88">
        <f t="shared" ref="D34:K34" si="2">(D33-C33)/C33</f>
        <v>-2.1222222222222222</v>
      </c>
      <c r="E34" s="88">
        <f t="shared" si="2"/>
        <v>-0.72277227722772275</v>
      </c>
      <c r="F34" s="88">
        <f t="shared" si="2"/>
        <v>0.7142857142857143</v>
      </c>
      <c r="G34" s="88">
        <f t="shared" si="2"/>
        <v>2.6875</v>
      </c>
      <c r="H34" s="88">
        <f t="shared" si="2"/>
        <v>-5.0847457627118647E-2</v>
      </c>
      <c r="I34" s="88">
        <f t="shared" si="2"/>
        <v>-0.50595238095238093</v>
      </c>
      <c r="J34" s="88">
        <f t="shared" si="2"/>
        <v>0.84337349397590367</v>
      </c>
      <c r="K34" s="88">
        <f t="shared" si="2"/>
        <v>0.81699346405228757</v>
      </c>
      <c r="L34" s="242">
        <f>IF(INPUT!$D$46="5 Year",AVERAGE('Aux Info'!C34:F34),AVERAGE('Aux Info'!C34:K34))</f>
        <v>0.26384933873001948</v>
      </c>
      <c r="M34" s="3">
        <f>IF(INPUT!$D$46="5 Year",SLOPE('Aux Info'!$C$32:$F$32,'Aux Info'!C34:F34),SLOPE('Aux Info'!$C$32:$K$32,'Aux Info'!C34:K34))</f>
        <v>5.1611552781985677E-4</v>
      </c>
      <c r="N34" s="3">
        <f>IF(INPUT!$D$46="5 Year",CORREL($C$32:$F$32,C34:F34),CORREL($C$32:$K$32,C34:K34))</f>
        <v>6.0479787108770715E-3</v>
      </c>
    </row>
    <row r="35" spans="1:14">
      <c r="A35" s="152" t="s">
        <v>480</v>
      </c>
      <c r="B35" s="3">
        <f>'10K-S'!B15</f>
        <v>-345</v>
      </c>
      <c r="C35" s="3">
        <f>'10K-S'!C15</f>
        <v>-70</v>
      </c>
      <c r="D35" s="3">
        <f>'10K-S'!D15</f>
        <v>161</v>
      </c>
      <c r="E35" s="3">
        <f>'10K-S'!E15</f>
        <v>-57</v>
      </c>
      <c r="F35" s="3">
        <f>'10K-S'!F15</f>
        <v>32</v>
      </c>
      <c r="G35" s="3">
        <f>'10K-S'!G15</f>
        <v>229</v>
      </c>
      <c r="H35" s="3">
        <f>'10K-S'!H15</f>
        <v>175</v>
      </c>
      <c r="I35" s="3">
        <f>'10K-S'!I15</f>
        <v>25</v>
      </c>
      <c r="J35" s="3">
        <f>'10K-S'!J15</f>
        <v>151</v>
      </c>
      <c r="K35" s="3">
        <f>'10K-S'!K15</f>
        <v>345</v>
      </c>
      <c r="L35" s="249">
        <f>IF(INPUT!$D$46="5 Year",AVERAGE('Aux Info'!C35:F35),AVERAGE('Aux Info'!C35:K35))</f>
        <v>110.11111111111111</v>
      </c>
      <c r="M35" s="76"/>
      <c r="N35" s="250">
        <f>IF(INPUT!$D$46="5 Year",CORREL($B$31:$F$31,B35:F35),CORREL($B$31:$K$31,B35:K35))</f>
        <v>0.60411654064640019</v>
      </c>
    </row>
    <row r="36" spans="1:14">
      <c r="A36" s="248" t="s">
        <v>483</v>
      </c>
      <c r="B36" s="76"/>
      <c r="C36" s="88">
        <f>(C35-B35)/B35</f>
        <v>-0.79710144927536231</v>
      </c>
      <c r="D36" s="88">
        <f t="shared" ref="D36:K36" si="3">(D35-C35)/C35</f>
        <v>-3.3</v>
      </c>
      <c r="E36" s="88">
        <f t="shared" si="3"/>
        <v>-1.3540372670807452</v>
      </c>
      <c r="F36" s="88">
        <f t="shared" si="3"/>
        <v>-1.5614035087719298</v>
      </c>
      <c r="G36" s="88">
        <f t="shared" si="3"/>
        <v>6.15625</v>
      </c>
      <c r="H36" s="88">
        <f t="shared" si="3"/>
        <v>-0.23580786026200873</v>
      </c>
      <c r="I36" s="88">
        <f t="shared" si="3"/>
        <v>-0.8571428571428571</v>
      </c>
      <c r="J36" s="88">
        <f t="shared" si="3"/>
        <v>5.04</v>
      </c>
      <c r="K36" s="88">
        <f t="shared" si="3"/>
        <v>1.2847682119205297</v>
      </c>
      <c r="L36" s="242">
        <f>IF(INPUT!$D$46="5 Year",AVERAGE('Aux Info'!C36:F36),AVERAGE('Aux Info'!C36:K36))</f>
        <v>0.48616947437640295</v>
      </c>
      <c r="M36" s="3">
        <f>IF(INPUT!$D$46="5 Year",SLOPE('Aux Info'!$C$32:$F$32,'Aux Info'!C36:F36),SLOPE('Aux Info'!$C$32:$K$32,'Aux Info'!C36:K36))</f>
        <v>7.8770903504895382E-3</v>
      </c>
      <c r="N36" s="3">
        <f>IF(INPUT!$D$46="5 Year",CORREL($C$32:$F$32,C36:F36),CORREL($C$32:$K$32,C36:K36))</f>
        <v>0.21767348767980299</v>
      </c>
    </row>
    <row r="37" spans="1:14">
      <c r="A37" s="152" t="s">
        <v>244</v>
      </c>
      <c r="B37" s="3">
        <f>ABS('10K-S'!AA20)</f>
        <v>80</v>
      </c>
      <c r="C37" s="3">
        <f>ABS('10K-S'!AB20)</f>
        <v>59</v>
      </c>
      <c r="D37" s="3">
        <f>ABS('10K-S'!AC20)</f>
        <v>128</v>
      </c>
      <c r="E37" s="3">
        <f>ABS('10K-S'!AD20)</f>
        <v>312</v>
      </c>
      <c r="F37" s="3">
        <f>ABS('10K-S'!AE20)</f>
        <v>200</v>
      </c>
      <c r="G37" s="3">
        <f>ABS('10K-S'!AF20)</f>
        <v>237</v>
      </c>
      <c r="H37" s="3">
        <f>ABS('10K-S'!AG20)</f>
        <v>234</v>
      </c>
      <c r="I37" s="3">
        <f>ABS('10K-S'!AH20)</f>
        <v>240</v>
      </c>
      <c r="J37" s="3">
        <f>ABS('10K-S'!AI20)</f>
        <v>234</v>
      </c>
      <c r="K37" s="3">
        <f>ABS('10K-S'!AJ20)</f>
        <v>252</v>
      </c>
      <c r="L37" s="249">
        <f>IF(INPUT!$D$46="5 Year",AVERAGE('Aux Info'!C37:F37),AVERAGE('Aux Info'!C37:K37))</f>
        <v>210.66666666666666</v>
      </c>
      <c r="M37" s="76"/>
      <c r="N37" s="250">
        <f>IF(INPUT!$D$46="5 Year",CORREL($B$31:$F$31,B37:F37),CORREL($B$31:$K$31,B37:K37))</f>
        <v>0.52946568087856138</v>
      </c>
    </row>
    <row r="38" spans="1:14">
      <c r="A38" s="248" t="s">
        <v>484</v>
      </c>
      <c r="B38" s="76"/>
      <c r="C38" s="88">
        <f>(C37-B37)/B37</f>
        <v>-0.26250000000000001</v>
      </c>
      <c r="D38" s="88">
        <f t="shared" ref="D38:K38" si="4">(D37-C37)/C37</f>
        <v>1.1694915254237288</v>
      </c>
      <c r="E38" s="88">
        <f t="shared" si="4"/>
        <v>1.4375</v>
      </c>
      <c r="F38" s="88">
        <f t="shared" si="4"/>
        <v>-0.35897435897435898</v>
      </c>
      <c r="G38" s="88">
        <f t="shared" si="4"/>
        <v>0.185</v>
      </c>
      <c r="H38" s="88">
        <f t="shared" si="4"/>
        <v>-1.2658227848101266E-2</v>
      </c>
      <c r="I38" s="88">
        <f t="shared" si="4"/>
        <v>2.564102564102564E-2</v>
      </c>
      <c r="J38" s="88">
        <f t="shared" si="4"/>
        <v>-2.5000000000000001E-2</v>
      </c>
      <c r="K38" s="88">
        <f t="shared" si="4"/>
        <v>7.6923076923076927E-2</v>
      </c>
      <c r="L38" s="242">
        <f>IF(INPUT!$D$46="5 Year",AVERAGE('Aux Info'!C38:F38),AVERAGE('Aux Info'!C38:K38))</f>
        <v>0.24838033790726349</v>
      </c>
      <c r="M38" s="3">
        <f>IF(INPUT!$D$46="5 Year",SLOPE('Aux Info'!$C$32:$F$32,'Aux Info'!C38:F38),SLOPE('Aux Info'!$C$32:$K$32,'Aux Info'!C38:K38))</f>
        <v>1.6718980422504106E-2</v>
      </c>
      <c r="N38" s="3">
        <f>IF(INPUT!$D$46="5 Year",CORREL($C$32:$F$32,C38:F38),CORREL($C$32:$K$32,C38:K38))</f>
        <v>9.1550840028477826E-2</v>
      </c>
    </row>
    <row r="39" spans="1:14">
      <c r="A39" s="248" t="s">
        <v>57</v>
      </c>
      <c r="B39" s="88">
        <f>B37/B31</f>
        <v>3.0627871362940276E-2</v>
      </c>
      <c r="C39" s="88">
        <f t="shared" ref="C39:K39" si="5">C37/C31</f>
        <v>2.7830188679245284E-2</v>
      </c>
      <c r="D39" s="88">
        <f t="shared" si="5"/>
        <v>5.2674897119341563E-2</v>
      </c>
      <c r="E39" s="88">
        <f t="shared" si="5"/>
        <v>0.12887236679058239</v>
      </c>
      <c r="F39" s="88">
        <f t="shared" si="5"/>
        <v>7.369196757553427E-2</v>
      </c>
      <c r="G39" s="88">
        <f t="shared" si="5"/>
        <v>7.4178403755868538E-2</v>
      </c>
      <c r="H39" s="88">
        <f t="shared" si="5"/>
        <v>6.9892473118279563E-2</v>
      </c>
      <c r="I39" s="88">
        <f t="shared" si="5"/>
        <v>6.1146496815286625E-2</v>
      </c>
      <c r="J39" s="88">
        <f t="shared" si="5"/>
        <v>5.5253837072018891E-2</v>
      </c>
      <c r="K39" s="88">
        <f t="shared" si="5"/>
        <v>5.4088860270444301E-2</v>
      </c>
      <c r="L39" s="242">
        <f>IF(INPUT!$D$46="5 Year",AVERAGE('Aux Info'!C39:F39),AVERAGE('Aux Info'!C39:K39))</f>
        <v>6.6403276799622379E-2</v>
      </c>
      <c r="M39" s="3">
        <f>IF(INPUT!$D$46="5 Year",SLOPE('Aux Info'!$C$32:$F$32,'Aux Info'!C39:F39),SLOPE('Aux Info'!$C$32:$K$32,'Aux Info'!C39:K39))</f>
        <v>0.73810421200986331</v>
      </c>
      <c r="N39" s="3">
        <f>IF(INPUT!$D$46="5 Year",CORREL($C$32:$F$32,C39:F39),CORREL($C$32:$K$32,C39:K39))</f>
        <v>0.17741225802149313</v>
      </c>
    </row>
    <row r="40" spans="1:14">
      <c r="A40" s="152" t="s">
        <v>481</v>
      </c>
      <c r="B40" s="3">
        <f>'10K-S'!O24+'10K-S'!O31</f>
        <v>1924</v>
      </c>
      <c r="C40" s="3">
        <f>'10K-S'!P24+'10K-S'!P31</f>
        <v>1720</v>
      </c>
      <c r="D40" s="3">
        <f>'10K-S'!Q24+'10K-S'!Q31</f>
        <v>1447</v>
      </c>
      <c r="E40" s="3">
        <f>'10K-S'!R24+'10K-S'!R31</f>
        <v>1315</v>
      </c>
      <c r="F40" s="3">
        <f>'10K-S'!S24+'10K-S'!S31</f>
        <v>1211</v>
      </c>
      <c r="G40" s="3">
        <f>'10K-S'!T24+'10K-S'!T31</f>
        <v>1527</v>
      </c>
      <c r="H40" s="3">
        <f>'10K-S'!U24+'10K-S'!U31</f>
        <v>1616</v>
      </c>
      <c r="I40" s="3">
        <f>'10K-S'!V24+'10K-S'!V31</f>
        <v>1787</v>
      </c>
      <c r="J40" s="3">
        <f>'10K-S'!W24+'10K-S'!W31</f>
        <v>1932</v>
      </c>
      <c r="K40" s="3">
        <f>'10K-S'!X24+'10K-S'!X31</f>
        <v>2116</v>
      </c>
      <c r="L40" s="249">
        <f>IF(INPUT!$D$46="5 Year",AVERAGE('Aux Info'!C40:F40),AVERAGE('Aux Info'!C40:K40))</f>
        <v>1630.1111111111111</v>
      </c>
      <c r="M40" s="76"/>
      <c r="N40" s="250">
        <f>IF(INPUT!$D$46="5 Year",CORREL($B$31:$F$31,B40:F40),CORREL($B$31:$K$31,B40:K40))</f>
        <v>0.65078513586601117</v>
      </c>
    </row>
    <row r="41" spans="1:14">
      <c r="A41" s="248" t="s">
        <v>485</v>
      </c>
      <c r="B41" s="76"/>
      <c r="C41" s="88">
        <f>(C40-B40)/B40</f>
        <v>-0.10602910602910603</v>
      </c>
      <c r="D41" s="88">
        <f t="shared" ref="D41:K41" si="6">(D40-C40)/C40</f>
        <v>-0.15872093023255815</v>
      </c>
      <c r="E41" s="88">
        <f t="shared" si="6"/>
        <v>-9.1223220456116097E-2</v>
      </c>
      <c r="F41" s="88">
        <f t="shared" si="6"/>
        <v>-7.9087452471482883E-2</v>
      </c>
      <c r="G41" s="88">
        <f t="shared" si="6"/>
        <v>0.26094137076796037</v>
      </c>
      <c r="H41" s="88">
        <f t="shared" si="6"/>
        <v>5.8284217419777344E-2</v>
      </c>
      <c r="I41" s="88">
        <f t="shared" si="6"/>
        <v>0.10581683168316831</v>
      </c>
      <c r="J41" s="88">
        <f t="shared" si="6"/>
        <v>8.1141578063794073E-2</v>
      </c>
      <c r="K41" s="88">
        <f t="shared" si="6"/>
        <v>9.5238095238095233E-2</v>
      </c>
      <c r="L41" s="242">
        <f>IF(INPUT!$D$46="5 Year",AVERAGE('Aux Info'!C41:F41),AVERAGE('Aux Info'!C41:K41))</f>
        <v>1.848459822039247E-2</v>
      </c>
      <c r="M41" s="3">
        <f>IF(INPUT!$D$46="5 Year",SLOPE('Aux Info'!$C$32:$F$32,'Aux Info'!C41:F41),SLOPE('Aux Info'!$C$32:$K$32,'Aux Info'!C41:K41))</f>
        <v>0.40129671631662073</v>
      </c>
      <c r="N41" s="3">
        <f>IF(INPUT!$D$46="5 Year",CORREL($C$32:$F$32,C41:F41),CORREL($C$32:$K$32,C41:K41))</f>
        <v>0.47593587864622988</v>
      </c>
    </row>
    <row r="42" spans="1:14">
      <c r="A42" s="152" t="s">
        <v>489</v>
      </c>
      <c r="B42" s="3">
        <f>ABS('10K-S'!AA10)</f>
        <v>80</v>
      </c>
      <c r="C42" s="3">
        <f>ABS('10K-S'!AB10)</f>
        <v>59</v>
      </c>
      <c r="D42" s="3">
        <f>ABS('10K-S'!AC10)</f>
        <v>128</v>
      </c>
      <c r="E42" s="3">
        <f>ABS('10K-S'!AD10)</f>
        <v>312</v>
      </c>
      <c r="F42" s="3">
        <f>ABS('10K-S'!AE10)</f>
        <v>200</v>
      </c>
      <c r="G42" s="3">
        <f>ABS('10K-S'!AF10)</f>
        <v>237</v>
      </c>
      <c r="H42" s="3">
        <f>ABS('10K-S'!AG10)</f>
        <v>234</v>
      </c>
      <c r="I42" s="3">
        <f>ABS('10K-S'!AH10)</f>
        <v>240</v>
      </c>
      <c r="J42" s="3">
        <f>ABS('10K-S'!AI10)</f>
        <v>234</v>
      </c>
      <c r="K42" s="3">
        <f>ABS('10K-S'!AJ10)</f>
        <v>252</v>
      </c>
      <c r="L42" s="249">
        <f>IF(INPUT!$D$46="5 Year",AVERAGE('Aux Info'!C42:F42),AVERAGE('Aux Info'!C42:K42))</f>
        <v>210.66666666666666</v>
      </c>
      <c r="M42" s="76"/>
      <c r="N42" s="250">
        <f>IF(INPUT!$D$46="5 Year",CORREL($B$31:$F$31,B42:F42),CORREL($B$31:$K$31,B42:K42))</f>
        <v>0.52946568087856138</v>
      </c>
    </row>
    <row r="43" spans="1:14">
      <c r="A43" s="248" t="s">
        <v>493</v>
      </c>
      <c r="B43" s="76"/>
      <c r="C43" s="88">
        <f>(C42-B42)/B42</f>
        <v>-0.26250000000000001</v>
      </c>
      <c r="D43" s="88">
        <f t="shared" ref="D43:K43" si="7">(D42-C42)/C42</f>
        <v>1.1694915254237288</v>
      </c>
      <c r="E43" s="88">
        <f t="shared" si="7"/>
        <v>1.4375</v>
      </c>
      <c r="F43" s="88">
        <f t="shared" si="7"/>
        <v>-0.35897435897435898</v>
      </c>
      <c r="G43" s="88">
        <f t="shared" si="7"/>
        <v>0.185</v>
      </c>
      <c r="H43" s="88">
        <f t="shared" si="7"/>
        <v>-1.2658227848101266E-2</v>
      </c>
      <c r="I43" s="88">
        <f t="shared" si="7"/>
        <v>2.564102564102564E-2</v>
      </c>
      <c r="J43" s="88">
        <f t="shared" si="7"/>
        <v>-2.5000000000000001E-2</v>
      </c>
      <c r="K43" s="88">
        <f t="shared" si="7"/>
        <v>7.6923076923076927E-2</v>
      </c>
      <c r="L43" s="242">
        <f>IF(INPUT!$D$46="5 Year",AVERAGE('Aux Info'!C43:F43),AVERAGE('Aux Info'!C43:K43))</f>
        <v>0.24838033790726349</v>
      </c>
      <c r="M43" s="3">
        <f>IF(INPUT!$D$46="5 Year",SLOPE('Aux Info'!$C$32:$F$32,'Aux Info'!C43:F43),SLOPE('Aux Info'!$C$32:$K$32,'Aux Info'!C43:K43))</f>
        <v>1.6718980422504106E-2</v>
      </c>
      <c r="N43" s="3">
        <f>IF(INPUT!$D$46="5 Year",CORREL($C$32:$F$32,C43:F43),CORREL($C$32:$K$32,C43:K43))</f>
        <v>9.1550840028477826E-2</v>
      </c>
    </row>
  </sheetData>
  <mergeCells count="1">
    <mergeCell ref="A13:B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91597-D644-AE46-BB06-DEEC37E14F0A}">
  <sheetPr>
    <tabColor rgb="FF0070C0"/>
  </sheetPr>
  <dimension ref="A1:M49"/>
  <sheetViews>
    <sheetView workbookViewId="0">
      <selection activeCell="J8" sqref="J8"/>
    </sheetView>
  </sheetViews>
  <sheetFormatPr baseColWidth="10" defaultRowHeight="16"/>
  <cols>
    <col min="3" max="3" width="12.1640625" bestFit="1" customWidth="1"/>
    <col min="5" max="5" width="12.5" bestFit="1" customWidth="1"/>
    <col min="9" max="9" width="18.6640625" bestFit="1" customWidth="1"/>
    <col min="16" max="16" width="18.6640625" bestFit="1" customWidth="1"/>
  </cols>
  <sheetData>
    <row r="1" spans="1:13" ht="19">
      <c r="A1" s="380" t="s">
        <v>301</v>
      </c>
      <c r="B1" s="380"/>
      <c r="C1" s="380"/>
      <c r="D1" s="380"/>
      <c r="E1" s="380"/>
      <c r="F1" s="380"/>
      <c r="G1" s="380"/>
      <c r="I1" s="353" t="s">
        <v>195</v>
      </c>
      <c r="J1" s="353"/>
      <c r="L1" s="1" t="s">
        <v>223</v>
      </c>
      <c r="M1" s="1" t="s">
        <v>224</v>
      </c>
    </row>
    <row r="2" spans="1:13">
      <c r="A2" s="152" t="s">
        <v>40</v>
      </c>
      <c r="B2" s="152" t="s">
        <v>217</v>
      </c>
      <c r="C2" s="152" t="s">
        <v>218</v>
      </c>
      <c r="D2" s="152" t="s">
        <v>219</v>
      </c>
      <c r="E2" s="152" t="s">
        <v>220</v>
      </c>
      <c r="F2" s="152" t="s">
        <v>299</v>
      </c>
      <c r="G2" s="152" t="s">
        <v>300</v>
      </c>
      <c r="I2" s="181" t="s">
        <v>196</v>
      </c>
      <c r="J2" s="122">
        <f>INPUT!D2</f>
        <v>3.09E-2</v>
      </c>
      <c r="L2" s="1" t="s">
        <v>225</v>
      </c>
      <c r="M2" s="75">
        <v>0.01</v>
      </c>
    </row>
    <row r="3" spans="1:13">
      <c r="A3" s="152" t="s">
        <v>311</v>
      </c>
      <c r="B3" s="3">
        <f>'10K-S'!B4</f>
        <v>2612</v>
      </c>
      <c r="C3" s="76"/>
      <c r="D3" s="3">
        <f>'10K-S'!B15</f>
        <v>-345</v>
      </c>
      <c r="E3" s="76"/>
      <c r="F3" s="3">
        <f>'10K-S'!B17</f>
        <v>-2.42</v>
      </c>
      <c r="G3" s="76"/>
      <c r="I3" s="181" t="s">
        <v>34</v>
      </c>
      <c r="J3" s="122">
        <f>INPUT!D3</f>
        <v>4.99E-2</v>
      </c>
      <c r="L3" s="1" t="s">
        <v>226</v>
      </c>
      <c r="M3" s="75">
        <v>1.0999999999999999E-2</v>
      </c>
    </row>
    <row r="4" spans="1:13">
      <c r="A4" s="152" t="s">
        <v>310</v>
      </c>
      <c r="B4" s="3">
        <f>'10K-S'!C4</f>
        <v>2120</v>
      </c>
      <c r="C4" s="88">
        <f>(B4-B3)/B3</f>
        <v>-0.18836140888208269</v>
      </c>
      <c r="D4" s="3">
        <f>'10K-S'!C15</f>
        <v>-70</v>
      </c>
      <c r="E4" s="88">
        <f>(D4-D3)/D3</f>
        <v>-0.79710144927536231</v>
      </c>
      <c r="F4" s="3">
        <f>'10K-S'!C17</f>
        <v>-0.5</v>
      </c>
      <c r="G4" s="88">
        <f t="shared" ref="G4:G7" si="0">(F4-F3)/F3</f>
        <v>-0.79338842975206614</v>
      </c>
      <c r="I4" s="182" t="s">
        <v>197</v>
      </c>
      <c r="J4" s="123">
        <f>INPUT!D7</f>
        <v>1.3250765469111303</v>
      </c>
      <c r="L4" s="1" t="s">
        <v>227</v>
      </c>
      <c r="M4" s="75">
        <v>1.2500000000000001E-2</v>
      </c>
    </row>
    <row r="5" spans="1:13">
      <c r="A5" s="152" t="s">
        <v>309</v>
      </c>
      <c r="B5" s="3">
        <f>'10K-S'!D4</f>
        <v>2430</v>
      </c>
      <c r="C5" s="88">
        <f>(B5-B4)/B4</f>
        <v>0.14622641509433962</v>
      </c>
      <c r="D5" s="3">
        <f>'10K-S'!D15</f>
        <v>161</v>
      </c>
      <c r="E5" s="88">
        <f t="shared" ref="E5:E7" si="1">(D5-D4)/D4</f>
        <v>-3.3</v>
      </c>
      <c r="F5" s="3">
        <f>'10K-S'!D17</f>
        <v>0.49</v>
      </c>
      <c r="G5" s="88">
        <f t="shared" si="0"/>
        <v>-1.98</v>
      </c>
      <c r="I5" s="181" t="s">
        <v>198</v>
      </c>
      <c r="J5" s="124">
        <f>INPUT!D22</f>
        <v>17.375</v>
      </c>
      <c r="L5" s="1" t="s">
        <v>228</v>
      </c>
      <c r="M5" s="75">
        <v>8.0000000000000002E-3</v>
      </c>
    </row>
    <row r="6" spans="1:13">
      <c r="A6" s="152" t="s">
        <v>308</v>
      </c>
      <c r="B6" s="3">
        <f>'10K-S'!E4</f>
        <v>2421</v>
      </c>
      <c r="C6" s="88">
        <f>(B6-B5)/B5</f>
        <v>-3.7037037037037038E-3</v>
      </c>
      <c r="D6" s="3">
        <f>'10K-S'!E15</f>
        <v>-57</v>
      </c>
      <c r="E6" s="88">
        <f t="shared" si="1"/>
        <v>-1.3540372670807452</v>
      </c>
      <c r="F6" s="3">
        <f>'10K-S'!E17</f>
        <v>-0.4</v>
      </c>
      <c r="G6" s="88">
        <f t="shared" si="0"/>
        <v>-1.8163265306122449</v>
      </c>
      <c r="I6" s="181" t="s">
        <v>35</v>
      </c>
      <c r="J6" s="69">
        <f>INPUT!D4</f>
        <v>0</v>
      </c>
      <c r="L6" s="1" t="s">
        <v>229</v>
      </c>
      <c r="M6" s="75">
        <v>6.0000000000000001E-3</v>
      </c>
    </row>
    <row r="7" spans="1:13">
      <c r="A7" s="152" t="s">
        <v>307</v>
      </c>
      <c r="B7" s="3">
        <f>'10K-S'!F4</f>
        <v>2714</v>
      </c>
      <c r="C7" s="88">
        <f>(B7-B6)/B6</f>
        <v>0.12102437009500207</v>
      </c>
      <c r="D7" s="3">
        <f>'10K-S'!F15</f>
        <v>32</v>
      </c>
      <c r="E7" s="88">
        <f t="shared" si="1"/>
        <v>-1.5614035087719298</v>
      </c>
      <c r="F7" s="3">
        <f>'10K-S'!L17</f>
        <v>4.18</v>
      </c>
      <c r="G7" s="88">
        <f t="shared" si="0"/>
        <v>-11.45</v>
      </c>
      <c r="I7" s="182" t="s">
        <v>199</v>
      </c>
      <c r="J7" s="70">
        <v>1.6E-2</v>
      </c>
      <c r="L7" s="1" t="s">
        <v>230</v>
      </c>
      <c r="M7" s="75">
        <v>3.7499999999999999E-2</v>
      </c>
    </row>
    <row r="8" spans="1:13">
      <c r="A8" s="379" t="s">
        <v>41</v>
      </c>
      <c r="B8" s="379"/>
      <c r="C8" s="89">
        <f>AVERAGE(C4:C7)</f>
        <v>1.8796418150888825E-2</v>
      </c>
      <c r="D8" s="76"/>
      <c r="E8" s="89">
        <f>AVERAGE(E4:E7)</f>
        <v>-1.7531355562820092</v>
      </c>
      <c r="F8" s="76"/>
      <c r="G8" s="89">
        <f>AVERAGE(G4:G7)</f>
        <v>-4.0099287400910777</v>
      </c>
      <c r="I8" s="181" t="s">
        <v>200</v>
      </c>
      <c r="J8" s="126">
        <f>INPUT!B28</f>
        <v>2.5246772968868642E-2</v>
      </c>
      <c r="L8" s="1" t="s">
        <v>231</v>
      </c>
      <c r="M8" s="75">
        <v>4.4999999999999998E-2</v>
      </c>
    </row>
    <row r="9" spans="1:13">
      <c r="A9" s="379" t="s">
        <v>221</v>
      </c>
      <c r="B9" s="379"/>
      <c r="C9" s="88">
        <f>(B7-B3)/B3</f>
        <v>3.9050535987748852E-2</v>
      </c>
      <c r="D9" s="76"/>
      <c r="E9" s="88">
        <f>(D7-D3)/D3</f>
        <v>-1.0927536231884059</v>
      </c>
      <c r="F9" s="76"/>
      <c r="G9" s="88">
        <f>(F7-F3)/F3</f>
        <v>-2.7272727272727271</v>
      </c>
      <c r="I9" s="181" t="s">
        <v>201</v>
      </c>
      <c r="J9" s="127">
        <f>INPUT!B22</f>
        <v>385</v>
      </c>
      <c r="L9" s="1" t="s">
        <v>232</v>
      </c>
      <c r="M9" s="75">
        <v>5.5E-2</v>
      </c>
    </row>
    <row r="10" spans="1:13">
      <c r="I10" s="181" t="s">
        <v>202</v>
      </c>
      <c r="J10" s="127">
        <f>INPUT!B23</f>
        <v>3488</v>
      </c>
      <c r="L10" s="1" t="s">
        <v>233</v>
      </c>
      <c r="M10" s="75">
        <v>2.5000000000000001E-2</v>
      </c>
    </row>
    <row r="11" spans="1:13" ht="19">
      <c r="A11" s="380" t="s">
        <v>346</v>
      </c>
      <c r="B11" s="380"/>
      <c r="C11" s="380"/>
      <c r="D11" s="380"/>
      <c r="E11" s="380"/>
      <c r="F11" s="380"/>
      <c r="G11" s="380"/>
      <c r="I11" s="145"/>
      <c r="J11" s="146"/>
      <c r="L11" s="1" t="s">
        <v>234</v>
      </c>
      <c r="M11" s="75">
        <v>0.03</v>
      </c>
    </row>
    <row r="12" spans="1:13">
      <c r="A12" s="152" t="s">
        <v>40</v>
      </c>
      <c r="B12" s="152" t="s">
        <v>217</v>
      </c>
      <c r="C12" s="152" t="s">
        <v>218</v>
      </c>
      <c r="D12" s="152" t="s">
        <v>219</v>
      </c>
      <c r="E12" s="152" t="s">
        <v>220</v>
      </c>
      <c r="F12" s="152" t="s">
        <v>299</v>
      </c>
      <c r="G12" s="152" t="s">
        <v>300</v>
      </c>
      <c r="I12" s="181" t="s">
        <v>203</v>
      </c>
      <c r="J12" s="144">
        <f>INPUT!D2+INPUT!D7*INPUT!D3</f>
        <v>9.7021319690865401E-2</v>
      </c>
      <c r="L12" s="1" t="s">
        <v>235</v>
      </c>
      <c r="M12" s="75">
        <v>1.6E-2</v>
      </c>
    </row>
    <row r="13" spans="1:13">
      <c r="A13" s="152" t="s">
        <v>311</v>
      </c>
      <c r="B13" s="3">
        <f>'10K-S'!B4</f>
        <v>2612</v>
      </c>
      <c r="C13" s="76"/>
      <c r="D13" s="3">
        <f>'10K-S'!B15</f>
        <v>-345</v>
      </c>
      <c r="E13" s="76"/>
      <c r="F13" s="3">
        <f>'10K-S'!B17</f>
        <v>-2.42</v>
      </c>
      <c r="G13" s="76"/>
      <c r="I13" s="181" t="s">
        <v>204</v>
      </c>
      <c r="J13" s="128">
        <f>INPUT!D2+'GROWTH AND WACC'!J7</f>
        <v>4.6899999999999997E-2</v>
      </c>
      <c r="L13" s="1" t="s">
        <v>236</v>
      </c>
      <c r="M13" s="75">
        <v>0.105</v>
      </c>
    </row>
    <row r="14" spans="1:13">
      <c r="A14" s="152" t="s">
        <v>310</v>
      </c>
      <c r="B14" s="3">
        <f>'10K-S'!C4</f>
        <v>2120</v>
      </c>
      <c r="C14" s="88">
        <f t="shared" ref="C14:C22" si="2">(B14-B13)/B13</f>
        <v>-0.18836140888208269</v>
      </c>
      <c r="D14" s="3">
        <f>'10K-S'!C15</f>
        <v>-70</v>
      </c>
      <c r="E14" s="88">
        <f t="shared" ref="E14:G14" si="3">(D14-D13)/D13</f>
        <v>-0.79710144927536231</v>
      </c>
      <c r="F14" s="3">
        <f>'10K-S'!C17</f>
        <v>-0.5</v>
      </c>
      <c r="G14" s="88">
        <f t="shared" si="3"/>
        <v>-0.79338842975206614</v>
      </c>
      <c r="I14" s="181" t="s">
        <v>390</v>
      </c>
      <c r="J14" s="128">
        <f>J13*(1-J8)</f>
        <v>4.5715926347760054E-2</v>
      </c>
      <c r="L14" s="1" t="s">
        <v>237</v>
      </c>
      <c r="M14" s="75">
        <v>0.08</v>
      </c>
    </row>
    <row r="15" spans="1:13">
      <c r="A15" s="152" t="s">
        <v>309</v>
      </c>
      <c r="B15" s="3">
        <f>'10K-S'!D4</f>
        <v>2430</v>
      </c>
      <c r="C15" s="88">
        <f t="shared" si="2"/>
        <v>0.14622641509433962</v>
      </c>
      <c r="D15" s="3">
        <f>'10K-S'!D15</f>
        <v>161</v>
      </c>
      <c r="E15" s="88">
        <f t="shared" ref="E15:G15" si="4">(D15-D14)/D14</f>
        <v>-3.3</v>
      </c>
      <c r="F15" s="3">
        <f>'10K-S'!D17</f>
        <v>0.49</v>
      </c>
      <c r="G15" s="88">
        <f t="shared" si="4"/>
        <v>-1.98</v>
      </c>
      <c r="I15" s="181" t="s">
        <v>205</v>
      </c>
      <c r="J15" s="129">
        <f>J9/(J9+J10)</f>
        <v>9.940614510715208E-2</v>
      </c>
      <c r="K15" s="125"/>
      <c r="L15" s="1" t="s">
        <v>238</v>
      </c>
      <c r="M15" s="75">
        <v>6.5000000000000002E-2</v>
      </c>
    </row>
    <row r="16" spans="1:13">
      <c r="A16" s="152" t="s">
        <v>308</v>
      </c>
      <c r="B16" s="3">
        <f>'10K-S'!E4</f>
        <v>2421</v>
      </c>
      <c r="C16" s="88">
        <f t="shared" si="2"/>
        <v>-3.7037037037037038E-3</v>
      </c>
      <c r="D16" s="3">
        <f>'10K-S'!E15</f>
        <v>-57</v>
      </c>
      <c r="E16" s="88">
        <f t="shared" ref="E16:G16" si="5">(D16-D15)/D15</f>
        <v>-1.3540372670807452</v>
      </c>
      <c r="F16" s="3">
        <f>'10K-S'!E17</f>
        <v>-0.4</v>
      </c>
      <c r="G16" s="88">
        <f t="shared" si="5"/>
        <v>-1.8163265306122449</v>
      </c>
      <c r="I16" s="181" t="s">
        <v>206</v>
      </c>
      <c r="J16" s="129">
        <f>J10/(J10+J9)</f>
        <v>0.90059385489284793</v>
      </c>
      <c r="L16" s="1" t="s">
        <v>239</v>
      </c>
      <c r="M16" s="75">
        <v>0.14000000000000001</v>
      </c>
    </row>
    <row r="17" spans="1:10">
      <c r="A17" s="152" t="s">
        <v>307</v>
      </c>
      <c r="B17" s="3">
        <f>'10K-S'!F4</f>
        <v>2714</v>
      </c>
      <c r="C17" s="88">
        <f t="shared" si="2"/>
        <v>0.12102437009500207</v>
      </c>
      <c r="D17" s="3">
        <f>'10K-S'!F15</f>
        <v>32</v>
      </c>
      <c r="E17" s="88">
        <f t="shared" ref="E17:G17" si="6">(D17-D16)/D16</f>
        <v>-1.5614035087719298</v>
      </c>
      <c r="F17" s="3">
        <f>'10K-S'!F17</f>
        <v>0.22</v>
      </c>
      <c r="G17" s="88">
        <f t="shared" si="6"/>
        <v>-1.5499999999999998</v>
      </c>
      <c r="I17" s="182" t="s">
        <v>17</v>
      </c>
      <c r="J17" s="130">
        <f>(J12*J16)+((J13*J14)*J15)</f>
        <v>8.7589938731173989E-2</v>
      </c>
    </row>
    <row r="18" spans="1:10">
      <c r="A18" s="152" t="s">
        <v>306</v>
      </c>
      <c r="B18" s="3">
        <f>'10K-S'!G4</f>
        <v>3195</v>
      </c>
      <c r="C18" s="88">
        <f t="shared" si="2"/>
        <v>0.17722918201915991</v>
      </c>
      <c r="D18" s="3">
        <f>'10K-S'!G15</f>
        <v>229</v>
      </c>
      <c r="E18" s="88">
        <f t="shared" ref="E18:G18" si="7">(D18-D17)/D17</f>
        <v>6.15625</v>
      </c>
      <c r="F18" s="3">
        <f>'10K-S'!G17</f>
        <v>1.61</v>
      </c>
      <c r="G18" s="88">
        <f t="shared" si="7"/>
        <v>6.3181818181818183</v>
      </c>
      <c r="J18" s="147"/>
    </row>
    <row r="19" spans="1:10">
      <c r="A19" s="152" t="s">
        <v>305</v>
      </c>
      <c r="B19" s="3">
        <f>'10K-S'!H4</f>
        <v>3348</v>
      </c>
      <c r="C19" s="88">
        <f t="shared" si="2"/>
        <v>4.788732394366197E-2</v>
      </c>
      <c r="D19" s="3">
        <f>'10K-S'!H15</f>
        <v>175</v>
      </c>
      <c r="E19" s="88">
        <f t="shared" ref="E19:G19" si="8">(D19-D18)/D18</f>
        <v>-0.23580786026200873</v>
      </c>
      <c r="F19" s="3">
        <f>'10K-S'!H17</f>
        <v>1.28</v>
      </c>
      <c r="G19" s="88">
        <f t="shared" si="8"/>
        <v>-0.20496894409937891</v>
      </c>
    </row>
    <row r="20" spans="1:10">
      <c r="A20" s="152" t="s">
        <v>304</v>
      </c>
      <c r="B20" s="3">
        <f>'10K-S'!I4</f>
        <v>3925</v>
      </c>
      <c r="C20" s="88">
        <f t="shared" si="2"/>
        <v>0.17234169653524492</v>
      </c>
      <c r="D20" s="3">
        <f>'10K-S'!I15</f>
        <v>25</v>
      </c>
      <c r="E20" s="88">
        <f t="shared" ref="E20:G20" si="9">(D20-D19)/D19</f>
        <v>-0.8571428571428571</v>
      </c>
      <c r="F20" s="3">
        <f>'10K-S'!I17</f>
        <v>0.18</v>
      </c>
      <c r="G20" s="88">
        <f t="shared" si="9"/>
        <v>-0.859375</v>
      </c>
    </row>
    <row r="21" spans="1:10">
      <c r="A21" s="152" t="s">
        <v>303</v>
      </c>
      <c r="B21" s="3">
        <f>'10K-S'!J4</f>
        <v>4235</v>
      </c>
      <c r="C21" s="88">
        <f t="shared" si="2"/>
        <v>7.8980891719745219E-2</v>
      </c>
      <c r="D21" s="3">
        <f>'10K-S'!J15</f>
        <v>151</v>
      </c>
      <c r="E21" s="88">
        <f t="shared" ref="E21:G21" si="10">(D21-D20)/D20</f>
        <v>5.04</v>
      </c>
      <c r="F21" s="3">
        <f>'10K-S'!K17</f>
        <v>2.63</v>
      </c>
      <c r="G21" s="88">
        <f t="shared" si="10"/>
        <v>13.611111111111111</v>
      </c>
    </row>
    <row r="22" spans="1:10">
      <c r="A22" s="152" t="s">
        <v>302</v>
      </c>
      <c r="B22" s="3">
        <f>'10K-S'!K4</f>
        <v>4659</v>
      </c>
      <c r="C22" s="88">
        <f t="shared" si="2"/>
        <v>0.10011806375442739</v>
      </c>
      <c r="D22" s="3">
        <f>'10K-S'!L15</f>
        <v>539</v>
      </c>
      <c r="E22" s="88">
        <f t="shared" ref="E22:G22" si="11">(D22-D21)/D21</f>
        <v>2.5695364238410594</v>
      </c>
      <c r="F22" s="3">
        <f>'10K-S'!L17</f>
        <v>4.18</v>
      </c>
      <c r="G22" s="88">
        <f t="shared" si="11"/>
        <v>0.58935361216730031</v>
      </c>
    </row>
    <row r="23" spans="1:10">
      <c r="A23" s="379" t="s">
        <v>41</v>
      </c>
      <c r="B23" s="379"/>
      <c r="C23" s="89">
        <f>AVERAGE(C14:C22)</f>
        <v>7.2415870063977178E-2</v>
      </c>
      <c r="D23" s="76"/>
      <c r="E23" s="89">
        <f>AVERAGE(E14:E22)</f>
        <v>0.62892149792312857</v>
      </c>
      <c r="F23" s="76"/>
      <c r="G23" s="89">
        <f>AVERAGE(G14:G22)</f>
        <v>1.4793986263329488</v>
      </c>
    </row>
    <row r="24" spans="1:10">
      <c r="A24" s="379" t="s">
        <v>221</v>
      </c>
      <c r="B24" s="379"/>
      <c r="C24" s="88">
        <f>(B22-B13)/B13</f>
        <v>0.78369065849923425</v>
      </c>
      <c r="D24" s="76"/>
      <c r="E24" s="88">
        <f>(D22-D13)/D13</f>
        <v>-2.5623188405797102</v>
      </c>
      <c r="F24" s="76"/>
      <c r="G24" s="88">
        <f>(F22-F13)/F13</f>
        <v>-2.7272727272727271</v>
      </c>
    </row>
    <row r="26" spans="1:10" ht="19">
      <c r="A26" s="161"/>
      <c r="B26" s="161"/>
      <c r="C26" s="161"/>
      <c r="D26" s="161"/>
      <c r="E26" s="161"/>
      <c r="F26" s="161"/>
      <c r="G26" s="161"/>
    </row>
    <row r="27" spans="1:10">
      <c r="A27" s="133"/>
      <c r="B27" s="133"/>
      <c r="C27" s="133"/>
      <c r="D27" s="133"/>
      <c r="E27" s="133"/>
      <c r="F27" s="133"/>
      <c r="G27" s="133"/>
    </row>
    <row r="28" spans="1:10">
      <c r="A28" s="133"/>
      <c r="B28" s="133"/>
      <c r="C28" s="133"/>
      <c r="D28" s="133"/>
      <c r="E28" s="133"/>
      <c r="F28" s="133"/>
      <c r="G28" s="133"/>
    </row>
    <row r="29" spans="1:10">
      <c r="A29" s="133"/>
      <c r="B29" s="133"/>
      <c r="C29" s="158"/>
      <c r="D29" s="133"/>
      <c r="E29" s="158"/>
      <c r="F29" s="133"/>
      <c r="G29" s="158"/>
    </row>
    <row r="30" spans="1:10">
      <c r="A30" s="133"/>
      <c r="B30" s="133"/>
      <c r="C30" s="158"/>
      <c r="D30" s="133"/>
      <c r="E30" s="158"/>
      <c r="F30" s="133"/>
      <c r="G30" s="158"/>
    </row>
    <row r="31" spans="1:10">
      <c r="A31" s="133"/>
      <c r="B31" s="133"/>
      <c r="C31" s="158"/>
      <c r="D31" s="133"/>
      <c r="E31" s="158"/>
      <c r="F31" s="133"/>
      <c r="G31" s="158"/>
    </row>
    <row r="32" spans="1:10">
      <c r="A32" s="133"/>
      <c r="B32" s="133"/>
      <c r="C32" s="158"/>
      <c r="D32" s="133"/>
      <c r="E32" s="158"/>
      <c r="F32" s="133"/>
      <c r="G32" s="158"/>
    </row>
    <row r="33" spans="1:7">
      <c r="A33" s="160"/>
      <c r="B33" s="160"/>
      <c r="C33" s="159"/>
      <c r="D33" s="133"/>
      <c r="E33" s="159"/>
      <c r="F33" s="133"/>
      <c r="G33" s="159"/>
    </row>
    <row r="34" spans="1:7">
      <c r="A34" s="160"/>
      <c r="B34" s="160"/>
      <c r="C34" s="158"/>
      <c r="D34" s="133"/>
      <c r="E34" s="158"/>
      <c r="F34" s="133"/>
      <c r="G34" s="158"/>
    </row>
    <row r="35" spans="1:7">
      <c r="A35" s="133"/>
      <c r="B35" s="133"/>
      <c r="C35" s="133"/>
      <c r="D35" s="133"/>
      <c r="E35" s="133"/>
      <c r="F35" s="133"/>
      <c r="G35" s="133"/>
    </row>
    <row r="36" spans="1:7" ht="19">
      <c r="A36" s="161"/>
      <c r="B36" s="161"/>
      <c r="C36" s="161"/>
      <c r="D36" s="161"/>
      <c r="E36" s="161"/>
      <c r="F36" s="161"/>
      <c r="G36" s="161"/>
    </row>
    <row r="37" spans="1:7">
      <c r="A37" s="133"/>
      <c r="B37" s="133"/>
      <c r="C37" s="133"/>
      <c r="D37" s="133"/>
      <c r="E37" s="133"/>
      <c r="F37" s="133"/>
      <c r="G37" s="133"/>
    </row>
    <row r="38" spans="1:7">
      <c r="A38" s="133"/>
      <c r="B38" s="133"/>
      <c r="C38" s="133"/>
      <c r="D38" s="133"/>
      <c r="E38" s="133"/>
      <c r="F38" s="133"/>
      <c r="G38" s="133"/>
    </row>
    <row r="39" spans="1:7">
      <c r="A39" s="133"/>
      <c r="B39" s="133"/>
      <c r="C39" s="158"/>
      <c r="D39" s="133"/>
      <c r="E39" s="158"/>
      <c r="F39" s="133"/>
      <c r="G39" s="158"/>
    </row>
    <row r="40" spans="1:7">
      <c r="A40" s="133"/>
      <c r="B40" s="133"/>
      <c r="C40" s="158"/>
      <c r="D40" s="133"/>
      <c r="E40" s="158"/>
      <c r="F40" s="133"/>
      <c r="G40" s="158"/>
    </row>
    <row r="41" spans="1:7">
      <c r="A41" s="133"/>
      <c r="B41" s="133"/>
      <c r="C41" s="158"/>
      <c r="D41" s="133"/>
      <c r="E41" s="158"/>
      <c r="F41" s="133"/>
      <c r="G41" s="158"/>
    </row>
    <row r="42" spans="1:7">
      <c r="A42" s="133"/>
      <c r="B42" s="133"/>
      <c r="C42" s="158"/>
      <c r="D42" s="133"/>
      <c r="E42" s="158"/>
      <c r="F42" s="133"/>
      <c r="G42" s="158"/>
    </row>
    <row r="43" spans="1:7">
      <c r="A43" s="133"/>
      <c r="B43" s="133"/>
      <c r="C43" s="158"/>
      <c r="D43" s="133"/>
      <c r="E43" s="158"/>
      <c r="F43" s="133"/>
      <c r="G43" s="158"/>
    </row>
    <row r="44" spans="1:7">
      <c r="A44" s="133"/>
      <c r="B44" s="133"/>
      <c r="C44" s="158"/>
      <c r="D44" s="133"/>
      <c r="E44" s="158"/>
      <c r="F44" s="133"/>
      <c r="G44" s="158"/>
    </row>
    <row r="45" spans="1:7">
      <c r="A45" s="133"/>
      <c r="B45" s="133"/>
      <c r="C45" s="158"/>
      <c r="D45" s="133"/>
      <c r="E45" s="158"/>
      <c r="F45" s="133"/>
      <c r="G45" s="158"/>
    </row>
    <row r="46" spans="1:7">
      <c r="A46" s="133"/>
      <c r="B46" s="133"/>
      <c r="C46" s="158"/>
      <c r="D46" s="133"/>
      <c r="E46" s="158"/>
      <c r="F46" s="133"/>
      <c r="G46" s="158"/>
    </row>
    <row r="47" spans="1:7">
      <c r="A47" s="133"/>
      <c r="B47" s="133"/>
      <c r="C47" s="158"/>
      <c r="D47" s="133"/>
      <c r="E47" s="158"/>
      <c r="F47" s="133"/>
      <c r="G47" s="158"/>
    </row>
    <row r="48" spans="1:7">
      <c r="A48" s="160"/>
      <c r="B48" s="160"/>
      <c r="C48" s="159"/>
      <c r="D48" s="133"/>
      <c r="E48" s="159"/>
      <c r="F48" s="133"/>
      <c r="G48" s="159"/>
    </row>
    <row r="49" spans="1:7">
      <c r="A49" s="160"/>
      <c r="B49" s="160"/>
      <c r="C49" s="158"/>
      <c r="D49" s="133"/>
      <c r="E49" s="158"/>
      <c r="F49" s="133"/>
      <c r="G49" s="158"/>
    </row>
  </sheetData>
  <mergeCells count="7">
    <mergeCell ref="A23:B23"/>
    <mergeCell ref="A24:B24"/>
    <mergeCell ref="I1:J1"/>
    <mergeCell ref="A8:B8"/>
    <mergeCell ref="A9:B9"/>
    <mergeCell ref="A1:G1"/>
    <mergeCell ref="A11:G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3586B-8B35-814E-8C1C-B925CD421A01}">
  <sheetPr>
    <tabColor rgb="FF0070C0"/>
  </sheetPr>
  <dimension ref="A1:AC1267"/>
  <sheetViews>
    <sheetView workbookViewId="0">
      <selection activeCell="F10" sqref="F10"/>
    </sheetView>
  </sheetViews>
  <sheetFormatPr baseColWidth="10" defaultRowHeight="16"/>
  <cols>
    <col min="1" max="1" width="21.5" customWidth="1"/>
    <col min="2" max="2" width="13" customWidth="1"/>
    <col min="3" max="3" width="22.6640625" bestFit="1" customWidth="1"/>
    <col min="4" max="4" width="19.5" bestFit="1" customWidth="1"/>
    <col min="6" max="6" width="39" bestFit="1" customWidth="1"/>
    <col min="7" max="7" width="12.1640625" bestFit="1" customWidth="1"/>
    <col min="15" max="15" width="11.83203125" bestFit="1" customWidth="1"/>
    <col min="17" max="17" width="27.5" bestFit="1" customWidth="1"/>
  </cols>
  <sheetData>
    <row r="1" spans="1:29" ht="20" thickBot="1">
      <c r="A1" s="387" t="s">
        <v>402</v>
      </c>
      <c r="B1" s="387"/>
      <c r="C1" s="387"/>
      <c r="D1" s="387"/>
      <c r="F1" s="353" t="s">
        <v>38</v>
      </c>
      <c r="G1" s="353"/>
      <c r="I1" s="383" t="s">
        <v>366</v>
      </c>
      <c r="J1" s="383"/>
      <c r="K1" s="383"/>
      <c r="L1" s="383"/>
      <c r="M1" s="383"/>
      <c r="N1" s="383"/>
      <c r="O1" s="383"/>
    </row>
    <row r="2" spans="1:29" ht="19" customHeight="1">
      <c r="A2" s="388" t="s">
        <v>403</v>
      </c>
      <c r="B2" s="388"/>
      <c r="C2" s="388"/>
      <c r="D2" s="388"/>
      <c r="F2" s="73" t="s">
        <v>368</v>
      </c>
      <c r="G2" s="188">
        <f>SLOPE(K6:K258,N6:N258)</f>
        <v>1.0542253809946567</v>
      </c>
      <c r="I2" s="381" t="s">
        <v>435</v>
      </c>
      <c r="J2" s="381"/>
      <c r="K2" s="381"/>
      <c r="L2" s="381"/>
      <c r="M2" s="381"/>
      <c r="N2" s="381"/>
      <c r="O2" s="381"/>
      <c r="U2" s="175"/>
      <c r="V2" s="175"/>
      <c r="W2" s="175"/>
      <c r="X2" s="175"/>
      <c r="Y2" s="175"/>
      <c r="Z2" s="175"/>
      <c r="AA2" s="175"/>
      <c r="AB2" s="175"/>
      <c r="AC2" s="175"/>
    </row>
    <row r="3" spans="1:29">
      <c r="A3" s="371"/>
      <c r="B3" s="371"/>
      <c r="C3" s="371"/>
      <c r="D3" s="371"/>
      <c r="F3" s="73" t="s">
        <v>369</v>
      </c>
      <c r="G3" s="189">
        <f>(G2*((1+INPUT!$B$28)*INPUT!$D$28))</f>
        <v>0.11930156261208696</v>
      </c>
      <c r="I3" s="382"/>
      <c r="J3" s="382"/>
      <c r="K3" s="382"/>
      <c r="L3" s="382"/>
      <c r="M3" s="382"/>
      <c r="N3" s="382"/>
      <c r="O3" s="382"/>
      <c r="U3" s="175"/>
      <c r="V3" s="175"/>
      <c r="W3" s="175"/>
      <c r="X3" s="175"/>
      <c r="Y3" s="175"/>
      <c r="Z3" s="175"/>
      <c r="AA3" s="175"/>
      <c r="AB3" s="175"/>
      <c r="AC3" s="175"/>
    </row>
    <row r="4" spans="1:29">
      <c r="A4" s="187" t="s">
        <v>4</v>
      </c>
      <c r="B4" s="187" t="s">
        <v>5</v>
      </c>
      <c r="C4" s="187" t="s">
        <v>399</v>
      </c>
      <c r="D4" s="187" t="s">
        <v>400</v>
      </c>
      <c r="F4" s="110" t="s">
        <v>370</v>
      </c>
      <c r="G4" s="190">
        <f>SLOPE(K6:K771,N6:N771)</f>
        <v>1.2586685610250015</v>
      </c>
      <c r="I4" s="180"/>
      <c r="J4" s="180"/>
      <c r="K4" s="180"/>
      <c r="L4" s="180"/>
      <c r="M4" s="180"/>
      <c r="N4" s="180"/>
      <c r="O4" s="180"/>
      <c r="U4" s="176"/>
      <c r="V4" s="176"/>
      <c r="W4" s="175"/>
      <c r="X4" s="175"/>
      <c r="Y4" s="175"/>
      <c r="Z4" s="175"/>
      <c r="AA4" s="175"/>
      <c r="AB4" s="175"/>
      <c r="AC4" s="175"/>
    </row>
    <row r="5" spans="1:29">
      <c r="A5" s="152" t="str">
        <f>INPUT!A10</f>
        <v>Construction Supplies</v>
      </c>
      <c r="B5" s="183">
        <f>INPUT!B10</f>
        <v>0.5</v>
      </c>
      <c r="C5" s="76">
        <f>(VLOOKUP(A5,INDUSTRY!$A$1:$Z$97,8,))*B5</f>
        <v>0.47628884620079315</v>
      </c>
      <c r="D5" s="76">
        <f>(VLOOKUP(A5,INDUSTRY!$A$1:$Z$97,6,))*BETA!B5</f>
        <v>0.15451572597412372</v>
      </c>
      <c r="F5" s="110" t="s">
        <v>372</v>
      </c>
      <c r="G5" s="191">
        <f>(G4*((1+INPUT!$B$28)*INPUT!$D$28))</f>
        <v>0.14243740365965513</v>
      </c>
      <c r="I5" s="179" t="s">
        <v>355</v>
      </c>
      <c r="J5" s="179" t="s">
        <v>362</v>
      </c>
      <c r="K5" s="179" t="s">
        <v>363</v>
      </c>
      <c r="L5" s="179" t="s">
        <v>384</v>
      </c>
      <c r="M5" s="179" t="s">
        <v>364</v>
      </c>
      <c r="N5" s="179" t="s">
        <v>365</v>
      </c>
      <c r="O5" s="131" t="s">
        <v>384</v>
      </c>
      <c r="U5" s="72"/>
      <c r="V5" s="72"/>
      <c r="W5" s="175"/>
      <c r="X5" s="175"/>
      <c r="Y5" s="175"/>
      <c r="Z5" s="175"/>
      <c r="AA5" s="175"/>
      <c r="AB5" s="175"/>
      <c r="AC5" s="175"/>
    </row>
    <row r="6" spans="1:29">
      <c r="A6" s="152" t="str">
        <f>INPUT!A11</f>
        <v>Paper/Forest Products</v>
      </c>
      <c r="B6" s="183">
        <f>INPUT!B11</f>
        <v>0.5</v>
      </c>
      <c r="C6" s="76">
        <f>VLOOKUP(A6,INDUSTRY!$A$1:$Z$97,8,)</f>
        <v>0.97753020034772831</v>
      </c>
      <c r="D6" s="76">
        <f>(VLOOKUP(A6,INDUSTRY!$A$1:$Z$97,6,))*BETA!B6</f>
        <v>0.18231384783418877</v>
      </c>
      <c r="F6" s="110" t="s">
        <v>410</v>
      </c>
      <c r="G6" s="191">
        <f>(G5*$D$23)+($B$16*$D$24)</f>
        <v>1.3166778557574135</v>
      </c>
      <c r="I6" s="178">
        <f>Prices!A6</f>
        <v>41610</v>
      </c>
      <c r="J6" s="3">
        <f>Prices!E6</f>
        <v>23.91</v>
      </c>
      <c r="K6" s="99">
        <f>(J6-J7)/J7</f>
        <v>-5.4076952825417952E-3</v>
      </c>
      <c r="L6" s="99">
        <f>AVERAGE(K6:K25)</f>
        <v>-4.0884460790600154E-3</v>
      </c>
      <c r="M6" s="3">
        <f>Prices!M6</f>
        <v>19.510000000000002</v>
      </c>
      <c r="N6" s="99">
        <f>(M6-M7)/M7</f>
        <v>9.311950336265043E-3</v>
      </c>
      <c r="O6" s="132">
        <f>AVERAGE(N6:N25)</f>
        <v>-3.3554773869774458E-4</v>
      </c>
      <c r="U6" s="72"/>
      <c r="V6" s="72"/>
      <c r="W6" s="175"/>
      <c r="X6" s="175"/>
      <c r="Y6" s="175"/>
      <c r="Z6" s="175"/>
      <c r="AA6" s="175"/>
      <c r="AB6" s="175"/>
      <c r="AC6" s="175"/>
    </row>
    <row r="7" spans="1:29">
      <c r="A7" s="152">
        <f>INPUT!A12</f>
        <v>0</v>
      </c>
      <c r="B7" s="183">
        <f>INPUT!B12</f>
        <v>0</v>
      </c>
      <c r="C7" s="76" t="e">
        <f>VLOOKUP(A7,INDUSTRY!$A$1:$Z$97,8,)</f>
        <v>#N/A</v>
      </c>
      <c r="D7" s="76" t="e">
        <f>(VLOOKUP(A7,INDUSTRY!$A$1:$Z$97,6,))*BETA!B7</f>
        <v>#N/A</v>
      </c>
      <c r="F7" s="111" t="s">
        <v>371</v>
      </c>
      <c r="G7" s="190">
        <f>SLOPE(L6:L771,O6:O771)</f>
        <v>1.6297497601109341</v>
      </c>
      <c r="I7" s="178">
        <f>Prices!A7</f>
        <v>41611</v>
      </c>
      <c r="J7" s="3">
        <f>Prices!E7</f>
        <v>24.040001</v>
      </c>
      <c r="K7" s="99">
        <f t="shared" ref="K7:K70" si="0">(J7-J8)/J8</f>
        <v>1.2495210329028991E-3</v>
      </c>
      <c r="L7" s="99">
        <f t="shared" ref="L7:L70" si="1">AVERAGE(K7:K26)</f>
        <v>-4.4632226052555048E-3</v>
      </c>
      <c r="M7" s="3">
        <f>Prices!M7</f>
        <v>19.329999999999998</v>
      </c>
      <c r="N7" s="99">
        <f t="shared" ref="N7:N70" si="2">(M7-M8)/M8</f>
        <v>4.1558441558440674E-3</v>
      </c>
      <c r="O7" s="132">
        <f t="shared" ref="O7:O70" si="3">AVERAGE(N7:N26)</f>
        <v>-5.9675077416199748E-4</v>
      </c>
      <c r="U7" s="72"/>
      <c r="V7" s="72"/>
      <c r="W7" s="175"/>
      <c r="X7" s="175"/>
      <c r="Y7" s="175"/>
      <c r="Z7" s="175"/>
      <c r="AA7" s="175"/>
      <c r="AB7" s="175"/>
      <c r="AC7" s="175"/>
    </row>
    <row r="8" spans="1:29">
      <c r="A8" s="152">
        <f>INPUT!A13</f>
        <v>0</v>
      </c>
      <c r="B8" s="183">
        <f>INPUT!B13</f>
        <v>0</v>
      </c>
      <c r="C8" s="76" t="e">
        <f>VLOOKUP(A8,INDUSTRY!$A$1:$Z$97,8,)</f>
        <v>#N/A</v>
      </c>
      <c r="D8" s="76" t="e">
        <f>(VLOOKUP(A8,INDUSTRY!$A$1:$Z$97,6,))*BETA!B8</f>
        <v>#N/A</v>
      </c>
      <c r="F8" s="111" t="s">
        <v>373</v>
      </c>
      <c r="G8" s="191">
        <f>(G7*((1+INPUT!$B$28)*INPUT!$D$28))</f>
        <v>0.18443085942824003</v>
      </c>
      <c r="I8" s="178">
        <f>Prices!A8</f>
        <v>41612</v>
      </c>
      <c r="J8" s="3">
        <f>Prices!E8</f>
        <v>24.01</v>
      </c>
      <c r="K8" s="99">
        <f t="shared" si="0"/>
        <v>-8.2610081892195968E-3</v>
      </c>
      <c r="L8" s="99">
        <f t="shared" si="1"/>
        <v>-4.9023446221227174E-3</v>
      </c>
      <c r="M8" s="3">
        <f>Prices!M8</f>
        <v>19.25</v>
      </c>
      <c r="N8" s="99">
        <f t="shared" si="2"/>
        <v>8.9098532494759804E-3</v>
      </c>
      <c r="O8" s="132">
        <f t="shared" si="3"/>
        <v>-5.477350591597545E-4</v>
      </c>
      <c r="U8" s="72"/>
      <c r="V8" s="72"/>
      <c r="W8" s="175"/>
      <c r="X8" s="175"/>
      <c r="Y8" s="175"/>
      <c r="Z8" s="175"/>
      <c r="AA8" s="175"/>
      <c r="AB8" s="175"/>
      <c r="AC8" s="175"/>
    </row>
    <row r="9" spans="1:29">
      <c r="A9" s="152">
        <f>INPUT!A14</f>
        <v>0</v>
      </c>
      <c r="B9" s="183">
        <f>INPUT!B14</f>
        <v>0</v>
      </c>
      <c r="C9" s="76" t="e">
        <f>VLOOKUP(A9,INDUSTRY!$A$1:$Z$97,8,)</f>
        <v>#N/A</v>
      </c>
      <c r="D9" s="76" t="e">
        <f>(VLOOKUP(A9,INDUSTRY!$A$1:$Z$97,6,))*BETA!B9</f>
        <v>#N/A</v>
      </c>
      <c r="F9" s="111" t="s">
        <v>521</v>
      </c>
      <c r="G9" s="191">
        <f>(G8*$D$23)+($B$16*$D$24)</f>
        <v>1.3250765469111303</v>
      </c>
      <c r="I9" s="178">
        <f>Prices!A9</f>
        <v>41613</v>
      </c>
      <c r="J9" s="3">
        <f>Prices!E9</f>
        <v>24.209999</v>
      </c>
      <c r="K9" s="99">
        <f t="shared" si="0"/>
        <v>-7.7869262295081464E-3</v>
      </c>
      <c r="L9" s="99">
        <f t="shared" si="1"/>
        <v>-4.5645123397771948E-3</v>
      </c>
      <c r="M9" s="3">
        <f>Prices!M9</f>
        <v>19.079999999999998</v>
      </c>
      <c r="N9" s="99">
        <f t="shared" si="2"/>
        <v>-8.8311688311689205E-3</v>
      </c>
      <c r="O9" s="132">
        <f t="shared" si="3"/>
        <v>-1.4007672227817707E-3</v>
      </c>
      <c r="U9" s="72"/>
      <c r="V9" s="72"/>
      <c r="W9" s="175"/>
      <c r="X9" s="175"/>
      <c r="Y9" s="175"/>
      <c r="Z9" s="175"/>
      <c r="AA9" s="175"/>
      <c r="AB9" s="175"/>
      <c r="AC9" s="175"/>
    </row>
    <row r="10" spans="1:29">
      <c r="A10" s="152" t="s">
        <v>401</v>
      </c>
      <c r="B10" s="184">
        <f>SUM(B5:B9)</f>
        <v>1</v>
      </c>
      <c r="C10" s="185">
        <f>SUMIF(C5:C9,"&lt;&gt;#N/A")</f>
        <v>1.4538190465485215</v>
      </c>
      <c r="D10" s="185">
        <f>SUMIF(D5:D9,"&lt;&gt;#N/A")</f>
        <v>0.33682957380831247</v>
      </c>
      <c r="F10" s="73" t="s">
        <v>374</v>
      </c>
      <c r="G10" s="188">
        <f>SLOPE(K6:K1250,N6:N1250)</f>
        <v>1.209937464069744</v>
      </c>
      <c r="I10" s="178">
        <f>Prices!A10</f>
        <v>41614</v>
      </c>
      <c r="J10" s="3">
        <f>Prices!E10</f>
        <v>24.4</v>
      </c>
      <c r="K10" s="99">
        <f t="shared" si="0"/>
        <v>4.5285712421336832E-3</v>
      </c>
      <c r="L10" s="99">
        <f t="shared" si="1"/>
        <v>-4.2690079987913517E-3</v>
      </c>
      <c r="M10" s="3">
        <f>Prices!M10</f>
        <v>19.25</v>
      </c>
      <c r="N10" s="99">
        <f t="shared" si="2"/>
        <v>-3.107146717097253E-3</v>
      </c>
      <c r="O10" s="132">
        <f t="shared" si="3"/>
        <v>-1.1115754570807748E-3</v>
      </c>
      <c r="U10" s="175"/>
      <c r="V10" s="175"/>
      <c r="W10" s="175"/>
      <c r="X10" s="175"/>
      <c r="Y10" s="175"/>
      <c r="Z10" s="175"/>
      <c r="AA10" s="175"/>
      <c r="AB10" s="175"/>
      <c r="AC10" s="175"/>
    </row>
    <row r="11" spans="1:29">
      <c r="F11" s="73" t="s">
        <v>376</v>
      </c>
      <c r="G11" s="189">
        <f>(G10*((1+INPUT!$B$28)*INPUT!$D$28))</f>
        <v>0.13692274226051659</v>
      </c>
      <c r="I11" s="178">
        <f>Prices!A11</f>
        <v>41617</v>
      </c>
      <c r="J11" s="3">
        <f>Prices!E11</f>
        <v>24.290001</v>
      </c>
      <c r="K11" s="99">
        <f t="shared" si="0"/>
        <v>-1.6440197287298859E-3</v>
      </c>
      <c r="L11" s="99">
        <f t="shared" si="1"/>
        <v>-4.923426868751018E-3</v>
      </c>
      <c r="M11" s="3">
        <f>Prices!M11</f>
        <v>19.309999000000001</v>
      </c>
      <c r="N11" s="99">
        <f t="shared" si="2"/>
        <v>0</v>
      </c>
      <c r="O11" s="132">
        <f t="shared" si="3"/>
        <v>-1.0322779628111037E-3</v>
      </c>
      <c r="U11" s="175"/>
      <c r="V11" s="175"/>
      <c r="W11" s="175"/>
      <c r="X11" s="175"/>
      <c r="Y11" s="175"/>
      <c r="Z11" s="175"/>
      <c r="AA11" s="175"/>
      <c r="AB11" s="175"/>
      <c r="AC11" s="175"/>
    </row>
    <row r="12" spans="1:29">
      <c r="A12" s="152" t="s">
        <v>404</v>
      </c>
      <c r="B12" s="186">
        <f>C10</f>
        <v>1.4538190465485215</v>
      </c>
      <c r="F12" s="73" t="s">
        <v>411</v>
      </c>
      <c r="G12" s="189">
        <f>(G11*$D$23)+($B$16*$D$24)</f>
        <v>1.3155749234775858</v>
      </c>
      <c r="I12" s="178">
        <f>Prices!A12</f>
        <v>41618</v>
      </c>
      <c r="J12" s="3">
        <f>Prices!E12</f>
        <v>24.33</v>
      </c>
      <c r="K12" s="99">
        <f t="shared" si="0"/>
        <v>-8.2135523613975875E-4</v>
      </c>
      <c r="L12" s="99">
        <f t="shared" si="1"/>
        <v>-4.4662708766902313E-3</v>
      </c>
      <c r="M12" s="3">
        <f>Prices!M12</f>
        <v>19.309999000000001</v>
      </c>
      <c r="N12" s="99">
        <f t="shared" si="2"/>
        <v>1.6315736842105327E-2</v>
      </c>
      <c r="O12" s="132">
        <f t="shared" si="3"/>
        <v>-1.5342885049797791E-3</v>
      </c>
      <c r="U12" s="177"/>
      <c r="V12" s="177"/>
      <c r="W12" s="177"/>
      <c r="X12" s="177"/>
      <c r="Y12" s="177"/>
      <c r="Z12" s="177"/>
      <c r="AA12" s="175"/>
      <c r="AB12" s="175"/>
      <c r="AC12" s="175"/>
    </row>
    <row r="13" spans="1:29">
      <c r="A13" s="152" t="s">
        <v>405</v>
      </c>
      <c r="B13" s="186">
        <f>D10</f>
        <v>0.33682957380831247</v>
      </c>
      <c r="F13" s="109" t="s">
        <v>375</v>
      </c>
      <c r="G13" s="192">
        <f>SLOPE(L6:L1240,O6:O1240)</f>
        <v>1.5091557250816809</v>
      </c>
      <c r="I13" s="178">
        <f>Prices!A13</f>
        <v>41619</v>
      </c>
      <c r="J13" s="3">
        <f>Prices!E13</f>
        <v>24.35</v>
      </c>
      <c r="K13" s="99">
        <f t="shared" si="0"/>
        <v>-4.1055006524831579E-4</v>
      </c>
      <c r="L13" s="99">
        <f t="shared" si="1"/>
        <v>-4.481384760719135E-3</v>
      </c>
      <c r="M13" s="3">
        <f>Prices!M13</f>
        <v>19</v>
      </c>
      <c r="N13" s="99">
        <f t="shared" si="2"/>
        <v>5.2659294365463738E-4</v>
      </c>
      <c r="O13" s="132">
        <f t="shared" si="3"/>
        <v>-2.072435252302606E-3</v>
      </c>
      <c r="U13" s="72"/>
      <c r="V13" s="72"/>
      <c r="W13" s="72"/>
      <c r="X13" s="72"/>
      <c r="Y13" s="72"/>
      <c r="Z13" s="72"/>
      <c r="AA13" s="175"/>
      <c r="AB13" s="175"/>
      <c r="AC13" s="175"/>
    </row>
    <row r="14" spans="1:29">
      <c r="A14" s="152" t="s">
        <v>406</v>
      </c>
      <c r="B14" s="186">
        <f>INPUT!D28</f>
        <v>0.11037844036697247</v>
      </c>
      <c r="F14" s="109" t="s">
        <v>377</v>
      </c>
      <c r="G14" s="193">
        <f>(G13*((1+INPUT!$B$28)*INPUT!$D$28))</f>
        <v>0.17078381859612449</v>
      </c>
      <c r="I14" s="178">
        <f>Prices!A14</f>
        <v>41620</v>
      </c>
      <c r="J14" s="3">
        <f>Prices!E14</f>
        <v>24.360001</v>
      </c>
      <c r="K14" s="99">
        <f t="shared" si="0"/>
        <v>-1.8928674989931449E-2</v>
      </c>
      <c r="L14" s="99">
        <f t="shared" si="1"/>
        <v>-3.9691780022252203E-3</v>
      </c>
      <c r="M14" s="3">
        <f>Prices!M14</f>
        <v>18.989999999999998</v>
      </c>
      <c r="N14" s="99">
        <f t="shared" si="2"/>
        <v>1.0543490276408052E-3</v>
      </c>
      <c r="O14" s="132">
        <f t="shared" si="3"/>
        <v>-2.174372258356302E-3</v>
      </c>
      <c r="U14" s="72"/>
      <c r="V14" s="72"/>
      <c r="W14" s="72"/>
      <c r="X14" s="72"/>
      <c r="Y14" s="72"/>
      <c r="Z14" s="72"/>
      <c r="AA14" s="175"/>
      <c r="AB14" s="175"/>
      <c r="AC14" s="175"/>
    </row>
    <row r="15" spans="1:29">
      <c r="A15" s="152" t="s">
        <v>407</v>
      </c>
      <c r="B15" s="186">
        <f>B12*(1+B13)</f>
        <v>1.9435082963918671</v>
      </c>
      <c r="F15" s="109" t="s">
        <v>412</v>
      </c>
      <c r="G15" s="193">
        <f>(G14*$D$23)+($B$16*$D$24)</f>
        <v>1.3223471387447072</v>
      </c>
      <c r="I15" s="178">
        <f>Prices!A15</f>
        <v>41621</v>
      </c>
      <c r="J15" s="3">
        <f>Prices!E15</f>
        <v>24.83</v>
      </c>
      <c r="K15" s="99">
        <f t="shared" si="0"/>
        <v>2.0177158184941026E-3</v>
      </c>
      <c r="L15" s="99">
        <f t="shared" si="1"/>
        <v>-4.6686824385369892E-3</v>
      </c>
      <c r="M15" s="3">
        <f>Prices!M15</f>
        <v>18.969999000000001</v>
      </c>
      <c r="N15" s="99">
        <f t="shared" si="2"/>
        <v>-5.7652515723268828E-3</v>
      </c>
      <c r="O15" s="132">
        <f t="shared" si="3"/>
        <v>-2.5027814252425186E-3</v>
      </c>
      <c r="U15" s="72"/>
      <c r="V15" s="72"/>
      <c r="W15" s="72"/>
      <c r="X15" s="72"/>
      <c r="Y15" s="72"/>
      <c r="Z15" s="72"/>
      <c r="AA15" s="175"/>
      <c r="AB15" s="175"/>
      <c r="AC15" s="175"/>
    </row>
    <row r="16" spans="1:29">
      <c r="A16" s="152" t="s">
        <v>408</v>
      </c>
      <c r="B16" s="186">
        <f>B12*(1+((1-INPUT!B28)*INPUT!D28))</f>
        <v>1.6102379687818529</v>
      </c>
      <c r="F16" s="110" t="s">
        <v>404</v>
      </c>
      <c r="G16" s="191">
        <f>B12</f>
        <v>1.4538190465485215</v>
      </c>
      <c r="I16" s="178">
        <f>Prices!A16</f>
        <v>41624</v>
      </c>
      <c r="J16" s="3">
        <f>Prices!E16</f>
        <v>24.780000999999999</v>
      </c>
      <c r="K16" s="99">
        <f t="shared" si="0"/>
        <v>-8.063710002569383E-4</v>
      </c>
      <c r="L16" s="99">
        <f t="shared" si="1"/>
        <v>-6.4656795968154514E-3</v>
      </c>
      <c r="M16" s="3">
        <f>Prices!M16</f>
        <v>19.079999999999998</v>
      </c>
      <c r="N16" s="99">
        <f t="shared" si="2"/>
        <v>0</v>
      </c>
      <c r="O16" s="132">
        <f t="shared" si="3"/>
        <v>-2.3644413853568117E-3</v>
      </c>
      <c r="U16" s="175"/>
      <c r="V16" s="175"/>
      <c r="W16" s="175"/>
      <c r="X16" s="175"/>
      <c r="Y16" s="175"/>
      <c r="Z16" s="175"/>
      <c r="AA16" s="175"/>
      <c r="AB16" s="175"/>
      <c r="AC16" s="175"/>
    </row>
    <row r="17" spans="1:29">
      <c r="F17" s="110" t="s">
        <v>36</v>
      </c>
      <c r="G17" s="191">
        <f>B15</f>
        <v>1.9435082963918671</v>
      </c>
      <c r="I17" s="178">
        <f>Prices!A17</f>
        <v>41625</v>
      </c>
      <c r="J17" s="3">
        <f>Prices!E17</f>
        <v>24.799999</v>
      </c>
      <c r="K17" s="99">
        <f t="shared" si="0"/>
        <v>-5.8108659323965008E-2</v>
      </c>
      <c r="L17" s="99">
        <f t="shared" si="1"/>
        <v>-6.1410682150935484E-3</v>
      </c>
      <c r="M17" s="3">
        <f>Prices!M17</f>
        <v>19.079999999999998</v>
      </c>
      <c r="N17" s="99">
        <f t="shared" si="2"/>
        <v>-1.4462860823199449E-2</v>
      </c>
      <c r="O17" s="132">
        <f t="shared" si="3"/>
        <v>-2.5883219823717367E-3</v>
      </c>
      <c r="U17" s="177"/>
      <c r="V17" s="177"/>
      <c r="W17" s="177"/>
      <c r="X17" s="177"/>
      <c r="Y17" s="177"/>
      <c r="Z17" s="177"/>
      <c r="AA17" s="177"/>
      <c r="AB17" s="177"/>
      <c r="AC17" s="177"/>
    </row>
    <row r="18" spans="1:29">
      <c r="F18" s="110" t="s">
        <v>37</v>
      </c>
      <c r="G18" s="191">
        <f>B16</f>
        <v>1.6102379687818529</v>
      </c>
      <c r="I18" s="178">
        <f>Prices!A18</f>
        <v>41626</v>
      </c>
      <c r="J18" s="3">
        <f>Prices!E18</f>
        <v>26.33</v>
      </c>
      <c r="K18" s="99">
        <f t="shared" si="0"/>
        <v>-2.6515151515151625E-3</v>
      </c>
      <c r="L18" s="99">
        <f t="shared" si="1"/>
        <v>-3.7282478456581456E-3</v>
      </c>
      <c r="M18" s="3">
        <f>Prices!M18</f>
        <v>19.360001</v>
      </c>
      <c r="N18" s="99">
        <f t="shared" si="2"/>
        <v>-3.6026248069994473E-3</v>
      </c>
      <c r="O18" s="132">
        <f t="shared" si="3"/>
        <v>-2.211028743583299E-3</v>
      </c>
      <c r="U18" s="72"/>
      <c r="V18" s="72"/>
      <c r="W18" s="72"/>
      <c r="X18" s="72"/>
      <c r="Y18" s="72"/>
      <c r="Z18" s="72"/>
      <c r="AA18" s="72"/>
      <c r="AB18" s="72"/>
      <c r="AC18" s="72"/>
    </row>
    <row r="19" spans="1:29" ht="19">
      <c r="A19" s="385" t="s">
        <v>413</v>
      </c>
      <c r="B19" s="385"/>
      <c r="C19" s="385"/>
      <c r="D19" s="385"/>
      <c r="I19" s="178">
        <f>Prices!A19</f>
        <v>41627</v>
      </c>
      <c r="J19" s="3">
        <f>Prices!E19</f>
        <v>26.4</v>
      </c>
      <c r="K19" s="99">
        <f t="shared" si="0"/>
        <v>-4.524886877828092E-3</v>
      </c>
      <c r="L19" s="99">
        <f t="shared" si="1"/>
        <v>-4.2725186926240947E-3</v>
      </c>
      <c r="M19" s="3">
        <f>Prices!M19</f>
        <v>19.43</v>
      </c>
      <c r="N19" s="99">
        <f t="shared" si="2"/>
        <v>5.1493305870226622E-4</v>
      </c>
      <c r="O19" s="132">
        <f t="shared" si="3"/>
        <v>-1.9070763107529507E-3</v>
      </c>
      <c r="U19" s="72"/>
      <c r="V19" s="72"/>
      <c r="W19" s="72"/>
      <c r="X19" s="72"/>
      <c r="Y19" s="72"/>
      <c r="Z19" s="72"/>
      <c r="AA19" s="72"/>
      <c r="AB19" s="72"/>
      <c r="AC19" s="72"/>
    </row>
    <row r="20" spans="1:29">
      <c r="A20" s="386" t="s">
        <v>414</v>
      </c>
      <c r="B20" s="386"/>
      <c r="C20" s="386"/>
      <c r="D20" s="386"/>
      <c r="I20" s="178">
        <f>Prices!A20</f>
        <v>41628</v>
      </c>
      <c r="J20" s="3">
        <f>Prices!E20</f>
        <v>26.52</v>
      </c>
      <c r="K20" s="99">
        <f t="shared" si="0"/>
        <v>-1.8818216033120328E-3</v>
      </c>
      <c r="L20" s="99">
        <f t="shared" si="1"/>
        <v>-3.6967497192158987E-3</v>
      </c>
      <c r="M20" s="3">
        <f>Prices!M20</f>
        <v>19.420000000000002</v>
      </c>
      <c r="N20" s="99">
        <f t="shared" si="2"/>
        <v>-7.1574134538554693E-3</v>
      </c>
      <c r="O20" s="132">
        <f t="shared" si="3"/>
        <v>-2.1301564614680363E-3</v>
      </c>
    </row>
    <row r="21" spans="1:29">
      <c r="A21" s="386"/>
      <c r="B21" s="386"/>
      <c r="C21" s="386"/>
      <c r="D21" s="386"/>
      <c r="I21" s="178">
        <f>Prices!A21</f>
        <v>41631</v>
      </c>
      <c r="J21" s="3">
        <f>Prices!E21</f>
        <v>26.57</v>
      </c>
      <c r="K21" s="99">
        <f t="shared" si="0"/>
        <v>-4.868951128503704E-3</v>
      </c>
      <c r="L21" s="99">
        <f t="shared" si="1"/>
        <v>-3.8807243324809524E-3</v>
      </c>
      <c r="M21" s="3">
        <f>Prices!M21</f>
        <v>19.559999000000001</v>
      </c>
      <c r="N21" s="99">
        <f t="shared" si="2"/>
        <v>-3.5659706350469134E-3</v>
      </c>
      <c r="O21" s="132">
        <f t="shared" si="3"/>
        <v>-1.648643349425987E-3</v>
      </c>
    </row>
    <row r="22" spans="1:29">
      <c r="A22" s="386"/>
      <c r="B22" s="386"/>
      <c r="C22" s="386"/>
      <c r="D22" s="386"/>
      <c r="I22" s="178">
        <f>Prices!A22</f>
        <v>41632</v>
      </c>
      <c r="J22" s="3">
        <f>Prices!E22</f>
        <v>26.700001</v>
      </c>
      <c r="K22" s="99">
        <f t="shared" si="0"/>
        <v>8.3081948640483343E-3</v>
      </c>
      <c r="L22" s="99">
        <f t="shared" si="1"/>
        <v>-2.6266402870712469E-3</v>
      </c>
      <c r="M22" s="3">
        <f>Prices!M22</f>
        <v>19.629999000000002</v>
      </c>
      <c r="N22" s="99">
        <f t="shared" si="2"/>
        <v>-2.5407012195121032E-3</v>
      </c>
      <c r="O22" s="132">
        <f t="shared" si="3"/>
        <v>-4.6126560475739269E-4</v>
      </c>
    </row>
    <row r="23" spans="1:29">
      <c r="A23" s="384" t="s">
        <v>415</v>
      </c>
      <c r="B23" s="384"/>
      <c r="C23" s="384"/>
      <c r="D23" s="194">
        <v>0.2</v>
      </c>
      <c r="I23" s="178">
        <f>Prices!A23</f>
        <v>41635</v>
      </c>
      <c r="J23" s="3">
        <f>Prices!E23</f>
        <v>26.48</v>
      </c>
      <c r="K23" s="99">
        <f t="shared" si="0"/>
        <v>-1.8846964988805763E-3</v>
      </c>
      <c r="L23" s="99">
        <f t="shared" si="1"/>
        <v>-2.7208491023650258E-3</v>
      </c>
      <c r="M23" s="3">
        <f>Prices!M23</f>
        <v>19.68</v>
      </c>
      <c r="N23" s="99">
        <f t="shared" si="2"/>
        <v>2.0367108979995456E-3</v>
      </c>
      <c r="O23" s="132">
        <f t="shared" si="3"/>
        <v>4.7060762776419223E-5</v>
      </c>
    </row>
    <row r="24" spans="1:29">
      <c r="A24" s="384" t="s">
        <v>416</v>
      </c>
      <c r="B24" s="384"/>
      <c r="C24" s="384"/>
      <c r="D24" s="194">
        <f>1-D23</f>
        <v>0.8</v>
      </c>
      <c r="I24" s="178">
        <f>Prices!A24</f>
        <v>41638</v>
      </c>
      <c r="J24" s="3">
        <f>Prices!E24</f>
        <v>26.530000999999999</v>
      </c>
      <c r="K24" s="99">
        <f t="shared" si="0"/>
        <v>-4.8761815453864038E-3</v>
      </c>
      <c r="L24" s="99">
        <f t="shared" si="1"/>
        <v>-2.4654971990106856E-3</v>
      </c>
      <c r="M24" s="3">
        <f>Prices!M24</f>
        <v>19.639999</v>
      </c>
      <c r="N24" s="99">
        <f t="shared" si="2"/>
        <v>-2.5394615266905885E-3</v>
      </c>
      <c r="O24" s="132">
        <f t="shared" si="3"/>
        <v>-4.0812916644230424E-4</v>
      </c>
    </row>
    <row r="25" spans="1:29">
      <c r="I25" s="178">
        <f>Prices!A25</f>
        <v>41639</v>
      </c>
      <c r="J25" s="3">
        <f>Prices!E25</f>
        <v>26.66</v>
      </c>
      <c r="K25" s="99">
        <f t="shared" si="0"/>
        <v>2.4990388312187563E-2</v>
      </c>
      <c r="L25" s="99">
        <f t="shared" si="1"/>
        <v>-2.3110376571237822E-3</v>
      </c>
      <c r="M25" s="3">
        <f>Prices!M25</f>
        <v>19.690000999999999</v>
      </c>
      <c r="N25" s="99">
        <f t="shared" si="2"/>
        <v>2.0356743002544618E-3</v>
      </c>
      <c r="O25" s="132">
        <f t="shared" si="3"/>
        <v>-5.2961352369705446E-5</v>
      </c>
    </row>
    <row r="26" spans="1:29">
      <c r="I26" s="178">
        <f>Prices!A26</f>
        <v>41641</v>
      </c>
      <c r="J26" s="3">
        <f>Prices!E26</f>
        <v>26.01</v>
      </c>
      <c r="K26" s="99">
        <f t="shared" si="0"/>
        <v>-1.2903225806451606E-2</v>
      </c>
      <c r="L26" s="99">
        <f t="shared" si="1"/>
        <v>-4.8827560984812434E-3</v>
      </c>
      <c r="M26" s="3">
        <f>Prices!M26</f>
        <v>19.649999999999999</v>
      </c>
      <c r="N26" s="99">
        <f t="shared" si="2"/>
        <v>4.0878896269799844E-3</v>
      </c>
      <c r="O26" s="132">
        <f t="shared" si="3"/>
        <v>-5.5715957454613603E-4</v>
      </c>
    </row>
    <row r="27" spans="1:29">
      <c r="I27" s="178">
        <f>Prices!A27</f>
        <v>41642</v>
      </c>
      <c r="J27" s="3">
        <f>Prices!E27</f>
        <v>26.35</v>
      </c>
      <c r="K27" s="99">
        <f t="shared" si="0"/>
        <v>-7.5329193044413401E-3</v>
      </c>
      <c r="L27" s="99">
        <f t="shared" si="1"/>
        <v>-4.1155159801154178E-3</v>
      </c>
      <c r="M27" s="3">
        <f>Prices!M27</f>
        <v>19.57</v>
      </c>
      <c r="N27" s="99">
        <f t="shared" si="2"/>
        <v>5.1361584558889239E-3</v>
      </c>
      <c r="O27" s="132">
        <f t="shared" si="3"/>
        <v>-5.0877853783524497E-4</v>
      </c>
    </row>
    <row r="28" spans="1:29">
      <c r="I28" s="178">
        <f>Prices!A28</f>
        <v>41645</v>
      </c>
      <c r="J28" s="3">
        <f>Prices!E28</f>
        <v>26.549999</v>
      </c>
      <c r="K28" s="99">
        <f t="shared" si="0"/>
        <v>-1.5043625423091455E-3</v>
      </c>
      <c r="L28" s="99">
        <f t="shared" si="1"/>
        <v>-2.3589416994811594E-3</v>
      </c>
      <c r="M28" s="3">
        <f>Prices!M28</f>
        <v>19.469999000000001</v>
      </c>
      <c r="N28" s="99">
        <f t="shared" si="2"/>
        <v>-8.1507900229643472E-3</v>
      </c>
      <c r="O28" s="132">
        <f t="shared" si="3"/>
        <v>-7.3631053146356972E-5</v>
      </c>
    </row>
    <row r="29" spans="1:29">
      <c r="I29" s="178">
        <f>Prices!A29</f>
        <v>41646</v>
      </c>
      <c r="J29" s="3">
        <f>Prices!E29</f>
        <v>26.59</v>
      </c>
      <c r="K29" s="99">
        <f t="shared" si="0"/>
        <v>-1.8768394097912573E-3</v>
      </c>
      <c r="L29" s="99">
        <f t="shared" si="1"/>
        <v>-2.4622950009371338E-3</v>
      </c>
      <c r="M29" s="3">
        <f>Prices!M29</f>
        <v>19.629999000000002</v>
      </c>
      <c r="N29" s="99">
        <f t="shared" si="2"/>
        <v>-3.0473335171489948E-3</v>
      </c>
      <c r="O29" s="132">
        <f t="shared" si="3"/>
        <v>3.0829369390350476E-4</v>
      </c>
    </row>
    <row r="30" spans="1:29">
      <c r="I30" s="178">
        <f>Prices!A30</f>
        <v>41647</v>
      </c>
      <c r="J30" s="3">
        <f>Prices!E30</f>
        <v>26.639999</v>
      </c>
      <c r="K30" s="99">
        <f t="shared" si="0"/>
        <v>-8.5598061570596497E-3</v>
      </c>
      <c r="L30" s="99">
        <f t="shared" si="1"/>
        <v>-2.0630272309506217E-3</v>
      </c>
      <c r="M30" s="3">
        <f>Prices!M30</f>
        <v>19.690000999999999</v>
      </c>
      <c r="N30" s="99">
        <f t="shared" si="2"/>
        <v>-1.5211968317038267E-3</v>
      </c>
      <c r="O30" s="132">
        <f t="shared" si="3"/>
        <v>3.8393658067022309E-4</v>
      </c>
    </row>
    <row r="31" spans="1:29">
      <c r="I31" s="178">
        <f>Prices!A31</f>
        <v>41648</v>
      </c>
      <c r="J31" s="3">
        <f>Prices!E31</f>
        <v>26.870000999999998</v>
      </c>
      <c r="K31" s="99">
        <f t="shared" si="0"/>
        <v>7.4991001124858174E-3</v>
      </c>
      <c r="L31" s="99">
        <f t="shared" si="1"/>
        <v>-3.5527994691321061E-3</v>
      </c>
      <c r="M31" s="3">
        <f>Prices!M31</f>
        <v>19.719999000000001</v>
      </c>
      <c r="N31" s="99">
        <f t="shared" si="2"/>
        <v>-1.0040210843373509E-2</v>
      </c>
      <c r="O31" s="132">
        <f t="shared" si="3"/>
        <v>-2.46007107749625E-4</v>
      </c>
    </row>
    <row r="32" spans="1:29">
      <c r="I32" s="178">
        <f>Prices!A32</f>
        <v>41649</v>
      </c>
      <c r="J32" s="3">
        <f>Prices!E32</f>
        <v>26.67</v>
      </c>
      <c r="K32" s="99">
        <f t="shared" si="0"/>
        <v>-1.1236329167178163E-3</v>
      </c>
      <c r="L32" s="99">
        <f t="shared" si="1"/>
        <v>-3.7369792406252824E-3</v>
      </c>
      <c r="M32" s="3">
        <f>Prices!M32</f>
        <v>19.920000000000002</v>
      </c>
      <c r="N32" s="99">
        <f t="shared" si="2"/>
        <v>5.5528018956487804E-3</v>
      </c>
      <c r="O32" s="132">
        <f t="shared" si="3"/>
        <v>5.5099366111662724E-5</v>
      </c>
    </row>
    <row r="33" spans="9:15">
      <c r="I33" s="178">
        <f>Prices!A33</f>
        <v>41652</v>
      </c>
      <c r="J33" s="3">
        <f>Prices!E33</f>
        <v>26.700001</v>
      </c>
      <c r="K33" s="99">
        <f t="shared" si="0"/>
        <v>9.8335851046299719E-3</v>
      </c>
      <c r="L33" s="99">
        <f t="shared" si="1"/>
        <v>-5.1127382955980195E-3</v>
      </c>
      <c r="M33" s="3">
        <f>Prices!M33</f>
        <v>19.809999000000001</v>
      </c>
      <c r="N33" s="99">
        <f t="shared" si="2"/>
        <v>-1.5121471774192849E-3</v>
      </c>
      <c r="O33" s="132">
        <f t="shared" si="3"/>
        <v>-2.9776890945170666E-4</v>
      </c>
    </row>
    <row r="34" spans="9:15">
      <c r="I34" s="178">
        <f>Prices!A34</f>
        <v>41653</v>
      </c>
      <c r="J34" s="3">
        <f>Prices!E34</f>
        <v>26.440000999999999</v>
      </c>
      <c r="K34" s="99">
        <f t="shared" si="0"/>
        <v>-3.2918763716166831E-2</v>
      </c>
      <c r="L34" s="99">
        <f t="shared" si="1"/>
        <v>-5.8224635158763503E-3</v>
      </c>
      <c r="M34" s="3">
        <f>Prices!M34</f>
        <v>19.84</v>
      </c>
      <c r="N34" s="99">
        <f t="shared" si="2"/>
        <v>-5.5138343100835166E-3</v>
      </c>
      <c r="O34" s="132">
        <f t="shared" si="3"/>
        <v>-5.2125927237026603E-4</v>
      </c>
    </row>
    <row r="35" spans="9:15">
      <c r="I35" s="178">
        <f>Prices!A35</f>
        <v>41654</v>
      </c>
      <c r="J35" s="3">
        <f>Prices!E35</f>
        <v>27.34</v>
      </c>
      <c r="K35" s="99">
        <f t="shared" si="0"/>
        <v>-3.3922227347075166E-2</v>
      </c>
      <c r="L35" s="99">
        <f t="shared" si="1"/>
        <v>-3.9744404598115162E-3</v>
      </c>
      <c r="M35" s="3">
        <f>Prices!M35</f>
        <v>19.950001</v>
      </c>
      <c r="N35" s="99">
        <f t="shared" si="2"/>
        <v>-2.9984507746127556E-3</v>
      </c>
      <c r="O35" s="132">
        <f t="shared" si="3"/>
        <v>-3.20234057612727E-4</v>
      </c>
    </row>
    <row r="36" spans="9:15">
      <c r="I36" s="178">
        <f>Prices!A36</f>
        <v>41655</v>
      </c>
      <c r="J36" s="3">
        <f>Prices!E36</f>
        <v>28.299999</v>
      </c>
      <c r="K36" s="99">
        <f t="shared" si="0"/>
        <v>5.6858566341811221E-3</v>
      </c>
      <c r="L36" s="99">
        <f t="shared" si="1"/>
        <v>-2.5629908377805414E-3</v>
      </c>
      <c r="M36" s="3">
        <f>Prices!M36</f>
        <v>20.010000000000002</v>
      </c>
      <c r="N36" s="99">
        <f t="shared" si="2"/>
        <v>-4.4776119402984999E-3</v>
      </c>
      <c r="O36" s="132">
        <f t="shared" si="3"/>
        <v>-4.6719179087022726E-4</v>
      </c>
    </row>
    <row r="37" spans="9:15">
      <c r="I37" s="178">
        <f>Prices!A37</f>
        <v>41656</v>
      </c>
      <c r="J37" s="3">
        <f>Prices!E37</f>
        <v>28.139999</v>
      </c>
      <c r="K37" s="99">
        <f t="shared" si="0"/>
        <v>-9.8522519352569372E-3</v>
      </c>
      <c r="L37" s="99">
        <f t="shared" si="1"/>
        <v>-2.5270932414478068E-3</v>
      </c>
      <c r="M37" s="3">
        <f>Prices!M37</f>
        <v>20.100000000000001</v>
      </c>
      <c r="N37" s="99">
        <f t="shared" si="2"/>
        <v>-6.9169960474306834E-3</v>
      </c>
      <c r="O37" s="132">
        <f t="shared" si="3"/>
        <v>-4.8949535171764703E-4</v>
      </c>
    </row>
    <row r="38" spans="9:15">
      <c r="I38" s="178">
        <f>Prices!A38</f>
        <v>41659</v>
      </c>
      <c r="J38" s="3">
        <f>Prices!E38</f>
        <v>28.42</v>
      </c>
      <c r="K38" s="99">
        <f t="shared" si="0"/>
        <v>-1.3536932090834142E-2</v>
      </c>
      <c r="L38" s="99">
        <f t="shared" si="1"/>
        <v>-2.269299505296125E-3</v>
      </c>
      <c r="M38" s="3">
        <f>Prices!M38</f>
        <v>20.239999999999998</v>
      </c>
      <c r="N38" s="99">
        <f t="shared" si="2"/>
        <v>2.4764238496075204E-3</v>
      </c>
      <c r="O38" s="132">
        <f t="shared" si="3"/>
        <v>-2.1739432024089786E-4</v>
      </c>
    </row>
    <row r="39" spans="9:15">
      <c r="I39" s="178">
        <f>Prices!A39</f>
        <v>41660</v>
      </c>
      <c r="J39" s="3">
        <f>Prices!E39</f>
        <v>28.809999000000001</v>
      </c>
      <c r="K39" s="99">
        <f t="shared" si="0"/>
        <v>6.9904925903358332E-3</v>
      </c>
      <c r="L39" s="99">
        <f t="shared" si="1"/>
        <v>-1.4072710888076755E-3</v>
      </c>
      <c r="M39" s="3">
        <f>Prices!M39</f>
        <v>20.190000999999999</v>
      </c>
      <c r="N39" s="99">
        <f t="shared" si="2"/>
        <v>-3.9466699555994484E-3</v>
      </c>
      <c r="O39" s="132">
        <f t="shared" si="3"/>
        <v>-5.1270007911029931E-4</v>
      </c>
    </row>
    <row r="40" spans="9:15">
      <c r="I40" s="178">
        <f>Prices!A40</f>
        <v>41661</v>
      </c>
      <c r="J40" s="3">
        <f>Prices!E40</f>
        <v>28.610001</v>
      </c>
      <c r="K40" s="99">
        <f t="shared" si="0"/>
        <v>-5.5613138686131077E-3</v>
      </c>
      <c r="L40" s="99">
        <f t="shared" si="1"/>
        <v>-1.7904397302236619E-3</v>
      </c>
      <c r="M40" s="3">
        <f>Prices!M40</f>
        <v>20.27</v>
      </c>
      <c r="N40" s="99">
        <f t="shared" si="2"/>
        <v>2.4728487869855077E-3</v>
      </c>
      <c r="O40" s="132">
        <f t="shared" si="3"/>
        <v>-6.559967682223057E-4</v>
      </c>
    </row>
    <row r="41" spans="9:15">
      <c r="I41" s="178">
        <f>Prices!A41</f>
        <v>41662</v>
      </c>
      <c r="J41" s="3">
        <f>Prices!E41</f>
        <v>28.77</v>
      </c>
      <c r="K41" s="99">
        <f t="shared" si="0"/>
        <v>2.0212729779690408E-2</v>
      </c>
      <c r="L41" s="99">
        <f t="shared" si="1"/>
        <v>-1.5627958855324998E-3</v>
      </c>
      <c r="M41" s="3">
        <f>Prices!M41</f>
        <v>20.219999000000001</v>
      </c>
      <c r="N41" s="99">
        <f t="shared" si="2"/>
        <v>2.0181584258324978E-2</v>
      </c>
      <c r="O41" s="132">
        <f t="shared" si="3"/>
        <v>-8.0395827490227934E-4</v>
      </c>
    </row>
    <row r="42" spans="9:15">
      <c r="I42" s="178">
        <f>Prices!A42</f>
        <v>41663</v>
      </c>
      <c r="J42" s="3">
        <f>Prices!E42</f>
        <v>28.200001</v>
      </c>
      <c r="K42" s="99">
        <f t="shared" si="0"/>
        <v>6.4240185581727607E-3</v>
      </c>
      <c r="L42" s="99">
        <f t="shared" si="1"/>
        <v>-1.8747275347078859E-3</v>
      </c>
      <c r="M42" s="3">
        <f>Prices!M42</f>
        <v>19.82</v>
      </c>
      <c r="N42" s="99">
        <f t="shared" si="2"/>
        <v>7.6258261311641365E-3</v>
      </c>
      <c r="O42" s="132">
        <f t="shared" si="3"/>
        <v>-1.8616307822791624E-3</v>
      </c>
    </row>
    <row r="43" spans="9:15">
      <c r="I43" s="178">
        <f>Prices!A43</f>
        <v>41666</v>
      </c>
      <c r="J43" s="3">
        <f>Prices!E43</f>
        <v>28.02</v>
      </c>
      <c r="K43" s="99">
        <f t="shared" si="0"/>
        <v>3.2223415682062248E-3</v>
      </c>
      <c r="L43" s="99">
        <f t="shared" si="1"/>
        <v>-3.7678145381585504E-4</v>
      </c>
      <c r="M43" s="3">
        <f>Prices!M43</f>
        <v>19.670000000000002</v>
      </c>
      <c r="N43" s="99">
        <f t="shared" si="2"/>
        <v>-7.0670876863749227E-3</v>
      </c>
      <c r="O43" s="132">
        <f t="shared" si="3"/>
        <v>-2.1942815222692558E-3</v>
      </c>
    </row>
    <row r="44" spans="9:15">
      <c r="I44" s="178">
        <f>Prices!A44</f>
        <v>41667</v>
      </c>
      <c r="J44" s="3">
        <f>Prices!E44</f>
        <v>27.93</v>
      </c>
      <c r="K44" s="99">
        <f t="shared" si="0"/>
        <v>-1.7869907076483455E-3</v>
      </c>
      <c r="L44" s="99">
        <f t="shared" si="1"/>
        <v>-1.2345199427667916E-3</v>
      </c>
      <c r="M44" s="3">
        <f>Prices!M44</f>
        <v>19.809999000000001</v>
      </c>
      <c r="N44" s="99">
        <f t="shared" si="2"/>
        <v>4.5638947547613894E-3</v>
      </c>
      <c r="O44" s="132">
        <f t="shared" si="3"/>
        <v>-1.7678682033698376E-3</v>
      </c>
    </row>
    <row r="45" spans="9:15">
      <c r="I45" s="178">
        <f>Prices!A45</f>
        <v>41668</v>
      </c>
      <c r="J45" s="3">
        <f>Prices!E45</f>
        <v>27.98</v>
      </c>
      <c r="K45" s="99">
        <f t="shared" si="0"/>
        <v>-2.6443980514961659E-2</v>
      </c>
      <c r="L45" s="99">
        <f t="shared" si="1"/>
        <v>-1.9505182483713517E-3</v>
      </c>
      <c r="M45" s="3">
        <f>Prices!M45</f>
        <v>19.719999000000001</v>
      </c>
      <c r="N45" s="99">
        <f t="shared" si="2"/>
        <v>-8.0482901432741578E-3</v>
      </c>
      <c r="O45" s="132">
        <f t="shared" si="3"/>
        <v>-2.1901434751166191E-3</v>
      </c>
    </row>
    <row r="46" spans="9:15">
      <c r="I46" s="178">
        <f>Prices!A46</f>
        <v>41669</v>
      </c>
      <c r="J46" s="3">
        <f>Prices!E46</f>
        <v>28.74</v>
      </c>
      <c r="K46" s="99">
        <f t="shared" si="0"/>
        <v>2.4415765608649014E-3</v>
      </c>
      <c r="L46" s="99">
        <f t="shared" si="1"/>
        <v>-9.5178022625074313E-4</v>
      </c>
      <c r="M46" s="3">
        <f>Prices!M46</f>
        <v>19.879999000000002</v>
      </c>
      <c r="N46" s="99">
        <f t="shared" si="2"/>
        <v>5.0555103611978043E-3</v>
      </c>
      <c r="O46" s="132">
        <f t="shared" si="3"/>
        <v>-1.6661287674859776E-3</v>
      </c>
    </row>
    <row r="47" spans="9:15">
      <c r="I47" s="178">
        <f>Prices!A47</f>
        <v>41670</v>
      </c>
      <c r="J47" s="3">
        <f>Prices!E47</f>
        <v>28.67</v>
      </c>
      <c r="K47" s="99">
        <f t="shared" si="0"/>
        <v>2.7598566308243842E-2</v>
      </c>
      <c r="L47" s="99">
        <f t="shared" si="1"/>
        <v>-7.6553429610024947E-4</v>
      </c>
      <c r="M47" s="3">
        <f>Prices!M47</f>
        <v>19.780000999999999</v>
      </c>
      <c r="N47" s="99">
        <f t="shared" si="2"/>
        <v>1.3839108149666685E-2</v>
      </c>
      <c r="O47" s="132">
        <f t="shared" si="3"/>
        <v>-1.8702236647416108E-3</v>
      </c>
    </row>
    <row r="48" spans="9:15">
      <c r="I48" s="178">
        <f>Prices!A48</f>
        <v>41673</v>
      </c>
      <c r="J48" s="3">
        <f>Prices!E48</f>
        <v>27.9</v>
      </c>
      <c r="K48" s="99">
        <f t="shared" si="0"/>
        <v>-3.5714285714286221E-3</v>
      </c>
      <c r="L48" s="99">
        <f t="shared" si="1"/>
        <v>-2.8879499804792832E-3</v>
      </c>
      <c r="M48" s="3">
        <f>Prices!M48</f>
        <v>19.510000000000002</v>
      </c>
      <c r="N48" s="99">
        <f t="shared" si="2"/>
        <v>-5.1229508196711123E-4</v>
      </c>
      <c r="O48" s="132">
        <f t="shared" si="3"/>
        <v>-2.8766420620652969E-3</v>
      </c>
    </row>
    <row r="49" spans="9:15">
      <c r="I49" s="178">
        <f>Prices!A49</f>
        <v>41674</v>
      </c>
      <c r="J49" s="3">
        <f>Prices!E49</f>
        <v>28</v>
      </c>
      <c r="K49" s="99">
        <f t="shared" si="0"/>
        <v>6.1085159899389764E-3</v>
      </c>
      <c r="L49" s="99">
        <f t="shared" si="1"/>
        <v>-3.0778894396800453E-3</v>
      </c>
      <c r="M49" s="3">
        <f>Prices!M49</f>
        <v>19.52</v>
      </c>
      <c r="N49" s="99">
        <f t="shared" si="2"/>
        <v>-1.5344757818146237E-3</v>
      </c>
      <c r="O49" s="132">
        <f t="shared" si="3"/>
        <v>-2.7783504633605003E-3</v>
      </c>
    </row>
    <row r="50" spans="9:15">
      <c r="I50" s="178">
        <f>Prices!A50</f>
        <v>41675</v>
      </c>
      <c r="J50" s="3">
        <f>Prices!E50</f>
        <v>27.83</v>
      </c>
      <c r="K50" s="99">
        <f t="shared" si="0"/>
        <v>-3.8355250920689345E-2</v>
      </c>
      <c r="L50" s="99">
        <f t="shared" si="1"/>
        <v>-3.4167953184043075E-3</v>
      </c>
      <c r="M50" s="3">
        <f>Prices!M50</f>
        <v>19.549999</v>
      </c>
      <c r="N50" s="99">
        <f t="shared" si="2"/>
        <v>-1.4120070600100789E-2</v>
      </c>
      <c r="O50" s="132">
        <f t="shared" si="3"/>
        <v>-2.7258421706378051E-3</v>
      </c>
    </row>
    <row r="51" spans="9:15">
      <c r="I51" s="178">
        <f>Prices!A51</f>
        <v>41676</v>
      </c>
      <c r="J51" s="3">
        <f>Prices!E51</f>
        <v>28.940000999999999</v>
      </c>
      <c r="K51" s="99">
        <f t="shared" si="0"/>
        <v>3.8155046826222846E-3</v>
      </c>
      <c r="L51" s="99">
        <f t="shared" si="1"/>
        <v>-5.0893379627216218E-4</v>
      </c>
      <c r="M51" s="3">
        <f>Prices!M51</f>
        <v>19.829999999999998</v>
      </c>
      <c r="N51" s="99">
        <f t="shared" si="2"/>
        <v>-4.0180813661477577E-3</v>
      </c>
      <c r="O51" s="132">
        <f t="shared" si="3"/>
        <v>-2.0682179342950855E-3</v>
      </c>
    </row>
    <row r="52" spans="9:15">
      <c r="I52" s="178">
        <f>Prices!A52</f>
        <v>41677</v>
      </c>
      <c r="J52" s="3">
        <f>Prices!E52</f>
        <v>28.83</v>
      </c>
      <c r="K52" s="99">
        <f t="shared" si="0"/>
        <v>-2.8638814016172555E-2</v>
      </c>
      <c r="L52" s="99">
        <f t="shared" si="1"/>
        <v>-1.299541764752765E-4</v>
      </c>
      <c r="M52" s="3">
        <f>Prices!M52</f>
        <v>19.91</v>
      </c>
      <c r="N52" s="99">
        <f t="shared" si="2"/>
        <v>-1.5045636156186058E-3</v>
      </c>
      <c r="O52" s="132">
        <f t="shared" si="3"/>
        <v>-1.9156488080691342E-3</v>
      </c>
    </row>
    <row r="53" spans="9:15">
      <c r="I53" s="178">
        <f>Prices!A53</f>
        <v>41680</v>
      </c>
      <c r="J53" s="3">
        <f>Prices!E53</f>
        <v>29.68</v>
      </c>
      <c r="K53" s="99">
        <f t="shared" si="0"/>
        <v>-4.3609193009366259E-3</v>
      </c>
      <c r="L53" s="99">
        <f t="shared" si="1"/>
        <v>1.8429969955375419E-3</v>
      </c>
      <c r="M53" s="3">
        <f>Prices!M53</f>
        <v>19.940000999999999</v>
      </c>
      <c r="N53" s="99">
        <f t="shared" si="2"/>
        <v>-5.9819544357904743E-3</v>
      </c>
      <c r="O53" s="132">
        <f t="shared" si="3"/>
        <v>-1.7192917454505658E-3</v>
      </c>
    </row>
    <row r="54" spans="9:15">
      <c r="I54" s="178">
        <f>Prices!A54</f>
        <v>41681</v>
      </c>
      <c r="J54" s="3">
        <f>Prices!E54</f>
        <v>29.809999000000001</v>
      </c>
      <c r="K54" s="99">
        <f t="shared" si="0"/>
        <v>4.0416974051298449E-3</v>
      </c>
      <c r="L54" s="99">
        <f t="shared" si="1"/>
        <v>2.5367318427439479E-3</v>
      </c>
      <c r="M54" s="3">
        <f>Prices!M54</f>
        <v>20.059999000000001</v>
      </c>
      <c r="N54" s="99">
        <f t="shared" si="2"/>
        <v>-1.4933300149327334E-3</v>
      </c>
      <c r="O54" s="132">
        <f t="shared" si="3"/>
        <v>-1.8524730822585469E-3</v>
      </c>
    </row>
    <row r="55" spans="9:15">
      <c r="I55" s="178">
        <f>Prices!A55</f>
        <v>41682</v>
      </c>
      <c r="J55" s="3">
        <f>Prices!E55</f>
        <v>29.690000999999999</v>
      </c>
      <c r="K55" s="99">
        <f t="shared" si="0"/>
        <v>-5.6932349064556867E-3</v>
      </c>
      <c r="L55" s="99">
        <f t="shared" si="1"/>
        <v>3.0132166153446012E-3</v>
      </c>
      <c r="M55" s="3">
        <f>Prices!M55</f>
        <v>20.09</v>
      </c>
      <c r="N55" s="99">
        <f t="shared" si="2"/>
        <v>-5.9376054397627612E-3</v>
      </c>
      <c r="O55" s="132">
        <f t="shared" si="3"/>
        <v>-1.3417576262769783E-3</v>
      </c>
    </row>
    <row r="56" spans="9:15">
      <c r="I56" s="178">
        <f>Prices!A56</f>
        <v>41683</v>
      </c>
      <c r="J56" s="3">
        <f>Prices!E56</f>
        <v>29.860001</v>
      </c>
      <c r="K56" s="99">
        <f t="shared" si="0"/>
        <v>6.4038085608358192E-3</v>
      </c>
      <c r="L56" s="99">
        <f t="shared" si="1"/>
        <v>4.7306502722313766E-3</v>
      </c>
      <c r="M56" s="3">
        <f>Prices!M56</f>
        <v>20.209999</v>
      </c>
      <c r="N56" s="99">
        <f t="shared" si="2"/>
        <v>-4.923683157246902E-3</v>
      </c>
      <c r="O56" s="132">
        <f t="shared" si="3"/>
        <v>-8.9910718907989661E-4</v>
      </c>
    </row>
    <row r="57" spans="9:15">
      <c r="I57" s="178">
        <f>Prices!A57</f>
        <v>41684</v>
      </c>
      <c r="J57" s="3">
        <f>Prices!E57</f>
        <v>29.67</v>
      </c>
      <c r="K57" s="99">
        <f t="shared" si="0"/>
        <v>-4.6963772122233056E-3</v>
      </c>
      <c r="L57" s="99">
        <f t="shared" si="1"/>
        <v>5.005253524486988E-3</v>
      </c>
      <c r="M57" s="3">
        <f>Prices!M57</f>
        <v>20.309999000000001</v>
      </c>
      <c r="N57" s="99">
        <f t="shared" si="2"/>
        <v>-1.4749754178957036E-3</v>
      </c>
      <c r="O57" s="132">
        <f t="shared" si="3"/>
        <v>-7.9826945298821432E-4</v>
      </c>
    </row>
    <row r="58" spans="9:15">
      <c r="I58" s="178">
        <f>Prices!A58</f>
        <v>41688</v>
      </c>
      <c r="J58" s="3">
        <f>Prices!E58</f>
        <v>29.809999000000001</v>
      </c>
      <c r="K58" s="99">
        <f t="shared" si="0"/>
        <v>3.7036362389348378E-3</v>
      </c>
      <c r="L58" s="99">
        <f t="shared" si="1"/>
        <v>6.2256694656742315E-3</v>
      </c>
      <c r="M58" s="3">
        <f>Prices!M58</f>
        <v>20.34</v>
      </c>
      <c r="N58" s="99">
        <f t="shared" si="2"/>
        <v>-3.4296913277805136E-3</v>
      </c>
      <c r="O58" s="132">
        <f t="shared" si="3"/>
        <v>-1.2281202024771267E-3</v>
      </c>
    </row>
    <row r="59" spans="9:15">
      <c r="I59" s="178">
        <f>Prices!A59</f>
        <v>41689</v>
      </c>
      <c r="J59" s="3">
        <f>Prices!E59</f>
        <v>29.700001</v>
      </c>
      <c r="K59" s="99">
        <f t="shared" si="0"/>
        <v>-6.7288023798389327E-4</v>
      </c>
      <c r="L59" s="99">
        <f t="shared" si="1"/>
        <v>4.8381162590686493E-3</v>
      </c>
      <c r="M59" s="3">
        <f>Prices!M59</f>
        <v>20.41</v>
      </c>
      <c r="N59" s="99">
        <f t="shared" si="2"/>
        <v>-6.8126037378395754E-3</v>
      </c>
      <c r="O59" s="132">
        <f t="shared" si="3"/>
        <v>-5.9680988584608432E-4</v>
      </c>
    </row>
    <row r="60" spans="9:15">
      <c r="I60" s="178">
        <f>Prices!A60</f>
        <v>41690</v>
      </c>
      <c r="J60" s="3">
        <f>Prices!E60</f>
        <v>29.719999000000001</v>
      </c>
      <c r="K60" s="99">
        <f t="shared" si="0"/>
        <v>-1.0084369747898694E-3</v>
      </c>
      <c r="L60" s="99">
        <f t="shared" si="1"/>
        <v>4.124675750089E-3</v>
      </c>
      <c r="M60" s="3">
        <f>Prices!M60</f>
        <v>20.549999</v>
      </c>
      <c r="N60" s="99">
        <f t="shared" si="2"/>
        <v>-4.8638134661395475E-4</v>
      </c>
      <c r="O60" s="132">
        <f t="shared" si="3"/>
        <v>-3.2868090376313034E-4</v>
      </c>
    </row>
    <row r="61" spans="9:15">
      <c r="I61" s="178">
        <f>Prices!A61</f>
        <v>41691</v>
      </c>
      <c r="J61" s="3">
        <f>Prices!E61</f>
        <v>29.75</v>
      </c>
      <c r="K61" s="99">
        <f t="shared" si="0"/>
        <v>1.3974096796182691E-2</v>
      </c>
      <c r="L61" s="99">
        <f t="shared" si="1"/>
        <v>5.9486843912813208E-3</v>
      </c>
      <c r="M61" s="3">
        <f>Prices!M61</f>
        <v>20.559999000000001</v>
      </c>
      <c r="N61" s="99">
        <f t="shared" si="2"/>
        <v>-9.7186588921268464E-4</v>
      </c>
      <c r="O61" s="132">
        <f t="shared" si="3"/>
        <v>-1.3462372633243729E-4</v>
      </c>
    </row>
    <row r="62" spans="9:15">
      <c r="I62" s="178">
        <f>Prices!A62</f>
        <v>41694</v>
      </c>
      <c r="J62" s="3">
        <f>Prices!E62</f>
        <v>29.34</v>
      </c>
      <c r="K62" s="99">
        <f t="shared" si="0"/>
        <v>3.638294017601338E-2</v>
      </c>
      <c r="L62" s="99">
        <f t="shared" si="1"/>
        <v>5.4583937314045174E-3</v>
      </c>
      <c r="M62" s="3">
        <f>Prices!M62</f>
        <v>20.58</v>
      </c>
      <c r="N62" s="99">
        <f t="shared" si="2"/>
        <v>9.7281133136227526E-4</v>
      </c>
      <c r="O62" s="132">
        <f t="shared" si="3"/>
        <v>3.550821664545069E-5</v>
      </c>
    </row>
    <row r="63" spans="9:15">
      <c r="I63" s="178">
        <f>Prices!A63</f>
        <v>41695</v>
      </c>
      <c r="J63" s="3">
        <f>Prices!E63</f>
        <v>28.309999000000001</v>
      </c>
      <c r="K63" s="99">
        <f t="shared" si="0"/>
        <v>-1.3932428210812498E-2</v>
      </c>
      <c r="L63" s="99">
        <f t="shared" si="1"/>
        <v>4.0403143314655743E-3</v>
      </c>
      <c r="M63" s="3">
        <f>Prices!M63</f>
        <v>20.559999000000001</v>
      </c>
      <c r="N63" s="99">
        <f t="shared" si="2"/>
        <v>1.461178691613441E-3</v>
      </c>
      <c r="O63" s="132">
        <f t="shared" si="3"/>
        <v>-6.1699615585605189E-5</v>
      </c>
    </row>
    <row r="64" spans="9:15">
      <c r="I64" s="178">
        <f>Prices!A64</f>
        <v>41696</v>
      </c>
      <c r="J64" s="3">
        <f>Prices!E64</f>
        <v>28.709999</v>
      </c>
      <c r="K64" s="99">
        <f t="shared" si="0"/>
        <v>-1.6106956819739546E-2</v>
      </c>
      <c r="L64" s="99">
        <f t="shared" si="1"/>
        <v>5.4733718170618612E-3</v>
      </c>
      <c r="M64" s="3">
        <f>Prices!M64</f>
        <v>20.530000999999999</v>
      </c>
      <c r="N64" s="99">
        <f t="shared" si="2"/>
        <v>-3.8816106801742439E-3</v>
      </c>
      <c r="O64" s="132">
        <f t="shared" si="3"/>
        <v>2.8150001986310114E-4</v>
      </c>
    </row>
    <row r="65" spans="9:15">
      <c r="I65" s="178">
        <f>Prices!A65</f>
        <v>41697</v>
      </c>
      <c r="J65" s="3">
        <f>Prices!E65</f>
        <v>29.18</v>
      </c>
      <c r="K65" s="99">
        <f t="shared" si="0"/>
        <v>-6.4692200725494954E-3</v>
      </c>
      <c r="L65" s="99">
        <f t="shared" si="1"/>
        <v>6.6693427049238346E-3</v>
      </c>
      <c r="M65" s="3">
        <f>Prices!M65</f>
        <v>20.610001</v>
      </c>
      <c r="N65" s="99">
        <f t="shared" si="2"/>
        <v>2.432004009338678E-3</v>
      </c>
      <c r="O65" s="132">
        <f t="shared" si="3"/>
        <v>4.7558055387181335E-4</v>
      </c>
    </row>
    <row r="66" spans="9:15">
      <c r="I66" s="178">
        <f>Prices!A66</f>
        <v>41698</v>
      </c>
      <c r="J66" s="3">
        <f>Prices!E66</f>
        <v>29.370000999999998</v>
      </c>
      <c r="K66" s="99">
        <f t="shared" si="0"/>
        <v>6.1664951638747707E-3</v>
      </c>
      <c r="L66" s="99">
        <f t="shared" si="1"/>
        <v>6.2425151360234205E-3</v>
      </c>
      <c r="M66" s="3">
        <f>Prices!M66</f>
        <v>20.559999000000001</v>
      </c>
      <c r="N66" s="99">
        <f t="shared" si="2"/>
        <v>9.7361241608513412E-4</v>
      </c>
      <c r="O66" s="132">
        <f t="shared" si="3"/>
        <v>1.3515842681898404E-5</v>
      </c>
    </row>
    <row r="67" spans="9:15">
      <c r="I67" s="178">
        <f>Prices!A67</f>
        <v>41701</v>
      </c>
      <c r="J67" s="3">
        <f>Prices!E67</f>
        <v>29.190000999999999</v>
      </c>
      <c r="K67" s="99">
        <f t="shared" si="0"/>
        <v>-1.4849747379336826E-2</v>
      </c>
      <c r="L67" s="99">
        <f t="shared" si="1"/>
        <v>5.7234624084810167E-3</v>
      </c>
      <c r="M67" s="3">
        <f>Prices!M67</f>
        <v>20.540001</v>
      </c>
      <c r="N67" s="99">
        <f t="shared" si="2"/>
        <v>-6.2892597968070398E-3</v>
      </c>
      <c r="O67" s="132">
        <f t="shared" si="3"/>
        <v>-3.0125331222976144E-4</v>
      </c>
    </row>
    <row r="68" spans="9:15">
      <c r="I68" s="178">
        <f>Prices!A68</f>
        <v>41702</v>
      </c>
      <c r="J68" s="3">
        <f>Prices!E68</f>
        <v>29.629999000000002</v>
      </c>
      <c r="K68" s="99">
        <f t="shared" si="0"/>
        <v>-7.370217755443882E-3</v>
      </c>
      <c r="L68" s="99">
        <f t="shared" si="1"/>
        <v>7.4823688548520863E-3</v>
      </c>
      <c r="M68" s="3">
        <f>Prices!M68</f>
        <v>20.67</v>
      </c>
      <c r="N68" s="99">
        <f t="shared" si="2"/>
        <v>1.4535368921288303E-3</v>
      </c>
      <c r="O68" s="132">
        <f t="shared" si="3"/>
        <v>-8.3359617250307466E-5</v>
      </c>
    </row>
    <row r="69" spans="9:15">
      <c r="I69" s="178">
        <f>Prices!A69</f>
        <v>41703</v>
      </c>
      <c r="J69" s="3">
        <f>Prices!E69</f>
        <v>29.85</v>
      </c>
      <c r="K69" s="99">
        <f t="shared" si="0"/>
        <v>-6.6960158454621582E-4</v>
      </c>
      <c r="L69" s="99">
        <f t="shared" si="1"/>
        <v>7.1569688210325628E-3</v>
      </c>
      <c r="M69" s="3">
        <f>Prices!M69</f>
        <v>20.639999</v>
      </c>
      <c r="N69" s="99">
        <f t="shared" si="2"/>
        <v>-4.8430992736072829E-4</v>
      </c>
      <c r="O69" s="132">
        <f t="shared" si="3"/>
        <v>-4.2020793159738411E-4</v>
      </c>
    </row>
    <row r="70" spans="9:15">
      <c r="I70" s="178">
        <f>Prices!A70</f>
        <v>41704</v>
      </c>
      <c r="J70" s="3">
        <f>Prices!E70</f>
        <v>29.870000999999998</v>
      </c>
      <c r="K70" s="99">
        <f t="shared" si="0"/>
        <v>1.9801979521953526E-2</v>
      </c>
      <c r="L70" s="99">
        <f t="shared" si="1"/>
        <v>6.6188044642842654E-3</v>
      </c>
      <c r="M70" s="3">
        <f>Prices!M70</f>
        <v>20.65</v>
      </c>
      <c r="N70" s="99">
        <f t="shared" si="2"/>
        <v>-9.6758587324640181E-4</v>
      </c>
      <c r="O70" s="132">
        <f t="shared" si="3"/>
        <v>-1.0613979222705996E-4</v>
      </c>
    </row>
    <row r="71" spans="9:15">
      <c r="I71" s="178">
        <f>Prices!A71</f>
        <v>41705</v>
      </c>
      <c r="J71" s="3">
        <f>Prices!E71</f>
        <v>29.290001</v>
      </c>
      <c r="K71" s="99">
        <f t="shared" ref="K71:K134" si="4">(J71-J72)/J72</f>
        <v>1.1395097078559993E-2</v>
      </c>
      <c r="L71" s="99">
        <f t="shared" ref="L71:L134" si="5">AVERAGE(K71:K90)</f>
        <v>6.2069610557172143E-3</v>
      </c>
      <c r="M71" s="3">
        <f>Prices!M71</f>
        <v>20.67</v>
      </c>
      <c r="N71" s="99">
        <f t="shared" ref="N71:N134" si="6">(M71-M72)/M72</f>
        <v>-9.6669884162871962E-4</v>
      </c>
      <c r="O71" s="132">
        <f t="shared" ref="O71:O134" si="7">AVERAGE(N71:N90)</f>
        <v>3.9047342674369953E-5</v>
      </c>
    </row>
    <row r="72" spans="9:15">
      <c r="I72" s="178">
        <f>Prices!A72</f>
        <v>41708</v>
      </c>
      <c r="J72" s="3">
        <f>Prices!E72</f>
        <v>28.959999</v>
      </c>
      <c r="K72" s="99">
        <f t="shared" si="4"/>
        <v>1.0820209424083814E-2</v>
      </c>
      <c r="L72" s="99">
        <f t="shared" si="5"/>
        <v>6.1828044091157917E-3</v>
      </c>
      <c r="M72" s="3">
        <f>Prices!M72</f>
        <v>20.690000999999999</v>
      </c>
      <c r="N72" s="99">
        <f t="shared" si="6"/>
        <v>2.4225776367527542E-3</v>
      </c>
      <c r="O72" s="132">
        <f t="shared" si="7"/>
        <v>6.0082724742353333E-4</v>
      </c>
    </row>
    <row r="73" spans="9:15">
      <c r="I73" s="178">
        <f>Prices!A73</f>
        <v>41709</v>
      </c>
      <c r="J73" s="3">
        <f>Prices!E73</f>
        <v>28.65</v>
      </c>
      <c r="K73" s="99">
        <f t="shared" si="4"/>
        <v>9.5137776431914959E-3</v>
      </c>
      <c r="L73" s="99">
        <f t="shared" si="5"/>
        <v>5.5445574502711306E-3</v>
      </c>
      <c r="M73" s="3">
        <f>Prices!M73</f>
        <v>20.639999</v>
      </c>
      <c r="N73" s="99">
        <f t="shared" si="6"/>
        <v>-8.6455811719500838E-3</v>
      </c>
      <c r="O73" s="132">
        <f t="shared" si="7"/>
        <v>-2.8527675072380788E-5</v>
      </c>
    </row>
    <row r="74" spans="9:15">
      <c r="I74" s="178">
        <f>Prices!A74</f>
        <v>41710</v>
      </c>
      <c r="J74" s="3">
        <f>Prices!E74</f>
        <v>28.379999000000002</v>
      </c>
      <c r="K74" s="99">
        <f t="shared" si="4"/>
        <v>1.3571392857142912E-2</v>
      </c>
      <c r="L74" s="99">
        <f t="shared" si="5"/>
        <v>5.421391076825913E-3</v>
      </c>
      <c r="M74" s="3">
        <f>Prices!M74</f>
        <v>20.82</v>
      </c>
      <c r="N74" s="99">
        <f t="shared" si="6"/>
        <v>8.7209791046986354E-3</v>
      </c>
      <c r="O74" s="132">
        <f t="shared" si="7"/>
        <v>2.3491394985411442E-4</v>
      </c>
    </row>
    <row r="75" spans="9:15">
      <c r="I75" s="178">
        <f>Prices!A75</f>
        <v>41711</v>
      </c>
      <c r="J75" s="3">
        <f>Prices!E75</f>
        <v>28</v>
      </c>
      <c r="K75" s="99">
        <f t="shared" si="4"/>
        <v>2.8655438231279824E-2</v>
      </c>
      <c r="L75" s="99">
        <f t="shared" si="5"/>
        <v>6.7599362661971748E-3</v>
      </c>
      <c r="M75" s="3">
        <f>Prices!M75</f>
        <v>20.639999</v>
      </c>
      <c r="N75" s="99">
        <f t="shared" si="6"/>
        <v>2.9154033041788752E-3</v>
      </c>
      <c r="O75" s="132">
        <f t="shared" si="7"/>
        <v>3.3518873913405083E-4</v>
      </c>
    </row>
    <row r="76" spans="9:15">
      <c r="I76" s="178">
        <f>Prices!A76</f>
        <v>41712</v>
      </c>
      <c r="J76" s="3">
        <f>Prices!E76</f>
        <v>27.219999000000001</v>
      </c>
      <c r="K76" s="99">
        <f t="shared" si="4"/>
        <v>1.189587360594806E-2</v>
      </c>
      <c r="L76" s="99">
        <f t="shared" si="5"/>
        <v>6.473477401736147E-3</v>
      </c>
      <c r="M76" s="3">
        <f>Prices!M76</f>
        <v>20.58</v>
      </c>
      <c r="N76" s="99">
        <f t="shared" si="6"/>
        <v>-2.9069284354132597E-3</v>
      </c>
      <c r="O76" s="132">
        <f t="shared" si="7"/>
        <v>2.6266076142510971E-4</v>
      </c>
    </row>
    <row r="77" spans="9:15">
      <c r="I77" s="178">
        <f>Prices!A77</f>
        <v>41715</v>
      </c>
      <c r="J77" s="3">
        <f>Prices!E77</f>
        <v>26.9</v>
      </c>
      <c r="K77" s="99">
        <f t="shared" si="4"/>
        <v>1.9711941611521556E-2</v>
      </c>
      <c r="L77" s="99">
        <f t="shared" si="5"/>
        <v>7.2491334002395937E-3</v>
      </c>
      <c r="M77" s="3">
        <f>Prices!M77</f>
        <v>20.639999</v>
      </c>
      <c r="N77" s="99">
        <f t="shared" si="6"/>
        <v>-1.007199040767395E-2</v>
      </c>
      <c r="O77" s="132">
        <f t="shared" si="7"/>
        <v>3.5922669539089578E-4</v>
      </c>
    </row>
    <row r="78" spans="9:15">
      <c r="I78" s="178">
        <f>Prices!A78</f>
        <v>41716</v>
      </c>
      <c r="J78" s="3">
        <f>Prices!E78</f>
        <v>26.379999000000002</v>
      </c>
      <c r="K78" s="99">
        <f t="shared" si="4"/>
        <v>-2.4047427893176813E-2</v>
      </c>
      <c r="L78" s="99">
        <f t="shared" si="5"/>
        <v>5.5875751874286195E-3</v>
      </c>
      <c r="M78" s="3">
        <f>Prices!M78</f>
        <v>20.85</v>
      </c>
      <c r="N78" s="99">
        <f t="shared" si="6"/>
        <v>9.1965150048403336E-3</v>
      </c>
      <c r="O78" s="132">
        <f t="shared" si="7"/>
        <v>7.6545280279374632E-4</v>
      </c>
    </row>
    <row r="79" spans="9:15">
      <c r="I79" s="178">
        <f>Prices!A79</f>
        <v>41717</v>
      </c>
      <c r="J79" s="3">
        <f>Prices!E79</f>
        <v>27.030000999999999</v>
      </c>
      <c r="K79" s="99">
        <f t="shared" si="4"/>
        <v>-1.4941690417576885E-2</v>
      </c>
      <c r="L79" s="99">
        <f t="shared" si="5"/>
        <v>5.2741743575893067E-3</v>
      </c>
      <c r="M79" s="3">
        <f>Prices!M79</f>
        <v>20.66</v>
      </c>
      <c r="N79" s="99">
        <f t="shared" si="6"/>
        <v>-1.4500240961804987E-3</v>
      </c>
      <c r="O79" s="132">
        <f t="shared" si="7"/>
        <v>-2.2423566421127952E-4</v>
      </c>
    </row>
    <row r="80" spans="9:15">
      <c r="I80" s="178">
        <f>Prices!A80</f>
        <v>41718</v>
      </c>
      <c r="J80" s="3">
        <f>Prices!E80</f>
        <v>27.440000999999999</v>
      </c>
      <c r="K80" s="99">
        <f t="shared" si="4"/>
        <v>3.5471735849056558E-2</v>
      </c>
      <c r="L80" s="99">
        <f t="shared" si="5"/>
        <v>5.9803255997125234E-3</v>
      </c>
      <c r="M80" s="3">
        <f>Prices!M80</f>
        <v>20.690000999999999</v>
      </c>
      <c r="N80" s="99">
        <f t="shared" si="6"/>
        <v>3.3947622019999072E-3</v>
      </c>
      <c r="O80" s="132">
        <f t="shared" si="7"/>
        <v>-2.9582667842242442E-4</v>
      </c>
    </row>
    <row r="81" spans="9:15">
      <c r="I81" s="178">
        <f>Prices!A81</f>
        <v>41719</v>
      </c>
      <c r="J81" s="3">
        <f>Prices!E81</f>
        <v>26.5</v>
      </c>
      <c r="K81" s="99">
        <f t="shared" si="4"/>
        <v>4.1682835986466106E-3</v>
      </c>
      <c r="L81" s="99">
        <f t="shared" si="5"/>
        <v>4.515632946102608E-3</v>
      </c>
      <c r="M81" s="3">
        <f>Prices!M81</f>
        <v>20.620000999999998</v>
      </c>
      <c r="N81" s="99">
        <f t="shared" si="6"/>
        <v>2.4307729703450746E-3</v>
      </c>
      <c r="O81" s="132">
        <f t="shared" si="7"/>
        <v>-4.6556478852241969E-4</v>
      </c>
    </row>
    <row r="82" spans="9:15">
      <c r="I82" s="178">
        <f>Prices!A82</f>
        <v>41722</v>
      </c>
      <c r="J82" s="3">
        <f>Prices!E82</f>
        <v>26.389999</v>
      </c>
      <c r="K82" s="99">
        <f t="shared" si="4"/>
        <v>8.0213521772345229E-3</v>
      </c>
      <c r="L82" s="99">
        <f t="shared" si="5"/>
        <v>3.0231116233131283E-3</v>
      </c>
      <c r="M82" s="3">
        <f>Prices!M82</f>
        <v>20.57</v>
      </c>
      <c r="N82" s="99">
        <f t="shared" si="6"/>
        <v>-9.7134531325884278E-4</v>
      </c>
      <c r="O82" s="132">
        <f t="shared" si="7"/>
        <v>-8.0231147147295854E-4</v>
      </c>
    </row>
    <row r="83" spans="9:15">
      <c r="I83" s="178">
        <f>Prices!A83</f>
        <v>41723</v>
      </c>
      <c r="J83" s="3">
        <f>Prices!E83</f>
        <v>26.18</v>
      </c>
      <c r="K83" s="99">
        <f t="shared" si="4"/>
        <v>1.4728721501113238E-2</v>
      </c>
      <c r="L83" s="99">
        <f t="shared" si="5"/>
        <v>3.2107590200833556E-3</v>
      </c>
      <c r="M83" s="3">
        <f>Prices!M83</f>
        <v>20.59</v>
      </c>
      <c r="N83" s="99">
        <f t="shared" si="6"/>
        <v>8.3251714005875676E-3</v>
      </c>
      <c r="O83" s="132">
        <f t="shared" si="7"/>
        <v>-7.5374420581001637E-4</v>
      </c>
    </row>
    <row r="84" spans="9:15">
      <c r="I84" s="178">
        <f>Prices!A84</f>
        <v>41724</v>
      </c>
      <c r="J84" s="3">
        <f>Prices!E84</f>
        <v>25.799999</v>
      </c>
      <c r="K84" s="99">
        <f t="shared" si="4"/>
        <v>7.8124609374999321E-3</v>
      </c>
      <c r="L84" s="99">
        <f t="shared" si="5"/>
        <v>8.4431502554584668E-4</v>
      </c>
      <c r="M84" s="3">
        <f>Prices!M84</f>
        <v>20.420000000000002</v>
      </c>
      <c r="N84" s="99">
        <f t="shared" si="6"/>
        <v>0</v>
      </c>
      <c r="O84" s="132">
        <f t="shared" si="7"/>
        <v>-1.1700027758393947E-3</v>
      </c>
    </row>
    <row r="85" spans="9:15">
      <c r="I85" s="178">
        <f>Prices!A85</f>
        <v>41725</v>
      </c>
      <c r="J85" s="3">
        <f>Prices!E85</f>
        <v>25.6</v>
      </c>
      <c r="K85" s="99">
        <f t="shared" si="4"/>
        <v>-1.5005771450557794E-2</v>
      </c>
      <c r="L85" s="99">
        <f t="shared" si="5"/>
        <v>1.090127962618185E-3</v>
      </c>
      <c r="M85" s="3">
        <f>Prices!M85</f>
        <v>20.420000000000002</v>
      </c>
      <c r="N85" s="99">
        <f t="shared" si="6"/>
        <v>-6.8092902144596184E-3</v>
      </c>
      <c r="O85" s="132">
        <f t="shared" si="7"/>
        <v>-1.0741738393673706E-3</v>
      </c>
    </row>
    <row r="86" spans="9:15">
      <c r="I86" s="178">
        <f>Prices!A86</f>
        <v>41726</v>
      </c>
      <c r="J86" s="3">
        <f>Prices!E86</f>
        <v>25.99</v>
      </c>
      <c r="K86" s="99">
        <f t="shared" si="4"/>
        <v>-4.2145593869732942E-3</v>
      </c>
      <c r="L86" s="99">
        <f t="shared" si="5"/>
        <v>1.7015827335263277E-3</v>
      </c>
      <c r="M86" s="3">
        <f>Prices!M86</f>
        <v>20.559999000000001</v>
      </c>
      <c r="N86" s="99">
        <f t="shared" si="6"/>
        <v>-5.3217706821480628E-3</v>
      </c>
      <c r="O86" s="132">
        <f t="shared" si="7"/>
        <v>-8.2935495274769348E-4</v>
      </c>
    </row>
    <row r="87" spans="9:15">
      <c r="I87" s="178">
        <f>Prices!A87</f>
        <v>41729</v>
      </c>
      <c r="J87" s="3">
        <f>Prices!E87</f>
        <v>26.1</v>
      </c>
      <c r="K87" s="99">
        <f t="shared" si="4"/>
        <v>2.0328381548084563E-2</v>
      </c>
      <c r="L87" s="99">
        <f t="shared" si="5"/>
        <v>2.2115924386803261E-3</v>
      </c>
      <c r="M87" s="3">
        <f>Prices!M87</f>
        <v>20.67</v>
      </c>
      <c r="N87" s="99">
        <f t="shared" si="6"/>
        <v>-1.9313858972179632E-3</v>
      </c>
      <c r="O87" s="132">
        <f t="shared" si="7"/>
        <v>-8.2492198476778657E-4</v>
      </c>
    </row>
    <row r="88" spans="9:15">
      <c r="I88" s="178">
        <f>Prices!A88</f>
        <v>41730</v>
      </c>
      <c r="J88" s="3">
        <f>Prices!E88</f>
        <v>25.58</v>
      </c>
      <c r="K88" s="99">
        <f t="shared" si="4"/>
        <v>-1.3878218431834311E-2</v>
      </c>
      <c r="L88" s="99">
        <f t="shared" si="5"/>
        <v>1.5974219372113941E-3</v>
      </c>
      <c r="M88" s="3">
        <f>Prices!M88</f>
        <v>20.709999</v>
      </c>
      <c r="N88" s="99">
        <f t="shared" si="6"/>
        <v>-5.2834293948127017E-3</v>
      </c>
      <c r="O88" s="132">
        <f t="shared" si="7"/>
        <v>-9.6509747036404583E-4</v>
      </c>
    </row>
    <row r="89" spans="9:15">
      <c r="I89" s="178">
        <f>Prices!A89</f>
        <v>41731</v>
      </c>
      <c r="J89" s="3">
        <f>Prices!E89</f>
        <v>25.940000999999999</v>
      </c>
      <c r="K89" s="99">
        <f t="shared" si="4"/>
        <v>-1.1432888719512183E-2</v>
      </c>
      <c r="L89" s="99">
        <f t="shared" si="5"/>
        <v>1.4023600856315249E-3</v>
      </c>
      <c r="M89" s="3">
        <f>Prices!M89</f>
        <v>20.82</v>
      </c>
      <c r="N89" s="99">
        <f t="shared" si="6"/>
        <v>5.7970528600457538E-3</v>
      </c>
      <c r="O89" s="132">
        <f t="shared" si="7"/>
        <v>-6.772405446160947E-4</v>
      </c>
    </row>
    <row r="90" spans="9:15">
      <c r="I90" s="178">
        <f>Prices!A90</f>
        <v>41732</v>
      </c>
      <c r="J90" s="3">
        <f>Prices!E90</f>
        <v>26.24</v>
      </c>
      <c r="K90" s="99">
        <f t="shared" si="4"/>
        <v>1.1565111350612504E-2</v>
      </c>
      <c r="L90" s="99">
        <f t="shared" si="5"/>
        <v>6.4707952160713666E-4</v>
      </c>
      <c r="M90" s="3">
        <f>Prices!M90</f>
        <v>20.700001</v>
      </c>
      <c r="N90" s="99">
        <f t="shared" si="6"/>
        <v>1.9361568247821962E-3</v>
      </c>
      <c r="O90" s="132">
        <f t="shared" si="7"/>
        <v>-1.249709767929263E-3</v>
      </c>
    </row>
    <row r="91" spans="9:15">
      <c r="I91" s="178">
        <f>Prices!A91</f>
        <v>41733</v>
      </c>
      <c r="J91" s="3">
        <f>Prices!E91</f>
        <v>25.940000999999999</v>
      </c>
      <c r="K91" s="99">
        <f t="shared" si="4"/>
        <v>1.0911964146531512E-2</v>
      </c>
      <c r="L91" s="99">
        <f t="shared" si="5"/>
        <v>-1.9896297277073024E-4</v>
      </c>
      <c r="M91" s="3">
        <f>Prices!M91</f>
        <v>20.66</v>
      </c>
      <c r="N91" s="99">
        <f t="shared" si="6"/>
        <v>1.0268899253354551E-2</v>
      </c>
      <c r="O91" s="132">
        <f t="shared" si="7"/>
        <v>-1.0622945056261231E-3</v>
      </c>
    </row>
    <row r="92" spans="9:15">
      <c r="I92" s="178">
        <f>Prices!A92</f>
        <v>41736</v>
      </c>
      <c r="J92" s="3">
        <f>Prices!E92</f>
        <v>25.66</v>
      </c>
      <c r="K92" s="99">
        <f t="shared" si="4"/>
        <v>-1.9447297528093906E-3</v>
      </c>
      <c r="L92" s="99">
        <f t="shared" si="5"/>
        <v>-3.2018039306027366E-4</v>
      </c>
      <c r="M92" s="3">
        <f>Prices!M92</f>
        <v>20.450001</v>
      </c>
      <c r="N92" s="99">
        <f t="shared" si="6"/>
        <v>-1.016452081316553E-2</v>
      </c>
      <c r="O92" s="132">
        <f t="shared" si="7"/>
        <v>-1.2419244786031046E-3</v>
      </c>
    </row>
    <row r="93" spans="9:15">
      <c r="I93" s="178">
        <f>Prices!A93</f>
        <v>41737</v>
      </c>
      <c r="J93" s="3">
        <f>Prices!E93</f>
        <v>25.709999</v>
      </c>
      <c r="K93" s="99">
        <f t="shared" si="4"/>
        <v>7.0504501742871539E-3</v>
      </c>
      <c r="L93" s="99">
        <f t="shared" si="5"/>
        <v>7.0043326851429769E-4</v>
      </c>
      <c r="M93" s="3">
        <f>Prices!M93</f>
        <v>20.66</v>
      </c>
      <c r="N93" s="99">
        <f t="shared" si="6"/>
        <v>-3.3767486734201779E-3</v>
      </c>
      <c r="O93" s="132">
        <f t="shared" si="7"/>
        <v>-9.4737366176606322E-4</v>
      </c>
    </row>
    <row r="94" spans="9:15">
      <c r="I94" s="178">
        <f>Prices!A94</f>
        <v>41738</v>
      </c>
      <c r="J94" s="3">
        <f>Prices!E94</f>
        <v>25.530000999999999</v>
      </c>
      <c r="K94" s="99">
        <f t="shared" si="4"/>
        <v>4.0342296644568128E-2</v>
      </c>
      <c r="L94" s="99">
        <f t="shared" si="5"/>
        <v>1.91232348388992E-4</v>
      </c>
      <c r="M94" s="3">
        <f>Prices!M94</f>
        <v>20.73</v>
      </c>
      <c r="N94" s="99">
        <f t="shared" si="6"/>
        <v>1.072647489029736E-2</v>
      </c>
      <c r="O94" s="132">
        <f t="shared" si="7"/>
        <v>-4.9200806603813172E-4</v>
      </c>
    </row>
    <row r="95" spans="9:15">
      <c r="I95" s="178">
        <f>Prices!A95</f>
        <v>41739</v>
      </c>
      <c r="J95" s="3">
        <f>Prices!E95</f>
        <v>24.540001</v>
      </c>
      <c r="K95" s="99">
        <f t="shared" si="4"/>
        <v>2.2926260942059264E-2</v>
      </c>
      <c r="L95" s="99">
        <f t="shared" si="5"/>
        <v>-1.2513955583243587E-3</v>
      </c>
      <c r="M95" s="3">
        <f>Prices!M95</f>
        <v>20.51</v>
      </c>
      <c r="N95" s="99">
        <f t="shared" si="6"/>
        <v>1.4648437500000555E-3</v>
      </c>
      <c r="O95" s="132">
        <f t="shared" si="7"/>
        <v>-1.0521981578624857E-3</v>
      </c>
    </row>
    <row r="96" spans="9:15">
      <c r="I96" s="178">
        <f>Prices!A96</f>
        <v>41740</v>
      </c>
      <c r="J96" s="3">
        <f>Prices!E96</f>
        <v>23.99</v>
      </c>
      <c r="K96" s="99">
        <f t="shared" si="4"/>
        <v>2.7408993576017001E-2</v>
      </c>
      <c r="L96" s="99">
        <f t="shared" si="5"/>
        <v>-2.7126692353485814E-3</v>
      </c>
      <c r="M96" s="3">
        <f>Prices!M96</f>
        <v>20.48</v>
      </c>
      <c r="N96" s="99">
        <f t="shared" si="6"/>
        <v>-9.7560975609754016E-4</v>
      </c>
      <c r="O96" s="132">
        <f t="shared" si="7"/>
        <v>-1.5279024475186348E-3</v>
      </c>
    </row>
    <row r="97" spans="9:15">
      <c r="I97" s="178">
        <f>Prices!A97</f>
        <v>41743</v>
      </c>
      <c r="J97" s="3">
        <f>Prices!E97</f>
        <v>23.35</v>
      </c>
      <c r="K97" s="99">
        <f t="shared" si="4"/>
        <v>-1.3519222644697942E-2</v>
      </c>
      <c r="L97" s="99">
        <f t="shared" si="5"/>
        <v>-5.0104740504460024E-3</v>
      </c>
      <c r="M97" s="3">
        <f>Prices!M97</f>
        <v>20.5</v>
      </c>
      <c r="N97" s="99">
        <f t="shared" si="6"/>
        <v>-1.9474682596169383E-3</v>
      </c>
      <c r="O97" s="99">
        <f t="shared" si="7"/>
        <v>-1.5500415814631669E-3</v>
      </c>
    </row>
    <row r="98" spans="9:15">
      <c r="I98" s="178">
        <f>Prices!A98</f>
        <v>41744</v>
      </c>
      <c r="J98" s="3">
        <f>Prices!E98</f>
        <v>23.67</v>
      </c>
      <c r="K98" s="99">
        <f t="shared" si="4"/>
        <v>-3.0315444489963067E-2</v>
      </c>
      <c r="L98" s="99">
        <f t="shared" si="5"/>
        <v>-3.4897231675152193E-3</v>
      </c>
      <c r="M98" s="3">
        <f>Prices!M98</f>
        <v>20.540001</v>
      </c>
      <c r="N98" s="99">
        <f t="shared" si="6"/>
        <v>-1.0597254335260181E-2</v>
      </c>
      <c r="O98" s="99">
        <f t="shared" si="7"/>
        <v>-1.4762976580853485E-3</v>
      </c>
    </row>
    <row r="99" spans="9:15">
      <c r="I99" s="178">
        <f>Prices!A99</f>
        <v>41745</v>
      </c>
      <c r="J99" s="3">
        <f>Prices!E99</f>
        <v>24.41</v>
      </c>
      <c r="K99" s="99">
        <f t="shared" si="4"/>
        <v>-8.1866557511254905E-4</v>
      </c>
      <c r="L99" s="99">
        <f t="shared" si="5"/>
        <v>-8.6953126430220425E-4</v>
      </c>
      <c r="M99" s="3">
        <f>Prices!M99</f>
        <v>20.76</v>
      </c>
      <c r="N99" s="99">
        <f t="shared" si="6"/>
        <v>-2.8818443804033969E-3</v>
      </c>
      <c r="O99" s="99">
        <f t="shared" si="7"/>
        <v>-6.1341876625097718E-4</v>
      </c>
    </row>
    <row r="100" spans="9:15">
      <c r="I100" s="178">
        <f>Prices!A100</f>
        <v>41746</v>
      </c>
      <c r="J100" s="3">
        <f>Prices!E100</f>
        <v>24.43</v>
      </c>
      <c r="K100" s="99">
        <f t="shared" si="4"/>
        <v>6.1778827768582513E-3</v>
      </c>
      <c r="L100" s="99">
        <f t="shared" si="5"/>
        <v>-1.1279971990954497E-3</v>
      </c>
      <c r="M100" s="3">
        <f>Prices!M100</f>
        <v>20.82</v>
      </c>
      <c r="N100" s="99">
        <f t="shared" si="6"/>
        <v>0</v>
      </c>
      <c r="O100" s="99">
        <f t="shared" si="7"/>
        <v>-3.0226450269916442E-4</v>
      </c>
    </row>
    <row r="101" spans="9:15">
      <c r="I101" s="178">
        <f>Prices!A101</f>
        <v>41750</v>
      </c>
      <c r="J101" s="3">
        <f>Prices!E101</f>
        <v>24.280000999999999</v>
      </c>
      <c r="K101" s="99">
        <f t="shared" si="4"/>
        <v>-2.568214285714298E-2</v>
      </c>
      <c r="L101" s="99">
        <f t="shared" si="5"/>
        <v>-8.3083275207977648E-4</v>
      </c>
      <c r="M101" s="3">
        <f>Prices!M101</f>
        <v>20.82</v>
      </c>
      <c r="N101" s="99">
        <f t="shared" si="6"/>
        <v>-4.304160688665703E-3</v>
      </c>
      <c r="O101" s="99">
        <f t="shared" si="7"/>
        <v>-3.4994690840648243E-4</v>
      </c>
    </row>
    <row r="102" spans="9:15">
      <c r="I102" s="178">
        <f>Prices!A102</f>
        <v>41751</v>
      </c>
      <c r="J102" s="3">
        <f>Prices!E102</f>
        <v>24.92</v>
      </c>
      <c r="K102" s="99">
        <f t="shared" si="4"/>
        <v>1.177430011263907E-2</v>
      </c>
      <c r="L102" s="99">
        <f t="shared" si="5"/>
        <v>8.4008425994715229E-4</v>
      </c>
      <c r="M102" s="3">
        <f>Prices!M102</f>
        <v>20.91</v>
      </c>
      <c r="N102" s="99">
        <f t="shared" si="6"/>
        <v>0</v>
      </c>
      <c r="O102" s="99">
        <f t="shared" si="7"/>
        <v>-6.0710779225378369E-4</v>
      </c>
    </row>
    <row r="103" spans="9:15">
      <c r="I103" s="178">
        <f>Prices!A103</f>
        <v>41752</v>
      </c>
      <c r="J103" s="3">
        <f>Prices!E103</f>
        <v>24.629999000000002</v>
      </c>
      <c r="K103" s="99">
        <f t="shared" si="4"/>
        <v>-3.2600158389636945E-2</v>
      </c>
      <c r="L103" s="99">
        <f t="shared" si="5"/>
        <v>3.3293328367898714E-4</v>
      </c>
      <c r="M103" s="3">
        <f>Prices!M103</f>
        <v>20.91</v>
      </c>
      <c r="N103" s="99">
        <f t="shared" si="6"/>
        <v>0</v>
      </c>
      <c r="O103" s="99">
        <f t="shared" si="7"/>
        <v>-7.4841725998811884E-4</v>
      </c>
    </row>
    <row r="104" spans="9:15">
      <c r="I104" s="178">
        <f>Prices!A104</f>
        <v>41753</v>
      </c>
      <c r="J104" s="3">
        <f>Prices!E104</f>
        <v>25.459999</v>
      </c>
      <c r="K104" s="99">
        <f t="shared" si="4"/>
        <v>1.2728719678946697E-2</v>
      </c>
      <c r="L104" s="99">
        <f t="shared" si="5"/>
        <v>1.6589282319407247E-3</v>
      </c>
      <c r="M104" s="3">
        <f>Prices!M104</f>
        <v>20.91</v>
      </c>
      <c r="N104" s="99">
        <f t="shared" si="6"/>
        <v>1.916578729440486E-3</v>
      </c>
      <c r="O104" s="99">
        <f t="shared" si="7"/>
        <v>-7.4841725998811884E-4</v>
      </c>
    </row>
    <row r="105" spans="9:15">
      <c r="I105" s="178">
        <f>Prices!A105</f>
        <v>41754</v>
      </c>
      <c r="J105" s="3">
        <f>Prices!E105</f>
        <v>25.139999</v>
      </c>
      <c r="K105" s="99">
        <f t="shared" si="4"/>
        <v>-2.7766760323949353E-3</v>
      </c>
      <c r="L105" s="99">
        <f t="shared" si="5"/>
        <v>1.0022329287065214E-3</v>
      </c>
      <c r="M105" s="3">
        <f>Prices!M105</f>
        <v>20.870000999999998</v>
      </c>
      <c r="N105" s="99">
        <f t="shared" si="6"/>
        <v>-1.9129124820660771E-3</v>
      </c>
      <c r="O105" s="99">
        <f t="shared" si="7"/>
        <v>-9.382753454963425E-4</v>
      </c>
    </row>
    <row r="106" spans="9:15">
      <c r="I106" s="178">
        <f>Prices!A106</f>
        <v>41757</v>
      </c>
      <c r="J106" s="3">
        <f>Prices!E106</f>
        <v>25.209999</v>
      </c>
      <c r="K106" s="99">
        <f t="shared" si="4"/>
        <v>5.9856347161066758E-3</v>
      </c>
      <c r="L106" s="99">
        <f t="shared" si="5"/>
        <v>1.9020725205774289E-3</v>
      </c>
      <c r="M106" s="3">
        <f>Prices!M106</f>
        <v>20.91</v>
      </c>
      <c r="N106" s="99">
        <f t="shared" si="6"/>
        <v>-5.2331113225499255E-3</v>
      </c>
      <c r="O106" s="99">
        <f t="shared" si="7"/>
        <v>-6.0644644316914186E-4</v>
      </c>
    </row>
    <row r="107" spans="9:15">
      <c r="I107" s="178">
        <f>Prices!A107</f>
        <v>41758</v>
      </c>
      <c r="J107" s="3">
        <f>Prices!E107</f>
        <v>25.059999000000001</v>
      </c>
      <c r="K107" s="99">
        <f t="shared" si="4"/>
        <v>8.0449715187059234E-3</v>
      </c>
      <c r="L107" s="99">
        <f t="shared" si="5"/>
        <v>1.8508230192478246E-3</v>
      </c>
      <c r="M107" s="3">
        <f>Prices!M107</f>
        <v>21.02</v>
      </c>
      <c r="N107" s="99">
        <f t="shared" si="6"/>
        <v>-4.7348956091431485E-3</v>
      </c>
      <c r="O107" s="99">
        <f t="shared" si="7"/>
        <v>-1.5512752948355701E-4</v>
      </c>
    </row>
    <row r="108" spans="9:15">
      <c r="I108" s="178">
        <f>Prices!A108</f>
        <v>41759</v>
      </c>
      <c r="J108" s="3">
        <f>Prices!E108</f>
        <v>24.860001</v>
      </c>
      <c r="K108" s="99">
        <f t="shared" si="4"/>
        <v>-1.7779455463431695E-2</v>
      </c>
      <c r="L108" s="99">
        <f t="shared" si="5"/>
        <v>1.6978494744716449E-3</v>
      </c>
      <c r="M108" s="3">
        <f>Prices!M108</f>
        <v>21.120000999999998</v>
      </c>
      <c r="N108" s="99">
        <f t="shared" si="6"/>
        <v>4.7370912014632355E-4</v>
      </c>
      <c r="O108" s="99">
        <f t="shared" si="7"/>
        <v>1.5284469974982947E-4</v>
      </c>
    </row>
    <row r="109" spans="9:15">
      <c r="I109" s="178">
        <f>Prices!A109</f>
        <v>41760</v>
      </c>
      <c r="J109" s="3">
        <f>Prices!E109</f>
        <v>25.309999000000001</v>
      </c>
      <c r="K109" s="99">
        <f t="shared" si="4"/>
        <v>-2.6538499999999951E-2</v>
      </c>
      <c r="L109" s="99">
        <f t="shared" si="5"/>
        <v>2.8793420972044502E-3</v>
      </c>
      <c r="M109" s="3">
        <f>Prices!M109</f>
        <v>21.110001</v>
      </c>
      <c r="N109" s="99">
        <f t="shared" si="6"/>
        <v>-5.6523316062176152E-3</v>
      </c>
      <c r="O109" s="99">
        <f t="shared" si="7"/>
        <v>-3.648203243549386E-5</v>
      </c>
    </row>
    <row r="110" spans="9:15">
      <c r="I110" s="178">
        <f>Prices!A110</f>
        <v>41761</v>
      </c>
      <c r="J110" s="3">
        <f>Prices!E110</f>
        <v>26</v>
      </c>
      <c r="K110" s="99">
        <f t="shared" si="4"/>
        <v>-5.3557385369448389E-3</v>
      </c>
      <c r="L110" s="99">
        <f t="shared" si="5"/>
        <v>5.0995040176638239E-3</v>
      </c>
      <c r="M110" s="3">
        <f>Prices!M110</f>
        <v>21.23</v>
      </c>
      <c r="N110" s="99">
        <f t="shared" si="6"/>
        <v>5.6844620708449969E-3</v>
      </c>
      <c r="O110" s="99">
        <f t="shared" si="7"/>
        <v>1.0616413160363528E-5</v>
      </c>
    </row>
    <row r="111" spans="9:15">
      <c r="I111" s="178">
        <f>Prices!A111</f>
        <v>41764</v>
      </c>
      <c r="J111" s="3">
        <f>Prices!E111</f>
        <v>26.139999</v>
      </c>
      <c r="K111" s="99">
        <f t="shared" si="4"/>
        <v>8.4876157407406568E-3</v>
      </c>
      <c r="L111" s="99">
        <f t="shared" si="5"/>
        <v>6.7215963772024375E-3</v>
      </c>
      <c r="M111" s="3">
        <f>Prices!M111</f>
        <v>21.110001</v>
      </c>
      <c r="N111" s="99">
        <f t="shared" si="6"/>
        <v>6.6762997938149193E-3</v>
      </c>
      <c r="O111" s="99">
        <f t="shared" si="7"/>
        <v>-4.3792359950474408E-4</v>
      </c>
    </row>
    <row r="112" spans="9:15">
      <c r="I112" s="178">
        <f>Prices!A112</f>
        <v>41765</v>
      </c>
      <c r="J112" s="3">
        <f>Prices!E112</f>
        <v>25.92</v>
      </c>
      <c r="K112" s="99">
        <f t="shared" si="4"/>
        <v>1.8467543478682038E-2</v>
      </c>
      <c r="L112" s="99">
        <f t="shared" si="5"/>
        <v>6.0364572242375437E-3</v>
      </c>
      <c r="M112" s="3">
        <f>Prices!M112</f>
        <v>20.969999000000001</v>
      </c>
      <c r="N112" s="99">
        <f t="shared" si="6"/>
        <v>-4.273504476424707E-3</v>
      </c>
      <c r="O112" s="99">
        <f t="shared" si="7"/>
        <v>-9.3552426239222695E-4</v>
      </c>
    </row>
    <row r="113" spans="9:15">
      <c r="I113" s="178">
        <f>Prices!A113</f>
        <v>41766</v>
      </c>
      <c r="J113" s="3">
        <f>Prices!E113</f>
        <v>25.450001</v>
      </c>
      <c r="K113" s="99">
        <f t="shared" si="4"/>
        <v>-3.1335682282189609E-3</v>
      </c>
      <c r="L113" s="99">
        <f t="shared" si="5"/>
        <v>5.4852341658901353E-3</v>
      </c>
      <c r="M113" s="3">
        <f>Prices!M113</f>
        <v>21.059999000000001</v>
      </c>
      <c r="N113" s="99">
        <f t="shared" si="6"/>
        <v>5.7305632411384557E-3</v>
      </c>
      <c r="O113" s="99">
        <f t="shared" si="7"/>
        <v>-6.2808204372804698E-4</v>
      </c>
    </row>
    <row r="114" spans="9:15">
      <c r="I114" s="178">
        <f>Prices!A114</f>
        <v>41767</v>
      </c>
      <c r="J114" s="3">
        <f>Prices!E114</f>
        <v>25.530000999999999</v>
      </c>
      <c r="K114" s="99">
        <f t="shared" si="4"/>
        <v>1.1489738510301117E-2</v>
      </c>
      <c r="L114" s="99">
        <f t="shared" si="5"/>
        <v>5.2078826482225195E-3</v>
      </c>
      <c r="M114" s="3">
        <f>Prices!M114</f>
        <v>20.940000999999999</v>
      </c>
      <c r="N114" s="99">
        <f t="shared" si="6"/>
        <v>-4.7732694618971916E-4</v>
      </c>
      <c r="O114" s="99">
        <f t="shared" si="7"/>
        <v>-1.1014387905584444E-3</v>
      </c>
    </row>
    <row r="115" spans="9:15">
      <c r="I115" s="178">
        <f>Prices!A115</f>
        <v>41768</v>
      </c>
      <c r="J115" s="3">
        <f>Prices!E115</f>
        <v>25.24</v>
      </c>
      <c r="K115" s="99">
        <f t="shared" si="4"/>
        <v>-6.2992125984252028E-3</v>
      </c>
      <c r="L115" s="99">
        <f t="shared" si="5"/>
        <v>2.4540702764642109E-3</v>
      </c>
      <c r="M115" s="3">
        <f>Prices!M115</f>
        <v>20.950001</v>
      </c>
      <c r="N115" s="99">
        <f t="shared" si="6"/>
        <v>-8.0492420431229218E-3</v>
      </c>
      <c r="O115" s="99">
        <f t="shared" si="7"/>
        <v>-1.1475374586423779E-3</v>
      </c>
    </row>
    <row r="116" spans="9:15">
      <c r="I116" s="178">
        <f>Prices!A116</f>
        <v>41771</v>
      </c>
      <c r="J116" s="3">
        <f>Prices!E116</f>
        <v>25.4</v>
      </c>
      <c r="K116" s="99">
        <f t="shared" si="4"/>
        <v>-1.8547102725931439E-2</v>
      </c>
      <c r="L116" s="99">
        <f t="shared" si="5"/>
        <v>2.8313771267656105E-3</v>
      </c>
      <c r="M116" s="3">
        <f>Prices!M116</f>
        <v>21.120000999999998</v>
      </c>
      <c r="N116" s="99">
        <f t="shared" si="6"/>
        <v>-1.4183924349881849E-3</v>
      </c>
      <c r="O116" s="99">
        <f t="shared" si="7"/>
        <v>-8.8460791462576969E-4</v>
      </c>
    </row>
    <row r="117" spans="9:15">
      <c r="I117" s="178">
        <f>Prices!A117</f>
        <v>41772</v>
      </c>
      <c r="J117" s="3">
        <f>Prices!E117</f>
        <v>25.879999000000002</v>
      </c>
      <c r="K117" s="99">
        <f t="shared" si="4"/>
        <v>1.689579501391773E-2</v>
      </c>
      <c r="L117" s="99">
        <f t="shared" si="5"/>
        <v>4.1567171646966685E-3</v>
      </c>
      <c r="M117" s="3">
        <f>Prices!M117</f>
        <v>21.15</v>
      </c>
      <c r="N117" s="99">
        <f t="shared" si="6"/>
        <v>-4.7258979206056534E-4</v>
      </c>
      <c r="O117" s="99">
        <f t="shared" si="7"/>
        <v>-7.2048931369653819E-4</v>
      </c>
    </row>
    <row r="118" spans="9:15">
      <c r="I118" s="178">
        <f>Prices!A118</f>
        <v>41773</v>
      </c>
      <c r="J118" s="3">
        <f>Prices!E118</f>
        <v>25.450001</v>
      </c>
      <c r="K118" s="99">
        <f t="shared" si="4"/>
        <v>2.208839357429726E-2</v>
      </c>
      <c r="L118" s="99">
        <f t="shared" si="5"/>
        <v>3.7344052340261258E-3</v>
      </c>
      <c r="M118" s="3">
        <f>Prices!M118</f>
        <v>21.16</v>
      </c>
      <c r="N118" s="99">
        <f t="shared" si="6"/>
        <v>6.6603235014272393E-3</v>
      </c>
      <c r="O118" s="99">
        <f t="shared" si="7"/>
        <v>-8.3626735197455033E-4</v>
      </c>
    </row>
    <row r="119" spans="9:15">
      <c r="I119" s="178">
        <f>Prices!A119</f>
        <v>41774</v>
      </c>
      <c r="J119" s="3">
        <f>Prices!E119</f>
        <v>24.9</v>
      </c>
      <c r="K119" s="99">
        <f t="shared" si="4"/>
        <v>-5.9879842709774601E-3</v>
      </c>
      <c r="L119" s="99">
        <f t="shared" si="5"/>
        <v>2.6934394497044102E-3</v>
      </c>
      <c r="M119" s="3">
        <f>Prices!M119</f>
        <v>21.02</v>
      </c>
      <c r="N119" s="99">
        <f t="shared" si="6"/>
        <v>3.3412408906328575E-3</v>
      </c>
      <c r="O119" s="99">
        <f t="shared" si="7"/>
        <v>-1.5153841269536234E-3</v>
      </c>
    </row>
    <row r="120" spans="9:15">
      <c r="I120" s="178">
        <f>Prices!A120</f>
        <v>41775</v>
      </c>
      <c r="J120" s="3">
        <f>Prices!E120</f>
        <v>25.049999</v>
      </c>
      <c r="K120" s="99">
        <f t="shared" si="4"/>
        <v>1.2121171717171704E-2</v>
      </c>
      <c r="L120" s="99">
        <f t="shared" si="5"/>
        <v>7.3112420444875587E-4</v>
      </c>
      <c r="M120" s="3">
        <f>Prices!M120</f>
        <v>20.950001</v>
      </c>
      <c r="N120" s="99">
        <f t="shared" si="6"/>
        <v>-9.5364811414636063E-4</v>
      </c>
      <c r="O120" s="99">
        <f t="shared" si="7"/>
        <v>-1.8205041558386919E-3</v>
      </c>
    </row>
    <row r="121" spans="9:15">
      <c r="I121" s="178">
        <f>Prices!A121</f>
        <v>41779</v>
      </c>
      <c r="J121" s="3">
        <f>Prices!E121</f>
        <v>24.75</v>
      </c>
      <c r="K121" s="99">
        <f t="shared" si="4"/>
        <v>7.736197383395608E-3</v>
      </c>
      <c r="L121" s="99">
        <f t="shared" si="5"/>
        <v>1.5156841324963587E-3</v>
      </c>
      <c r="M121" s="3">
        <f>Prices!M121</f>
        <v>20.969999000000001</v>
      </c>
      <c r="N121" s="99">
        <f t="shared" si="6"/>
        <v>-9.4473783656117295E-3</v>
      </c>
      <c r="O121" s="99">
        <f t="shared" si="7"/>
        <v>-1.8187987616256258E-3</v>
      </c>
    </row>
    <row r="122" spans="9:15">
      <c r="I122" s="178">
        <f>Prices!A122</f>
        <v>41780</v>
      </c>
      <c r="J122" s="3">
        <f>Prices!E122</f>
        <v>24.559999000000001</v>
      </c>
      <c r="K122" s="99">
        <f t="shared" si="4"/>
        <v>1.6312805872757616E-3</v>
      </c>
      <c r="L122" s="99">
        <f t="shared" si="5"/>
        <v>1.5263638030755349E-3</v>
      </c>
      <c r="M122" s="3">
        <f>Prices!M122</f>
        <v>21.17</v>
      </c>
      <c r="N122" s="99">
        <f t="shared" si="6"/>
        <v>-2.8261893546867038E-3</v>
      </c>
      <c r="O122" s="99">
        <f t="shared" si="7"/>
        <v>-1.1849907289538948E-3</v>
      </c>
    </row>
    <row r="123" spans="9:15">
      <c r="I123" s="178">
        <f>Prices!A123</f>
        <v>41781</v>
      </c>
      <c r="J123" s="3">
        <f>Prices!E123</f>
        <v>24.52</v>
      </c>
      <c r="K123" s="99">
        <f t="shared" si="4"/>
        <v>-6.0802594244021941E-3</v>
      </c>
      <c r="L123" s="99">
        <f t="shared" si="5"/>
        <v>2.4913610723020898E-3</v>
      </c>
      <c r="M123" s="3">
        <f>Prices!M123</f>
        <v>21.23</v>
      </c>
      <c r="N123" s="99">
        <f t="shared" si="6"/>
        <v>0</v>
      </c>
      <c r="O123" s="99">
        <f t="shared" si="7"/>
        <v>-1.0436812612195595E-3</v>
      </c>
    </row>
    <row r="124" spans="9:15">
      <c r="I124" s="178">
        <f>Prices!A124</f>
        <v>41782</v>
      </c>
      <c r="J124" s="3">
        <f>Prices!E124</f>
        <v>24.67</v>
      </c>
      <c r="K124" s="99">
        <f t="shared" si="4"/>
        <v>-4.0518638573735859E-4</v>
      </c>
      <c r="L124" s="99">
        <f t="shared" si="5"/>
        <v>3.5542660972469179E-3</v>
      </c>
      <c r="M124" s="3">
        <f>Prices!M124</f>
        <v>21.23</v>
      </c>
      <c r="N124" s="99">
        <f t="shared" si="6"/>
        <v>-1.8805829807239844E-3</v>
      </c>
      <c r="O124" s="99">
        <f t="shared" si="7"/>
        <v>-1.0897665125520377E-3</v>
      </c>
    </row>
    <row r="125" spans="9:15">
      <c r="I125" s="178">
        <f>Prices!A125</f>
        <v>41785</v>
      </c>
      <c r="J125" s="3">
        <f>Prices!E125</f>
        <v>24.68</v>
      </c>
      <c r="K125" s="99">
        <f t="shared" si="4"/>
        <v>1.5220115805023211E-2</v>
      </c>
      <c r="L125" s="99">
        <f t="shared" si="5"/>
        <v>2.7010699042433924E-3</v>
      </c>
      <c r="M125" s="3">
        <f>Prices!M125</f>
        <v>21.27</v>
      </c>
      <c r="N125" s="99">
        <f t="shared" si="6"/>
        <v>4.7236655644779342E-3</v>
      </c>
      <c r="O125" s="99">
        <f t="shared" si="7"/>
        <v>-1.0187636197584104E-3</v>
      </c>
    </row>
    <row r="126" spans="9:15">
      <c r="I126" s="178">
        <f>Prices!A126</f>
        <v>41786</v>
      </c>
      <c r="J126" s="3">
        <f>Prices!E126</f>
        <v>24.309999000000001</v>
      </c>
      <c r="K126" s="99">
        <f t="shared" si="4"/>
        <v>4.9606446895145845E-3</v>
      </c>
      <c r="L126" s="99">
        <f t="shared" si="5"/>
        <v>3.4319420652042603E-3</v>
      </c>
      <c r="M126" s="3">
        <f>Prices!M126</f>
        <v>21.17</v>
      </c>
      <c r="N126" s="99">
        <f t="shared" si="6"/>
        <v>3.7932669511617756E-3</v>
      </c>
      <c r="O126" s="99">
        <f t="shared" si="7"/>
        <v>-7.4308324046718052E-4</v>
      </c>
    </row>
    <row r="127" spans="9:15">
      <c r="I127" s="178">
        <f>Prices!A127</f>
        <v>41787</v>
      </c>
      <c r="J127" s="3">
        <f>Prices!E127</f>
        <v>24.190000999999999</v>
      </c>
      <c r="K127" s="99">
        <f t="shared" si="4"/>
        <v>4.9855006231823212E-3</v>
      </c>
      <c r="L127" s="99">
        <f t="shared" si="5"/>
        <v>2.8569700019116127E-3</v>
      </c>
      <c r="M127" s="3">
        <f>Prices!M127</f>
        <v>21.09</v>
      </c>
      <c r="N127" s="99">
        <f t="shared" si="6"/>
        <v>1.4245489755245768E-3</v>
      </c>
      <c r="O127" s="99">
        <f t="shared" si="7"/>
        <v>-9.5600240197876133E-4</v>
      </c>
    </row>
    <row r="128" spans="9:15">
      <c r="I128" s="178">
        <f>Prices!A128</f>
        <v>41788</v>
      </c>
      <c r="J128" s="3">
        <f>Prices!E128</f>
        <v>24.07</v>
      </c>
      <c r="K128" s="99">
        <f t="shared" si="4"/>
        <v>5.850396991224428E-3</v>
      </c>
      <c r="L128" s="99">
        <f t="shared" si="5"/>
        <v>2.3690875851296155E-3</v>
      </c>
      <c r="M128" s="3">
        <f>Prices!M128</f>
        <v>21.059999000000001</v>
      </c>
      <c r="N128" s="99">
        <f t="shared" si="6"/>
        <v>-3.312825523560142E-3</v>
      </c>
      <c r="O128" s="99">
        <f t="shared" si="7"/>
        <v>-1.2817439528135703E-3</v>
      </c>
    </row>
    <row r="129" spans="9:15">
      <c r="I129" s="178">
        <f>Prices!A129</f>
        <v>41789</v>
      </c>
      <c r="J129" s="3">
        <f>Prices!E129</f>
        <v>23.93</v>
      </c>
      <c r="K129" s="99">
        <f t="shared" si="4"/>
        <v>1.7864738409187501E-2</v>
      </c>
      <c r="L129" s="99">
        <f t="shared" si="5"/>
        <v>2.5142023088725479E-3</v>
      </c>
      <c r="M129" s="3">
        <f>Prices!M129</f>
        <v>21.129999000000002</v>
      </c>
      <c r="N129" s="99">
        <f t="shared" si="6"/>
        <v>-4.7103626943004661E-3</v>
      </c>
      <c r="O129" s="99">
        <f t="shared" si="7"/>
        <v>-1.3464066946136375E-3</v>
      </c>
    </row>
    <row r="130" spans="9:15">
      <c r="I130" s="178">
        <f>Prices!A130</f>
        <v>41792</v>
      </c>
      <c r="J130" s="3">
        <f>Prices!E130</f>
        <v>23.51</v>
      </c>
      <c r="K130" s="99">
        <f t="shared" si="4"/>
        <v>2.7086108653827465E-2</v>
      </c>
      <c r="L130" s="99">
        <f t="shared" si="5"/>
        <v>5.2935370569107186E-4</v>
      </c>
      <c r="M130" s="3">
        <f>Prices!M130</f>
        <v>21.23</v>
      </c>
      <c r="N130" s="99">
        <f t="shared" si="6"/>
        <v>-3.2863381824571568E-3</v>
      </c>
      <c r="O130" s="99">
        <f t="shared" si="7"/>
        <v>-1.2257805635750886E-3</v>
      </c>
    </row>
    <row r="131" spans="9:15">
      <c r="I131" s="178">
        <f>Prices!A131</f>
        <v>41793</v>
      </c>
      <c r="J131" s="3">
        <f>Prices!E131</f>
        <v>22.889999</v>
      </c>
      <c r="K131" s="99">
        <f t="shared" si="4"/>
        <v>-5.2151673185572367E-3</v>
      </c>
      <c r="L131" s="99">
        <f t="shared" si="5"/>
        <v>-1.0380762032630652E-3</v>
      </c>
      <c r="M131" s="3">
        <f>Prices!M131</f>
        <v>21.299999</v>
      </c>
      <c r="N131" s="99">
        <f t="shared" si="6"/>
        <v>-3.275713463934737E-3</v>
      </c>
      <c r="O131" s="99">
        <f t="shared" si="7"/>
        <v>-1.2901942020857806E-3</v>
      </c>
    </row>
    <row r="132" spans="9:15">
      <c r="I132" s="178">
        <f>Prices!A132</f>
        <v>41794</v>
      </c>
      <c r="J132" s="3">
        <f>Prices!E132</f>
        <v>23.01</v>
      </c>
      <c r="K132" s="99">
        <f t="shared" si="4"/>
        <v>7.443082311733875E-3</v>
      </c>
      <c r="L132" s="99">
        <f t="shared" si="5"/>
        <v>-1.5151075921695077E-4</v>
      </c>
      <c r="M132" s="3">
        <f>Prices!M132</f>
        <v>21.370000999999998</v>
      </c>
      <c r="N132" s="99">
        <f t="shared" si="6"/>
        <v>1.8753398968588927E-3</v>
      </c>
      <c r="O132" s="99">
        <f t="shared" si="7"/>
        <v>-1.1721077997162521E-3</v>
      </c>
    </row>
    <row r="133" spans="9:15">
      <c r="I133" s="178">
        <f>Prices!A133</f>
        <v>41795</v>
      </c>
      <c r="J133" s="3">
        <f>Prices!E133</f>
        <v>22.84</v>
      </c>
      <c r="K133" s="99">
        <f t="shared" si="4"/>
        <v>-8.6805985815712559E-3</v>
      </c>
      <c r="L133" s="99">
        <f t="shared" si="5"/>
        <v>-5.6678906440587251E-4</v>
      </c>
      <c r="M133" s="3">
        <f>Prices!M133</f>
        <v>21.33</v>
      </c>
      <c r="N133" s="99">
        <f t="shared" si="6"/>
        <v>-3.7365716954694929E-3</v>
      </c>
      <c r="O133" s="99">
        <f t="shared" si="7"/>
        <v>-1.3343389661703302E-3</v>
      </c>
    </row>
    <row r="134" spans="9:15">
      <c r="I134" s="178">
        <f>Prices!A134</f>
        <v>41796</v>
      </c>
      <c r="J134" s="3">
        <f>Prices!E134</f>
        <v>23.040001</v>
      </c>
      <c r="K134" s="99">
        <f t="shared" si="4"/>
        <v>-4.3586508924865076E-2</v>
      </c>
      <c r="L134" s="99">
        <f t="shared" si="5"/>
        <v>-2.4033013360613855E-4</v>
      </c>
      <c r="M134" s="3">
        <f>Prices!M134</f>
        <v>21.41</v>
      </c>
      <c r="N134" s="99">
        <f t="shared" si="6"/>
        <v>-1.3993003078683912E-3</v>
      </c>
      <c r="O134" s="99">
        <f t="shared" si="7"/>
        <v>-1.0789523343878071E-3</v>
      </c>
    </row>
    <row r="135" spans="9:15">
      <c r="I135" s="178">
        <f>Prices!A135</f>
        <v>41799</v>
      </c>
      <c r="J135" s="3">
        <f>Prices!E135</f>
        <v>24.09</v>
      </c>
      <c r="K135" s="99">
        <f t="shared" ref="K135:K198" si="8">(J135-J136)/J136</f>
        <v>1.2469244076027855E-3</v>
      </c>
      <c r="L135" s="99">
        <f t="shared" ref="L135:L198" si="9">AVERAGE(K135:K154)</f>
        <v>2.4168406645050525E-3</v>
      </c>
      <c r="M135" s="3">
        <f>Prices!M135</f>
        <v>21.440000999999999</v>
      </c>
      <c r="N135" s="99">
        <f t="shared" ref="N135:N198" si="10">(M135-M136)/M136</f>
        <v>-2.7906511627907556E-3</v>
      </c>
      <c r="O135" s="99">
        <f t="shared" ref="O135:O198" si="11">AVERAGE(N135:N154)</f>
        <v>-9.4033972174038252E-4</v>
      </c>
    </row>
    <row r="136" spans="9:15">
      <c r="I136" s="178">
        <f>Prices!A136</f>
        <v>41800</v>
      </c>
      <c r="J136" s="3">
        <f>Prices!E136</f>
        <v>24.059999000000001</v>
      </c>
      <c r="K136" s="99">
        <f t="shared" si="8"/>
        <v>7.959698032689767E-3</v>
      </c>
      <c r="L136" s="99">
        <f t="shared" si="9"/>
        <v>5.5382644577197803E-4</v>
      </c>
      <c r="M136" s="3">
        <f>Prices!M136</f>
        <v>21.5</v>
      </c>
      <c r="N136" s="99">
        <f t="shared" si="10"/>
        <v>1.8639795835964474E-3</v>
      </c>
      <c r="O136" s="99">
        <f t="shared" si="11"/>
        <v>-1.0059142645531133E-3</v>
      </c>
    </row>
    <row r="137" spans="9:15">
      <c r="I137" s="178">
        <f>Prices!A137</f>
        <v>41801</v>
      </c>
      <c r="J137" s="3">
        <f>Prices!E137</f>
        <v>23.870000999999998</v>
      </c>
      <c r="K137" s="99">
        <f t="shared" si="8"/>
        <v>8.449556400506833E-3</v>
      </c>
      <c r="L137" s="99">
        <f t="shared" si="9"/>
        <v>1.0076281710540173E-3</v>
      </c>
      <c r="M137" s="3">
        <f>Prices!M137</f>
        <v>21.459999</v>
      </c>
      <c r="N137" s="99">
        <f t="shared" si="10"/>
        <v>-2.7881505576208064E-3</v>
      </c>
      <c r="O137" s="99">
        <f t="shared" si="11"/>
        <v>-8.2413386701433219E-4</v>
      </c>
    </row>
    <row r="138" spans="9:15">
      <c r="I138" s="178">
        <f>Prices!A138</f>
        <v>41802</v>
      </c>
      <c r="J138" s="3">
        <f>Prices!E138</f>
        <v>23.67</v>
      </c>
      <c r="K138" s="99">
        <f t="shared" si="8"/>
        <v>1.2690778878629463E-3</v>
      </c>
      <c r="L138" s="99">
        <f t="shared" si="9"/>
        <v>1.4958203818469747E-3</v>
      </c>
      <c r="M138" s="3">
        <f>Prices!M138</f>
        <v>21.52</v>
      </c>
      <c r="N138" s="99">
        <f t="shared" si="10"/>
        <v>-6.9220119981542282E-3</v>
      </c>
      <c r="O138" s="99">
        <f t="shared" si="11"/>
        <v>-7.7621993055627524E-4</v>
      </c>
    </row>
    <row r="139" spans="9:15">
      <c r="I139" s="178">
        <f>Prices!A139</f>
        <v>41803</v>
      </c>
      <c r="J139" s="3">
        <f>Prices!E139</f>
        <v>23.639999</v>
      </c>
      <c r="K139" s="99">
        <f t="shared" si="8"/>
        <v>-4.5234289176090549E-2</v>
      </c>
      <c r="L139" s="99">
        <f t="shared" si="9"/>
        <v>1.4323664874538278E-3</v>
      </c>
      <c r="M139" s="3">
        <f>Prices!M139</f>
        <v>21.67</v>
      </c>
      <c r="N139" s="99">
        <f t="shared" si="10"/>
        <v>-2.7611596870685097E-3</v>
      </c>
      <c r="O139" s="99">
        <f t="shared" si="11"/>
        <v>-5.6697836349528226E-4</v>
      </c>
    </row>
    <row r="140" spans="9:15">
      <c r="I140" s="178">
        <f>Prices!A140</f>
        <v>41806</v>
      </c>
      <c r="J140" s="3">
        <f>Prices!E140</f>
        <v>24.76</v>
      </c>
      <c r="K140" s="99">
        <f t="shared" si="8"/>
        <v>2.7812370278123773E-2</v>
      </c>
      <c r="L140" s="99">
        <f t="shared" si="9"/>
        <v>4.1315218720045978E-3</v>
      </c>
      <c r="M140" s="3">
        <f>Prices!M140</f>
        <v>21.73</v>
      </c>
      <c r="N140" s="99">
        <f t="shared" si="10"/>
        <v>-9.1954022988503792E-4</v>
      </c>
      <c r="O140" s="99">
        <f t="shared" si="11"/>
        <v>-2.4577019599166937E-4</v>
      </c>
    </row>
    <row r="141" spans="9:15">
      <c r="I141" s="178">
        <f>Prices!A141</f>
        <v>41807</v>
      </c>
      <c r="J141" s="3">
        <f>Prices!E141</f>
        <v>24.09</v>
      </c>
      <c r="K141" s="99">
        <f t="shared" si="8"/>
        <v>7.9497907949791329E-3</v>
      </c>
      <c r="L141" s="99">
        <f t="shared" si="9"/>
        <v>1.6706979244599436E-3</v>
      </c>
      <c r="M141" s="3">
        <f>Prices!M141</f>
        <v>21.75</v>
      </c>
      <c r="N141" s="99">
        <f t="shared" si="10"/>
        <v>3.2287822878228913E-3</v>
      </c>
      <c r="O141" s="99">
        <f t="shared" si="11"/>
        <v>-6.5351594068059615E-4</v>
      </c>
    </row>
    <row r="142" spans="9:15">
      <c r="I142" s="178">
        <f>Prices!A142</f>
        <v>41808</v>
      </c>
      <c r="J142" s="3">
        <f>Prices!E142</f>
        <v>23.9</v>
      </c>
      <c r="K142" s="99">
        <f t="shared" si="8"/>
        <v>2.0931225971806851E-2</v>
      </c>
      <c r="L142" s="99">
        <f t="shared" si="9"/>
        <v>2.5462548608722524E-3</v>
      </c>
      <c r="M142" s="3">
        <f>Prices!M142</f>
        <v>21.68</v>
      </c>
      <c r="N142" s="99">
        <f t="shared" si="10"/>
        <v>0</v>
      </c>
      <c r="O142" s="99">
        <f t="shared" si="11"/>
        <v>-7.9225873290634098E-4</v>
      </c>
    </row>
    <row r="143" spans="9:15">
      <c r="I143" s="178">
        <f>Prices!A143</f>
        <v>41809</v>
      </c>
      <c r="J143" s="3">
        <f>Prices!E143</f>
        <v>23.41</v>
      </c>
      <c r="K143" s="99">
        <f t="shared" si="8"/>
        <v>1.5177841074494361E-2</v>
      </c>
      <c r="L143" s="99">
        <f t="shared" si="9"/>
        <v>1.5876465086319535E-3</v>
      </c>
      <c r="M143" s="3">
        <f>Prices!M143</f>
        <v>21.68</v>
      </c>
      <c r="N143" s="99">
        <f t="shared" si="10"/>
        <v>-9.2170502664956568E-4</v>
      </c>
      <c r="O143" s="99">
        <f t="shared" si="11"/>
        <v>-9.9569452841105155E-4</v>
      </c>
    </row>
    <row r="144" spans="9:15">
      <c r="I144" s="178">
        <f>Prices!A144</f>
        <v>41810</v>
      </c>
      <c r="J144" s="3">
        <f>Prices!E144</f>
        <v>23.059999000000001</v>
      </c>
      <c r="K144" s="99">
        <f t="shared" si="8"/>
        <v>-1.7469110245807856E-2</v>
      </c>
      <c r="L144" s="99">
        <f t="shared" si="9"/>
        <v>1.0940042221375726E-3</v>
      </c>
      <c r="M144" s="3">
        <f>Prices!M144</f>
        <v>21.700001</v>
      </c>
      <c r="N144" s="99">
        <f t="shared" si="10"/>
        <v>-4.6052512485143403E-4</v>
      </c>
      <c r="O144" s="99">
        <f t="shared" si="11"/>
        <v>-9.4960927707857332E-4</v>
      </c>
    </row>
    <row r="145" spans="9:15">
      <c r="I145" s="178">
        <f>Prices!A145</f>
        <v>41813</v>
      </c>
      <c r="J145" s="3">
        <f>Prices!E145</f>
        <v>23.469999000000001</v>
      </c>
      <c r="K145" s="99">
        <f t="shared" si="8"/>
        <v>2.9837559024240554E-2</v>
      </c>
      <c r="L145" s="99">
        <f t="shared" si="9"/>
        <v>1.7473937036151933E-3</v>
      </c>
      <c r="M145" s="3">
        <f>Prices!M145</f>
        <v>21.709999</v>
      </c>
      <c r="N145" s="99">
        <f t="shared" si="10"/>
        <v>1.0237273150302532E-2</v>
      </c>
      <c r="O145" s="99">
        <f t="shared" si="11"/>
        <v>-1.1291899637719319E-3</v>
      </c>
    </row>
    <row r="146" spans="9:15">
      <c r="I146" s="178">
        <f>Prices!A146</f>
        <v>41814</v>
      </c>
      <c r="J146" s="3">
        <f>Prices!E146</f>
        <v>22.790001</v>
      </c>
      <c r="K146" s="99">
        <f t="shared" si="8"/>
        <v>-6.5387965763383611E-3</v>
      </c>
      <c r="L146" s="99">
        <f t="shared" si="9"/>
        <v>-1.3749953143962261E-4</v>
      </c>
      <c r="M146" s="3">
        <f>Prices!M146</f>
        <v>21.49</v>
      </c>
      <c r="N146" s="99">
        <f t="shared" si="10"/>
        <v>-4.6511627906984016E-4</v>
      </c>
      <c r="O146" s="99">
        <f t="shared" si="11"/>
        <v>-1.9097526808481836E-3</v>
      </c>
    </row>
    <row r="147" spans="9:15">
      <c r="I147" s="178">
        <f>Prices!A147</f>
        <v>41815</v>
      </c>
      <c r="J147" s="3">
        <f>Prices!E147</f>
        <v>22.940000999999999</v>
      </c>
      <c r="K147" s="99">
        <f t="shared" si="8"/>
        <v>-4.7721477124576415E-3</v>
      </c>
      <c r="L147" s="99">
        <f t="shared" si="9"/>
        <v>3.2078880876083057E-4</v>
      </c>
      <c r="M147" s="3">
        <f>Prices!M147</f>
        <v>21.5</v>
      </c>
      <c r="N147" s="99">
        <f t="shared" si="10"/>
        <v>-5.0902820411716067E-3</v>
      </c>
      <c r="O147" s="99">
        <f t="shared" si="11"/>
        <v>-1.8640954332029397E-3</v>
      </c>
    </row>
    <row r="148" spans="9:15">
      <c r="I148" s="178">
        <f>Prices!A148</f>
        <v>41816</v>
      </c>
      <c r="J148" s="3">
        <f>Prices!E148</f>
        <v>23.049999</v>
      </c>
      <c r="K148" s="99">
        <f t="shared" si="8"/>
        <v>8.7526914660830749E-3</v>
      </c>
      <c r="L148" s="99">
        <f t="shared" si="9"/>
        <v>1.0010945354481276E-3</v>
      </c>
      <c r="M148" s="3">
        <f>Prices!M148</f>
        <v>21.610001</v>
      </c>
      <c r="N148" s="99">
        <f t="shared" si="10"/>
        <v>-4.6060803595614798E-3</v>
      </c>
      <c r="O148" s="99">
        <f t="shared" si="11"/>
        <v>-1.8769632265373194E-3</v>
      </c>
    </row>
    <row r="149" spans="9:15">
      <c r="I149" s="178">
        <f>Prices!A149</f>
        <v>41817</v>
      </c>
      <c r="J149" s="3">
        <f>Prices!E149</f>
        <v>22.85</v>
      </c>
      <c r="K149" s="99">
        <f t="shared" si="8"/>
        <v>-2.1832233654442011E-2</v>
      </c>
      <c r="L149" s="99">
        <f t="shared" si="9"/>
        <v>-2.4054047244968557E-4</v>
      </c>
      <c r="M149" s="3">
        <f>Prices!M149</f>
        <v>21.709999</v>
      </c>
      <c r="N149" s="99">
        <f t="shared" si="10"/>
        <v>-2.2978400735294913E-3</v>
      </c>
      <c r="O149" s="99">
        <f t="shared" si="11"/>
        <v>-1.6466592085592456E-3</v>
      </c>
    </row>
    <row r="150" spans="9:15">
      <c r="I150" s="178">
        <f>Prices!A150</f>
        <v>41820</v>
      </c>
      <c r="J150" s="3">
        <f>Prices!E150</f>
        <v>23.360001</v>
      </c>
      <c r="K150" s="99">
        <f t="shared" si="8"/>
        <v>-4.2624895252552806E-3</v>
      </c>
      <c r="L150" s="99">
        <f t="shared" si="9"/>
        <v>4.2022457387230517E-4</v>
      </c>
      <c r="M150" s="3">
        <f>Prices!M150</f>
        <v>21.76</v>
      </c>
      <c r="N150" s="99">
        <f t="shared" si="10"/>
        <v>-4.5746109526709948E-3</v>
      </c>
      <c r="O150" s="99">
        <f t="shared" si="11"/>
        <v>-1.4648305694521628E-3</v>
      </c>
    </row>
    <row r="151" spans="9:15">
      <c r="I151" s="178">
        <f>Prices!A151</f>
        <v>41822</v>
      </c>
      <c r="J151" s="3">
        <f>Prices!E151</f>
        <v>23.459999</v>
      </c>
      <c r="K151" s="99">
        <f t="shared" si="8"/>
        <v>1.2516141562365045E-2</v>
      </c>
      <c r="L151" s="99">
        <f t="shared" si="9"/>
        <v>3.3356104156975557E-4</v>
      </c>
      <c r="M151" s="3">
        <f>Prices!M151</f>
        <v>21.860001</v>
      </c>
      <c r="N151" s="99">
        <f t="shared" si="10"/>
        <v>-9.1398541654417206E-4</v>
      </c>
      <c r="O151" s="99">
        <f t="shared" si="11"/>
        <v>-1.6125393486565187E-3</v>
      </c>
    </row>
    <row r="152" spans="9:15">
      <c r="I152" s="178">
        <f>Prices!A152</f>
        <v>41823</v>
      </c>
      <c r="J152" s="3">
        <f>Prices!E152</f>
        <v>23.17</v>
      </c>
      <c r="K152" s="99">
        <f t="shared" si="8"/>
        <v>-8.6248379204455618E-4</v>
      </c>
      <c r="L152" s="99">
        <f t="shared" si="9"/>
        <v>2.7076825535276233E-4</v>
      </c>
      <c r="M152" s="3">
        <f>Prices!M152</f>
        <v>21.879999000000002</v>
      </c>
      <c r="N152" s="99">
        <f t="shared" si="10"/>
        <v>-1.3692834322226661E-3</v>
      </c>
      <c r="O152" s="99">
        <f t="shared" si="11"/>
        <v>-9.1632642374737884E-4</v>
      </c>
    </row>
    <row r="153" spans="9:15">
      <c r="I153" s="178">
        <f>Prices!A153</f>
        <v>41824</v>
      </c>
      <c r="J153" s="3">
        <f>Prices!E153</f>
        <v>23.190000999999999</v>
      </c>
      <c r="K153" s="99">
        <f t="shared" si="8"/>
        <v>-2.1514199655765787E-3</v>
      </c>
      <c r="L153" s="99">
        <f t="shared" si="9"/>
        <v>1.0165714085035194E-3</v>
      </c>
      <c r="M153" s="3">
        <f>Prices!M153</f>
        <v>21.91</v>
      </c>
      <c r="N153" s="99">
        <f t="shared" si="10"/>
        <v>1.3711609401809667E-3</v>
      </c>
      <c r="O153" s="99">
        <f t="shared" si="11"/>
        <v>-3.7231650938261799E-4</v>
      </c>
    </row>
    <row r="154" spans="9:15">
      <c r="I154" s="178">
        <f>Prices!A154</f>
        <v>41827</v>
      </c>
      <c r="J154" s="3">
        <f>Prices!E154</f>
        <v>23.24</v>
      </c>
      <c r="K154" s="99">
        <f t="shared" si="8"/>
        <v>9.5569070373587688E-3</v>
      </c>
      <c r="L154" s="99">
        <f t="shared" si="9"/>
        <v>1.4779659205451279E-3</v>
      </c>
      <c r="M154" s="3">
        <f>Prices!M154</f>
        <v>21.879999000000002</v>
      </c>
      <c r="N154" s="99">
        <f t="shared" si="10"/>
        <v>1.3729519450800965E-3</v>
      </c>
      <c r="O154" s="99">
        <f t="shared" si="11"/>
        <v>-3.7284507484838222E-4</v>
      </c>
    </row>
    <row r="155" spans="9:15">
      <c r="I155" s="178">
        <f>Prices!A155</f>
        <v>41828</v>
      </c>
      <c r="J155" s="3">
        <f>Prices!E155</f>
        <v>23.02</v>
      </c>
      <c r="K155" s="99">
        <f t="shared" si="8"/>
        <v>-3.6013359967058706E-2</v>
      </c>
      <c r="L155" s="99">
        <f t="shared" si="9"/>
        <v>1.7179312139077578E-3</v>
      </c>
      <c r="M155" s="3">
        <f>Prices!M155</f>
        <v>21.85</v>
      </c>
      <c r="N155" s="99">
        <f t="shared" si="10"/>
        <v>-4.1021420190453656E-3</v>
      </c>
      <c r="O155" s="99">
        <f t="shared" si="11"/>
        <v>-4.4149267210238696E-4</v>
      </c>
    </row>
    <row r="156" spans="9:15">
      <c r="I156" s="178">
        <f>Prices!A156</f>
        <v>41829</v>
      </c>
      <c r="J156" s="3">
        <f>Prices!E156</f>
        <v>23.879999000000002</v>
      </c>
      <c r="K156" s="99">
        <f t="shared" si="8"/>
        <v>1.7035732538330541E-2</v>
      </c>
      <c r="L156" s="99">
        <f t="shared" si="9"/>
        <v>4.3625795954723694E-3</v>
      </c>
      <c r="M156" s="3">
        <f>Prices!M156</f>
        <v>21.940000999999999</v>
      </c>
      <c r="N156" s="99">
        <f t="shared" si="10"/>
        <v>5.4995875343720651E-3</v>
      </c>
      <c r="O156" s="99">
        <f t="shared" si="11"/>
        <v>1.2907812759194192E-4</v>
      </c>
    </row>
    <row r="157" spans="9:15">
      <c r="I157" s="178">
        <f>Prices!A157</f>
        <v>41830</v>
      </c>
      <c r="J157" s="3">
        <f>Prices!E157</f>
        <v>23.48</v>
      </c>
      <c r="K157" s="99">
        <f t="shared" si="8"/>
        <v>1.8213400616365991E-2</v>
      </c>
      <c r="L157" s="99">
        <f t="shared" si="9"/>
        <v>3.3970037052973414E-3</v>
      </c>
      <c r="M157" s="3">
        <f>Prices!M157</f>
        <v>21.82</v>
      </c>
      <c r="N157" s="99">
        <f t="shared" si="10"/>
        <v>-1.8298718284596681E-3</v>
      </c>
      <c r="O157" s="99">
        <f t="shared" si="11"/>
        <v>-4.1850688292948291E-4</v>
      </c>
    </row>
    <row r="158" spans="9:15">
      <c r="I158" s="178">
        <f>Prices!A158</f>
        <v>41831</v>
      </c>
      <c r="J158" s="3">
        <f>Prices!E158</f>
        <v>23.059999000000001</v>
      </c>
      <c r="K158" s="99">
        <f t="shared" si="8"/>
        <v>0</v>
      </c>
      <c r="L158" s="99">
        <f t="shared" si="9"/>
        <v>1.2003025753202384E-3</v>
      </c>
      <c r="M158" s="3">
        <f>Prices!M158</f>
        <v>21.860001</v>
      </c>
      <c r="N158" s="99">
        <f t="shared" si="10"/>
        <v>-2.7371806569343633E-3</v>
      </c>
      <c r="O158" s="99">
        <f t="shared" si="11"/>
        <v>-5.306332010087618E-4</v>
      </c>
    </row>
    <row r="159" spans="9:15">
      <c r="I159" s="178">
        <f>Prices!A159</f>
        <v>41834</v>
      </c>
      <c r="J159" s="3">
        <f>Prices!E159</f>
        <v>23.059999000000001</v>
      </c>
      <c r="K159" s="99">
        <f t="shared" si="8"/>
        <v>8.7488185149248582E-3</v>
      </c>
      <c r="L159" s="99">
        <f t="shared" si="9"/>
        <v>1.3114114642091266E-3</v>
      </c>
      <c r="M159" s="3">
        <f>Prices!M159</f>
        <v>21.92</v>
      </c>
      <c r="N159" s="99">
        <f t="shared" si="10"/>
        <v>3.6630036630037476E-3</v>
      </c>
      <c r="O159" s="99">
        <f t="shared" si="11"/>
        <v>-3.7113949183791137E-4</v>
      </c>
    </row>
    <row r="160" spans="9:15">
      <c r="I160" s="178">
        <f>Prices!A160</f>
        <v>41835</v>
      </c>
      <c r="J160" s="3">
        <f>Prices!E160</f>
        <v>22.860001</v>
      </c>
      <c r="K160" s="99">
        <f t="shared" si="8"/>
        <v>-2.1404108672769321E-2</v>
      </c>
      <c r="L160" s="99">
        <f t="shared" si="9"/>
        <v>7.8523717948920826E-4</v>
      </c>
      <c r="M160" s="3">
        <f>Prices!M160</f>
        <v>21.84</v>
      </c>
      <c r="N160" s="99">
        <f t="shared" si="10"/>
        <v>-9.0744551236635745E-3</v>
      </c>
      <c r="O160" s="99">
        <f t="shared" si="11"/>
        <v>-5.3164474745186316E-4</v>
      </c>
    </row>
    <row r="161" spans="9:15">
      <c r="I161" s="178">
        <f>Prices!A161</f>
        <v>41836</v>
      </c>
      <c r="J161" s="3">
        <f>Prices!E161</f>
        <v>23.360001</v>
      </c>
      <c r="K161" s="99">
        <f t="shared" si="8"/>
        <v>2.54609295232253E-2</v>
      </c>
      <c r="L161" s="99">
        <f t="shared" si="9"/>
        <v>1.8554426131276746E-3</v>
      </c>
      <c r="M161" s="3">
        <f>Prices!M161</f>
        <v>22.040001</v>
      </c>
      <c r="N161" s="99">
        <f t="shared" si="10"/>
        <v>4.5392644330799459E-4</v>
      </c>
      <c r="O161" s="99">
        <f t="shared" si="11"/>
        <v>-3.2578362949033329E-4</v>
      </c>
    </row>
    <row r="162" spans="9:15">
      <c r="I162" s="178">
        <f>Prices!A162</f>
        <v>41837</v>
      </c>
      <c r="J162" s="3">
        <f>Prices!E162</f>
        <v>22.780000999999999</v>
      </c>
      <c r="K162" s="99">
        <f t="shared" si="8"/>
        <v>1.7590589270008873E-3</v>
      </c>
      <c r="L162" s="99">
        <f t="shared" si="9"/>
        <v>-1.3907300507691266E-4</v>
      </c>
      <c r="M162" s="3">
        <f>Prices!M162</f>
        <v>22.030000999999999</v>
      </c>
      <c r="N162" s="99">
        <f t="shared" si="10"/>
        <v>-4.0687159100942115E-3</v>
      </c>
      <c r="O162" s="99">
        <f t="shared" si="11"/>
        <v>-3.0337169725790477E-4</v>
      </c>
    </row>
    <row r="163" spans="9:15">
      <c r="I163" s="178">
        <f>Prices!A163</f>
        <v>41838</v>
      </c>
      <c r="J163" s="3">
        <f>Prices!E163</f>
        <v>22.74</v>
      </c>
      <c r="K163" s="99">
        <f t="shared" si="8"/>
        <v>5.3049953446067475E-3</v>
      </c>
      <c r="L163" s="99">
        <f t="shared" si="9"/>
        <v>-1.7119623112063415E-3</v>
      </c>
      <c r="M163" s="3">
        <f>Prices!M163</f>
        <v>22.120000999999998</v>
      </c>
      <c r="N163" s="99">
        <f t="shared" si="10"/>
        <v>0</v>
      </c>
      <c r="O163" s="99">
        <f t="shared" si="11"/>
        <v>-2.3488866828490516E-4</v>
      </c>
    </row>
    <row r="164" spans="9:15">
      <c r="I164" s="178">
        <f>Prices!A164</f>
        <v>41841</v>
      </c>
      <c r="J164" s="3">
        <f>Prices!E164</f>
        <v>22.620000999999998</v>
      </c>
      <c r="K164" s="99">
        <f t="shared" si="8"/>
        <v>-4.4013206162554367E-3</v>
      </c>
      <c r="L164" s="99">
        <f t="shared" si="9"/>
        <v>-5.0063073355112106E-3</v>
      </c>
      <c r="M164" s="3">
        <f>Prices!M164</f>
        <v>22.120000999999998</v>
      </c>
      <c r="N164" s="99">
        <f t="shared" si="10"/>
        <v>-4.0521388587186052E-3</v>
      </c>
      <c r="O164" s="99">
        <f t="shared" si="11"/>
        <v>-7.0280531409966775E-4</v>
      </c>
    </row>
    <row r="165" spans="9:15">
      <c r="I165" s="178">
        <f>Prices!A165</f>
        <v>41842</v>
      </c>
      <c r="J165" s="3">
        <f>Prices!E165</f>
        <v>22.719999000000001</v>
      </c>
      <c r="K165" s="99">
        <f t="shared" si="8"/>
        <v>-7.8603056768557725E-3</v>
      </c>
      <c r="L165" s="99">
        <f t="shared" si="9"/>
        <v>-4.6663871344968444E-3</v>
      </c>
      <c r="M165" s="3">
        <f>Prices!M165</f>
        <v>22.209999</v>
      </c>
      <c r="N165" s="99">
        <f t="shared" si="10"/>
        <v>-5.3739811912225021E-3</v>
      </c>
      <c r="O165" s="99">
        <f t="shared" si="11"/>
        <v>-7.8818906677738734E-4</v>
      </c>
    </row>
    <row r="166" spans="9:15">
      <c r="I166" s="178">
        <f>Prices!A166</f>
        <v>41843</v>
      </c>
      <c r="J166" s="3">
        <f>Prices!E166</f>
        <v>22.9</v>
      </c>
      <c r="K166" s="99">
        <f t="shared" si="8"/>
        <v>2.6269702276706971E-3</v>
      </c>
      <c r="L166" s="99">
        <f t="shared" si="9"/>
        <v>-4.51193845105167E-3</v>
      </c>
      <c r="M166" s="3">
        <f>Prices!M166</f>
        <v>22.33</v>
      </c>
      <c r="N166" s="99">
        <f t="shared" si="10"/>
        <v>4.4802867383503633E-4</v>
      </c>
      <c r="O166" s="99">
        <f t="shared" si="11"/>
        <v>-4.7514188995026897E-4</v>
      </c>
    </row>
    <row r="167" spans="9:15">
      <c r="I167" s="178">
        <f>Prices!A167</f>
        <v>41844</v>
      </c>
      <c r="J167" s="3">
        <f>Prices!E167</f>
        <v>22.84</v>
      </c>
      <c r="K167" s="99">
        <f t="shared" si="8"/>
        <v>8.8339668212883016E-3</v>
      </c>
      <c r="L167" s="99">
        <f t="shared" si="9"/>
        <v>-5.0377642799894502E-3</v>
      </c>
      <c r="M167" s="3">
        <f>Prices!M167</f>
        <v>22.32</v>
      </c>
      <c r="N167" s="99">
        <f t="shared" si="10"/>
        <v>-5.3476379078592051E-3</v>
      </c>
      <c r="O167" s="99">
        <f t="shared" si="11"/>
        <v>-4.0869614461048337E-4</v>
      </c>
    </row>
    <row r="168" spans="9:15">
      <c r="I168" s="178">
        <f>Prices!A168</f>
        <v>41845</v>
      </c>
      <c r="J168" s="3">
        <f>Prices!E168</f>
        <v>22.639999</v>
      </c>
      <c r="K168" s="99">
        <f t="shared" si="8"/>
        <v>-1.6080008691873187E-2</v>
      </c>
      <c r="L168" s="99">
        <f t="shared" si="9"/>
        <v>-5.597526375481254E-3</v>
      </c>
      <c r="M168" s="3">
        <f>Prices!M168</f>
        <v>22.440000999999999</v>
      </c>
      <c r="N168" s="99">
        <f t="shared" si="10"/>
        <v>0</v>
      </c>
      <c r="O168" s="99">
        <f t="shared" si="11"/>
        <v>-4.0644682832192307E-4</v>
      </c>
    </row>
    <row r="169" spans="9:15">
      <c r="I169" s="178">
        <f>Prices!A169</f>
        <v>41848</v>
      </c>
      <c r="J169" s="3">
        <f>Prices!E169</f>
        <v>23.01</v>
      </c>
      <c r="K169" s="99">
        <f t="shared" si="8"/>
        <v>-8.6169327280021975E-3</v>
      </c>
      <c r="L169" s="99">
        <f t="shared" si="9"/>
        <v>-5.2613621981975334E-3</v>
      </c>
      <c r="M169" s="3">
        <f>Prices!M169</f>
        <v>22.440000999999999</v>
      </c>
      <c r="N169" s="99">
        <f t="shared" si="10"/>
        <v>1.3387327086121649E-3</v>
      </c>
      <c r="O169" s="99">
        <f t="shared" si="11"/>
        <v>-3.8434691771625367E-4</v>
      </c>
    </row>
    <row r="170" spans="9:15">
      <c r="I170" s="178">
        <f>Prices!A170</f>
        <v>41849</v>
      </c>
      <c r="J170" s="3">
        <f>Prices!E170</f>
        <v>23.209999</v>
      </c>
      <c r="K170" s="99">
        <f t="shared" si="8"/>
        <v>-5.9957601713062775E-3</v>
      </c>
      <c r="L170" s="99">
        <f t="shared" si="9"/>
        <v>-3.9174568445706961E-3</v>
      </c>
      <c r="M170" s="3">
        <f>Prices!M170</f>
        <v>22.41</v>
      </c>
      <c r="N170" s="99">
        <f t="shared" si="10"/>
        <v>-7.5287865367581119E-3</v>
      </c>
      <c r="O170" s="99">
        <f t="shared" si="11"/>
        <v>-4.9544874944391362E-4</v>
      </c>
    </row>
    <row r="171" spans="9:15">
      <c r="I171" s="178">
        <f>Prices!A171</f>
        <v>41850</v>
      </c>
      <c r="J171" s="3">
        <f>Prices!E171</f>
        <v>23.35</v>
      </c>
      <c r="K171" s="99">
        <f t="shared" si="8"/>
        <v>1.1260285838025188E-2</v>
      </c>
      <c r="L171" s="99">
        <f t="shared" si="9"/>
        <v>-3.5779370124058643E-3</v>
      </c>
      <c r="M171" s="3">
        <f>Prices!M171</f>
        <v>22.58</v>
      </c>
      <c r="N171" s="99">
        <f t="shared" si="10"/>
        <v>1.3010273081638629E-2</v>
      </c>
      <c r="O171" s="99">
        <f t="shared" si="11"/>
        <v>-8.3431986130914033E-6</v>
      </c>
    </row>
    <row r="172" spans="9:15">
      <c r="I172" s="178">
        <f>Prices!A172</f>
        <v>41851</v>
      </c>
      <c r="J172" s="3">
        <f>Prices!E172</f>
        <v>23.09</v>
      </c>
      <c r="K172" s="99">
        <f t="shared" si="8"/>
        <v>1.4053579270970588E-2</v>
      </c>
      <c r="L172" s="99">
        <f t="shared" si="9"/>
        <v>-4.2400770021312978E-3</v>
      </c>
      <c r="M172" s="3">
        <f>Prices!M172</f>
        <v>22.290001</v>
      </c>
      <c r="N172" s="99">
        <f t="shared" si="10"/>
        <v>9.5109148550725497E-3</v>
      </c>
      <c r="O172" s="99">
        <f t="shared" si="11"/>
        <v>-7.9130718382084829E-4</v>
      </c>
    </row>
    <row r="173" spans="9:15">
      <c r="I173" s="178">
        <f>Prices!A173</f>
        <v>41852</v>
      </c>
      <c r="J173" s="3">
        <f>Prices!E173</f>
        <v>22.77</v>
      </c>
      <c r="K173" s="99">
        <f t="shared" si="8"/>
        <v>7.0764702752555879E-3</v>
      </c>
      <c r="L173" s="99">
        <f t="shared" si="9"/>
        <v>-5.2970886428451765E-3</v>
      </c>
      <c r="M173" s="3">
        <f>Prices!M173</f>
        <v>22.08</v>
      </c>
      <c r="N173" s="99">
        <f t="shared" si="10"/>
        <v>1.3605896308656799E-3</v>
      </c>
      <c r="O173" s="99">
        <f t="shared" si="11"/>
        <v>-1.2668529265744755E-3</v>
      </c>
    </row>
    <row r="174" spans="9:15">
      <c r="I174" s="178">
        <f>Prices!A174</f>
        <v>41856</v>
      </c>
      <c r="J174" s="3">
        <f>Prices!E174</f>
        <v>22.610001</v>
      </c>
      <c r="K174" s="99">
        <f t="shared" si="8"/>
        <v>1.4356212904611367E-2</v>
      </c>
      <c r="L174" s="99">
        <f t="shared" si="9"/>
        <v>-5.6705894490125244E-3</v>
      </c>
      <c r="M174" s="3">
        <f>Prices!M174</f>
        <v>22.049999</v>
      </c>
      <c r="N174" s="99">
        <f t="shared" si="10"/>
        <v>0</v>
      </c>
      <c r="O174" s="99">
        <f t="shared" si="11"/>
        <v>-1.5546626278979826E-3</v>
      </c>
    </row>
    <row r="175" spans="9:15">
      <c r="I175" s="178">
        <f>Prices!A175</f>
        <v>41857</v>
      </c>
      <c r="J175" s="3">
        <f>Prices!E175</f>
        <v>22.290001</v>
      </c>
      <c r="K175" s="99">
        <f t="shared" si="8"/>
        <v>1.6879607664233506E-2</v>
      </c>
      <c r="L175" s="99">
        <f t="shared" si="9"/>
        <v>-7.0294257352687311E-3</v>
      </c>
      <c r="M175" s="3">
        <f>Prices!M175</f>
        <v>22.049999</v>
      </c>
      <c r="N175" s="99">
        <f t="shared" si="10"/>
        <v>7.3092739748412119E-3</v>
      </c>
      <c r="O175" s="99">
        <f t="shared" si="11"/>
        <v>-1.3339120760215996E-3</v>
      </c>
    </row>
    <row r="176" spans="9:15">
      <c r="I176" s="178">
        <f>Prices!A176</f>
        <v>41858</v>
      </c>
      <c r="J176" s="3">
        <f>Prices!E176</f>
        <v>21.92</v>
      </c>
      <c r="K176" s="99">
        <f t="shared" si="8"/>
        <v>-2.2757852651700021E-3</v>
      </c>
      <c r="L176" s="99">
        <f t="shared" si="9"/>
        <v>-7.8734061184804055E-3</v>
      </c>
      <c r="M176" s="3">
        <f>Prices!M176</f>
        <v>21.889999</v>
      </c>
      <c r="N176" s="99">
        <f t="shared" si="10"/>
        <v>-5.4521126760564299E-3</v>
      </c>
      <c r="O176" s="99">
        <f t="shared" si="11"/>
        <v>-1.7655133409012285E-3</v>
      </c>
    </row>
    <row r="177" spans="9:15">
      <c r="I177" s="178">
        <f>Prices!A177</f>
        <v>41859</v>
      </c>
      <c r="J177" s="3">
        <f>Prices!E177</f>
        <v>21.969999000000001</v>
      </c>
      <c r="K177" s="99">
        <f t="shared" si="8"/>
        <v>-2.5720621983176067E-2</v>
      </c>
      <c r="L177" s="99">
        <f t="shared" si="9"/>
        <v>-7.0304111291362046E-3</v>
      </c>
      <c r="M177" s="3">
        <f>Prices!M177</f>
        <v>22.01</v>
      </c>
      <c r="N177" s="99">
        <f t="shared" si="10"/>
        <v>-4.0723981900452422E-3</v>
      </c>
      <c r="O177" s="99">
        <f t="shared" si="11"/>
        <v>-1.2937045198474115E-3</v>
      </c>
    </row>
    <row r="178" spans="9:15">
      <c r="I178" s="178">
        <f>Prices!A178</f>
        <v>41862</v>
      </c>
      <c r="J178" s="3">
        <f>Prices!E178</f>
        <v>22.549999</v>
      </c>
      <c r="K178" s="99">
        <f t="shared" si="8"/>
        <v>2.2221777777777637E-3</v>
      </c>
      <c r="L178" s="99">
        <f t="shared" si="9"/>
        <v>-6.0577368527993027E-3</v>
      </c>
      <c r="M178" s="3">
        <f>Prices!M178</f>
        <v>22.1</v>
      </c>
      <c r="N178" s="99">
        <f t="shared" si="10"/>
        <v>4.5269352648264209E-4</v>
      </c>
      <c r="O178" s="99">
        <f t="shared" si="11"/>
        <v>-1.178460663742239E-3</v>
      </c>
    </row>
    <row r="179" spans="9:15">
      <c r="I179" s="178">
        <f>Prices!A179</f>
        <v>41863</v>
      </c>
      <c r="J179" s="3">
        <f>Prices!E179</f>
        <v>22.5</v>
      </c>
      <c r="K179" s="99">
        <f t="shared" si="8"/>
        <v>-1.7746671794735135E-3</v>
      </c>
      <c r="L179" s="99">
        <f t="shared" si="9"/>
        <v>-6.7112673047421108E-3</v>
      </c>
      <c r="M179" s="3">
        <f>Prices!M179</f>
        <v>22.09</v>
      </c>
      <c r="N179" s="99">
        <f t="shared" si="10"/>
        <v>4.5289855072470854E-4</v>
      </c>
      <c r="O179" s="99">
        <f t="shared" si="11"/>
        <v>-1.023711740182394E-3</v>
      </c>
    </row>
    <row r="180" spans="9:15">
      <c r="I180" s="178">
        <f>Prices!A180</f>
        <v>41864</v>
      </c>
      <c r="J180" s="3">
        <f>Prices!E180</f>
        <v>22.540001</v>
      </c>
      <c r="K180" s="99">
        <f t="shared" si="8"/>
        <v>0</v>
      </c>
      <c r="L180" s="99">
        <f t="shared" si="9"/>
        <v>-6.4475728192147381E-3</v>
      </c>
      <c r="M180" s="3">
        <f>Prices!M180</f>
        <v>22.08</v>
      </c>
      <c r="N180" s="99">
        <f t="shared" si="10"/>
        <v>-4.9572327644329742E-3</v>
      </c>
      <c r="O180" s="99">
        <f t="shared" si="11"/>
        <v>-1.2671094271005253E-3</v>
      </c>
    </row>
    <row r="181" spans="9:15">
      <c r="I181" s="178">
        <f>Prices!A181</f>
        <v>41865</v>
      </c>
      <c r="J181" s="3">
        <f>Prices!E181</f>
        <v>22.540001</v>
      </c>
      <c r="K181" s="99">
        <f t="shared" si="8"/>
        <v>-1.442938284086644E-2</v>
      </c>
      <c r="L181" s="99">
        <f t="shared" si="9"/>
        <v>-6.5252145117613222E-3</v>
      </c>
      <c r="M181" s="3">
        <f>Prices!M181</f>
        <v>22.190000999999999</v>
      </c>
      <c r="N181" s="99">
        <f t="shared" si="10"/>
        <v>9.0216508795656501E-4</v>
      </c>
      <c r="O181" s="99">
        <f t="shared" si="11"/>
        <v>-1.1513459893235383E-3</v>
      </c>
    </row>
    <row r="182" spans="9:15">
      <c r="I182" s="178">
        <f>Prices!A182</f>
        <v>41866</v>
      </c>
      <c r="J182" s="3">
        <f>Prices!E182</f>
        <v>22.870000999999998</v>
      </c>
      <c r="K182" s="99">
        <f t="shared" si="8"/>
        <v>-2.969872719558769E-2</v>
      </c>
      <c r="L182" s="99">
        <f t="shared" si="9"/>
        <v>-5.6088895630149582E-3</v>
      </c>
      <c r="M182" s="3">
        <f>Prices!M182</f>
        <v>22.17</v>
      </c>
      <c r="N182" s="99">
        <f t="shared" si="10"/>
        <v>-2.6990553306342202E-3</v>
      </c>
      <c r="O182" s="99">
        <f t="shared" si="11"/>
        <v>-9.3085220742211879E-4</v>
      </c>
    </row>
    <row r="183" spans="9:15">
      <c r="I183" s="178">
        <f>Prices!A183</f>
        <v>41869</v>
      </c>
      <c r="J183" s="3">
        <f>Prices!E183</f>
        <v>23.57</v>
      </c>
      <c r="K183" s="99">
        <f t="shared" si="8"/>
        <v>-6.0581905141490616E-2</v>
      </c>
      <c r="L183" s="99">
        <f t="shared" si="9"/>
        <v>-4.6827219678302265E-3</v>
      </c>
      <c r="M183" s="3">
        <f>Prices!M183</f>
        <v>22.23</v>
      </c>
      <c r="N183" s="99">
        <f t="shared" si="10"/>
        <v>-9.3583329162952502E-3</v>
      </c>
      <c r="O183" s="99">
        <f t="shared" si="11"/>
        <v>-1.0381923817585612E-3</v>
      </c>
    </row>
    <row r="184" spans="9:15">
      <c r="I184" s="178">
        <f>Prices!A184</f>
        <v>41870</v>
      </c>
      <c r="J184" s="3">
        <f>Prices!E184</f>
        <v>25.09</v>
      </c>
      <c r="K184" s="99">
        <f t="shared" si="8"/>
        <v>2.3970834040318756E-3</v>
      </c>
      <c r="L184" s="99">
        <f t="shared" si="9"/>
        <v>-2.0928914166380469E-3</v>
      </c>
      <c r="M184" s="3">
        <f>Prices!M184</f>
        <v>22.440000999999999</v>
      </c>
      <c r="N184" s="99">
        <f t="shared" si="10"/>
        <v>-5.7598139122729966E-3</v>
      </c>
      <c r="O184" s="99">
        <f t="shared" si="11"/>
        <v>-5.8477760340865101E-5</v>
      </c>
    </row>
    <row r="185" spans="9:15">
      <c r="I185" s="178">
        <f>Prices!A185</f>
        <v>41871</v>
      </c>
      <c r="J185" s="3">
        <f>Prices!E185</f>
        <v>25.030000999999999</v>
      </c>
      <c r="K185" s="99">
        <f t="shared" si="8"/>
        <v>-4.7713320079522852E-3</v>
      </c>
      <c r="L185" s="99">
        <f t="shared" si="9"/>
        <v>-2.4787030336481525E-3</v>
      </c>
      <c r="M185" s="3">
        <f>Prices!M185</f>
        <v>22.57</v>
      </c>
      <c r="N185" s="99">
        <f t="shared" si="10"/>
        <v>8.8696234531986465E-4</v>
      </c>
      <c r="O185" s="99">
        <f t="shared" si="11"/>
        <v>1.6284404638389893E-4</v>
      </c>
    </row>
    <row r="186" spans="9:15">
      <c r="I186" s="178">
        <f>Prices!A186</f>
        <v>41872</v>
      </c>
      <c r="J186" s="3">
        <f>Prices!E186</f>
        <v>25.15</v>
      </c>
      <c r="K186" s="99">
        <f t="shared" si="8"/>
        <v>-7.889546351084924E-3</v>
      </c>
      <c r="L186" s="99">
        <f t="shared" si="9"/>
        <v>-1.5857869336354496E-3</v>
      </c>
      <c r="M186" s="3">
        <f>Prices!M186</f>
        <v>22.549999</v>
      </c>
      <c r="N186" s="99">
        <f t="shared" si="10"/>
        <v>1.7769435806307471E-3</v>
      </c>
      <c r="O186" s="99">
        <f t="shared" si="11"/>
        <v>8.6274491423292215E-4</v>
      </c>
    </row>
    <row r="187" spans="9:15">
      <c r="I187" s="178">
        <f>Prices!A187</f>
        <v>41873</v>
      </c>
      <c r="J187" s="3">
        <f>Prices!E187</f>
        <v>25.35</v>
      </c>
      <c r="K187" s="99">
        <f t="shared" si="8"/>
        <v>-2.3612750885477654E-3</v>
      </c>
      <c r="L187" s="99">
        <f t="shared" si="9"/>
        <v>4.1774878677934194E-4</v>
      </c>
      <c r="M187" s="3">
        <f>Prices!M187</f>
        <v>22.51</v>
      </c>
      <c r="N187" s="99">
        <f t="shared" si="10"/>
        <v>-5.3026515820880048E-3</v>
      </c>
      <c r="O187" s="99">
        <f t="shared" si="11"/>
        <v>1.091643975884722E-3</v>
      </c>
    </row>
    <row r="188" spans="9:15">
      <c r="I188" s="178">
        <f>Prices!A188</f>
        <v>41876</v>
      </c>
      <c r="J188" s="3">
        <f>Prices!E188</f>
        <v>25.41</v>
      </c>
      <c r="K188" s="99">
        <f t="shared" si="8"/>
        <v>-9.3567251461987699E-3</v>
      </c>
      <c r="L188" s="99">
        <f t="shared" si="9"/>
        <v>7.552878093422165E-4</v>
      </c>
      <c r="M188" s="3">
        <f>Prices!M188</f>
        <v>22.629999000000002</v>
      </c>
      <c r="N188" s="99">
        <f t="shared" si="10"/>
        <v>4.4199821211338852E-4</v>
      </c>
      <c r="O188" s="99">
        <f t="shared" si="11"/>
        <v>1.3794854559882116E-3</v>
      </c>
    </row>
    <row r="189" spans="9:15">
      <c r="I189" s="178">
        <f>Prices!A189</f>
        <v>41877</v>
      </c>
      <c r="J189" s="3">
        <f>Prices!E189</f>
        <v>25.65</v>
      </c>
      <c r="K189" s="99">
        <f t="shared" si="8"/>
        <v>1.8261174344534559E-2</v>
      </c>
      <c r="L189" s="99">
        <f t="shared" si="9"/>
        <v>7.4881574750953681E-4</v>
      </c>
      <c r="M189" s="3">
        <f>Prices!M189</f>
        <v>22.620000999999998</v>
      </c>
      <c r="N189" s="99">
        <f t="shared" si="10"/>
        <v>-8.8330392594103348E-4</v>
      </c>
      <c r="O189" s="99">
        <f t="shared" si="11"/>
        <v>1.4255983693934587E-3</v>
      </c>
    </row>
    <row r="190" spans="9:15">
      <c r="I190" s="178">
        <f>Prices!A190</f>
        <v>41878</v>
      </c>
      <c r="J190" s="3">
        <f>Prices!E190</f>
        <v>25.190000999999999</v>
      </c>
      <c r="K190" s="99">
        <f t="shared" si="8"/>
        <v>7.9463647199034756E-4</v>
      </c>
      <c r="L190" s="99">
        <f t="shared" si="9"/>
        <v>2.9447063219744675E-4</v>
      </c>
      <c r="M190" s="3">
        <f>Prices!M190</f>
        <v>22.639999</v>
      </c>
      <c r="N190" s="99">
        <f t="shared" si="10"/>
        <v>2.2133244798583302E-3</v>
      </c>
      <c r="O190" s="99">
        <f t="shared" si="11"/>
        <v>2.4197172264875449E-3</v>
      </c>
    </row>
    <row r="191" spans="9:15">
      <c r="I191" s="178">
        <f>Prices!A191</f>
        <v>41879</v>
      </c>
      <c r="J191" s="3">
        <f>Prices!E191</f>
        <v>25.17</v>
      </c>
      <c r="K191" s="99">
        <f t="shared" si="8"/>
        <v>-1.9825139564834909E-3</v>
      </c>
      <c r="L191" s="99">
        <f t="shared" si="9"/>
        <v>3.3464092286472814E-4</v>
      </c>
      <c r="M191" s="3">
        <f>Prices!M191</f>
        <v>22.59</v>
      </c>
      <c r="N191" s="99">
        <f t="shared" si="10"/>
        <v>-2.6490066225164999E-3</v>
      </c>
      <c r="O191" s="99">
        <f t="shared" si="11"/>
        <v>1.7590968320088311E-3</v>
      </c>
    </row>
    <row r="192" spans="9:15">
      <c r="I192" s="178">
        <f>Prices!A192</f>
        <v>41880</v>
      </c>
      <c r="J192" s="3">
        <f>Prices!E192</f>
        <v>25.219999000000001</v>
      </c>
      <c r="K192" s="99">
        <f t="shared" si="8"/>
        <v>-7.0866535433069767E-3</v>
      </c>
      <c r="L192" s="99">
        <f t="shared" si="9"/>
        <v>3.7415055092386836E-5</v>
      </c>
      <c r="M192" s="3">
        <f>Prices!M192</f>
        <v>22.65</v>
      </c>
      <c r="N192" s="99">
        <f t="shared" si="10"/>
        <v>0</v>
      </c>
      <c r="O192" s="99">
        <f t="shared" si="11"/>
        <v>2.0524667033645421E-3</v>
      </c>
    </row>
    <row r="193" spans="9:15">
      <c r="I193" s="178">
        <f>Prices!A193</f>
        <v>41884</v>
      </c>
      <c r="J193" s="3">
        <f>Prices!E193</f>
        <v>25.4</v>
      </c>
      <c r="K193" s="99">
        <f t="shared" si="8"/>
        <v>-3.9354584809136415E-4</v>
      </c>
      <c r="L193" s="99">
        <f t="shared" si="9"/>
        <v>6.9079079445869712E-4</v>
      </c>
      <c r="M193" s="3">
        <f>Prices!M193</f>
        <v>22.65</v>
      </c>
      <c r="N193" s="99">
        <f t="shared" si="10"/>
        <v>-4.3956043956044581E-3</v>
      </c>
      <c r="O193" s="99">
        <f t="shared" si="11"/>
        <v>2.0754657834013441E-3</v>
      </c>
    </row>
    <row r="194" spans="9:15">
      <c r="I194" s="178">
        <f>Prices!A194</f>
        <v>41885</v>
      </c>
      <c r="J194" s="3">
        <f>Prices!E194</f>
        <v>25.41</v>
      </c>
      <c r="K194" s="99">
        <f t="shared" si="8"/>
        <v>-1.2820512820512756E-2</v>
      </c>
      <c r="L194" s="99">
        <f t="shared" si="9"/>
        <v>8.3037216360187186E-4</v>
      </c>
      <c r="M194" s="3">
        <f>Prices!M194</f>
        <v>22.75</v>
      </c>
      <c r="N194" s="99">
        <f t="shared" si="10"/>
        <v>4.4150110375276571E-3</v>
      </c>
      <c r="O194" s="99">
        <f t="shared" si="11"/>
        <v>2.7594962137549054E-3</v>
      </c>
    </row>
    <row r="195" spans="9:15">
      <c r="I195" s="178">
        <f>Prices!A195</f>
        <v>41886</v>
      </c>
      <c r="J195" s="3">
        <f>Prices!E195</f>
        <v>25.74</v>
      </c>
      <c r="K195" s="99">
        <f t="shared" si="8"/>
        <v>0</v>
      </c>
      <c r="L195" s="99">
        <f t="shared" si="9"/>
        <v>1.6720398592021441E-3</v>
      </c>
      <c r="M195" s="3">
        <f>Prices!M195</f>
        <v>22.65</v>
      </c>
      <c r="N195" s="99">
        <f t="shared" si="10"/>
        <v>-1.322751322751373E-3</v>
      </c>
      <c r="O195" s="99">
        <f t="shared" si="11"/>
        <v>2.6784127940945365E-3</v>
      </c>
    </row>
    <row r="196" spans="9:15">
      <c r="I196" s="178">
        <f>Prices!A196</f>
        <v>41887</v>
      </c>
      <c r="J196" s="3">
        <f>Prices!E196</f>
        <v>25.74</v>
      </c>
      <c r="K196" s="99">
        <f t="shared" si="8"/>
        <v>1.4584114521714051E-2</v>
      </c>
      <c r="L196" s="99">
        <f t="shared" si="9"/>
        <v>7.2715796943837049E-4</v>
      </c>
      <c r="M196" s="3">
        <f>Prices!M196</f>
        <v>22.68</v>
      </c>
      <c r="N196" s="99">
        <f t="shared" si="10"/>
        <v>3.9840637450199142E-3</v>
      </c>
      <c r="O196" s="99">
        <f t="shared" si="11"/>
        <v>2.6052722794186458E-3</v>
      </c>
    </row>
    <row r="197" spans="9:15">
      <c r="I197" s="178">
        <f>Prices!A197</f>
        <v>41890</v>
      </c>
      <c r="J197" s="3">
        <f>Prices!E197</f>
        <v>25.370000999999998</v>
      </c>
      <c r="K197" s="99">
        <f t="shared" si="8"/>
        <v>-6.2671364564380605E-3</v>
      </c>
      <c r="L197" s="99">
        <f t="shared" si="9"/>
        <v>-2.1725049051900135E-5</v>
      </c>
      <c r="M197" s="3">
        <f>Prices!M197</f>
        <v>22.59</v>
      </c>
      <c r="N197" s="99">
        <f t="shared" si="10"/>
        <v>-1.7675210679417913E-3</v>
      </c>
      <c r="O197" s="99">
        <f t="shared" si="11"/>
        <v>2.6861834712526142E-3</v>
      </c>
    </row>
    <row r="198" spans="9:15">
      <c r="I198" s="178">
        <f>Prices!A198</f>
        <v>41891</v>
      </c>
      <c r="J198" s="3">
        <f>Prices!E198</f>
        <v>25.530000999999999</v>
      </c>
      <c r="K198" s="99">
        <f t="shared" si="8"/>
        <v>-1.0848431261078414E-2</v>
      </c>
      <c r="L198" s="99">
        <f t="shared" si="9"/>
        <v>1.0710082725709632E-3</v>
      </c>
      <c r="M198" s="3">
        <f>Prices!M198</f>
        <v>22.629999000000002</v>
      </c>
      <c r="N198" s="99">
        <f t="shared" si="10"/>
        <v>3.5476719976795497E-3</v>
      </c>
      <c r="O198" s="99">
        <f t="shared" si="11"/>
        <v>3.3172659643520971E-3</v>
      </c>
    </row>
    <row r="199" spans="9:15">
      <c r="I199" s="178">
        <f>Prices!A199</f>
        <v>41892</v>
      </c>
      <c r="J199" s="3">
        <f>Prices!E199</f>
        <v>25.809999000000001</v>
      </c>
      <c r="K199" s="99">
        <f t="shared" ref="K199:K262" si="12">(J199-J200)/J200</f>
        <v>3.4992225310739654E-3</v>
      </c>
      <c r="L199" s="99">
        <f t="shared" ref="L199:L262" si="13">AVERAGE(K199:K218)</f>
        <v>1.8947823388946751E-3</v>
      </c>
      <c r="M199" s="3">
        <f>Prices!M199</f>
        <v>22.549999</v>
      </c>
      <c r="N199" s="99">
        <f t="shared" ref="N199:N262" si="14">(M199-M200)/M200</f>
        <v>-4.415055187637921E-3</v>
      </c>
      <c r="O199" s="99">
        <f t="shared" ref="O199:O262" si="15">AVERAGE(N199:N218)</f>
        <v>2.8583290898762195E-3</v>
      </c>
    </row>
    <row r="200" spans="9:15">
      <c r="I200" s="178">
        <f>Prices!A200</f>
        <v>41893</v>
      </c>
      <c r="J200" s="3">
        <f>Prices!E200</f>
        <v>25.719999000000001</v>
      </c>
      <c r="K200" s="99">
        <f t="shared" si="12"/>
        <v>-1.5528338509316838E-3</v>
      </c>
      <c r="L200" s="99">
        <f t="shared" si="13"/>
        <v>3.9667763676099884E-3</v>
      </c>
      <c r="M200" s="3">
        <f>Prices!M200</f>
        <v>22.65</v>
      </c>
      <c r="N200" s="99">
        <f t="shared" si="14"/>
        <v>-2.64196400889323E-3</v>
      </c>
      <c r="O200" s="99">
        <f t="shared" si="15"/>
        <v>3.7930252095627315E-3</v>
      </c>
    </row>
    <row r="201" spans="9:15">
      <c r="I201" s="178">
        <f>Prices!A201</f>
        <v>41894</v>
      </c>
      <c r="J201" s="3">
        <f>Prices!E201</f>
        <v>25.76</v>
      </c>
      <c r="K201" s="99">
        <f t="shared" si="12"/>
        <v>3.8971161340608505E-3</v>
      </c>
      <c r="L201" s="99">
        <f t="shared" si="13"/>
        <v>4.8336629070317976E-3</v>
      </c>
      <c r="M201" s="3">
        <f>Prices!M201</f>
        <v>22.709999</v>
      </c>
      <c r="N201" s="99">
        <f t="shared" si="14"/>
        <v>5.312040725984948E-3</v>
      </c>
      <c r="O201" s="99">
        <f t="shared" si="15"/>
        <v>4.649413642952363E-3</v>
      </c>
    </row>
    <row r="202" spans="9:15">
      <c r="I202" s="178">
        <f>Prices!A202</f>
        <v>41897</v>
      </c>
      <c r="J202" s="3">
        <f>Prices!E202</f>
        <v>25.66</v>
      </c>
      <c r="K202" s="99">
        <f t="shared" si="12"/>
        <v>-1.117537529189306E-2</v>
      </c>
      <c r="L202" s="99">
        <f t="shared" si="13"/>
        <v>5.3089368309871899E-3</v>
      </c>
      <c r="M202" s="3">
        <f>Prices!M202</f>
        <v>22.59</v>
      </c>
      <c r="N202" s="99">
        <f t="shared" si="14"/>
        <v>-4.8458588173630676E-3</v>
      </c>
      <c r="O202" s="99">
        <f t="shared" si="15"/>
        <v>5.1436130772413531E-3</v>
      </c>
    </row>
    <row r="203" spans="9:15">
      <c r="I203" s="178">
        <f>Prices!A203</f>
        <v>41898</v>
      </c>
      <c r="J203" s="3">
        <f>Prices!E203</f>
        <v>25.950001</v>
      </c>
      <c r="K203" s="99">
        <f t="shared" si="12"/>
        <v>-8.7852941176470353E-3</v>
      </c>
      <c r="L203" s="99">
        <f t="shared" si="13"/>
        <v>6.3478430901257139E-3</v>
      </c>
      <c r="M203" s="3">
        <f>Prices!M203</f>
        <v>22.700001</v>
      </c>
      <c r="N203" s="99">
        <f t="shared" si="14"/>
        <v>1.0235959512058674E-2</v>
      </c>
      <c r="O203" s="99">
        <f t="shared" si="15"/>
        <v>5.8559728399831716E-3</v>
      </c>
    </row>
    <row r="204" spans="9:15">
      <c r="I204" s="178">
        <f>Prices!A204</f>
        <v>41899</v>
      </c>
      <c r="J204" s="3">
        <f>Prices!E204</f>
        <v>26.18</v>
      </c>
      <c r="K204" s="99">
        <f t="shared" si="12"/>
        <v>-5.3191489361702343E-3</v>
      </c>
      <c r="L204" s="99">
        <f t="shared" si="13"/>
        <v>6.984303238602281E-3</v>
      </c>
      <c r="M204" s="3">
        <f>Prices!M204</f>
        <v>22.469999000000001</v>
      </c>
      <c r="N204" s="99">
        <f t="shared" si="14"/>
        <v>-1.3333777777777161E-3</v>
      </c>
      <c r="O204" s="99">
        <f t="shared" si="15"/>
        <v>4.8057485305574282E-3</v>
      </c>
    </row>
    <row r="205" spans="9:15">
      <c r="I205" s="178">
        <f>Prices!A205</f>
        <v>41900</v>
      </c>
      <c r="J205" s="3">
        <f>Prices!E205</f>
        <v>26.32</v>
      </c>
      <c r="K205" s="99">
        <f t="shared" si="12"/>
        <v>1.3086989992301765E-2</v>
      </c>
      <c r="L205" s="99">
        <f t="shared" si="13"/>
        <v>4.5553996860269244E-3</v>
      </c>
      <c r="M205" s="3">
        <f>Prices!M205</f>
        <v>22.5</v>
      </c>
      <c r="N205" s="99">
        <f t="shared" si="14"/>
        <v>1.4884979702300329E-2</v>
      </c>
      <c r="O205" s="99">
        <f t="shared" si="15"/>
        <v>4.2202411224499985E-3</v>
      </c>
    </row>
    <row r="206" spans="9:15">
      <c r="I206" s="178">
        <f>Prices!A206</f>
        <v>41901</v>
      </c>
      <c r="J206" s="3">
        <f>Prices!E206</f>
        <v>25.98</v>
      </c>
      <c r="K206" s="99">
        <f t="shared" si="12"/>
        <v>3.2181168057210913E-2</v>
      </c>
      <c r="L206" s="99">
        <f t="shared" si="13"/>
        <v>2.5693311118242267E-3</v>
      </c>
      <c r="M206" s="3">
        <f>Prices!M206</f>
        <v>22.17</v>
      </c>
      <c r="N206" s="99">
        <f t="shared" si="14"/>
        <v>6.3549248136667404E-3</v>
      </c>
      <c r="O206" s="99">
        <f t="shared" si="15"/>
        <v>3.0924830473785612E-3</v>
      </c>
    </row>
    <row r="207" spans="9:15">
      <c r="I207" s="178">
        <f>Prices!A207</f>
        <v>41904</v>
      </c>
      <c r="J207" s="3">
        <f>Prices!E207</f>
        <v>25.17</v>
      </c>
      <c r="K207" s="99">
        <f t="shared" si="12"/>
        <v>4.3895053627097296E-3</v>
      </c>
      <c r="L207" s="99">
        <f t="shared" si="13"/>
        <v>-1.0607602721325708E-4</v>
      </c>
      <c r="M207" s="3">
        <f>Prices!M207</f>
        <v>22.030000999999999</v>
      </c>
      <c r="N207" s="99">
        <f t="shared" si="14"/>
        <v>4.5417801998179103E-4</v>
      </c>
      <c r="O207" s="99">
        <f t="shared" si="15"/>
        <v>2.0425710060339086E-3</v>
      </c>
    </row>
    <row r="208" spans="9:15">
      <c r="I208" s="178">
        <f>Prices!A208</f>
        <v>41905</v>
      </c>
      <c r="J208" s="3">
        <f>Prices!E208</f>
        <v>25.059999000000001</v>
      </c>
      <c r="K208" s="99">
        <f t="shared" si="12"/>
        <v>-9.4861663828523651E-3</v>
      </c>
      <c r="L208" s="99">
        <f t="shared" si="13"/>
        <v>7.846626731615521E-4</v>
      </c>
      <c r="M208" s="3">
        <f>Prices!M208</f>
        <v>22.02</v>
      </c>
      <c r="N208" s="99">
        <f t="shared" si="14"/>
        <v>1.3642564802183329E-3</v>
      </c>
      <c r="O208" s="99">
        <f t="shared" si="15"/>
        <v>2.8116087461096798E-3</v>
      </c>
    </row>
    <row r="209" spans="9:15">
      <c r="I209" s="178">
        <f>Prices!A209</f>
        <v>41906</v>
      </c>
      <c r="J209" s="3">
        <f>Prices!E209</f>
        <v>25.299999</v>
      </c>
      <c r="K209" s="99">
        <f t="shared" si="12"/>
        <v>9.1742720382927568E-3</v>
      </c>
      <c r="L209" s="99">
        <f t="shared" si="13"/>
        <v>1.7287304601664981E-4</v>
      </c>
      <c r="M209" s="3">
        <f>Prices!M209</f>
        <v>21.99</v>
      </c>
      <c r="N209" s="99">
        <f t="shared" si="14"/>
        <v>1.8999073215940694E-2</v>
      </c>
      <c r="O209" s="99">
        <f t="shared" si="15"/>
        <v>2.0571701442366778E-3</v>
      </c>
    </row>
    <row r="210" spans="9:15">
      <c r="I210" s="178">
        <f>Prices!A210</f>
        <v>41907</v>
      </c>
      <c r="J210" s="3">
        <f>Prices!E210</f>
        <v>25.07</v>
      </c>
      <c r="K210" s="99">
        <f t="shared" si="12"/>
        <v>1.5980422853359723E-3</v>
      </c>
      <c r="L210" s="99">
        <f t="shared" si="13"/>
        <v>-1.2736195050971238E-4</v>
      </c>
      <c r="M210" s="3">
        <f>Prices!M210</f>
        <v>21.58</v>
      </c>
      <c r="N210" s="99">
        <f t="shared" si="14"/>
        <v>-1.0999083409715948E-2</v>
      </c>
      <c r="O210" s="99">
        <f t="shared" si="15"/>
        <v>8.7169834872462032E-4</v>
      </c>
    </row>
    <row r="211" spans="9:15">
      <c r="I211" s="178">
        <f>Prices!A211</f>
        <v>41908</v>
      </c>
      <c r="J211" s="3">
        <f>Prices!E211</f>
        <v>25.030000999999999</v>
      </c>
      <c r="K211" s="99">
        <f t="shared" si="12"/>
        <v>-7.9270313119303142E-3</v>
      </c>
      <c r="L211" s="99">
        <f t="shared" si="13"/>
        <v>4.9583158420282182E-4</v>
      </c>
      <c r="M211" s="3">
        <f>Prices!M211</f>
        <v>21.82</v>
      </c>
      <c r="N211" s="99">
        <f t="shared" si="14"/>
        <v>3.2183908045977142E-3</v>
      </c>
      <c r="O211" s="99">
        <f t="shared" si="15"/>
        <v>1.5633624861447551E-3</v>
      </c>
    </row>
    <row r="212" spans="9:15">
      <c r="I212" s="178">
        <f>Prices!A212</f>
        <v>41911</v>
      </c>
      <c r="J212" s="3">
        <f>Prices!E212</f>
        <v>25.23</v>
      </c>
      <c r="K212" s="99">
        <f t="shared" si="12"/>
        <v>5.9808612440192237E-3</v>
      </c>
      <c r="L212" s="99">
        <f t="shared" si="13"/>
        <v>-6.0820851037213654E-4</v>
      </c>
      <c r="M212" s="3">
        <f>Prices!M212</f>
        <v>21.75</v>
      </c>
      <c r="N212" s="99">
        <f t="shared" si="14"/>
        <v>4.5998160073604249E-4</v>
      </c>
      <c r="O212" s="99">
        <f t="shared" si="15"/>
        <v>9.3449490978703609E-4</v>
      </c>
    </row>
    <row r="213" spans="9:15">
      <c r="I213" s="178">
        <f>Prices!A213</f>
        <v>41912</v>
      </c>
      <c r="J213" s="3">
        <f>Prices!E213</f>
        <v>25.08</v>
      </c>
      <c r="K213" s="99">
        <f t="shared" si="12"/>
        <v>2.3980815347721313E-3</v>
      </c>
      <c r="L213" s="99">
        <f t="shared" si="13"/>
        <v>4.1274842742690246E-4</v>
      </c>
      <c r="M213" s="3">
        <f>Prices!M213</f>
        <v>21.74</v>
      </c>
      <c r="N213" s="99">
        <f t="shared" si="14"/>
        <v>9.285004211466762E-3</v>
      </c>
      <c r="O213" s="99">
        <f t="shared" si="15"/>
        <v>1.2886811374911693E-3</v>
      </c>
    </row>
    <row r="214" spans="9:15">
      <c r="I214" s="178">
        <f>Prices!A214</f>
        <v>41913</v>
      </c>
      <c r="J214" s="3">
        <f>Prices!E214</f>
        <v>25.02</v>
      </c>
      <c r="K214" s="99">
        <f t="shared" si="12"/>
        <v>4.0128410914926907E-3</v>
      </c>
      <c r="L214" s="99">
        <f t="shared" si="13"/>
        <v>-7.4515208338939653E-4</v>
      </c>
      <c r="M214" s="3">
        <f>Prices!M214</f>
        <v>21.540001</v>
      </c>
      <c r="N214" s="99">
        <f t="shared" si="14"/>
        <v>2.7933426443202862E-3</v>
      </c>
      <c r="O214" s="99">
        <f t="shared" si="15"/>
        <v>9.1890187637460599E-4</v>
      </c>
    </row>
    <row r="215" spans="9:15">
      <c r="I215" s="178">
        <f>Prices!A215</f>
        <v>41914</v>
      </c>
      <c r="J215" s="3">
        <f>Prices!E215</f>
        <v>24.92</v>
      </c>
      <c r="K215" s="99">
        <f t="shared" si="12"/>
        <v>-1.8897637795275469E-2</v>
      </c>
      <c r="L215" s="99">
        <f t="shared" si="13"/>
        <v>-2.2986885739396407E-3</v>
      </c>
      <c r="M215" s="3">
        <f>Prices!M215</f>
        <v>21.48</v>
      </c>
      <c r="N215" s="99">
        <f t="shared" si="14"/>
        <v>-2.78556161626918E-3</v>
      </c>
      <c r="O215" s="99">
        <f t="shared" si="15"/>
        <v>1.0356136691379711E-4</v>
      </c>
    </row>
    <row r="216" spans="9:15">
      <c r="I216" s="178">
        <f>Prices!A216</f>
        <v>41915</v>
      </c>
      <c r="J216" s="3">
        <f>Prices!E216</f>
        <v>25.4</v>
      </c>
      <c r="K216" s="99">
        <f t="shared" si="12"/>
        <v>-3.9354584809136415E-4</v>
      </c>
      <c r="L216" s="99">
        <f t="shared" si="13"/>
        <v>-2.0304984134991814E-3</v>
      </c>
      <c r="M216" s="3">
        <f>Prices!M216</f>
        <v>21.540001</v>
      </c>
      <c r="N216" s="99">
        <f t="shared" si="14"/>
        <v>5.6022875816992748E-3</v>
      </c>
      <c r="O216" s="99">
        <f t="shared" si="15"/>
        <v>6.8947555492048656E-4</v>
      </c>
    </row>
    <row r="217" spans="9:15">
      <c r="I217" s="178">
        <f>Prices!A217</f>
        <v>41918</v>
      </c>
      <c r="J217" s="3">
        <f>Prices!E217</f>
        <v>25.41</v>
      </c>
      <c r="K217" s="99">
        <f t="shared" si="12"/>
        <v>1.5587529976019207E-2</v>
      </c>
      <c r="L217" s="99">
        <f t="shared" si="13"/>
        <v>-2.1794254609745502E-3</v>
      </c>
      <c r="M217" s="3">
        <f>Prices!M217</f>
        <v>21.42</v>
      </c>
      <c r="N217" s="99">
        <f t="shared" si="14"/>
        <v>1.0854128794047862E-2</v>
      </c>
      <c r="O217" s="99">
        <f t="shared" si="15"/>
        <v>7.8832610340705386E-4</v>
      </c>
    </row>
    <row r="218" spans="9:15">
      <c r="I218" s="178">
        <f>Prices!A218</f>
        <v>41919</v>
      </c>
      <c r="J218" s="3">
        <f>Prices!E218</f>
        <v>25.02</v>
      </c>
      <c r="K218" s="99">
        <f t="shared" si="12"/>
        <v>5.6270500653958239E-3</v>
      </c>
      <c r="L218" s="99">
        <f t="shared" si="13"/>
        <v>-2.6572565508627857E-3</v>
      </c>
      <c r="M218" s="3">
        <f>Prices!M218</f>
        <v>21.190000999999999</v>
      </c>
      <c r="N218" s="99">
        <f t="shared" si="14"/>
        <v>-5.6310654918380089E-3</v>
      </c>
      <c r="O218" s="99">
        <f t="shared" si="15"/>
        <v>-2.7008357117578414E-4</v>
      </c>
    </row>
    <row r="219" spans="9:15">
      <c r="I219" s="178">
        <f>Prices!A219</f>
        <v>41920</v>
      </c>
      <c r="J219" s="3">
        <f>Prices!E219</f>
        <v>24.879999000000002</v>
      </c>
      <c r="K219" s="99">
        <f t="shared" si="12"/>
        <v>4.4939103105380233E-2</v>
      </c>
      <c r="L219" s="99">
        <f t="shared" si="13"/>
        <v>-3.3868701673189809E-3</v>
      </c>
      <c r="M219" s="3">
        <f>Prices!M219</f>
        <v>21.309999000000001</v>
      </c>
      <c r="N219" s="99">
        <f t="shared" si="14"/>
        <v>1.4278867206092321E-2</v>
      </c>
      <c r="O219" s="99">
        <f t="shared" si="15"/>
        <v>8.1894589351554225E-5</v>
      </c>
    </row>
    <row r="220" spans="9:15">
      <c r="I220" s="178">
        <f>Prices!A220</f>
        <v>41921</v>
      </c>
      <c r="J220" s="3">
        <f>Prices!E220</f>
        <v>23.809999000000001</v>
      </c>
      <c r="K220" s="99">
        <f t="shared" si="12"/>
        <v>1.5784896937504504E-2</v>
      </c>
      <c r="L220" s="99">
        <f t="shared" si="13"/>
        <v>-6.0413836775342665E-3</v>
      </c>
      <c r="M220" s="3">
        <f>Prices!M220</f>
        <v>21.01</v>
      </c>
      <c r="N220" s="99">
        <f t="shared" si="14"/>
        <v>1.4485804658899391E-2</v>
      </c>
      <c r="O220" s="99">
        <f t="shared" si="15"/>
        <v>-1.0510455121076267E-3</v>
      </c>
    </row>
    <row r="221" spans="9:15">
      <c r="I221" s="178">
        <f>Prices!A221</f>
        <v>41922</v>
      </c>
      <c r="J221" s="3">
        <f>Prices!E221</f>
        <v>23.440000999999999</v>
      </c>
      <c r="K221" s="99">
        <f t="shared" si="12"/>
        <v>1.3402594613168691E-2</v>
      </c>
      <c r="L221" s="99">
        <f t="shared" si="13"/>
        <v>-7.3076927445929803E-3</v>
      </c>
      <c r="M221" s="3">
        <f>Prices!M221</f>
        <v>20.709999</v>
      </c>
      <c r="N221" s="99">
        <f t="shared" si="14"/>
        <v>1.5196029411764768E-2</v>
      </c>
      <c r="O221" s="99">
        <f t="shared" si="15"/>
        <v>-1.9839588326742924E-3</v>
      </c>
    </row>
    <row r="222" spans="9:15">
      <c r="I222" s="178">
        <f>Prices!A222</f>
        <v>41926</v>
      </c>
      <c r="J222" s="3">
        <f>Prices!E222</f>
        <v>23.129999000000002</v>
      </c>
      <c r="K222" s="99">
        <f t="shared" si="12"/>
        <v>9.6027498908774073E-3</v>
      </c>
      <c r="L222" s="99">
        <f t="shared" si="13"/>
        <v>-7.9869951041268549E-3</v>
      </c>
      <c r="M222" s="3">
        <f>Prices!M222</f>
        <v>20.399999999999999</v>
      </c>
      <c r="N222" s="99">
        <f t="shared" si="14"/>
        <v>9.40133643747329E-3</v>
      </c>
      <c r="O222" s="99">
        <f t="shared" si="15"/>
        <v>-2.9054966748368492E-3</v>
      </c>
    </row>
    <row r="223" spans="9:15">
      <c r="I223" s="178">
        <f>Prices!A223</f>
        <v>41927</v>
      </c>
      <c r="J223" s="3">
        <f>Prices!E223</f>
        <v>22.91</v>
      </c>
      <c r="K223" s="99">
        <f t="shared" si="12"/>
        <v>3.9439088518843056E-3</v>
      </c>
      <c r="L223" s="99">
        <f t="shared" si="13"/>
        <v>-8.4763035451123989E-3</v>
      </c>
      <c r="M223" s="3">
        <f>Prices!M223</f>
        <v>20.209999</v>
      </c>
      <c r="N223" s="99">
        <f t="shared" si="14"/>
        <v>-1.0768526676456187E-2</v>
      </c>
      <c r="O223" s="99">
        <f t="shared" si="15"/>
        <v>-3.5367783820727792E-3</v>
      </c>
    </row>
    <row r="224" spans="9:15">
      <c r="I224" s="178">
        <f>Prices!A224</f>
        <v>41928</v>
      </c>
      <c r="J224" s="3">
        <f>Prices!E224</f>
        <v>22.82</v>
      </c>
      <c r="K224" s="99">
        <f t="shared" si="12"/>
        <v>-5.3897219987677374E-2</v>
      </c>
      <c r="L224" s="99">
        <f t="shared" si="13"/>
        <v>-8.4339099630258534E-3</v>
      </c>
      <c r="M224" s="3">
        <f>Prices!M224</f>
        <v>20.43</v>
      </c>
      <c r="N224" s="99">
        <f t="shared" si="14"/>
        <v>-1.3043525939926312E-2</v>
      </c>
      <c r="O224" s="99">
        <f t="shared" si="15"/>
        <v>-2.9983520482499701E-3</v>
      </c>
    </row>
    <row r="225" spans="9:15">
      <c r="I225" s="178">
        <f>Prices!A225</f>
        <v>41929</v>
      </c>
      <c r="J225" s="3">
        <f>Prices!E225</f>
        <v>24.120000999999998</v>
      </c>
      <c r="K225" s="99">
        <f t="shared" si="12"/>
        <v>-2.6634381491752165E-2</v>
      </c>
      <c r="L225" s="99">
        <f t="shared" si="13"/>
        <v>-5.6467317553701912E-3</v>
      </c>
      <c r="M225" s="3">
        <f>Prices!M225</f>
        <v>20.700001</v>
      </c>
      <c r="N225" s="99">
        <f t="shared" si="14"/>
        <v>-7.6701817991283961E-3</v>
      </c>
      <c r="O225" s="99">
        <f t="shared" si="15"/>
        <v>-2.3691960101404107E-3</v>
      </c>
    </row>
    <row r="226" spans="9:15">
      <c r="I226" s="178">
        <f>Prices!A226</f>
        <v>41932</v>
      </c>
      <c r="J226" s="3">
        <f>Prices!E226</f>
        <v>24.780000999999999</v>
      </c>
      <c r="K226" s="99">
        <f t="shared" si="12"/>
        <v>-2.1326974723538769E-2</v>
      </c>
      <c r="L226" s="99">
        <f t="shared" si="13"/>
        <v>-4.517294762346317E-3</v>
      </c>
      <c r="M226" s="3">
        <f>Prices!M226</f>
        <v>20.860001</v>
      </c>
      <c r="N226" s="99">
        <f t="shared" si="14"/>
        <v>-1.4643316013226321E-2</v>
      </c>
      <c r="O226" s="99">
        <f t="shared" si="15"/>
        <v>-2.1005261484798067E-3</v>
      </c>
    </row>
    <row r="227" spans="9:15">
      <c r="I227" s="178">
        <f>Prices!A227</f>
        <v>41933</v>
      </c>
      <c r="J227" s="3">
        <f>Prices!E227</f>
        <v>25.32</v>
      </c>
      <c r="K227" s="99">
        <f t="shared" si="12"/>
        <v>2.2204279370205922E-2</v>
      </c>
      <c r="L227" s="99">
        <f t="shared" si="13"/>
        <v>-3.1735791725217058E-3</v>
      </c>
      <c r="M227" s="3">
        <f>Prices!M227</f>
        <v>21.17</v>
      </c>
      <c r="N227" s="99">
        <f t="shared" si="14"/>
        <v>1.583493282149721E-2</v>
      </c>
      <c r="O227" s="99">
        <f t="shared" si="15"/>
        <v>-1.8009628265344513E-3</v>
      </c>
    </row>
    <row r="228" spans="9:15">
      <c r="I228" s="178">
        <f>Prices!A228</f>
        <v>41934</v>
      </c>
      <c r="J228" s="3">
        <f>Prices!E228</f>
        <v>24.77</v>
      </c>
      <c r="K228" s="99">
        <f t="shared" si="12"/>
        <v>-2.1721958925750424E-2</v>
      </c>
      <c r="L228" s="99">
        <f t="shared" si="13"/>
        <v>-3.9487224163510908E-3</v>
      </c>
      <c r="M228" s="3">
        <f>Prices!M228</f>
        <v>20.84</v>
      </c>
      <c r="N228" s="99">
        <f t="shared" si="14"/>
        <v>-1.3724515557241704E-2</v>
      </c>
      <c r="O228" s="99">
        <f t="shared" si="15"/>
        <v>-2.6836208312456759E-3</v>
      </c>
    </row>
    <row r="229" spans="9:15">
      <c r="I229" s="178">
        <f>Prices!A229</f>
        <v>41935</v>
      </c>
      <c r="J229" s="3">
        <f>Prices!E229</f>
        <v>25.32</v>
      </c>
      <c r="K229" s="99">
        <f t="shared" si="12"/>
        <v>3.1695721077655251E-3</v>
      </c>
      <c r="L229" s="99">
        <f t="shared" si="13"/>
        <v>-3.085009570137698E-3</v>
      </c>
      <c r="M229" s="3">
        <f>Prices!M229</f>
        <v>21.129999000000002</v>
      </c>
      <c r="N229" s="99">
        <f t="shared" si="14"/>
        <v>-4.7103626943004661E-3</v>
      </c>
      <c r="O229" s="99">
        <f t="shared" si="15"/>
        <v>-2.2236393972749962E-3</v>
      </c>
    </row>
    <row r="230" spans="9:15">
      <c r="I230" s="178">
        <f>Prices!A230</f>
        <v>41936</v>
      </c>
      <c r="J230" s="3">
        <f>Prices!E230</f>
        <v>25.24</v>
      </c>
      <c r="K230" s="99">
        <f t="shared" si="12"/>
        <v>1.4061912979586656E-2</v>
      </c>
      <c r="L230" s="99">
        <f t="shared" si="13"/>
        <v>-4.1710982155405227E-3</v>
      </c>
      <c r="M230" s="3">
        <f>Prices!M230</f>
        <v>21.23</v>
      </c>
      <c r="N230" s="99">
        <f t="shared" si="14"/>
        <v>2.8341993386867604E-3</v>
      </c>
      <c r="O230" s="99">
        <f t="shared" si="15"/>
        <v>-2.1684639135969397E-3</v>
      </c>
    </row>
    <row r="231" spans="9:15">
      <c r="I231" s="178">
        <f>Prices!A231</f>
        <v>41939</v>
      </c>
      <c r="J231" s="3">
        <f>Prices!E231</f>
        <v>24.889999</v>
      </c>
      <c r="K231" s="99">
        <f t="shared" si="12"/>
        <v>-3.0007833203429486E-2</v>
      </c>
      <c r="L231" s="99">
        <f t="shared" si="13"/>
        <v>-4.6733154788047987E-3</v>
      </c>
      <c r="M231" s="3">
        <f>Prices!M231</f>
        <v>21.17</v>
      </c>
      <c r="N231" s="99">
        <f t="shared" si="14"/>
        <v>-9.3589607225566702E-3</v>
      </c>
      <c r="O231" s="99">
        <f t="shared" si="15"/>
        <v>-2.0609668121126111E-3</v>
      </c>
    </row>
    <row r="232" spans="9:15">
      <c r="I232" s="178">
        <f>Prices!A232</f>
        <v>41940</v>
      </c>
      <c r="J232" s="3">
        <f>Prices!E232</f>
        <v>25.66</v>
      </c>
      <c r="K232" s="99">
        <f t="shared" si="12"/>
        <v>2.6400000000000007E-2</v>
      </c>
      <c r="L232" s="99">
        <f t="shared" si="13"/>
        <v>-2.2618044095176868E-3</v>
      </c>
      <c r="M232" s="3">
        <f>Prices!M232</f>
        <v>21.370000999999998</v>
      </c>
      <c r="N232" s="99">
        <f t="shared" si="14"/>
        <v>7.543706154818708E-3</v>
      </c>
      <c r="O232" s="99">
        <f t="shared" si="15"/>
        <v>-1.7511014389514725E-3</v>
      </c>
    </row>
    <row r="233" spans="9:15">
      <c r="I233" s="178">
        <f>Prices!A233</f>
        <v>41941</v>
      </c>
      <c r="J233" s="3">
        <f>Prices!E233</f>
        <v>25</v>
      </c>
      <c r="K233" s="99">
        <f t="shared" si="12"/>
        <v>-2.0759928681553855E-2</v>
      </c>
      <c r="L233" s="99">
        <f t="shared" si="13"/>
        <v>-3.3764310041918232E-3</v>
      </c>
      <c r="M233" s="3">
        <f>Prices!M233</f>
        <v>21.209999</v>
      </c>
      <c r="N233" s="99">
        <f t="shared" si="14"/>
        <v>1.8894189891354803E-3</v>
      </c>
      <c r="O233" s="99">
        <f t="shared" si="15"/>
        <v>-2.1056929815503533E-3</v>
      </c>
    </row>
    <row r="234" spans="9:15">
      <c r="I234" s="178">
        <f>Prices!A234</f>
        <v>41942</v>
      </c>
      <c r="J234" s="3">
        <f>Prices!E234</f>
        <v>25.530000999999999</v>
      </c>
      <c r="K234" s="99">
        <f t="shared" si="12"/>
        <v>-2.7057888719512192E-2</v>
      </c>
      <c r="L234" s="99">
        <f t="shared" si="13"/>
        <v>-3.2368559122483453E-3</v>
      </c>
      <c r="M234" s="3">
        <f>Prices!M234</f>
        <v>21.17</v>
      </c>
      <c r="N234" s="99">
        <f t="shared" si="14"/>
        <v>-1.3513467544895883E-2</v>
      </c>
      <c r="O234" s="99">
        <f t="shared" si="15"/>
        <v>-1.9047116582798507E-3</v>
      </c>
    </row>
    <row r="235" spans="9:15">
      <c r="I235" s="178">
        <f>Prices!A235</f>
        <v>41943</v>
      </c>
      <c r="J235" s="3">
        <f>Prices!E235</f>
        <v>26.24</v>
      </c>
      <c r="K235" s="99">
        <f t="shared" si="12"/>
        <v>-1.3533834586466276E-2</v>
      </c>
      <c r="L235" s="99">
        <f t="shared" si="13"/>
        <v>-2.2660575461417322E-3</v>
      </c>
      <c r="M235" s="3">
        <f>Prices!M235</f>
        <v>21.459999</v>
      </c>
      <c r="N235" s="99">
        <f t="shared" si="14"/>
        <v>8.93272214386461E-3</v>
      </c>
      <c r="O235" s="99">
        <f t="shared" si="15"/>
        <v>-5.6114096791219539E-4</v>
      </c>
    </row>
    <row r="236" spans="9:15">
      <c r="I236" s="178">
        <f>Prices!A236</f>
        <v>41946</v>
      </c>
      <c r="J236" s="3">
        <f>Prices!E236</f>
        <v>26.6</v>
      </c>
      <c r="K236" s="99">
        <f t="shared" si="12"/>
        <v>-3.3720867975987464E-3</v>
      </c>
      <c r="L236" s="99">
        <f t="shared" si="13"/>
        <v>-1.1673474681945654E-3</v>
      </c>
      <c r="M236" s="3">
        <f>Prices!M236</f>
        <v>21.27</v>
      </c>
      <c r="N236" s="99">
        <f t="shared" si="14"/>
        <v>7.5792985514306285E-3</v>
      </c>
      <c r="O236" s="99">
        <f t="shared" si="15"/>
        <v>-8.6921125524399082E-4</v>
      </c>
    </row>
    <row r="237" spans="9:15">
      <c r="I237" s="178">
        <f>Prices!A237</f>
        <v>41947</v>
      </c>
      <c r="J237" s="3">
        <f>Prices!E237</f>
        <v>26.690000999999999</v>
      </c>
      <c r="K237" s="99">
        <f t="shared" si="12"/>
        <v>6.0309081782545029E-3</v>
      </c>
      <c r="L237" s="99">
        <f t="shared" si="13"/>
        <v>-1.363043661491294E-3</v>
      </c>
      <c r="M237" s="3">
        <f>Prices!M237</f>
        <v>21.110001</v>
      </c>
      <c r="N237" s="99">
        <f t="shared" si="14"/>
        <v>-1.0314064697608901E-2</v>
      </c>
      <c r="O237" s="99">
        <f t="shared" si="15"/>
        <v>-1.2250685107680352E-3</v>
      </c>
    </row>
    <row r="238" spans="9:15">
      <c r="I238" s="178">
        <f>Prices!A238</f>
        <v>41948</v>
      </c>
      <c r="J238" s="3">
        <f>Prices!E238</f>
        <v>26.530000999999999</v>
      </c>
      <c r="K238" s="99">
        <f t="shared" si="12"/>
        <v>-8.9652222637280898E-3</v>
      </c>
      <c r="L238" s="99">
        <f t="shared" si="13"/>
        <v>-2.4710388911925465E-3</v>
      </c>
      <c r="M238" s="3">
        <f>Prices!M238</f>
        <v>21.33</v>
      </c>
      <c r="N238" s="99">
        <f t="shared" si="14"/>
        <v>1.408497718708748E-3</v>
      </c>
      <c r="O238" s="99">
        <f t="shared" si="15"/>
        <v>-1.121833195227647E-3</v>
      </c>
    </row>
    <row r="239" spans="9:15">
      <c r="I239" s="178">
        <f>Prices!A239</f>
        <v>41949</v>
      </c>
      <c r="J239" s="3">
        <f>Prices!E239</f>
        <v>26.77</v>
      </c>
      <c r="K239" s="99">
        <f t="shared" si="12"/>
        <v>-8.1511670989254867E-3</v>
      </c>
      <c r="L239" s="99">
        <f t="shared" si="13"/>
        <v>-1.7887122396554056E-3</v>
      </c>
      <c r="M239" s="3">
        <f>Prices!M239</f>
        <v>21.299999</v>
      </c>
      <c r="N239" s="99">
        <f t="shared" si="14"/>
        <v>-8.379934823091283E-3</v>
      </c>
      <c r="O239" s="99">
        <f t="shared" si="15"/>
        <v>-2.3476158419904835E-4</v>
      </c>
    </row>
    <row r="240" spans="9:15">
      <c r="I240" s="178">
        <f>Prices!A240</f>
        <v>41950</v>
      </c>
      <c r="J240" s="3">
        <f>Prices!E240</f>
        <v>26.99</v>
      </c>
      <c r="K240" s="99">
        <f t="shared" si="12"/>
        <v>-9.5412844036697822E-3</v>
      </c>
      <c r="L240" s="99">
        <f t="shared" si="13"/>
        <v>-3.4688005375731771E-3</v>
      </c>
      <c r="M240" s="3">
        <f>Prices!M240</f>
        <v>21.48</v>
      </c>
      <c r="N240" s="99">
        <f t="shared" si="14"/>
        <v>-4.1724617524339291E-3</v>
      </c>
      <c r="O240" s="99">
        <f t="shared" si="15"/>
        <v>2.5439652599954275E-4</v>
      </c>
    </row>
    <row r="241" spans="9:15">
      <c r="I241" s="178">
        <f>Prices!A241</f>
        <v>41953</v>
      </c>
      <c r="J241" s="3">
        <f>Prices!E241</f>
        <v>27.25</v>
      </c>
      <c r="K241" s="99">
        <f t="shared" si="12"/>
        <v>-1.8345257750880783E-4</v>
      </c>
      <c r="L241" s="99">
        <f t="shared" si="13"/>
        <v>-2.9917363173896879E-3</v>
      </c>
      <c r="M241" s="3">
        <f>Prices!M241</f>
        <v>21.57</v>
      </c>
      <c r="N241" s="99">
        <f t="shared" si="14"/>
        <v>-3.2347274314863798E-3</v>
      </c>
      <c r="O241" s="99">
        <f t="shared" si="15"/>
        <v>1.5136356092938345E-3</v>
      </c>
    </row>
    <row r="242" spans="9:15">
      <c r="I242" s="178">
        <f>Prices!A242</f>
        <v>41954</v>
      </c>
      <c r="J242" s="3">
        <f>AVERAGE(J241,J243)</f>
        <v>27.255000000000003</v>
      </c>
      <c r="K242" s="99">
        <f t="shared" si="12"/>
        <v>-1.8341892883341911E-4</v>
      </c>
      <c r="L242" s="99">
        <f t="shared" si="13"/>
        <v>-2.4419288786084251E-3</v>
      </c>
      <c r="M242" s="3">
        <f>AVERAGE(M241,M243)</f>
        <v>21.639999500000002</v>
      </c>
      <c r="N242" s="99">
        <f t="shared" si="14"/>
        <v>-3.224297707245311E-3</v>
      </c>
      <c r="O242" s="99">
        <f t="shared" si="15"/>
        <v>1.6038459879484524E-3</v>
      </c>
    </row>
    <row r="243" spans="9:15">
      <c r="I243" s="178">
        <f>Prices!A243</f>
        <v>41955</v>
      </c>
      <c r="J243" s="3">
        <f>Prices!E243</f>
        <v>27.26</v>
      </c>
      <c r="K243" s="99">
        <f t="shared" si="12"/>
        <v>4.791780493615205E-3</v>
      </c>
      <c r="L243" s="99">
        <f t="shared" si="13"/>
        <v>-6.6316789134298715E-4</v>
      </c>
      <c r="M243" s="3">
        <f>Prices!M243</f>
        <v>21.709999</v>
      </c>
      <c r="N243" s="99">
        <f t="shared" si="14"/>
        <v>0</v>
      </c>
      <c r="O243" s="99">
        <f t="shared" si="15"/>
        <v>2.9613474944044709E-3</v>
      </c>
    </row>
    <row r="244" spans="9:15">
      <c r="I244" s="178">
        <f>Prices!A244</f>
        <v>41956</v>
      </c>
      <c r="J244" s="3">
        <f>Prices!E244</f>
        <v>27.129999000000002</v>
      </c>
      <c r="K244" s="99">
        <f t="shared" si="12"/>
        <v>1.8463441654358655E-3</v>
      </c>
      <c r="L244" s="99">
        <f t="shared" si="13"/>
        <v>-1.9112477157406666E-3</v>
      </c>
      <c r="M244" s="3">
        <f>Prices!M244</f>
        <v>21.709999</v>
      </c>
      <c r="N244" s="99">
        <f t="shared" si="14"/>
        <v>-4.6040517773511698E-4</v>
      </c>
      <c r="O244" s="99">
        <f t="shared" si="15"/>
        <v>2.6942275332582847E-3</v>
      </c>
    </row>
    <row r="245" spans="9:15">
      <c r="I245" s="178">
        <f>Prices!A245</f>
        <v>41957</v>
      </c>
      <c r="J245" s="3">
        <f>Prices!E245</f>
        <v>27.08</v>
      </c>
      <c r="K245" s="99">
        <f t="shared" si="12"/>
        <v>-4.0456416312746905E-3</v>
      </c>
      <c r="L245" s="99">
        <f t="shared" si="13"/>
        <v>-2.5633969743973388E-3</v>
      </c>
      <c r="M245" s="3">
        <f>Prices!M245</f>
        <v>21.719999000000001</v>
      </c>
      <c r="N245" s="99">
        <f t="shared" si="14"/>
        <v>-2.2967845659163156E-3</v>
      </c>
      <c r="O245" s="99">
        <f t="shared" si="15"/>
        <v>3.3566968821598007E-3</v>
      </c>
    </row>
    <row r="246" spans="9:15">
      <c r="I246" s="178">
        <f>Prices!A246</f>
        <v>41960</v>
      </c>
      <c r="J246" s="3">
        <f>Prices!E246</f>
        <v>27.190000999999999</v>
      </c>
      <c r="K246" s="99">
        <f t="shared" si="12"/>
        <v>5.5473370729534578E-3</v>
      </c>
      <c r="L246" s="99">
        <f t="shared" si="13"/>
        <v>-2.4484341414301608E-3</v>
      </c>
      <c r="M246" s="3">
        <f>Prices!M246</f>
        <v>21.77</v>
      </c>
      <c r="N246" s="99">
        <f t="shared" si="14"/>
        <v>-8.6520495743192087E-3</v>
      </c>
      <c r="O246" s="99">
        <f t="shared" si="15"/>
        <v>3.5948078006295958E-3</v>
      </c>
    </row>
    <row r="247" spans="9:15">
      <c r="I247" s="178">
        <f>Prices!A247</f>
        <v>41961</v>
      </c>
      <c r="J247" s="3">
        <f>Prices!E247</f>
        <v>27.040001</v>
      </c>
      <c r="K247" s="99">
        <f t="shared" si="12"/>
        <v>6.7014144936182133E-3</v>
      </c>
      <c r="L247" s="99">
        <f t="shared" si="13"/>
        <v>-2.0352928506019077E-3</v>
      </c>
      <c r="M247" s="3">
        <f>Prices!M247</f>
        <v>21.959999</v>
      </c>
      <c r="N247" s="99">
        <f t="shared" si="14"/>
        <v>-1.8182272727272806E-3</v>
      </c>
      <c r="O247" s="99">
        <f t="shared" si="15"/>
        <v>3.51496762439192E-3</v>
      </c>
    </row>
    <row r="248" spans="9:15">
      <c r="I248" s="178">
        <f>Prices!A248</f>
        <v>41962</v>
      </c>
      <c r="J248" s="3">
        <f>Prices!E248</f>
        <v>26.860001</v>
      </c>
      <c r="K248" s="99">
        <f t="shared" si="12"/>
        <v>-4.4477020014825784E-3</v>
      </c>
      <c r="L248" s="99">
        <f t="shared" si="13"/>
        <v>-2.5467926507944652E-3</v>
      </c>
      <c r="M248" s="3">
        <f>Prices!M248</f>
        <v>22</v>
      </c>
      <c r="N248" s="99">
        <f t="shared" si="14"/>
        <v>-4.524886877828118E-3</v>
      </c>
      <c r="O248" s="99">
        <f t="shared" si="15"/>
        <v>2.3219965003384358E-3</v>
      </c>
    </row>
    <row r="249" spans="9:15">
      <c r="I249" s="178">
        <f>Prices!A249</f>
        <v>41963</v>
      </c>
      <c r="J249" s="3">
        <f>Prices!E249</f>
        <v>26.98</v>
      </c>
      <c r="K249" s="99">
        <f t="shared" si="12"/>
        <v>-1.8552200800290942E-2</v>
      </c>
      <c r="L249" s="99">
        <f t="shared" si="13"/>
        <v>-2.5876578139705968E-3</v>
      </c>
      <c r="M249" s="3">
        <f>Prices!M249</f>
        <v>22.1</v>
      </c>
      <c r="N249" s="99">
        <f t="shared" si="14"/>
        <v>-3.6068530207393279E-3</v>
      </c>
      <c r="O249" s="99">
        <f t="shared" si="15"/>
        <v>2.1239173918807842E-3</v>
      </c>
    </row>
    <row r="250" spans="9:15">
      <c r="I250" s="178">
        <f>Prices!A250</f>
        <v>41964</v>
      </c>
      <c r="J250" s="3">
        <f>Prices!E250</f>
        <v>27.49</v>
      </c>
      <c r="K250" s="99">
        <f t="shared" si="12"/>
        <v>4.0175677143011179E-3</v>
      </c>
      <c r="L250" s="99">
        <f t="shared" si="13"/>
        <v>-2.1982405009766323E-3</v>
      </c>
      <c r="M250" s="3">
        <f>Prices!M250</f>
        <v>22.18</v>
      </c>
      <c r="N250" s="99">
        <f t="shared" si="14"/>
        <v>4.9841413683733319E-3</v>
      </c>
      <c r="O250" s="99">
        <f t="shared" si="15"/>
        <v>1.9066922039295408E-3</v>
      </c>
    </row>
    <row r="251" spans="9:15">
      <c r="I251" s="178">
        <f>Prices!A251</f>
        <v>41967</v>
      </c>
      <c r="J251" s="3">
        <f>Prices!E251</f>
        <v>27.379999000000002</v>
      </c>
      <c r="K251" s="99">
        <f t="shared" si="12"/>
        <v>1.8222388182312761E-2</v>
      </c>
      <c r="L251" s="99">
        <f t="shared" si="13"/>
        <v>-1.8017892803203039E-3</v>
      </c>
      <c r="M251" s="3">
        <f>Prices!M251</f>
        <v>22.07</v>
      </c>
      <c r="N251" s="99">
        <f t="shared" si="14"/>
        <v>-3.1616532593338985E-3</v>
      </c>
      <c r="O251" s="99">
        <f t="shared" si="15"/>
        <v>1.5874220808635164E-3</v>
      </c>
    </row>
    <row r="252" spans="9:15">
      <c r="I252" s="178">
        <f>Prices!A252</f>
        <v>41968</v>
      </c>
      <c r="J252" s="3">
        <f>Prices!E252</f>
        <v>26.889999</v>
      </c>
      <c r="K252" s="99">
        <f t="shared" si="12"/>
        <v>4.1074681065172824E-3</v>
      </c>
      <c r="L252" s="99">
        <f t="shared" si="13"/>
        <v>-3.6608593960888239E-3</v>
      </c>
      <c r="M252" s="3">
        <f>Prices!M252</f>
        <v>22.139999</v>
      </c>
      <c r="N252" s="99">
        <f t="shared" si="14"/>
        <v>4.5187530284108957E-4</v>
      </c>
      <c r="O252" s="99">
        <f t="shared" si="15"/>
        <v>1.4206810628639166E-3</v>
      </c>
    </row>
    <row r="253" spans="9:15">
      <c r="I253" s="178">
        <f>Prices!A253</f>
        <v>41969</v>
      </c>
      <c r="J253" s="3">
        <f>Prices!E253</f>
        <v>26.780000999999999</v>
      </c>
      <c r="K253" s="99">
        <f t="shared" si="12"/>
        <v>-1.7968426842684303E-2</v>
      </c>
      <c r="L253" s="99">
        <f t="shared" si="13"/>
        <v>-4.1063700226839795E-3</v>
      </c>
      <c r="M253" s="3">
        <f>Prices!M253</f>
        <v>22.129999000000002</v>
      </c>
      <c r="N253" s="99">
        <f t="shared" si="14"/>
        <v>5.9090454545455244E-3</v>
      </c>
      <c r="O253" s="99">
        <f t="shared" si="15"/>
        <v>1.3285761763131528E-3</v>
      </c>
    </row>
    <row r="254" spans="9:15">
      <c r="I254" s="178">
        <f>Prices!A254</f>
        <v>41970</v>
      </c>
      <c r="J254" s="3">
        <f>Prices!E254</f>
        <v>27.27</v>
      </c>
      <c r="K254" s="99">
        <f t="shared" si="12"/>
        <v>-7.6419213973799435E-3</v>
      </c>
      <c r="L254" s="99">
        <f t="shared" si="13"/>
        <v>-3.968083815684904E-3</v>
      </c>
      <c r="M254" s="3">
        <f>Prices!M254</f>
        <v>22</v>
      </c>
      <c r="N254" s="99">
        <f t="shared" si="14"/>
        <v>1.3357946262457229E-2</v>
      </c>
      <c r="O254" s="99">
        <f t="shared" si="15"/>
        <v>1.1492386218341477E-3</v>
      </c>
    </row>
    <row r="255" spans="9:15">
      <c r="I255" s="178">
        <f>Prices!A255</f>
        <v>41971</v>
      </c>
      <c r="J255" s="3">
        <f>Prices!E255</f>
        <v>27.48</v>
      </c>
      <c r="K255" s="99">
        <f t="shared" si="12"/>
        <v>8.4403669724770793E-3</v>
      </c>
      <c r="L255" s="99">
        <f t="shared" si="13"/>
        <v>-3.5183270534051925E-3</v>
      </c>
      <c r="M255" s="3">
        <f>Prices!M255</f>
        <v>21.709999</v>
      </c>
      <c r="N255" s="99">
        <f t="shared" si="14"/>
        <v>2.771316397228695E-3</v>
      </c>
      <c r="O255" s="99">
        <f t="shared" si="15"/>
        <v>4.3494223463244012E-4</v>
      </c>
    </row>
    <row r="256" spans="9:15">
      <c r="I256" s="178">
        <f>Prices!A256</f>
        <v>41974</v>
      </c>
      <c r="J256" s="3">
        <f>Prices!E256</f>
        <v>27.25</v>
      </c>
      <c r="K256" s="99">
        <f t="shared" si="12"/>
        <v>-7.2860106635333211E-3</v>
      </c>
      <c r="L256" s="99">
        <f t="shared" si="13"/>
        <v>-4.0752981731138208E-3</v>
      </c>
      <c r="M256" s="3">
        <f>Prices!M256</f>
        <v>21.65</v>
      </c>
      <c r="N256" s="99">
        <f t="shared" si="14"/>
        <v>4.621534409497449E-4</v>
      </c>
      <c r="O256" s="99">
        <f t="shared" si="15"/>
        <v>4.8268289759850356E-4</v>
      </c>
    </row>
    <row r="257" spans="9:15">
      <c r="I257" s="178">
        <f>Prices!A257</f>
        <v>41975</v>
      </c>
      <c r="J257" s="3">
        <f>Prices!E257</f>
        <v>27.450001</v>
      </c>
      <c r="K257" s="99">
        <f t="shared" si="12"/>
        <v>-1.612899641577055E-2</v>
      </c>
      <c r="L257" s="99">
        <f t="shared" si="13"/>
        <v>-3.862361582083136E-3</v>
      </c>
      <c r="M257" s="3">
        <f>Prices!M257</f>
        <v>21.639999</v>
      </c>
      <c r="N257" s="99">
        <f t="shared" si="14"/>
        <v>-8.2493583868011346E-3</v>
      </c>
      <c r="O257" s="99">
        <f t="shared" si="15"/>
        <v>-2.4744423895474087E-5</v>
      </c>
    </row>
    <row r="258" spans="9:15">
      <c r="I258" s="178">
        <f>Prices!A258</f>
        <v>41976</v>
      </c>
      <c r="J258" s="3">
        <f>Prices!E258</f>
        <v>27.9</v>
      </c>
      <c r="K258" s="99">
        <f t="shared" si="12"/>
        <v>4.6813107670147288E-3</v>
      </c>
      <c r="L258" s="99">
        <f t="shared" si="13"/>
        <v>-1.8855141306440865E-3</v>
      </c>
      <c r="M258" s="3">
        <f>Prices!M258</f>
        <v>21.82</v>
      </c>
      <c r="N258" s="99">
        <f t="shared" si="14"/>
        <v>1.9149929939280715E-2</v>
      </c>
      <c r="O258" s="99">
        <f t="shared" si="15"/>
        <v>1.7377921193162712E-3</v>
      </c>
    </row>
    <row r="259" spans="9:15">
      <c r="I259" s="178">
        <f>Prices!A259</f>
        <v>41977</v>
      </c>
      <c r="J259" s="3">
        <f>Prices!E259</f>
        <v>27.77</v>
      </c>
      <c r="K259" s="99">
        <f t="shared" si="12"/>
        <v>-4.1752933057280915E-2</v>
      </c>
      <c r="L259" s="99">
        <f t="shared" si="13"/>
        <v>-1.4215011349634084E-3</v>
      </c>
      <c r="M259" s="3">
        <f>Prices!M259</f>
        <v>21.41</v>
      </c>
      <c r="N259" s="99">
        <f t="shared" si="14"/>
        <v>1.4032273808805421E-3</v>
      </c>
      <c r="O259" s="99">
        <f t="shared" si="15"/>
        <v>1.2103027890985343E-3</v>
      </c>
    </row>
    <row r="260" spans="9:15">
      <c r="I260" s="178">
        <f>Prices!A260</f>
        <v>41978</v>
      </c>
      <c r="J260" s="3">
        <f>Prices!E260</f>
        <v>28.98</v>
      </c>
      <c r="K260" s="99">
        <f t="shared" si="12"/>
        <v>0</v>
      </c>
      <c r="L260" s="99">
        <f t="shared" si="13"/>
        <v>3.195250672940478E-4</v>
      </c>
      <c r="M260" s="3">
        <f>Prices!M260</f>
        <v>21.379999000000002</v>
      </c>
      <c r="N260" s="99">
        <f t="shared" si="14"/>
        <v>2.1012319913451906E-2</v>
      </c>
      <c r="O260" s="99">
        <f t="shared" si="15"/>
        <v>9.972162175771401E-4</v>
      </c>
    </row>
    <row r="261" spans="9:15">
      <c r="I261" s="178">
        <f>Prices!A261</f>
        <v>41981</v>
      </c>
      <c r="J261" s="3">
        <f>Prices!E261</f>
        <v>28.98</v>
      </c>
      <c r="K261" s="99">
        <f t="shared" si="12"/>
        <v>1.0812696198116452E-2</v>
      </c>
      <c r="L261" s="99">
        <f t="shared" si="13"/>
        <v>-6.3253205613335566E-4</v>
      </c>
      <c r="M261" s="3">
        <f>Prices!M261</f>
        <v>20.940000999999999</v>
      </c>
      <c r="N261" s="99">
        <f t="shared" si="14"/>
        <v>-1.4305198583940148E-3</v>
      </c>
      <c r="O261" s="99">
        <f t="shared" si="15"/>
        <v>-7.5795822316082184E-4</v>
      </c>
    </row>
    <row r="262" spans="9:15">
      <c r="I262" s="178">
        <f>Prices!A262</f>
        <v>41982</v>
      </c>
      <c r="J262" s="3">
        <f>Prices!E262</f>
        <v>28.67</v>
      </c>
      <c r="K262" s="99">
        <f t="shared" si="12"/>
        <v>3.539180081647534E-2</v>
      </c>
      <c r="L262" s="99">
        <f t="shared" si="13"/>
        <v>-1.0025749120783493E-3</v>
      </c>
      <c r="M262" s="3">
        <f>Prices!M262</f>
        <v>20.969999000000001</v>
      </c>
      <c r="N262" s="99">
        <f t="shared" si="14"/>
        <v>2.3925732421875047E-2</v>
      </c>
      <c r="O262" s="99">
        <f t="shared" si="15"/>
        <v>-2.3619289374823314E-4</v>
      </c>
    </row>
    <row r="263" spans="9:15">
      <c r="I263" s="178">
        <f>Prices!A263</f>
        <v>41983</v>
      </c>
      <c r="J263" s="3">
        <f>Prices!E263</f>
        <v>27.690000999999999</v>
      </c>
      <c r="K263" s="99">
        <f t="shared" ref="K263:K326" si="16">(J263-J264)/J264</f>
        <v>-2.0169815994338387E-2</v>
      </c>
      <c r="L263" s="99">
        <f t="shared" ref="L263:L326" si="17">AVERAGE(K263:K282)</f>
        <v>-1.4591396968438104E-3</v>
      </c>
      <c r="M263" s="3">
        <f>Prices!M263</f>
        <v>20.48</v>
      </c>
      <c r="N263" s="99">
        <f t="shared" ref="N263:N326" si="18">(M263-M264)/M264</f>
        <v>-5.3423992229237214E-3</v>
      </c>
      <c r="O263" s="99">
        <f t="shared" ref="O263:O326" si="19">AVERAGE(N263:N282)</f>
        <v>-1.170449976966799E-3</v>
      </c>
    </row>
    <row r="264" spans="9:15">
      <c r="I264" s="178">
        <f>Prices!A264</f>
        <v>41984</v>
      </c>
      <c r="J264" s="3">
        <f>Prices!E264</f>
        <v>28.26</v>
      </c>
      <c r="K264" s="99">
        <f t="shared" si="16"/>
        <v>-1.1196641007697577E-2</v>
      </c>
      <c r="L264" s="99">
        <f t="shared" si="17"/>
        <v>9.5323514161019024E-4</v>
      </c>
      <c r="M264" s="3">
        <f>Prices!M264</f>
        <v>20.59</v>
      </c>
      <c r="N264" s="99">
        <f t="shared" si="18"/>
        <v>1.2788981800295208E-2</v>
      </c>
      <c r="O264" s="99">
        <f t="shared" si="19"/>
        <v>-4.9506872859679378E-4</v>
      </c>
    </row>
    <row r="265" spans="9:15">
      <c r="I265" s="178">
        <f>Prices!A265</f>
        <v>41985</v>
      </c>
      <c r="J265" s="3">
        <f>Prices!E265</f>
        <v>28.58</v>
      </c>
      <c r="K265" s="99">
        <f t="shared" si="16"/>
        <v>-1.7463849719311284E-3</v>
      </c>
      <c r="L265" s="99">
        <f t="shared" si="17"/>
        <v>1.4232378711183185E-3</v>
      </c>
      <c r="M265" s="3">
        <f>Prices!M265</f>
        <v>20.329999999999998</v>
      </c>
      <c r="N265" s="99">
        <f t="shared" si="18"/>
        <v>2.4654338034795801E-3</v>
      </c>
      <c r="O265" s="99">
        <f t="shared" si="19"/>
        <v>-7.7167311614421388E-4</v>
      </c>
    </row>
    <row r="266" spans="9:15">
      <c r="I266" s="178">
        <f>Prices!A266</f>
        <v>41988</v>
      </c>
      <c r="J266" s="3">
        <f>Prices!E266</f>
        <v>28.629999000000002</v>
      </c>
      <c r="K266" s="99">
        <f t="shared" si="16"/>
        <v>1.3810162889518524E-2</v>
      </c>
      <c r="L266" s="99">
        <f t="shared" si="17"/>
        <v>2.8574205883495551E-3</v>
      </c>
      <c r="M266" s="3">
        <f>Prices!M266</f>
        <v>20.280000999999999</v>
      </c>
      <c r="N266" s="99">
        <f t="shared" si="18"/>
        <v>-1.0248853099072711E-2</v>
      </c>
      <c r="O266" s="99">
        <f t="shared" si="19"/>
        <v>-6.2743263377382523E-4</v>
      </c>
    </row>
    <row r="267" spans="9:15">
      <c r="I267" s="178">
        <f>Prices!A267</f>
        <v>41989</v>
      </c>
      <c r="J267" s="3">
        <f>Prices!E267</f>
        <v>28.24</v>
      </c>
      <c r="K267" s="99">
        <f t="shared" si="16"/>
        <v>-3.5285815102329364E-3</v>
      </c>
      <c r="L267" s="99">
        <f t="shared" si="17"/>
        <v>2.5012363666076553E-3</v>
      </c>
      <c r="M267" s="3">
        <f>Prices!M267</f>
        <v>20.49</v>
      </c>
      <c r="N267" s="99">
        <f t="shared" si="18"/>
        <v>-2.567764975379698E-2</v>
      </c>
      <c r="O267" s="99">
        <f t="shared" si="19"/>
        <v>-1.1859109688249505E-3</v>
      </c>
    </row>
    <row r="268" spans="9:15">
      <c r="I268" s="178">
        <f>Prices!A268</f>
        <v>41990</v>
      </c>
      <c r="J268" s="3">
        <f>Prices!E268</f>
        <v>28.34</v>
      </c>
      <c r="K268" s="99">
        <f t="shared" si="16"/>
        <v>-5.2650052650052154E-3</v>
      </c>
      <c r="L268" s="99">
        <f t="shared" si="17"/>
        <v>2.6962458954823674E-3</v>
      </c>
      <c r="M268" s="3">
        <f>Prices!M268</f>
        <v>21.030000999999999</v>
      </c>
      <c r="N268" s="99">
        <f t="shared" si="18"/>
        <v>-8.4864690469811533E-3</v>
      </c>
      <c r="O268" s="99">
        <f t="shared" si="19"/>
        <v>1.6946818235393833E-4</v>
      </c>
    </row>
    <row r="269" spans="9:15">
      <c r="I269" s="178">
        <f>Prices!A269</f>
        <v>41991</v>
      </c>
      <c r="J269" s="3">
        <f>Prices!E269</f>
        <v>28.49</v>
      </c>
      <c r="K269" s="99">
        <f t="shared" si="16"/>
        <v>-1.076385454041166E-2</v>
      </c>
      <c r="L269" s="99">
        <f t="shared" si="17"/>
        <v>4.7692786696984521E-3</v>
      </c>
      <c r="M269" s="3">
        <f>Prices!M269</f>
        <v>21.209999</v>
      </c>
      <c r="N269" s="99">
        <f t="shared" si="18"/>
        <v>-7.9513567797641939E-3</v>
      </c>
      <c r="O269" s="99">
        <f t="shared" si="19"/>
        <v>5.2239706069061808E-4</v>
      </c>
    </row>
    <row r="270" spans="9:15">
      <c r="I270" s="178">
        <f>Prices!A270</f>
        <v>41992</v>
      </c>
      <c r="J270" s="3">
        <f>Prices!E270</f>
        <v>28.799999</v>
      </c>
      <c r="K270" s="99">
        <f t="shared" si="16"/>
        <v>1.1946592127427687E-2</v>
      </c>
      <c r="L270" s="99">
        <f t="shared" si="17"/>
        <v>2.100262387710028E-3</v>
      </c>
      <c r="M270" s="3">
        <f>Prices!M270</f>
        <v>21.379999000000002</v>
      </c>
      <c r="N270" s="99">
        <f t="shared" si="18"/>
        <v>-1.401261092947156E-3</v>
      </c>
      <c r="O270" s="99">
        <f t="shared" si="19"/>
        <v>-8.2835893100978957E-5</v>
      </c>
    </row>
    <row r="271" spans="9:15">
      <c r="I271" s="178">
        <f>Prices!A271</f>
        <v>41995</v>
      </c>
      <c r="J271" s="3">
        <f>Prices!E271</f>
        <v>28.459999</v>
      </c>
      <c r="K271" s="99">
        <f t="shared" si="16"/>
        <v>-1.8959014133057624E-2</v>
      </c>
      <c r="L271" s="99">
        <f t="shared" si="17"/>
        <v>1.871433076544339E-4</v>
      </c>
      <c r="M271" s="3">
        <f>Prices!M271</f>
        <v>21.41</v>
      </c>
      <c r="N271" s="99">
        <f t="shared" si="18"/>
        <v>-6.4964736193259005E-3</v>
      </c>
      <c r="O271" s="99">
        <f t="shared" si="19"/>
        <v>-7.9330540133091404E-4</v>
      </c>
    </row>
    <row r="272" spans="9:15">
      <c r="I272" s="178">
        <f>Prices!A272</f>
        <v>41996</v>
      </c>
      <c r="J272" s="3">
        <f>Prices!E272</f>
        <v>29.01</v>
      </c>
      <c r="K272" s="99">
        <f t="shared" si="16"/>
        <v>-4.8027444253858327E-3</v>
      </c>
      <c r="L272" s="99">
        <f t="shared" si="17"/>
        <v>1.2405774845786436E-3</v>
      </c>
      <c r="M272" s="3">
        <f>Prices!M272</f>
        <v>21.549999</v>
      </c>
      <c r="N272" s="99">
        <f t="shared" si="18"/>
        <v>-1.3902224281741712E-3</v>
      </c>
      <c r="O272" s="99">
        <f t="shared" si="19"/>
        <v>-4.9142802495634789E-4</v>
      </c>
    </row>
    <row r="273" spans="9:15">
      <c r="I273" s="178">
        <f>Prices!A273</f>
        <v>41997</v>
      </c>
      <c r="J273" s="3">
        <f>Prices!E273</f>
        <v>29.15</v>
      </c>
      <c r="K273" s="99">
        <f t="shared" si="16"/>
        <v>-1.5202702702702797E-2</v>
      </c>
      <c r="L273" s="99">
        <f t="shared" si="17"/>
        <v>3.6349401145123353E-4</v>
      </c>
      <c r="M273" s="3">
        <f>Prices!M273</f>
        <v>21.58</v>
      </c>
      <c r="N273" s="99">
        <f t="shared" si="18"/>
        <v>2.322294364965412E-3</v>
      </c>
      <c r="O273" s="99">
        <f t="shared" si="19"/>
        <v>-3.7597983418613122E-4</v>
      </c>
    </row>
    <row r="274" spans="9:15">
      <c r="I274" s="178">
        <f>Prices!A274</f>
        <v>42002</v>
      </c>
      <c r="J274" s="3">
        <f>Prices!E274</f>
        <v>29.6</v>
      </c>
      <c r="K274" s="99">
        <f t="shared" si="16"/>
        <v>1.3532138482142768E-3</v>
      </c>
      <c r="L274" s="99">
        <f t="shared" si="17"/>
        <v>1.5046457596443387E-3</v>
      </c>
      <c r="M274" s="3">
        <f>Prices!M274</f>
        <v>21.530000999999999</v>
      </c>
      <c r="N274" s="99">
        <f t="shared" si="18"/>
        <v>-9.2798148157691661E-4</v>
      </c>
      <c r="O274" s="99">
        <f t="shared" si="19"/>
        <v>-6.5235096269081259E-4</v>
      </c>
    </row>
    <row r="275" spans="9:15">
      <c r="I275" s="178">
        <f>Prices!A275</f>
        <v>42003</v>
      </c>
      <c r="J275" s="3">
        <f>Prices!E275</f>
        <v>29.559999000000001</v>
      </c>
      <c r="K275" s="99">
        <f t="shared" si="16"/>
        <v>-2.6990554216954695E-3</v>
      </c>
      <c r="L275" s="99">
        <f t="shared" si="17"/>
        <v>9.3973026613622878E-4</v>
      </c>
      <c r="M275" s="3">
        <f>Prices!M275</f>
        <v>21.549999</v>
      </c>
      <c r="N275" s="99">
        <f t="shared" si="18"/>
        <v>3.726129656549974E-3</v>
      </c>
      <c r="O275" s="99">
        <f t="shared" si="19"/>
        <v>1.6113318809653671E-4</v>
      </c>
    </row>
    <row r="276" spans="9:15">
      <c r="I276" s="178">
        <f>Prices!A276</f>
        <v>42004</v>
      </c>
      <c r="J276" s="3">
        <f>Prices!E276</f>
        <v>29.639999</v>
      </c>
      <c r="K276" s="99">
        <f t="shared" si="16"/>
        <v>-3.0272788429196395E-3</v>
      </c>
      <c r="L276" s="99">
        <f t="shared" si="17"/>
        <v>-8.8577824778723749E-4</v>
      </c>
      <c r="M276" s="3">
        <f>Prices!M276</f>
        <v>21.469999000000001</v>
      </c>
      <c r="N276" s="99">
        <f t="shared" si="18"/>
        <v>-9.6863929889298116E-3</v>
      </c>
      <c r="O276" s="99">
        <f t="shared" si="19"/>
        <v>-2.3350662806429515E-4</v>
      </c>
    </row>
    <row r="277" spans="9:15">
      <c r="I277" s="178">
        <f>Prices!A277</f>
        <v>42006</v>
      </c>
      <c r="J277" s="3">
        <f>Prices!E277</f>
        <v>29.73</v>
      </c>
      <c r="K277" s="99">
        <f t="shared" si="16"/>
        <v>2.3407952613010444E-2</v>
      </c>
      <c r="L277" s="99">
        <f t="shared" si="17"/>
        <v>-2.9391387150900722E-3</v>
      </c>
      <c r="M277" s="3">
        <f>Prices!M277</f>
        <v>21.68</v>
      </c>
      <c r="N277" s="99">
        <f t="shared" si="18"/>
        <v>2.7001372477433765E-2</v>
      </c>
      <c r="O277" s="99">
        <f t="shared" si="19"/>
        <v>6.6311176363748579E-5</v>
      </c>
    </row>
    <row r="278" spans="9:15">
      <c r="I278" s="178">
        <f>Prices!A278</f>
        <v>42009</v>
      </c>
      <c r="J278" s="3">
        <f>Prices!E278</f>
        <v>29.049999</v>
      </c>
      <c r="K278" s="99">
        <f t="shared" si="16"/>
        <v>1.3961570680628312E-2</v>
      </c>
      <c r="L278" s="99">
        <f t="shared" si="17"/>
        <v>-2.1795396169214912E-3</v>
      </c>
      <c r="M278" s="3">
        <f>Prices!M278</f>
        <v>21.110001</v>
      </c>
      <c r="N278" s="99">
        <f t="shared" si="18"/>
        <v>8.6001433349259786E-3</v>
      </c>
      <c r="O278" s="99">
        <f t="shared" si="19"/>
        <v>-2.011030174780667E-3</v>
      </c>
    </row>
    <row r="279" spans="9:15">
      <c r="I279" s="178">
        <f>Prices!A279</f>
        <v>42010</v>
      </c>
      <c r="J279" s="3">
        <f>Prices!E279</f>
        <v>28.65</v>
      </c>
      <c r="K279" s="99">
        <f t="shared" si="16"/>
        <v>-6.9324090121318143E-3</v>
      </c>
      <c r="L279" s="99">
        <f t="shared" si="17"/>
        <v>-1.4476029615176742E-3</v>
      </c>
      <c r="M279" s="3">
        <f>Prices!M279</f>
        <v>20.93</v>
      </c>
      <c r="N279" s="99">
        <f t="shared" si="18"/>
        <v>-2.8585040495473428E-3</v>
      </c>
      <c r="O279" s="99">
        <f t="shared" si="19"/>
        <v>-2.8244383338589499E-3</v>
      </c>
    </row>
    <row r="280" spans="9:15">
      <c r="I280" s="178">
        <f>Prices!A280</f>
        <v>42011</v>
      </c>
      <c r="J280" s="3">
        <f>Prices!E280</f>
        <v>28.85</v>
      </c>
      <c r="K280" s="99">
        <f t="shared" si="16"/>
        <v>-1.9041142468548069E-2</v>
      </c>
      <c r="L280" s="99">
        <f t="shared" si="17"/>
        <v>-3.0414757191905141E-3</v>
      </c>
      <c r="M280" s="3">
        <f>Prices!M280</f>
        <v>20.99</v>
      </c>
      <c r="N280" s="99">
        <f t="shared" si="18"/>
        <v>-1.409116890130732E-2</v>
      </c>
      <c r="O280" s="99">
        <f t="shared" si="19"/>
        <v>-2.50043572078855E-3</v>
      </c>
    </row>
    <row r="281" spans="9:15">
      <c r="I281" s="178">
        <f>Prices!A281</f>
        <v>42012</v>
      </c>
      <c r="J281" s="3">
        <f>Prices!E281</f>
        <v>29.41</v>
      </c>
      <c r="K281" s="99">
        <f t="shared" si="16"/>
        <v>3.4118390792165802E-3</v>
      </c>
      <c r="L281" s="99">
        <f t="shared" si="17"/>
        <v>1.5538846658607625E-3</v>
      </c>
      <c r="M281" s="3">
        <f>Prices!M281</f>
        <v>21.290001</v>
      </c>
      <c r="N281" s="99">
        <f t="shared" si="18"/>
        <v>9.00478672985776E-3</v>
      </c>
      <c r="O281" s="99">
        <f t="shared" si="19"/>
        <v>-2.222270883156143E-3</v>
      </c>
    </row>
    <row r="282" spans="9:15">
      <c r="I282" s="178">
        <f>Prices!A282</f>
        <v>42013</v>
      </c>
      <c r="J282" s="3">
        <f>Prices!E282</f>
        <v>29.309999000000001</v>
      </c>
      <c r="K282" s="99">
        <f t="shared" si="16"/>
        <v>2.6260505121166143E-2</v>
      </c>
      <c r="L282" s="99">
        <f t="shared" si="17"/>
        <v>-7.7474340503113465E-4</v>
      </c>
      <c r="M282" s="3">
        <f>Prices!M282</f>
        <v>21.1</v>
      </c>
      <c r="N282" s="99">
        <f t="shared" si="18"/>
        <v>5.2405907575037158E-3</v>
      </c>
      <c r="O282" s="99">
        <f t="shared" si="19"/>
        <v>-2.582579913893635E-3</v>
      </c>
    </row>
    <row r="283" spans="9:15">
      <c r="I283" s="178">
        <f>Prices!A283</f>
        <v>42016</v>
      </c>
      <c r="J283" s="3">
        <f>Prices!E283</f>
        <v>28.559999000000001</v>
      </c>
      <c r="K283" s="99">
        <f t="shared" si="16"/>
        <v>2.8077680774741608E-2</v>
      </c>
      <c r="L283" s="99">
        <f t="shared" si="17"/>
        <v>-3.0962250696776007E-3</v>
      </c>
      <c r="M283" s="3">
        <f>Prices!M283</f>
        <v>20.99</v>
      </c>
      <c r="N283" s="99">
        <f t="shared" si="18"/>
        <v>8.1652257444763763E-3</v>
      </c>
      <c r="O283" s="99">
        <f t="shared" si="19"/>
        <v>-2.7996026990682534E-3</v>
      </c>
    </row>
    <row r="284" spans="9:15">
      <c r="I284" s="178">
        <f>Prices!A284</f>
        <v>42017</v>
      </c>
      <c r="J284" s="3">
        <f>Prices!E284</f>
        <v>27.780000999999999</v>
      </c>
      <c r="K284" s="99">
        <f t="shared" si="16"/>
        <v>-1.7965864175350228E-3</v>
      </c>
      <c r="L284" s="99">
        <f t="shared" si="17"/>
        <v>-4.6945371643308201E-3</v>
      </c>
      <c r="M284" s="3">
        <f>Prices!M284</f>
        <v>20.82</v>
      </c>
      <c r="N284" s="99">
        <f t="shared" si="18"/>
        <v>7.2568940493468103E-3</v>
      </c>
      <c r="O284" s="99">
        <f t="shared" si="19"/>
        <v>-3.3648895512527885E-3</v>
      </c>
    </row>
    <row r="285" spans="9:15">
      <c r="I285" s="178">
        <f>Prices!A285</f>
        <v>42018</v>
      </c>
      <c r="J285" s="3">
        <f>Prices!E285</f>
        <v>27.83</v>
      </c>
      <c r="K285" s="99">
        <f t="shared" si="16"/>
        <v>2.6937269372693612E-2</v>
      </c>
      <c r="L285" s="99">
        <f t="shared" si="17"/>
        <v>-4.9746000917654225E-3</v>
      </c>
      <c r="M285" s="3">
        <f>Prices!M285</f>
        <v>20.67</v>
      </c>
      <c r="N285" s="99">
        <f t="shared" si="18"/>
        <v>5.3502434508873493E-3</v>
      </c>
      <c r="O285" s="99">
        <f t="shared" si="19"/>
        <v>-3.839638909046897E-3</v>
      </c>
    </row>
    <row r="286" spans="9:15">
      <c r="I286" s="178">
        <f>Prices!A286</f>
        <v>42019</v>
      </c>
      <c r="J286" s="3">
        <f>Prices!E286</f>
        <v>27.1</v>
      </c>
      <c r="K286" s="99">
        <f t="shared" si="16"/>
        <v>6.6864784546805242E-3</v>
      </c>
      <c r="L286" s="99">
        <f t="shared" si="17"/>
        <v>-7.5757737282994477E-3</v>
      </c>
      <c r="M286" s="3">
        <f>Prices!M286</f>
        <v>20.559999000000001</v>
      </c>
      <c r="N286" s="99">
        <f t="shared" si="18"/>
        <v>-2.1418419800095206E-2</v>
      </c>
      <c r="O286" s="99">
        <f t="shared" si="19"/>
        <v>-4.2410796530198327E-3</v>
      </c>
    </row>
    <row r="287" spans="9:15">
      <c r="I287" s="178">
        <f>Prices!A287</f>
        <v>42020</v>
      </c>
      <c r="J287" s="3">
        <f>Prices!E287</f>
        <v>26.92</v>
      </c>
      <c r="K287" s="99">
        <f t="shared" si="16"/>
        <v>3.7160906726129924E-4</v>
      </c>
      <c r="L287" s="99">
        <f t="shared" si="17"/>
        <v>-7.8158485149982856E-3</v>
      </c>
      <c r="M287" s="3">
        <f>Prices!M287</f>
        <v>21.01</v>
      </c>
      <c r="N287" s="99">
        <f t="shared" si="18"/>
        <v>1.4299332697807977E-3</v>
      </c>
      <c r="O287" s="99">
        <f t="shared" si="19"/>
        <v>-3.3037272353021881E-3</v>
      </c>
    </row>
    <row r="288" spans="9:15">
      <c r="I288" s="178">
        <f>Prices!A288</f>
        <v>42023</v>
      </c>
      <c r="J288" s="3">
        <f>Prices!E288</f>
        <v>26.91</v>
      </c>
      <c r="K288" s="99">
        <f t="shared" si="16"/>
        <v>3.6195650219316478E-2</v>
      </c>
      <c r="L288" s="99">
        <f t="shared" si="17"/>
        <v>-6.2293706026025995E-3</v>
      </c>
      <c r="M288" s="3">
        <f>Prices!M288</f>
        <v>20.98</v>
      </c>
      <c r="N288" s="99">
        <f t="shared" si="18"/>
        <v>-1.4278914802475552E-3</v>
      </c>
      <c r="O288" s="99">
        <f t="shared" si="19"/>
        <v>-3.4641150099023396E-3</v>
      </c>
    </row>
    <row r="289" spans="9:15">
      <c r="I289" s="178">
        <f>Prices!A289</f>
        <v>42024</v>
      </c>
      <c r="J289" s="3">
        <f>Prices!E289</f>
        <v>25.969999000000001</v>
      </c>
      <c r="K289" s="99">
        <f t="shared" si="16"/>
        <v>-6.414418018018013E-2</v>
      </c>
      <c r="L289" s="99">
        <f t="shared" si="17"/>
        <v>-7.1144520212533969E-3</v>
      </c>
      <c r="M289" s="3">
        <f>Prices!M289</f>
        <v>21.01</v>
      </c>
      <c r="N289" s="99">
        <f t="shared" si="18"/>
        <v>-2.0056015855596146E-2</v>
      </c>
      <c r="O289" s="99">
        <f t="shared" si="19"/>
        <v>-3.0796636520374035E-3</v>
      </c>
    </row>
    <row r="290" spans="9:15">
      <c r="I290" s="178">
        <f>Prices!A290</f>
        <v>42025</v>
      </c>
      <c r="J290" s="3">
        <f>Prices!E290</f>
        <v>27.75</v>
      </c>
      <c r="K290" s="99">
        <f t="shared" si="16"/>
        <v>-2.6315789473684209E-2</v>
      </c>
      <c r="L290" s="99">
        <f t="shared" si="17"/>
        <v>-3.5413048763183108E-3</v>
      </c>
      <c r="M290" s="3">
        <f>Prices!M290</f>
        <v>21.440000999999999</v>
      </c>
      <c r="N290" s="99">
        <f t="shared" si="18"/>
        <v>-1.5610651257545851E-2</v>
      </c>
      <c r="O290" s="99">
        <f t="shared" si="19"/>
        <v>-1.9872548843472026E-3</v>
      </c>
    </row>
    <row r="291" spans="9:15">
      <c r="I291" s="178">
        <f>Prices!A291</f>
        <v>42026</v>
      </c>
      <c r="J291" s="3">
        <f>Prices!E291</f>
        <v>28.5</v>
      </c>
      <c r="K291" s="99">
        <f t="shared" si="16"/>
        <v>2.1096694054265766E-3</v>
      </c>
      <c r="L291" s="99">
        <f t="shared" si="17"/>
        <v>-2.2919622464879197E-3</v>
      </c>
      <c r="M291" s="3">
        <f>Prices!M291</f>
        <v>21.780000999999999</v>
      </c>
      <c r="N291" s="99">
        <f t="shared" si="18"/>
        <v>-4.5892609183457875E-4</v>
      </c>
      <c r="O291" s="99">
        <f t="shared" si="19"/>
        <v>-1.2514850788557642E-3</v>
      </c>
    </row>
    <row r="292" spans="9:15">
      <c r="I292" s="178">
        <f>Prices!A292</f>
        <v>42027</v>
      </c>
      <c r="J292" s="3">
        <f>Prices!E292</f>
        <v>28.440000999999999</v>
      </c>
      <c r="K292" s="99">
        <f t="shared" si="16"/>
        <v>-2.2344413887934036E-2</v>
      </c>
      <c r="L292" s="99">
        <f t="shared" si="17"/>
        <v>-2.6782517953849471E-3</v>
      </c>
      <c r="M292" s="3">
        <f>Prices!M292</f>
        <v>21.790001</v>
      </c>
      <c r="N292" s="99">
        <f t="shared" si="18"/>
        <v>9.1874138723016085E-4</v>
      </c>
      <c r="O292" s="99">
        <f t="shared" si="19"/>
        <v>-1.3401935358386108E-3</v>
      </c>
    </row>
    <row r="293" spans="9:15">
      <c r="I293" s="178">
        <f>Prices!A293</f>
        <v>42030</v>
      </c>
      <c r="J293" s="3">
        <f>Prices!E293</f>
        <v>29.09</v>
      </c>
      <c r="K293" s="99">
        <f t="shared" si="16"/>
        <v>7.6203322611593047E-3</v>
      </c>
      <c r="L293" s="99">
        <f t="shared" si="17"/>
        <v>-1.2284737348425866E-3</v>
      </c>
      <c r="M293" s="3">
        <f>Prices!M293</f>
        <v>21.77</v>
      </c>
      <c r="N293" s="99">
        <f t="shared" si="18"/>
        <v>-3.205128205128218E-3</v>
      </c>
      <c r="O293" s="99">
        <f t="shared" si="19"/>
        <v>-1.2966473837236132E-3</v>
      </c>
    </row>
    <row r="294" spans="9:15">
      <c r="I294" s="178">
        <f>Prices!A294</f>
        <v>42031</v>
      </c>
      <c r="J294" s="3">
        <f>Prices!E294</f>
        <v>28.870000999999998</v>
      </c>
      <c r="K294" s="99">
        <f t="shared" si="16"/>
        <v>-9.9450960219479318E-3</v>
      </c>
      <c r="L294" s="99">
        <f t="shared" si="17"/>
        <v>-3.1445750988027056E-5</v>
      </c>
      <c r="M294" s="3">
        <f>Prices!M294</f>
        <v>21.84</v>
      </c>
      <c r="N294" s="99">
        <f t="shared" si="18"/>
        <v>1.5341701534170074E-2</v>
      </c>
      <c r="O294" s="99">
        <f t="shared" si="19"/>
        <v>-1.3591103399384972E-3</v>
      </c>
    </row>
    <row r="295" spans="9:15">
      <c r="I295" s="178">
        <f>Prices!A295</f>
        <v>42032</v>
      </c>
      <c r="J295" s="3">
        <f>Prices!E295</f>
        <v>29.16</v>
      </c>
      <c r="K295" s="99">
        <f t="shared" si="16"/>
        <v>-3.9209225700164788E-2</v>
      </c>
      <c r="L295" s="99">
        <f t="shared" si="17"/>
        <v>1.0734496962080012E-3</v>
      </c>
      <c r="M295" s="3">
        <f>Prices!M295</f>
        <v>21.51</v>
      </c>
      <c r="N295" s="99">
        <f t="shared" si="18"/>
        <v>-4.1666666666666597E-3</v>
      </c>
      <c r="O295" s="99">
        <f t="shared" si="19"/>
        <v>-2.2151216060645159E-3</v>
      </c>
    </row>
    <row r="296" spans="9:15">
      <c r="I296" s="178">
        <f>Prices!A296</f>
        <v>42033</v>
      </c>
      <c r="J296" s="3">
        <f>Prices!E296</f>
        <v>30.35</v>
      </c>
      <c r="K296" s="99">
        <f t="shared" si="16"/>
        <v>-4.4094488188976336E-2</v>
      </c>
      <c r="L296" s="99">
        <f t="shared" si="17"/>
        <v>3.2081235187001221E-3</v>
      </c>
      <c r="M296" s="3">
        <f>Prices!M296</f>
        <v>21.6</v>
      </c>
      <c r="N296" s="99">
        <f t="shared" si="18"/>
        <v>-3.6900369003689251E-3</v>
      </c>
      <c r="O296" s="99">
        <f t="shared" si="19"/>
        <v>-2.0512129728644641E-3</v>
      </c>
    </row>
    <row r="297" spans="9:15">
      <c r="I297" s="178">
        <f>Prices!A297</f>
        <v>42034</v>
      </c>
      <c r="J297" s="3">
        <f>Prices!E297</f>
        <v>31.75</v>
      </c>
      <c r="K297" s="99">
        <f t="shared" si="16"/>
        <v>3.8599934576382063E-2</v>
      </c>
      <c r="L297" s="99">
        <f t="shared" si="17"/>
        <v>5.8344958698793668E-3</v>
      </c>
      <c r="M297" s="3">
        <f>Prices!M297</f>
        <v>21.68</v>
      </c>
      <c r="N297" s="99">
        <f t="shared" si="18"/>
        <v>-1.4545454545454558E-2</v>
      </c>
      <c r="O297" s="99">
        <f t="shared" si="19"/>
        <v>-1.9554007104930016E-3</v>
      </c>
    </row>
    <row r="298" spans="9:15">
      <c r="I298" s="178">
        <f>Prices!A298</f>
        <v>42037</v>
      </c>
      <c r="J298" s="3">
        <f>Prices!E298</f>
        <v>30.57</v>
      </c>
      <c r="K298" s="99">
        <f t="shared" si="16"/>
        <v>2.8600303788704665E-2</v>
      </c>
      <c r="L298" s="99">
        <f t="shared" si="17"/>
        <v>5.5560418507351354E-3</v>
      </c>
      <c r="M298" s="3">
        <f>Prices!M298</f>
        <v>22</v>
      </c>
      <c r="N298" s="99">
        <f t="shared" si="18"/>
        <v>-7.6680198466396792E-3</v>
      </c>
      <c r="O298" s="99">
        <f t="shared" si="19"/>
        <v>-7.807029272918661E-4</v>
      </c>
    </row>
    <row r="299" spans="9:15">
      <c r="I299" s="178">
        <f>Prices!A299</f>
        <v>42038</v>
      </c>
      <c r="J299" s="3">
        <f>Prices!E299</f>
        <v>29.719999000000001</v>
      </c>
      <c r="K299" s="99">
        <f t="shared" si="16"/>
        <v>-3.8809864165588626E-2</v>
      </c>
      <c r="L299" s="99">
        <f t="shared" si="17"/>
        <v>4.2533901984178049E-3</v>
      </c>
      <c r="M299" s="3">
        <f>Prices!M299</f>
        <v>22.17</v>
      </c>
      <c r="N299" s="99">
        <f t="shared" si="18"/>
        <v>3.6215482118606541E-3</v>
      </c>
      <c r="O299" s="99">
        <f t="shared" si="19"/>
        <v>-5.9466364592112478E-5</v>
      </c>
    </row>
    <row r="300" spans="9:15">
      <c r="I300" s="178">
        <f>Prices!A300</f>
        <v>42039</v>
      </c>
      <c r="J300" s="3">
        <f>Prices!E300</f>
        <v>30.92</v>
      </c>
      <c r="K300" s="99">
        <f t="shared" si="16"/>
        <v>7.2866065232477489E-2</v>
      </c>
      <c r="L300" s="99">
        <f t="shared" si="17"/>
        <v>4.9000177103531847E-3</v>
      </c>
      <c r="M300" s="3">
        <f>Prices!M300</f>
        <v>22.09</v>
      </c>
      <c r="N300" s="99">
        <f t="shared" si="18"/>
        <v>-8.5278721486591845E-3</v>
      </c>
      <c r="O300" s="99">
        <f t="shared" si="19"/>
        <v>-4.8706552536541411E-4</v>
      </c>
    </row>
    <row r="301" spans="9:15">
      <c r="I301" s="178">
        <f>Prices!A301</f>
        <v>42040</v>
      </c>
      <c r="J301" s="3">
        <f>Prices!E301</f>
        <v>28.82</v>
      </c>
      <c r="K301" s="99">
        <f t="shared" si="16"/>
        <v>-4.316072233862138E-2</v>
      </c>
      <c r="L301" s="99">
        <f t="shared" si="17"/>
        <v>3.7306728740997843E-3</v>
      </c>
      <c r="M301" s="3">
        <f>Prices!M301</f>
        <v>22.280000999999999</v>
      </c>
      <c r="N301" s="99">
        <f t="shared" si="18"/>
        <v>1.7986061151079216E-3</v>
      </c>
      <c r="O301" s="99">
        <f t="shared" si="19"/>
        <v>4.1443894179605151E-4</v>
      </c>
    </row>
    <row r="302" spans="9:15">
      <c r="I302" s="178">
        <f>Prices!A302</f>
        <v>42041</v>
      </c>
      <c r="J302" s="3">
        <f>Prices!E302</f>
        <v>30.120000999999998</v>
      </c>
      <c r="K302" s="99">
        <f t="shared" si="16"/>
        <v>-2.0169128171763175E-2</v>
      </c>
      <c r="L302" s="99">
        <f t="shared" si="17"/>
        <v>6.2257838847733695E-3</v>
      </c>
      <c r="M302" s="3">
        <f>Prices!M302</f>
        <v>22.24</v>
      </c>
      <c r="N302" s="99">
        <f t="shared" si="18"/>
        <v>9.0013505401134568E-4</v>
      </c>
      <c r="O302" s="99">
        <f t="shared" si="19"/>
        <v>5.9748406825175875E-4</v>
      </c>
    </row>
    <row r="303" spans="9:15">
      <c r="I303" s="178">
        <f>Prices!A303</f>
        <v>42044</v>
      </c>
      <c r="J303" s="3">
        <f>Prices!E303</f>
        <v>30.74</v>
      </c>
      <c r="K303" s="99">
        <f t="shared" si="16"/>
        <v>-3.8885611183227769E-3</v>
      </c>
      <c r="L303" s="99">
        <f t="shared" si="17"/>
        <v>9.2202235488132427E-3</v>
      </c>
      <c r="M303" s="3">
        <f>Prices!M303</f>
        <v>22.219999000000001</v>
      </c>
      <c r="N303" s="99">
        <f t="shared" si="18"/>
        <v>-3.1405112992143333E-3</v>
      </c>
      <c r="O303" s="99">
        <f t="shared" si="19"/>
        <v>1.314602026867593E-3</v>
      </c>
    </row>
    <row r="304" spans="9:15">
      <c r="I304" s="178">
        <f>Prices!A304</f>
        <v>42045</v>
      </c>
      <c r="J304" s="3">
        <f>Prices!E304</f>
        <v>30.860001</v>
      </c>
      <c r="K304" s="99">
        <f t="shared" si="16"/>
        <v>-7.3978449662270634E-3</v>
      </c>
      <c r="L304" s="99">
        <f t="shared" si="17"/>
        <v>9.4341295946008229E-3</v>
      </c>
      <c r="M304" s="3">
        <f>Prices!M304</f>
        <v>22.290001</v>
      </c>
      <c r="N304" s="99">
        <f t="shared" si="18"/>
        <v>-2.2380931065353483E-3</v>
      </c>
      <c r="O304" s="99">
        <f t="shared" si="19"/>
        <v>1.2417425343570422E-3</v>
      </c>
    </row>
    <row r="305" spans="9:15">
      <c r="I305" s="178">
        <f>Prices!A305</f>
        <v>42046</v>
      </c>
      <c r="J305" s="3">
        <f>Prices!E305</f>
        <v>31.09</v>
      </c>
      <c r="K305" s="99">
        <f t="shared" si="16"/>
        <v>-2.5086203357986926E-2</v>
      </c>
      <c r="L305" s="99">
        <f t="shared" si="17"/>
        <v>9.6293324019183883E-3</v>
      </c>
      <c r="M305" s="3">
        <f>Prices!M305</f>
        <v>22.34</v>
      </c>
      <c r="N305" s="99">
        <f t="shared" si="18"/>
        <v>-2.6785714285713718E-3</v>
      </c>
      <c r="O305" s="99">
        <f t="shared" si="19"/>
        <v>1.1020438160151611E-3</v>
      </c>
    </row>
    <row r="306" spans="9:15">
      <c r="I306" s="178">
        <f>Prices!A306</f>
        <v>42047</v>
      </c>
      <c r="J306" s="3">
        <f>Prices!E306</f>
        <v>31.889999</v>
      </c>
      <c r="K306" s="99">
        <f t="shared" si="16"/>
        <v>1.8849827207037778E-3</v>
      </c>
      <c r="L306" s="99">
        <f t="shared" si="17"/>
        <v>1.1772621269500811E-2</v>
      </c>
      <c r="M306" s="3">
        <f>Prices!M306</f>
        <v>22.4</v>
      </c>
      <c r="N306" s="99">
        <f t="shared" si="18"/>
        <v>-2.6713714457423281E-3</v>
      </c>
      <c r="O306" s="99">
        <f t="shared" si="19"/>
        <v>1.3276337073337397E-3</v>
      </c>
    </row>
    <row r="307" spans="9:15">
      <c r="I307" s="178">
        <f>Prices!A307</f>
        <v>42048</v>
      </c>
      <c r="J307" s="3">
        <f>Prices!E307</f>
        <v>31.83</v>
      </c>
      <c r="K307" s="99">
        <f t="shared" si="16"/>
        <v>3.2101167315175046E-2</v>
      </c>
      <c r="L307" s="99">
        <f t="shared" si="17"/>
        <v>1.1481597241690735E-2</v>
      </c>
      <c r="M307" s="3">
        <f>Prices!M307</f>
        <v>22.459999</v>
      </c>
      <c r="N307" s="99">
        <f t="shared" si="18"/>
        <v>-1.7778222222222301E-3</v>
      </c>
      <c r="O307" s="99">
        <f t="shared" si="19"/>
        <v>8.5006601886938556E-4</v>
      </c>
    </row>
    <row r="308" spans="9:15">
      <c r="I308" s="178">
        <f>Prices!A308</f>
        <v>42052</v>
      </c>
      <c r="J308" s="3">
        <f>Prices!E308</f>
        <v>30.84</v>
      </c>
      <c r="K308" s="99">
        <f t="shared" si="16"/>
        <v>1.8494021846300508E-2</v>
      </c>
      <c r="L308" s="99">
        <f t="shared" si="17"/>
        <v>8.9685036785581308E-3</v>
      </c>
      <c r="M308" s="3">
        <f>Prices!M308</f>
        <v>22.5</v>
      </c>
      <c r="N308" s="99">
        <f t="shared" si="18"/>
        <v>6.2611356770511566E-3</v>
      </c>
      <c r="O308" s="99">
        <f t="shared" si="19"/>
        <v>9.6160205751673301E-4</v>
      </c>
    </row>
    <row r="309" spans="9:15">
      <c r="I309" s="178">
        <f>Prices!A309</f>
        <v>42053</v>
      </c>
      <c r="J309" s="3">
        <f>Prices!E309</f>
        <v>30.280000999999999</v>
      </c>
      <c r="K309" s="99">
        <f t="shared" si="16"/>
        <v>7.3187627185216262E-3</v>
      </c>
      <c r="L309" s="99">
        <f t="shared" si="17"/>
        <v>8.4135923733279772E-3</v>
      </c>
      <c r="M309" s="3">
        <f>Prices!M309</f>
        <v>22.360001</v>
      </c>
      <c r="N309" s="99">
        <f t="shared" si="18"/>
        <v>1.7921594982078931E-3</v>
      </c>
      <c r="O309" s="99">
        <f t="shared" si="19"/>
        <v>8.5318374569691641E-4</v>
      </c>
    </row>
    <row r="310" spans="9:15">
      <c r="I310" s="178">
        <f>Prices!A310</f>
        <v>42054</v>
      </c>
      <c r="J310" s="3">
        <f>Prices!E310</f>
        <v>30.059999000000001</v>
      </c>
      <c r="K310" s="99">
        <f t="shared" si="16"/>
        <v>-1.3289368770764177E-3</v>
      </c>
      <c r="L310" s="99">
        <f t="shared" si="17"/>
        <v>8.8585719268434414E-3</v>
      </c>
      <c r="M310" s="3">
        <f>Prices!M310</f>
        <v>22.32</v>
      </c>
      <c r="N310" s="99">
        <f t="shared" si="18"/>
        <v>-8.9525514771708029E-4</v>
      </c>
      <c r="O310" s="99">
        <f t="shared" si="19"/>
        <v>1.2688582696381502E-3</v>
      </c>
    </row>
    <row r="311" spans="9:15">
      <c r="I311" s="178">
        <f>Prices!A311</f>
        <v>42055</v>
      </c>
      <c r="J311" s="3">
        <f>Prices!E311</f>
        <v>30.1</v>
      </c>
      <c r="K311" s="99">
        <f t="shared" si="16"/>
        <v>-5.6161215725139798E-3</v>
      </c>
      <c r="L311" s="99">
        <f t="shared" si="17"/>
        <v>9.0638565389970539E-3</v>
      </c>
      <c r="M311" s="3">
        <f>Prices!M311</f>
        <v>22.34</v>
      </c>
      <c r="N311" s="99">
        <f t="shared" si="18"/>
        <v>-2.2330952314915105E-3</v>
      </c>
      <c r="O311" s="99">
        <f t="shared" si="19"/>
        <v>9.2619852872968052E-4</v>
      </c>
    </row>
    <row r="312" spans="9:15">
      <c r="I312" s="178">
        <f>Prices!A312</f>
        <v>42058</v>
      </c>
      <c r="J312" s="3">
        <f>Prices!E312</f>
        <v>30.27</v>
      </c>
      <c r="K312" s="99">
        <f t="shared" si="16"/>
        <v>6.6511473229131785E-3</v>
      </c>
      <c r="L312" s="99">
        <f t="shared" si="17"/>
        <v>9.3050252811185917E-3</v>
      </c>
      <c r="M312" s="3">
        <f>Prices!M312</f>
        <v>22.389999</v>
      </c>
      <c r="N312" s="99">
        <f t="shared" si="18"/>
        <v>1.789664429530117E-3</v>
      </c>
      <c r="O312" s="99">
        <f t="shared" si="19"/>
        <v>1.1291797743225214E-3</v>
      </c>
    </row>
    <row r="313" spans="9:15">
      <c r="I313" s="178">
        <f>Prices!A313</f>
        <v>42059</v>
      </c>
      <c r="J313" s="3">
        <f>Prices!E313</f>
        <v>30.07</v>
      </c>
      <c r="K313" s="99">
        <f t="shared" si="16"/>
        <v>3.1560891938250492E-2</v>
      </c>
      <c r="L313" s="99">
        <f t="shared" si="17"/>
        <v>7.5477489536822512E-3</v>
      </c>
      <c r="M313" s="3">
        <f>Prices!M313</f>
        <v>22.35</v>
      </c>
      <c r="N313" s="99">
        <f t="shared" si="18"/>
        <v>-4.4543873294259047E-3</v>
      </c>
      <c r="O313" s="99">
        <f t="shared" si="19"/>
        <v>5.424067923256613E-4</v>
      </c>
    </row>
    <row r="314" spans="9:15">
      <c r="I314" s="178">
        <f>Prices!A314</f>
        <v>42060</v>
      </c>
      <c r="J314" s="3">
        <f>Prices!E314</f>
        <v>29.15</v>
      </c>
      <c r="K314" s="99">
        <f t="shared" si="16"/>
        <v>1.2152812921972633E-2</v>
      </c>
      <c r="L314" s="99">
        <f t="shared" si="17"/>
        <v>5.3798984431398193E-3</v>
      </c>
      <c r="M314" s="3">
        <f>Prices!M314</f>
        <v>22.450001</v>
      </c>
      <c r="N314" s="99">
        <f t="shared" si="18"/>
        <v>-1.7785237883502945E-3</v>
      </c>
      <c r="O314" s="99">
        <f t="shared" si="19"/>
        <v>1.2213328193808909E-3</v>
      </c>
    </row>
    <row r="315" spans="9:15">
      <c r="I315" s="178">
        <f>Prices!A315</f>
        <v>42061</v>
      </c>
      <c r="J315" s="3">
        <f>Prices!E315</f>
        <v>28.799999</v>
      </c>
      <c r="K315" s="99">
        <f t="shared" si="16"/>
        <v>3.4842507496776519E-3</v>
      </c>
      <c r="L315" s="99">
        <f t="shared" si="17"/>
        <v>4.4321255090543268E-3</v>
      </c>
      <c r="M315" s="3">
        <f>Prices!M315</f>
        <v>22.49</v>
      </c>
      <c r="N315" s="99">
        <f t="shared" si="18"/>
        <v>-8.8849400266562085E-4</v>
      </c>
      <c r="O315" s="99">
        <f t="shared" si="19"/>
        <v>1.6779060676219352E-3</v>
      </c>
    </row>
    <row r="316" spans="9:15">
      <c r="I316" s="178">
        <f>Prices!A316</f>
        <v>42062</v>
      </c>
      <c r="J316" s="3">
        <f>Prices!E316</f>
        <v>28.700001</v>
      </c>
      <c r="K316" s="99">
        <f t="shared" si="16"/>
        <v>8.4329588346085498E-3</v>
      </c>
      <c r="L316" s="99">
        <f t="shared" si="17"/>
        <v>3.3488183856370314E-3</v>
      </c>
      <c r="M316" s="3">
        <f>Prices!M316</f>
        <v>22.51</v>
      </c>
      <c r="N316" s="99">
        <f t="shared" si="18"/>
        <v>-1.7737916529396796E-3</v>
      </c>
      <c r="O316" s="99">
        <f t="shared" si="19"/>
        <v>1.8605773051632128E-3</v>
      </c>
    </row>
    <row r="317" spans="9:15">
      <c r="I317" s="178">
        <f>Prices!A317</f>
        <v>42065</v>
      </c>
      <c r="J317" s="3">
        <f>Prices!E317</f>
        <v>28.459999</v>
      </c>
      <c r="K317" s="99">
        <f t="shared" si="16"/>
        <v>3.3030854193497439E-2</v>
      </c>
      <c r="L317" s="99">
        <f t="shared" si="17"/>
        <v>4.6943620778984773E-3</v>
      </c>
      <c r="M317" s="3">
        <f>Prices!M317</f>
        <v>22.549999</v>
      </c>
      <c r="N317" s="99">
        <f t="shared" si="18"/>
        <v>8.9485011185681546E-3</v>
      </c>
      <c r="O317" s="99">
        <f t="shared" si="19"/>
        <v>1.515283313850236E-3</v>
      </c>
    </row>
    <row r="318" spans="9:15">
      <c r="I318" s="178">
        <f>Prices!A318</f>
        <v>42066</v>
      </c>
      <c r="J318" s="3">
        <f>Prices!E318</f>
        <v>27.549999</v>
      </c>
      <c r="K318" s="99">
        <f t="shared" si="16"/>
        <v>2.5472707423580517E-3</v>
      </c>
      <c r="L318" s="99">
        <f t="shared" si="17"/>
        <v>4.3840442202946056E-3</v>
      </c>
      <c r="M318" s="3">
        <f>Prices!M318</f>
        <v>22.35</v>
      </c>
      <c r="N318" s="99">
        <f t="shared" si="18"/>
        <v>6.7567114073553919E-3</v>
      </c>
      <c r="O318" s="99">
        <f t="shared" si="19"/>
        <v>1.0450249245884972E-3</v>
      </c>
    </row>
    <row r="319" spans="9:15">
      <c r="I319" s="178">
        <f>Prices!A319</f>
        <v>42067</v>
      </c>
      <c r="J319" s="3">
        <f>Prices!E319</f>
        <v>27.48</v>
      </c>
      <c r="K319" s="99">
        <f t="shared" si="16"/>
        <v>-2.5877313926881012E-2</v>
      </c>
      <c r="L319" s="99">
        <f t="shared" si="17"/>
        <v>5.099039287268162E-3</v>
      </c>
      <c r="M319" s="3">
        <f>Prices!M319</f>
        <v>22.200001</v>
      </c>
      <c r="N319" s="99">
        <f t="shared" si="18"/>
        <v>-4.9304350036053751E-3</v>
      </c>
      <c r="O319" s="99">
        <f t="shared" si="19"/>
        <v>7.0718935422072761E-4</v>
      </c>
    </row>
    <row r="320" spans="9:15">
      <c r="I320" s="178">
        <f>Prices!A320</f>
        <v>42068</v>
      </c>
      <c r="J320" s="3">
        <f>Prices!E320</f>
        <v>28.209999</v>
      </c>
      <c r="K320" s="99">
        <f t="shared" si="16"/>
        <v>4.9479168507409479E-2</v>
      </c>
      <c r="L320" s="99">
        <f t="shared" si="17"/>
        <v>6.9198608003937252E-3</v>
      </c>
      <c r="M320" s="3">
        <f>Prices!M320</f>
        <v>22.309999000000001</v>
      </c>
      <c r="N320" s="99">
        <f t="shared" si="18"/>
        <v>9.5022171945701277E-3</v>
      </c>
      <c r="O320" s="99">
        <f t="shared" si="19"/>
        <v>5.9106602903176669E-4</v>
      </c>
    </row>
    <row r="321" spans="9:15">
      <c r="I321" s="178">
        <f>Prices!A321</f>
        <v>42069</v>
      </c>
      <c r="J321" s="3">
        <f>Prices!E321</f>
        <v>26.879999000000002</v>
      </c>
      <c r="K321" s="99">
        <f t="shared" si="16"/>
        <v>6.7414978748503119E-3</v>
      </c>
      <c r="L321" s="99">
        <f t="shared" si="17"/>
        <v>5.4380457817143112E-3</v>
      </c>
      <c r="M321" s="3">
        <f>Prices!M321</f>
        <v>22.1</v>
      </c>
      <c r="N321" s="99">
        <f t="shared" si="18"/>
        <v>5.4595086442220655E-3</v>
      </c>
      <c r="O321" s="99">
        <f t="shared" si="19"/>
        <v>2.5455169303259874E-5</v>
      </c>
    </row>
    <row r="322" spans="9:15">
      <c r="I322" s="178">
        <f>Prices!A322</f>
        <v>42072</v>
      </c>
      <c r="J322" s="3">
        <f>Prices!E322</f>
        <v>26.700001</v>
      </c>
      <c r="K322" s="99">
        <f t="shared" si="16"/>
        <v>3.971966510903429E-2</v>
      </c>
      <c r="L322" s="99">
        <f t="shared" si="17"/>
        <v>5.3711329939635658E-3</v>
      </c>
      <c r="M322" s="3">
        <f>Prices!M322</f>
        <v>21.98</v>
      </c>
      <c r="N322" s="99">
        <f t="shared" si="18"/>
        <v>1.5242494226328031E-2</v>
      </c>
      <c r="O322" s="99">
        <f t="shared" si="19"/>
        <v>-5.8459891459323359E-4</v>
      </c>
    </row>
    <row r="323" spans="9:15">
      <c r="I323" s="178">
        <f>Prices!A323</f>
        <v>42073</v>
      </c>
      <c r="J323" s="3">
        <f>Prices!E323</f>
        <v>25.68</v>
      </c>
      <c r="K323" s="99">
        <f t="shared" si="16"/>
        <v>3.8955979742882782E-4</v>
      </c>
      <c r="L323" s="99">
        <f t="shared" si="17"/>
        <v>3.322881162339167E-3</v>
      </c>
      <c r="M323" s="3">
        <f>Prices!M323</f>
        <v>21.65</v>
      </c>
      <c r="N323" s="99">
        <f t="shared" si="18"/>
        <v>-4.5977011494253523E-3</v>
      </c>
      <c r="O323" s="99">
        <f t="shared" si="19"/>
        <v>-1.4811902388395626E-3</v>
      </c>
    </row>
    <row r="324" spans="9:15">
      <c r="I324" s="178">
        <f>Prices!A324</f>
        <v>42074</v>
      </c>
      <c r="J324" s="3">
        <f>Prices!E324</f>
        <v>25.67</v>
      </c>
      <c r="K324" s="99">
        <f t="shared" si="16"/>
        <v>-3.4937888198757708E-3</v>
      </c>
      <c r="L324" s="99">
        <f t="shared" si="17"/>
        <v>3.4282450316087247E-3</v>
      </c>
      <c r="M324" s="3">
        <f>Prices!M324</f>
        <v>21.75</v>
      </c>
      <c r="N324" s="99">
        <f t="shared" si="18"/>
        <v>-5.0320674733729635E-3</v>
      </c>
      <c r="O324" s="99">
        <f t="shared" si="19"/>
        <v>-1.7175596218656267E-3</v>
      </c>
    </row>
    <row r="325" spans="9:15">
      <c r="I325" s="178">
        <f>Prices!A325</f>
        <v>42075</v>
      </c>
      <c r="J325" s="3">
        <f>Prices!E325</f>
        <v>25.76</v>
      </c>
      <c r="K325" s="99">
        <f t="shared" si="16"/>
        <v>1.777957399366157E-2</v>
      </c>
      <c r="L325" s="99">
        <f t="shared" si="17"/>
        <v>3.0881074756843501E-3</v>
      </c>
      <c r="M325" s="3">
        <f>Prices!M325</f>
        <v>21.860001</v>
      </c>
      <c r="N325" s="99">
        <f t="shared" si="18"/>
        <v>1.8332263978001913E-3</v>
      </c>
      <c r="O325" s="99">
        <f t="shared" si="19"/>
        <v>-1.6429473986394605E-3</v>
      </c>
    </row>
    <row r="326" spans="9:15">
      <c r="I326" s="178">
        <f>Prices!A326</f>
        <v>42076</v>
      </c>
      <c r="J326" s="3">
        <f>Prices!E326</f>
        <v>25.309999000000001</v>
      </c>
      <c r="K326" s="99">
        <f t="shared" si="16"/>
        <v>-3.9354978354977921E-3</v>
      </c>
      <c r="L326" s="99">
        <f t="shared" si="17"/>
        <v>-5.8188650136221899E-4</v>
      </c>
      <c r="M326" s="3">
        <f>Prices!M326</f>
        <v>21.82</v>
      </c>
      <c r="N326" s="99">
        <f t="shared" si="18"/>
        <v>-1.2222725215029406E-2</v>
      </c>
      <c r="O326" s="99">
        <f t="shared" si="19"/>
        <v>-1.7567250377635978E-3</v>
      </c>
    </row>
    <row r="327" spans="9:15">
      <c r="I327" s="178">
        <f>Prices!A327</f>
        <v>42079</v>
      </c>
      <c r="J327" s="3">
        <f>Prices!E327</f>
        <v>25.41</v>
      </c>
      <c r="K327" s="99">
        <f t="shared" ref="K327:K390" si="20">(J327-J328)/J328</f>
        <v>-1.8160703947477021E-2</v>
      </c>
      <c r="L327" s="99">
        <f t="shared" ref="L327:L390" si="21">AVERAGE(K327:K346)</f>
        <v>6.0655840198228631E-4</v>
      </c>
      <c r="M327" s="3">
        <f>Prices!M327</f>
        <v>22.09</v>
      </c>
      <c r="N327" s="99">
        <f t="shared" ref="N327:N390" si="22">(M327-M328)/M328</f>
        <v>4.5289855072470854E-4</v>
      </c>
      <c r="O327" s="99">
        <f t="shared" ref="O327:O390" si="23">AVERAGE(N327:N346)</f>
        <v>-1.1897734895258158E-3</v>
      </c>
    </row>
    <row r="328" spans="9:15">
      <c r="I328" s="178">
        <f>Prices!A328</f>
        <v>42080</v>
      </c>
      <c r="J328" s="3">
        <f>Prices!E328</f>
        <v>25.879999000000002</v>
      </c>
      <c r="K328" s="99">
        <f t="shared" si="20"/>
        <v>7.3957957416974328E-3</v>
      </c>
      <c r="L328" s="99">
        <f t="shared" si="21"/>
        <v>1.2973720353750937E-3</v>
      </c>
      <c r="M328" s="3">
        <f>Prices!M328</f>
        <v>22.08</v>
      </c>
      <c r="N328" s="99">
        <f t="shared" si="22"/>
        <v>4.0927694406548368E-3</v>
      </c>
      <c r="O328" s="99">
        <f t="shared" si="23"/>
        <v>-1.3446396540730088E-3</v>
      </c>
    </row>
    <row r="329" spans="9:15">
      <c r="I329" s="178">
        <f>Prices!A329</f>
        <v>42081</v>
      </c>
      <c r="J329" s="3">
        <f>Prices!E329</f>
        <v>25.690000999999999</v>
      </c>
      <c r="K329" s="99">
        <f t="shared" si="20"/>
        <v>1.621835378883095E-2</v>
      </c>
      <c r="L329" s="99">
        <f t="shared" si="21"/>
        <v>2.2449717902440097E-3</v>
      </c>
      <c r="M329" s="3">
        <f>Prices!M329</f>
        <v>21.99</v>
      </c>
      <c r="N329" s="99">
        <f t="shared" si="22"/>
        <v>1.0105649977032562E-2</v>
      </c>
      <c r="O329" s="99">
        <f t="shared" si="23"/>
        <v>-1.3056975238028268E-3</v>
      </c>
    </row>
    <row r="330" spans="9:15">
      <c r="I330" s="178">
        <f>Prices!A330</f>
        <v>42082</v>
      </c>
      <c r="J330" s="3">
        <f>Prices!E330</f>
        <v>25.280000999999999</v>
      </c>
      <c r="K330" s="99">
        <f t="shared" si="20"/>
        <v>2.7767553659958015E-3</v>
      </c>
      <c r="L330" s="99">
        <f t="shared" si="21"/>
        <v>2.5953958195356988E-3</v>
      </c>
      <c r="M330" s="3">
        <f>Prices!M330</f>
        <v>21.77</v>
      </c>
      <c r="N330" s="99">
        <f t="shared" si="22"/>
        <v>-7.7484499658864734E-3</v>
      </c>
      <c r="O330" s="99">
        <f t="shared" si="23"/>
        <v>-1.7444589554029694E-3</v>
      </c>
    </row>
    <row r="331" spans="9:15">
      <c r="I331" s="178">
        <f>Prices!A331</f>
        <v>42083</v>
      </c>
      <c r="J331" s="3">
        <f>Prices!E331</f>
        <v>25.209999</v>
      </c>
      <c r="K331" s="99">
        <f t="shared" si="20"/>
        <v>-7.9274673008325805E-4</v>
      </c>
      <c r="L331" s="99">
        <f t="shared" si="21"/>
        <v>2.8958906872191765E-3</v>
      </c>
      <c r="M331" s="3">
        <f>Prices!M331</f>
        <v>21.940000999999999</v>
      </c>
      <c r="N331" s="99">
        <f t="shared" si="22"/>
        <v>1.826529680365305E-3</v>
      </c>
      <c r="O331" s="99">
        <f t="shared" si="23"/>
        <v>-1.5337929828159638E-3</v>
      </c>
    </row>
    <row r="332" spans="9:15">
      <c r="I332" s="178">
        <f>Prices!A332</f>
        <v>42086</v>
      </c>
      <c r="J332" s="3">
        <f>Prices!E332</f>
        <v>25.23</v>
      </c>
      <c r="K332" s="99">
        <f t="shared" si="20"/>
        <v>-2.8494379225813635E-2</v>
      </c>
      <c r="L332" s="99">
        <f t="shared" si="21"/>
        <v>4.2230838729746603E-3</v>
      </c>
      <c r="M332" s="3">
        <f>Prices!M332</f>
        <v>21.9</v>
      </c>
      <c r="N332" s="99">
        <f t="shared" si="22"/>
        <v>-9.9457952104070844E-3</v>
      </c>
      <c r="O332" s="99">
        <f t="shared" si="23"/>
        <v>-1.4699776159857421E-3</v>
      </c>
    </row>
    <row r="333" spans="9:15">
      <c r="I333" s="178">
        <f>Prices!A333</f>
        <v>42087</v>
      </c>
      <c r="J333" s="3">
        <f>Prices!E333</f>
        <v>25.969999000000001</v>
      </c>
      <c r="K333" s="99">
        <f t="shared" si="20"/>
        <v>-1.1796118272598135E-2</v>
      </c>
      <c r="L333" s="99">
        <f t="shared" si="21"/>
        <v>5.5407343117813979E-3</v>
      </c>
      <c r="M333" s="3">
        <f>Prices!M333</f>
        <v>22.120000999999998</v>
      </c>
      <c r="N333" s="99">
        <f t="shared" si="22"/>
        <v>9.1241332116786845E-3</v>
      </c>
      <c r="O333" s="99">
        <f t="shared" si="23"/>
        <v>-8.8388012900002017E-4</v>
      </c>
    </row>
    <row r="334" spans="9:15">
      <c r="I334" s="178">
        <f>Prices!A334</f>
        <v>42088</v>
      </c>
      <c r="J334" s="3">
        <f>Prices!E334</f>
        <v>26.280000999999999</v>
      </c>
      <c r="K334" s="99">
        <f t="shared" si="20"/>
        <v>-6.8026457597372249E-3</v>
      </c>
      <c r="L334" s="99">
        <f t="shared" si="21"/>
        <v>6.1519626761396707E-3</v>
      </c>
      <c r="M334" s="3">
        <f>Prices!M334</f>
        <v>21.92</v>
      </c>
      <c r="N334" s="99">
        <f t="shared" si="22"/>
        <v>7.3529411764705942E-3</v>
      </c>
      <c r="O334" s="99">
        <f t="shared" si="23"/>
        <v>-1.6270625070232462E-3</v>
      </c>
    </row>
    <row r="335" spans="9:15">
      <c r="I335" s="178">
        <f>Prices!A335</f>
        <v>42089</v>
      </c>
      <c r="J335" s="3">
        <f>Prices!E335</f>
        <v>26.459999</v>
      </c>
      <c r="K335" s="99">
        <f t="shared" si="20"/>
        <v>-1.8181891718668228E-2</v>
      </c>
      <c r="L335" s="99">
        <f t="shared" si="21"/>
        <v>4.5167882984760528E-3</v>
      </c>
      <c r="M335" s="3">
        <f>Prices!M335</f>
        <v>21.76</v>
      </c>
      <c r="N335" s="99">
        <f t="shared" si="22"/>
        <v>2.7649307481599308E-3</v>
      </c>
      <c r="O335" s="99">
        <f t="shared" si="23"/>
        <v>-2.082856322649475E-3</v>
      </c>
    </row>
    <row r="336" spans="9:15">
      <c r="I336" s="178">
        <f>Prices!A336</f>
        <v>42090</v>
      </c>
      <c r="J336" s="3">
        <f>Prices!E336</f>
        <v>26.950001</v>
      </c>
      <c r="K336" s="99">
        <f t="shared" si="20"/>
        <v>3.5343832679837463E-2</v>
      </c>
      <c r="L336" s="99">
        <f t="shared" si="21"/>
        <v>6.3052799061597553E-3</v>
      </c>
      <c r="M336" s="3">
        <f>Prices!M336</f>
        <v>21.700001</v>
      </c>
      <c r="N336" s="99">
        <f t="shared" si="22"/>
        <v>-8.6796714791992097E-3</v>
      </c>
      <c r="O336" s="99">
        <f t="shared" si="23"/>
        <v>-1.9329778472859777E-3</v>
      </c>
    </row>
    <row r="337" spans="9:15">
      <c r="I337" s="178">
        <f>Prices!A337</f>
        <v>42093</v>
      </c>
      <c r="J337" s="3">
        <f>Prices!E337</f>
        <v>26.030000999999999</v>
      </c>
      <c r="K337" s="99">
        <f t="shared" si="20"/>
        <v>2.6824497041420006E-2</v>
      </c>
      <c r="L337" s="99">
        <f t="shared" si="21"/>
        <v>4.8329471601207099E-3</v>
      </c>
      <c r="M337" s="3">
        <f>Prices!M337</f>
        <v>21.889999</v>
      </c>
      <c r="N337" s="99">
        <f t="shared" si="22"/>
        <v>-4.5666666666662278E-4</v>
      </c>
      <c r="O337" s="99">
        <f t="shared" si="23"/>
        <v>-1.5211497894979252E-3</v>
      </c>
    </row>
    <row r="338" spans="9:15">
      <c r="I338" s="178">
        <f>Prices!A338</f>
        <v>42094</v>
      </c>
      <c r="J338" s="3">
        <f>Prices!E338</f>
        <v>25.35</v>
      </c>
      <c r="K338" s="99">
        <f t="shared" si="20"/>
        <v>1.684717208182919E-2</v>
      </c>
      <c r="L338" s="99">
        <f t="shared" si="21"/>
        <v>2.1392632916562662E-3</v>
      </c>
      <c r="M338" s="3">
        <f>Prices!M338</f>
        <v>21.9</v>
      </c>
      <c r="N338" s="99">
        <f t="shared" si="22"/>
        <v>0</v>
      </c>
      <c r="O338" s="99">
        <f t="shared" si="23"/>
        <v>-1.6088403239575225E-3</v>
      </c>
    </row>
    <row r="339" spans="9:15">
      <c r="I339" s="178">
        <f>Prices!A339</f>
        <v>42095</v>
      </c>
      <c r="J339" s="3">
        <f>Prices!E339</f>
        <v>24.93</v>
      </c>
      <c r="K339" s="99">
        <f t="shared" si="20"/>
        <v>1.0539116335630238E-2</v>
      </c>
      <c r="L339" s="99">
        <f t="shared" si="21"/>
        <v>2.3215805554025293E-3</v>
      </c>
      <c r="M339" s="3">
        <f>Prices!M339</f>
        <v>21.9</v>
      </c>
      <c r="N339" s="99">
        <f t="shared" si="22"/>
        <v>-7.2529015073845952E-3</v>
      </c>
      <c r="O339" s="99">
        <f t="shared" si="23"/>
        <v>-1.0048112411834801E-3</v>
      </c>
    </row>
    <row r="340" spans="9:15">
      <c r="I340" s="178">
        <f>Prices!A340</f>
        <v>42096</v>
      </c>
      <c r="J340" s="3">
        <f>Prices!E340</f>
        <v>24.67</v>
      </c>
      <c r="K340" s="99">
        <f t="shared" si="20"/>
        <v>1.98428681338212E-2</v>
      </c>
      <c r="L340" s="99">
        <f t="shared" si="21"/>
        <v>1.3798570245923043E-3</v>
      </c>
      <c r="M340" s="3">
        <f>Prices!M340</f>
        <v>22.059999000000001</v>
      </c>
      <c r="N340" s="99">
        <f t="shared" si="22"/>
        <v>-1.8100000000000078E-3</v>
      </c>
      <c r="O340" s="99">
        <f t="shared" si="23"/>
        <v>-1.0416357441777782E-3</v>
      </c>
    </row>
    <row r="341" spans="9:15">
      <c r="I341" s="178">
        <f>Prices!A341</f>
        <v>42100</v>
      </c>
      <c r="J341" s="3">
        <f>Prices!E341</f>
        <v>24.190000999999999</v>
      </c>
      <c r="K341" s="99">
        <f t="shared" si="20"/>
        <v>5.4032421198353959E-3</v>
      </c>
      <c r="L341" s="99">
        <f t="shared" si="21"/>
        <v>7.4276790549296443E-4</v>
      </c>
      <c r="M341" s="3">
        <f>Prices!M341</f>
        <v>22.1</v>
      </c>
      <c r="N341" s="99">
        <f t="shared" si="22"/>
        <v>-6.7415730337078011E-3</v>
      </c>
      <c r="O341" s="99">
        <f t="shared" si="23"/>
        <v>-1.0618509788987694E-3</v>
      </c>
    </row>
    <row r="342" spans="9:15">
      <c r="I342" s="178">
        <f>Prices!A342</f>
        <v>42101</v>
      </c>
      <c r="J342" s="3">
        <f>Prices!E342</f>
        <v>24.059999000000001</v>
      </c>
      <c r="K342" s="99">
        <f t="shared" si="20"/>
        <v>-1.2453715234536577E-3</v>
      </c>
      <c r="L342" s="99">
        <f t="shared" si="21"/>
        <v>1.8680544300100524E-3</v>
      </c>
      <c r="M342" s="3">
        <f>Prices!M342</f>
        <v>22.25</v>
      </c>
      <c r="N342" s="99">
        <f t="shared" si="22"/>
        <v>-2.6893322585985432E-3</v>
      </c>
      <c r="O342" s="99">
        <f t="shared" si="23"/>
        <v>-5.1525050429146372E-5</v>
      </c>
    </row>
    <row r="343" spans="9:15">
      <c r="I343" s="178">
        <f>Prices!A343</f>
        <v>42102</v>
      </c>
      <c r="J343" s="3">
        <f>Prices!E343</f>
        <v>24.09</v>
      </c>
      <c r="K343" s="99">
        <f t="shared" si="20"/>
        <v>2.4968371828199779E-3</v>
      </c>
      <c r="L343" s="99">
        <f t="shared" si="21"/>
        <v>2.1675986748626325E-3</v>
      </c>
      <c r="M343" s="3">
        <f>Prices!M343</f>
        <v>22.309999000000001</v>
      </c>
      <c r="N343" s="99">
        <f t="shared" si="22"/>
        <v>-9.3250888099466397E-3</v>
      </c>
      <c r="O343" s="99">
        <f t="shared" si="23"/>
        <v>5.5870277681885588E-4</v>
      </c>
    </row>
    <row r="344" spans="9:15">
      <c r="I344" s="178">
        <f>Prices!A344</f>
        <v>42103</v>
      </c>
      <c r="J344" s="3">
        <f>Prices!E344</f>
        <v>24.030000999999999</v>
      </c>
      <c r="K344" s="99">
        <f t="shared" si="20"/>
        <v>-1.0296539938363264E-2</v>
      </c>
      <c r="L344" s="99">
        <f t="shared" si="21"/>
        <v>1.3829015581652291E-3</v>
      </c>
      <c r="M344" s="3">
        <f>Prices!M344</f>
        <v>22.52</v>
      </c>
      <c r="N344" s="99">
        <f t="shared" si="22"/>
        <v>-3.539823008849639E-3</v>
      </c>
      <c r="O344" s="99">
        <f t="shared" si="23"/>
        <v>8.2188862525842642E-4</v>
      </c>
    </row>
    <row r="345" spans="9:15">
      <c r="I345" s="178">
        <f>Prices!A345</f>
        <v>42104</v>
      </c>
      <c r="J345" s="3">
        <f>Prices!E345</f>
        <v>24.280000999999999</v>
      </c>
      <c r="K345" s="99">
        <f t="shared" si="20"/>
        <v>-5.5620305547269808E-2</v>
      </c>
      <c r="L345" s="99">
        <f t="shared" si="21"/>
        <v>1.2879703805568222E-3</v>
      </c>
      <c r="M345" s="3">
        <f>Prices!M345</f>
        <v>22.6</v>
      </c>
      <c r="N345" s="99">
        <f t="shared" si="22"/>
        <v>-4.4232638468255875E-4</v>
      </c>
      <c r="O345" s="99">
        <f t="shared" si="23"/>
        <v>7.0726695791772356E-4</v>
      </c>
    </row>
    <row r="346" spans="9:15">
      <c r="I346" s="178">
        <f>Prices!A346</f>
        <v>42107</v>
      </c>
      <c r="J346" s="3">
        <f>Prices!E346</f>
        <v>25.709999</v>
      </c>
      <c r="K346" s="99">
        <f t="shared" si="20"/>
        <v>1.9833400231392313E-2</v>
      </c>
      <c r="L346" s="99">
        <f t="shared" si="21"/>
        <v>4.1321456579203079E-3</v>
      </c>
      <c r="M346" s="3">
        <f>Prices!M346</f>
        <v>22.610001</v>
      </c>
      <c r="N346" s="99">
        <f t="shared" si="22"/>
        <v>-8.8369425027376577E-4</v>
      </c>
      <c r="O346" s="99">
        <f t="shared" si="23"/>
        <v>7.2938327715185171E-4</v>
      </c>
    </row>
    <row r="347" spans="9:15">
      <c r="I347" s="178">
        <f>Prices!A347</f>
        <v>42108</v>
      </c>
      <c r="J347" s="3">
        <f>Prices!E347</f>
        <v>25.209999</v>
      </c>
      <c r="K347" s="99">
        <f t="shared" si="20"/>
        <v>-4.3444312796208709E-3</v>
      </c>
      <c r="L347" s="99">
        <f t="shared" si="21"/>
        <v>4.5474020532770987E-3</v>
      </c>
      <c r="M347" s="3">
        <f>Prices!M347</f>
        <v>22.629999000000002</v>
      </c>
      <c r="N347" s="99">
        <f t="shared" si="22"/>
        <v>-2.6444247402191488E-3</v>
      </c>
      <c r="O347" s="99">
        <f t="shared" si="23"/>
        <v>1.1806236021912916E-3</v>
      </c>
    </row>
    <row r="348" spans="9:15">
      <c r="I348" s="178">
        <f>Prices!A348</f>
        <v>42109</v>
      </c>
      <c r="J348" s="3">
        <f>Prices!E348</f>
        <v>25.32</v>
      </c>
      <c r="K348" s="99">
        <f t="shared" si="20"/>
        <v>2.6347790839075742E-2</v>
      </c>
      <c r="L348" s="99">
        <f t="shared" si="21"/>
        <v>4.6781953507746407E-3</v>
      </c>
      <c r="M348" s="3">
        <f>Prices!M348</f>
        <v>22.690000999999999</v>
      </c>
      <c r="N348" s="99">
        <f t="shared" si="22"/>
        <v>4.8716120460584799E-3</v>
      </c>
      <c r="O348" s="99">
        <f t="shared" si="23"/>
        <v>1.6085704988928772E-3</v>
      </c>
    </row>
    <row r="349" spans="9:15">
      <c r="I349" s="178">
        <f>Prices!A349</f>
        <v>42110</v>
      </c>
      <c r="J349" s="3">
        <f>Prices!E349</f>
        <v>24.67</v>
      </c>
      <c r="K349" s="99">
        <f t="shared" si="20"/>
        <v>2.3226834374664738E-2</v>
      </c>
      <c r="L349" s="99">
        <f t="shared" si="21"/>
        <v>2.5111839247776036E-3</v>
      </c>
      <c r="M349" s="3">
        <f>Prices!M349</f>
        <v>22.58</v>
      </c>
      <c r="N349" s="99">
        <f t="shared" si="22"/>
        <v>1.3304213450297099E-3</v>
      </c>
      <c r="O349" s="99">
        <f t="shared" si="23"/>
        <v>1.2062619982349482E-3</v>
      </c>
    </row>
    <row r="350" spans="9:15">
      <c r="I350" s="178">
        <f>Prices!A350</f>
        <v>42111</v>
      </c>
      <c r="J350" s="3">
        <f>Prices!E350</f>
        <v>24.110001</v>
      </c>
      <c r="K350" s="99">
        <f t="shared" si="20"/>
        <v>8.7866527196653506E-3</v>
      </c>
      <c r="L350" s="99">
        <f t="shared" si="21"/>
        <v>9.0773904814963062E-4</v>
      </c>
      <c r="M350" s="3">
        <f>Prices!M350</f>
        <v>22.549999</v>
      </c>
      <c r="N350" s="99">
        <f t="shared" si="22"/>
        <v>-3.5351305141463701E-3</v>
      </c>
      <c r="O350" s="99">
        <f t="shared" si="23"/>
        <v>8.9154372881739658E-4</v>
      </c>
    </row>
    <row r="351" spans="9:15">
      <c r="I351" s="178">
        <f>Prices!A351</f>
        <v>42114</v>
      </c>
      <c r="J351" s="3">
        <f>Prices!E351</f>
        <v>23.9</v>
      </c>
      <c r="K351" s="99">
        <f t="shared" si="20"/>
        <v>2.5751116985026433E-2</v>
      </c>
      <c r="L351" s="99">
        <f t="shared" si="21"/>
        <v>-3.5401141145571073E-3</v>
      </c>
      <c r="M351" s="3">
        <f>Prices!M351</f>
        <v>22.629999000000002</v>
      </c>
      <c r="N351" s="99">
        <f t="shared" si="22"/>
        <v>3.1028370169697383E-3</v>
      </c>
      <c r="O351" s="99">
        <f t="shared" si="23"/>
        <v>9.1085536023771479E-4</v>
      </c>
    </row>
    <row r="352" spans="9:15">
      <c r="I352" s="178">
        <f>Prices!A352</f>
        <v>42115</v>
      </c>
      <c r="J352" s="3">
        <f>Prices!E352</f>
        <v>23.299999</v>
      </c>
      <c r="K352" s="99">
        <f t="shared" si="20"/>
        <v>-2.1413704496788754E-3</v>
      </c>
      <c r="L352" s="99">
        <f t="shared" si="21"/>
        <v>-4.5355001157367531E-3</v>
      </c>
      <c r="M352" s="3">
        <f>Prices!M352</f>
        <v>22.559999000000001</v>
      </c>
      <c r="N352" s="99">
        <f t="shared" si="22"/>
        <v>1.7761545293073567E-3</v>
      </c>
      <c r="O352" s="99">
        <f t="shared" si="23"/>
        <v>1.0953874224327112E-3</v>
      </c>
    </row>
    <row r="353" spans="9:15">
      <c r="I353" s="178">
        <f>Prices!A353</f>
        <v>42116</v>
      </c>
      <c r="J353" s="3">
        <f>Prices!E353</f>
        <v>23.35</v>
      </c>
      <c r="K353" s="99">
        <f t="shared" si="20"/>
        <v>4.2844901456733347E-4</v>
      </c>
      <c r="L353" s="99">
        <f t="shared" si="21"/>
        <v>-4.7573789616738582E-3</v>
      </c>
      <c r="M353" s="3">
        <f>Prices!M353</f>
        <v>22.52</v>
      </c>
      <c r="N353" s="99">
        <f t="shared" si="22"/>
        <v>-5.7395143487858286E-3</v>
      </c>
      <c r="O353" s="99">
        <f t="shared" si="23"/>
        <v>3.8045941985464957E-4</v>
      </c>
    </row>
    <row r="354" spans="9:15">
      <c r="I354" s="178">
        <f>Prices!A354</f>
        <v>42117</v>
      </c>
      <c r="J354" s="3">
        <f>Prices!E354</f>
        <v>23.34</v>
      </c>
      <c r="K354" s="99">
        <f t="shared" si="20"/>
        <v>-3.9506133313009596E-2</v>
      </c>
      <c r="L354" s="99">
        <f t="shared" si="21"/>
        <v>-5.295846586012138E-3</v>
      </c>
      <c r="M354" s="3">
        <f>Prices!M354</f>
        <v>22.65</v>
      </c>
      <c r="N354" s="99">
        <f t="shared" si="22"/>
        <v>-1.7629351360539903E-3</v>
      </c>
      <c r="O354" s="99">
        <f t="shared" si="23"/>
        <v>6.4508377485994277E-4</v>
      </c>
    </row>
    <row r="355" spans="9:15">
      <c r="I355" s="178">
        <f>Prices!A355</f>
        <v>42118</v>
      </c>
      <c r="J355" s="3">
        <f>Prices!E355</f>
        <v>24.299999</v>
      </c>
      <c r="K355" s="99">
        <f t="shared" si="20"/>
        <v>1.7587940435005802E-2</v>
      </c>
      <c r="L355" s="99">
        <f t="shared" si="21"/>
        <v>-4.0005512796367406E-3</v>
      </c>
      <c r="M355" s="3">
        <f>Prices!M355</f>
        <v>22.690000999999999</v>
      </c>
      <c r="N355" s="99">
        <f t="shared" si="22"/>
        <v>5.762500255429865E-3</v>
      </c>
      <c r="O355" s="99">
        <f t="shared" si="23"/>
        <v>7.3323053166264259E-4</v>
      </c>
    </row>
    <row r="356" spans="9:15">
      <c r="I356" s="178">
        <f>Prices!A356</f>
        <v>42121</v>
      </c>
      <c r="J356" s="3">
        <f>Prices!E356</f>
        <v>23.879999000000002</v>
      </c>
      <c r="K356" s="99">
        <f t="shared" si="20"/>
        <v>5.8971777590565754E-3</v>
      </c>
      <c r="L356" s="99">
        <f t="shared" si="21"/>
        <v>-4.460902587101313E-3</v>
      </c>
      <c r="M356" s="3">
        <f>Prices!M356</f>
        <v>22.559999000000001</v>
      </c>
      <c r="N356" s="99">
        <f t="shared" si="22"/>
        <v>-4.4311032343814967E-4</v>
      </c>
      <c r="O356" s="99">
        <f t="shared" si="23"/>
        <v>8.9616776516989686E-4</v>
      </c>
    </row>
    <row r="357" spans="9:15">
      <c r="I357" s="178">
        <f>Prices!A357</f>
        <v>42122</v>
      </c>
      <c r="J357" s="3">
        <f>Prices!E357</f>
        <v>23.74</v>
      </c>
      <c r="K357" s="99">
        <f t="shared" si="20"/>
        <v>-2.704918032786886E-2</v>
      </c>
      <c r="L357" s="99">
        <f t="shared" si="21"/>
        <v>-3.9820670843384769E-3</v>
      </c>
      <c r="M357" s="3">
        <f>Prices!M357</f>
        <v>22.57</v>
      </c>
      <c r="N357" s="99">
        <f t="shared" si="22"/>
        <v>-2.2104773558585689E-3</v>
      </c>
      <c r="O357" s="99">
        <f t="shared" si="23"/>
        <v>6.9380599351064607E-4</v>
      </c>
    </row>
    <row r="358" spans="9:15">
      <c r="I358" s="178">
        <f>Prices!A358</f>
        <v>42123</v>
      </c>
      <c r="J358" s="3">
        <f>Prices!E358</f>
        <v>24.4</v>
      </c>
      <c r="K358" s="99">
        <f t="shared" si="20"/>
        <v>2.0493517356754431E-2</v>
      </c>
      <c r="L358" s="99">
        <f t="shared" si="21"/>
        <v>-2.7453934789832424E-3</v>
      </c>
      <c r="M358" s="3">
        <f>Prices!M358</f>
        <v>22.620000999999998</v>
      </c>
      <c r="N358" s="99">
        <f t="shared" si="22"/>
        <v>1.2080581655480852E-2</v>
      </c>
      <c r="O358" s="99">
        <f t="shared" si="23"/>
        <v>8.043298613035748E-4</v>
      </c>
    </row>
    <row r="359" spans="9:15">
      <c r="I359" s="178">
        <f>Prices!A359</f>
        <v>42124</v>
      </c>
      <c r="J359" s="3">
        <f>Prices!E359</f>
        <v>23.91</v>
      </c>
      <c r="K359" s="99">
        <f t="shared" si="20"/>
        <v>-8.2953542805742856E-3</v>
      </c>
      <c r="L359" s="99">
        <f t="shared" si="21"/>
        <v>-3.3025975899062783E-3</v>
      </c>
      <c r="M359" s="3">
        <f>Prices!M359</f>
        <v>22.35</v>
      </c>
      <c r="N359" s="99">
        <f t="shared" si="22"/>
        <v>-7.9893915672705571E-3</v>
      </c>
      <c r="O359" s="99">
        <f t="shared" si="23"/>
        <v>5.6212572824346284E-4</v>
      </c>
    </row>
    <row r="360" spans="9:15">
      <c r="I360" s="178">
        <f>Prices!A360</f>
        <v>42125</v>
      </c>
      <c r="J360" s="3">
        <f>Prices!E360</f>
        <v>24.110001</v>
      </c>
      <c r="K360" s="99">
        <f t="shared" si="20"/>
        <v>7.1010857518344177E-3</v>
      </c>
      <c r="L360" s="99">
        <f t="shared" si="21"/>
        <v>-3.5793415665609368E-3</v>
      </c>
      <c r="M360" s="3">
        <f>Prices!M360</f>
        <v>22.530000999999999</v>
      </c>
      <c r="N360" s="99">
        <f t="shared" si="22"/>
        <v>-2.2143046944198266E-3</v>
      </c>
      <c r="O360" s="99">
        <f t="shared" si="23"/>
        <v>8.0379774123278129E-4</v>
      </c>
    </row>
    <row r="361" spans="9:15">
      <c r="I361" s="178">
        <f>Prices!A361</f>
        <v>42128</v>
      </c>
      <c r="J361" s="3">
        <f>Prices!E361</f>
        <v>23.940000999999999</v>
      </c>
      <c r="K361" s="99">
        <f t="shared" si="20"/>
        <v>2.7908972610177156E-2</v>
      </c>
      <c r="L361" s="99">
        <f t="shared" si="21"/>
        <v>-3.7995691925645746E-3</v>
      </c>
      <c r="M361" s="3">
        <f>Prices!M361</f>
        <v>22.58</v>
      </c>
      <c r="N361" s="99">
        <f t="shared" si="22"/>
        <v>1.3464945535684657E-2</v>
      </c>
      <c r="O361" s="99">
        <f t="shared" si="23"/>
        <v>8.9197805132713772E-4</v>
      </c>
    </row>
    <row r="362" spans="9:15">
      <c r="I362" s="178">
        <f>Prices!A362</f>
        <v>42129</v>
      </c>
      <c r="J362" s="3">
        <f>Prices!E362</f>
        <v>23.290001</v>
      </c>
      <c r="K362" s="99">
        <f t="shared" si="20"/>
        <v>4.7455133735979493E-3</v>
      </c>
      <c r="L362" s="99">
        <f t="shared" si="21"/>
        <v>-5.4632189724987236E-3</v>
      </c>
      <c r="M362" s="3">
        <f>Prices!M362</f>
        <v>22.280000999999999</v>
      </c>
      <c r="N362" s="99">
        <f t="shared" si="22"/>
        <v>9.5152242863615014E-3</v>
      </c>
      <c r="O362" s="99">
        <f t="shared" si="23"/>
        <v>-9.4746610141375429E-5</v>
      </c>
    </row>
    <row r="363" spans="9:15">
      <c r="I363" s="178">
        <f>Prices!A363</f>
        <v>42130</v>
      </c>
      <c r="J363" s="3">
        <f>Prices!E363</f>
        <v>23.18</v>
      </c>
      <c r="K363" s="99">
        <f t="shared" si="20"/>
        <v>-1.3197105151128086E-2</v>
      </c>
      <c r="L363" s="99">
        <f t="shared" si="21"/>
        <v>-5.7770038254368102E-3</v>
      </c>
      <c r="M363" s="3">
        <f>Prices!M363</f>
        <v>22.07</v>
      </c>
      <c r="N363" s="99">
        <f t="shared" si="22"/>
        <v>-4.0613718411552282E-3</v>
      </c>
      <c r="O363" s="99">
        <f t="shared" si="23"/>
        <v>-7.2997670570271964E-5</v>
      </c>
    </row>
    <row r="364" spans="9:15">
      <c r="I364" s="178">
        <f>Prices!A364</f>
        <v>42131</v>
      </c>
      <c r="J364" s="3">
        <f>Prices!E364</f>
        <v>23.49</v>
      </c>
      <c r="K364" s="99">
        <f t="shared" si="20"/>
        <v>-1.21951634905314E-2</v>
      </c>
      <c r="L364" s="99">
        <f t="shared" si="21"/>
        <v>-5.6095747042440398E-3</v>
      </c>
      <c r="M364" s="3">
        <f>Prices!M364</f>
        <v>22.16</v>
      </c>
      <c r="N364" s="99">
        <f t="shared" si="22"/>
        <v>-5.8322563556636913E-3</v>
      </c>
      <c r="O364" s="99">
        <f t="shared" si="23"/>
        <v>3.1164149881066311E-4</v>
      </c>
    </row>
    <row r="365" spans="9:15">
      <c r="I365" s="178">
        <f>Prices!A365</f>
        <v>42132</v>
      </c>
      <c r="J365" s="3">
        <f>Prices!E365</f>
        <v>23.780000999999999</v>
      </c>
      <c r="K365" s="99">
        <f t="shared" si="20"/>
        <v>1.2631999999999416E-3</v>
      </c>
      <c r="L365" s="99">
        <f t="shared" si="21"/>
        <v>-4.0345655644665043E-3</v>
      </c>
      <c r="M365" s="3">
        <f>Prices!M365</f>
        <v>22.290001</v>
      </c>
      <c r="N365" s="99">
        <f t="shared" si="22"/>
        <v>0</v>
      </c>
      <c r="O365" s="99">
        <f t="shared" si="23"/>
        <v>1.387025603649113E-3</v>
      </c>
    </row>
    <row r="366" spans="9:15">
      <c r="I366" s="178">
        <f>Prices!A366</f>
        <v>42135</v>
      </c>
      <c r="J366" s="3">
        <f>Prices!E366</f>
        <v>23.75</v>
      </c>
      <c r="K366" s="99">
        <f t="shared" si="20"/>
        <v>2.8138528138528074E-2</v>
      </c>
      <c r="L366" s="99">
        <f t="shared" si="21"/>
        <v>-3.8064634285441754E-3</v>
      </c>
      <c r="M366" s="3">
        <f>Prices!M366</f>
        <v>22.290001</v>
      </c>
      <c r="N366" s="99">
        <f t="shared" si="22"/>
        <v>8.1411122505150365E-3</v>
      </c>
      <c r="O366" s="99">
        <f t="shared" si="23"/>
        <v>1.1119270124020377E-3</v>
      </c>
    </row>
    <row r="367" spans="9:15">
      <c r="I367" s="178">
        <f>Prices!A367</f>
        <v>42136</v>
      </c>
      <c r="J367" s="3">
        <f>Prices!E367</f>
        <v>23.1</v>
      </c>
      <c r="K367" s="99">
        <f t="shared" si="20"/>
        <v>-1.7285653296699849E-3</v>
      </c>
      <c r="L367" s="99">
        <f t="shared" si="21"/>
        <v>-7.0465361130613025E-3</v>
      </c>
      <c r="M367" s="3">
        <f>Prices!M367</f>
        <v>22.110001</v>
      </c>
      <c r="N367" s="99">
        <f t="shared" si="22"/>
        <v>5.9145131938125586E-3</v>
      </c>
      <c r="O367" s="99">
        <f t="shared" si="23"/>
        <v>4.9938966471647461E-4</v>
      </c>
    </row>
    <row r="368" spans="9:15">
      <c r="I368" s="178">
        <f>Prices!A368</f>
        <v>42137</v>
      </c>
      <c r="J368" s="3">
        <f>Prices!E368</f>
        <v>23.139999</v>
      </c>
      <c r="K368" s="99">
        <f t="shared" si="20"/>
        <v>-1.6992437680865037E-2</v>
      </c>
      <c r="L368" s="99">
        <f t="shared" si="21"/>
        <v>-6.065210664551908E-3</v>
      </c>
      <c r="M368" s="3">
        <f>Prices!M368</f>
        <v>21.98</v>
      </c>
      <c r="N368" s="99">
        <f t="shared" si="22"/>
        <v>-3.1745579671001007E-3</v>
      </c>
      <c r="O368" s="99">
        <f t="shared" si="23"/>
        <v>3.4102664238848119E-4</v>
      </c>
    </row>
    <row r="369" spans="9:15">
      <c r="I369" s="178">
        <f>Prices!A369</f>
        <v>42138</v>
      </c>
      <c r="J369" s="3">
        <f>Prices!E369</f>
        <v>23.540001</v>
      </c>
      <c r="K369" s="99">
        <f t="shared" si="20"/>
        <v>-8.8420631578947292E-3</v>
      </c>
      <c r="L369" s="99">
        <f t="shared" si="21"/>
        <v>-5.1965411614610362E-3</v>
      </c>
      <c r="M369" s="3">
        <f>Prices!M369</f>
        <v>22.049999</v>
      </c>
      <c r="N369" s="99">
        <f t="shared" si="22"/>
        <v>-4.9639440433213201E-3</v>
      </c>
      <c r="O369" s="99">
        <f t="shared" si="23"/>
        <v>8.9200188730554904E-4</v>
      </c>
    </row>
    <row r="370" spans="9:15">
      <c r="I370" s="178">
        <f>Prices!A370</f>
        <v>42139</v>
      </c>
      <c r="J370" s="3">
        <f>Prices!E370</f>
        <v>23.75</v>
      </c>
      <c r="K370" s="99">
        <f t="shared" si="20"/>
        <v>-8.0170410534469411E-2</v>
      </c>
      <c r="L370" s="99">
        <f t="shared" si="21"/>
        <v>-5.3380204803578097E-3</v>
      </c>
      <c r="M370" s="3">
        <f>Prices!M370</f>
        <v>22.16</v>
      </c>
      <c r="N370" s="99">
        <f t="shared" si="22"/>
        <v>-3.1488978857400038E-3</v>
      </c>
      <c r="O370" s="99">
        <f t="shared" si="23"/>
        <v>9.7920552921403298E-4</v>
      </c>
    </row>
    <row r="371" spans="9:15">
      <c r="I371" s="178">
        <f>Prices!A371</f>
        <v>42143</v>
      </c>
      <c r="J371" s="3">
        <f>Prices!E371</f>
        <v>25.82</v>
      </c>
      <c r="K371" s="99">
        <f t="shared" si="20"/>
        <v>5.8433969614335246E-3</v>
      </c>
      <c r="L371" s="99">
        <f t="shared" si="21"/>
        <v>-1.4234533510806612E-3</v>
      </c>
      <c r="M371" s="3">
        <f>Prices!M371</f>
        <v>22.23</v>
      </c>
      <c r="N371" s="99">
        <f t="shared" si="22"/>
        <v>6.7934782608696622E-3</v>
      </c>
      <c r="O371" s="99">
        <f t="shared" si="23"/>
        <v>1.1826932433004194E-3</v>
      </c>
    </row>
    <row r="372" spans="9:15">
      <c r="I372" s="178">
        <f>Prices!A372</f>
        <v>42144</v>
      </c>
      <c r="J372" s="3">
        <f>Prices!E372</f>
        <v>25.67</v>
      </c>
      <c r="K372" s="99">
        <f t="shared" si="20"/>
        <v>-6.5789473684209811E-3</v>
      </c>
      <c r="L372" s="99">
        <f t="shared" si="21"/>
        <v>-1.4511690901816516E-3</v>
      </c>
      <c r="M372" s="3">
        <f>Prices!M372</f>
        <v>22.08</v>
      </c>
      <c r="N372" s="99">
        <f t="shared" si="22"/>
        <v>-1.2522405522253874E-2</v>
      </c>
      <c r="O372" s="99">
        <f t="shared" si="23"/>
        <v>1.2608419663840222E-3</v>
      </c>
    </row>
    <row r="373" spans="9:15">
      <c r="I373" s="178">
        <f>Prices!A373</f>
        <v>42145</v>
      </c>
      <c r="J373" s="3">
        <f>Prices!E373</f>
        <v>25.84</v>
      </c>
      <c r="K373" s="99">
        <f t="shared" si="20"/>
        <v>-1.0340903472198281E-2</v>
      </c>
      <c r="L373" s="99">
        <f t="shared" si="21"/>
        <v>-4.1341137693301586E-4</v>
      </c>
      <c r="M373" s="3">
        <f>Prices!M373</f>
        <v>22.360001</v>
      </c>
      <c r="N373" s="99">
        <f t="shared" si="22"/>
        <v>-4.4702724867996254E-4</v>
      </c>
      <c r="O373" s="99">
        <f t="shared" si="23"/>
        <v>1.7711702091479438E-3</v>
      </c>
    </row>
    <row r="374" spans="9:15">
      <c r="I374" s="178">
        <f>Prices!A374</f>
        <v>42146</v>
      </c>
      <c r="J374" s="3">
        <f>Prices!E374</f>
        <v>26.110001</v>
      </c>
      <c r="K374" s="99">
        <f t="shared" si="20"/>
        <v>-1.3600227185501627E-2</v>
      </c>
      <c r="L374" s="99">
        <f t="shared" si="21"/>
        <v>-6.8189411730000077E-5</v>
      </c>
      <c r="M374" s="3">
        <f>Prices!M374</f>
        <v>22.370000999999998</v>
      </c>
      <c r="N374" s="99">
        <f t="shared" si="22"/>
        <v>0</v>
      </c>
      <c r="O374" s="99">
        <f t="shared" si="23"/>
        <v>2.4029918013053404E-3</v>
      </c>
    </row>
    <row r="375" spans="9:15">
      <c r="I375" s="178">
        <f>Prices!A375</f>
        <v>42149</v>
      </c>
      <c r="J375" s="3">
        <f>Prices!E375</f>
        <v>26.469999000000001</v>
      </c>
      <c r="K375" s="99">
        <f t="shared" si="20"/>
        <v>8.3809142857143391E-3</v>
      </c>
      <c r="L375" s="99">
        <f t="shared" si="21"/>
        <v>4.5572419421261668E-5</v>
      </c>
      <c r="M375" s="3">
        <f>Prices!M375</f>
        <v>22.370000999999998</v>
      </c>
      <c r="N375" s="99">
        <f t="shared" si="22"/>
        <v>9.0212449255749547E-3</v>
      </c>
      <c r="O375" s="99">
        <f t="shared" si="23"/>
        <v>1.7095128048430584E-3</v>
      </c>
    </row>
    <row r="376" spans="9:15">
      <c r="I376" s="178">
        <f>Prices!A376</f>
        <v>42150</v>
      </c>
      <c r="J376" s="3">
        <f>Prices!E376</f>
        <v>26.25</v>
      </c>
      <c r="K376" s="99">
        <f t="shared" si="20"/>
        <v>1.5473887814313291E-2</v>
      </c>
      <c r="L376" s="99">
        <f t="shared" si="21"/>
        <v>-9.8868582282866458E-4</v>
      </c>
      <c r="M376" s="3">
        <f>Prices!M376</f>
        <v>22.17</v>
      </c>
      <c r="N376" s="99">
        <f t="shared" si="22"/>
        <v>-4.490345756623164E-3</v>
      </c>
      <c r="O376" s="99">
        <f t="shared" si="23"/>
        <v>8.4579579411429883E-4</v>
      </c>
    </row>
    <row r="377" spans="9:15">
      <c r="I377" s="178">
        <f>Prices!A377</f>
        <v>42151</v>
      </c>
      <c r="J377" s="3">
        <f>Prices!E377</f>
        <v>25.85</v>
      </c>
      <c r="K377" s="99">
        <f t="shared" si="20"/>
        <v>-2.3157082207641345E-3</v>
      </c>
      <c r="L377" s="99">
        <f t="shared" si="21"/>
        <v>-1.7250649136445035E-3</v>
      </c>
      <c r="M377" s="3">
        <f>Prices!M377</f>
        <v>22.27</v>
      </c>
      <c r="N377" s="99">
        <f t="shared" si="22"/>
        <v>0</v>
      </c>
      <c r="O377" s="99">
        <f t="shared" si="23"/>
        <v>9.3313430449593342E-4</v>
      </c>
    </row>
    <row r="378" spans="9:15">
      <c r="I378" s="178">
        <f>Prices!A378</f>
        <v>42152</v>
      </c>
      <c r="J378" s="3">
        <f>Prices!E378</f>
        <v>25.91</v>
      </c>
      <c r="K378" s="99">
        <f t="shared" si="20"/>
        <v>9.3494351382936661E-3</v>
      </c>
      <c r="L378" s="99">
        <f t="shared" si="21"/>
        <v>-3.3904993017707524E-3</v>
      </c>
      <c r="M378" s="3">
        <f>Prices!M378</f>
        <v>22.27</v>
      </c>
      <c r="N378" s="99">
        <f t="shared" si="22"/>
        <v>7.2364989942786126E-3</v>
      </c>
      <c r="O378" s="99">
        <f t="shared" si="23"/>
        <v>1.1167047412297322E-3</v>
      </c>
    </row>
    <row r="379" spans="9:15">
      <c r="I379" s="178">
        <f>Prices!A379</f>
        <v>42153</v>
      </c>
      <c r="J379" s="3">
        <f>Prices!E379</f>
        <v>25.67</v>
      </c>
      <c r="K379" s="99">
        <f t="shared" si="20"/>
        <v>-1.3830233813667426E-2</v>
      </c>
      <c r="L379" s="99">
        <f t="shared" si="21"/>
        <v>-3.7497831755264029E-3</v>
      </c>
      <c r="M379" s="3">
        <f>Prices!M379</f>
        <v>22.110001</v>
      </c>
      <c r="N379" s="99">
        <f t="shared" si="22"/>
        <v>-3.1559513074841867E-3</v>
      </c>
      <c r="O379" s="99">
        <f t="shared" si="23"/>
        <v>9.1602620777484216E-4</v>
      </c>
    </row>
    <row r="380" spans="9:15">
      <c r="I380" s="178">
        <f>Prices!A380</f>
        <v>42156</v>
      </c>
      <c r="J380" s="3">
        <f>Prices!E380</f>
        <v>26.030000999999999</v>
      </c>
      <c r="K380" s="99">
        <f t="shared" si="20"/>
        <v>2.6965332317616338E-3</v>
      </c>
      <c r="L380" s="99">
        <f t="shared" si="21"/>
        <v>-2.0277230858735821E-3</v>
      </c>
      <c r="M380" s="3">
        <f>Prices!M380</f>
        <v>22.18</v>
      </c>
      <c r="N380" s="99">
        <f t="shared" si="22"/>
        <v>-4.50698492532697E-4</v>
      </c>
      <c r="O380" s="99">
        <f t="shared" si="23"/>
        <v>2.2760869132840453E-3</v>
      </c>
    </row>
    <row r="381" spans="9:15">
      <c r="I381" s="178">
        <f>Prices!A381</f>
        <v>42157</v>
      </c>
      <c r="J381" s="3">
        <f>Prices!E381</f>
        <v>25.959999</v>
      </c>
      <c r="K381" s="99">
        <f t="shared" si="20"/>
        <v>-5.364022988505808E-3</v>
      </c>
      <c r="L381" s="99">
        <f t="shared" si="21"/>
        <v>-2.2176986424929518E-3</v>
      </c>
      <c r="M381" s="3">
        <f>Prices!M381</f>
        <v>22.190000999999999</v>
      </c>
      <c r="N381" s="99">
        <f t="shared" si="22"/>
        <v>-6.2695476936856049E-3</v>
      </c>
      <c r="O381" s="99">
        <f t="shared" si="23"/>
        <v>2.0639901985567755E-3</v>
      </c>
    </row>
    <row r="382" spans="9:15">
      <c r="I382" s="178">
        <f>Prices!A382</f>
        <v>42158</v>
      </c>
      <c r="J382" s="3">
        <f>Prices!E382</f>
        <v>26.1</v>
      </c>
      <c r="K382" s="99">
        <f t="shared" si="20"/>
        <v>-1.5301836851638027E-3</v>
      </c>
      <c r="L382" s="99">
        <f t="shared" si="21"/>
        <v>-2.834293416332523E-3</v>
      </c>
      <c r="M382" s="3">
        <f>Prices!M382</f>
        <v>22.33</v>
      </c>
      <c r="N382" s="99">
        <f t="shared" si="22"/>
        <v>9.9502030777835707E-3</v>
      </c>
      <c r="O382" s="99">
        <f t="shared" si="23"/>
        <v>2.120695874557581E-3</v>
      </c>
    </row>
    <row r="383" spans="9:15">
      <c r="I383" s="178">
        <f>Prices!A383</f>
        <v>42159</v>
      </c>
      <c r="J383" s="3">
        <f>Prices!E383</f>
        <v>26.139999</v>
      </c>
      <c r="K383" s="99">
        <f t="shared" si="20"/>
        <v>-9.8485227272726919E-3</v>
      </c>
      <c r="L383" s="99">
        <f t="shared" si="21"/>
        <v>-3.1519064105050053E-3</v>
      </c>
      <c r="M383" s="3">
        <f>Prices!M383</f>
        <v>22.110001</v>
      </c>
      <c r="N383" s="99">
        <f t="shared" si="22"/>
        <v>3.6314115464634728E-3</v>
      </c>
      <c r="O383" s="99">
        <f t="shared" si="23"/>
        <v>1.3908437132334633E-3</v>
      </c>
    </row>
    <row r="384" spans="9:15">
      <c r="I384" s="178">
        <f>Prices!A384</f>
        <v>42160</v>
      </c>
      <c r="J384" s="3">
        <f>Prices!E384</f>
        <v>26.4</v>
      </c>
      <c r="K384" s="99">
        <f t="shared" si="20"/>
        <v>1.9305019305019305E-2</v>
      </c>
      <c r="L384" s="99">
        <f t="shared" si="21"/>
        <v>-2.4977261404246199E-3</v>
      </c>
      <c r="M384" s="3">
        <f>Prices!M384</f>
        <v>22.030000999999999</v>
      </c>
      <c r="N384" s="99">
        <f t="shared" si="22"/>
        <v>1.5675425741105309E-2</v>
      </c>
      <c r="O384" s="99">
        <f t="shared" si="23"/>
        <v>1.442699839925224E-3</v>
      </c>
    </row>
    <row r="385" spans="9:15">
      <c r="I385" s="178">
        <f>Prices!A385</f>
        <v>42163</v>
      </c>
      <c r="J385" s="3">
        <f>Prices!E385</f>
        <v>25.9</v>
      </c>
      <c r="K385" s="99">
        <f t="shared" si="20"/>
        <v>5.8252427184465466E-3</v>
      </c>
      <c r="L385" s="99">
        <f t="shared" si="21"/>
        <v>-2.398366239302601E-3</v>
      </c>
      <c r="M385" s="3">
        <f>Prices!M385</f>
        <v>21.690000999999999</v>
      </c>
      <c r="N385" s="99">
        <f t="shared" si="22"/>
        <v>-5.5019718249415088E-3</v>
      </c>
      <c r="O385" s="99">
        <f t="shared" si="23"/>
        <v>4.4972353194945683E-4</v>
      </c>
    </row>
    <row r="386" spans="9:15">
      <c r="I386" s="178">
        <f>Prices!A386</f>
        <v>42164</v>
      </c>
      <c r="J386" s="3">
        <f>Prices!E386</f>
        <v>25.75</v>
      </c>
      <c r="K386" s="99">
        <f t="shared" si="20"/>
        <v>-3.6662925551814454E-2</v>
      </c>
      <c r="L386" s="99">
        <f t="shared" si="21"/>
        <v>-1.5443016330046284E-3</v>
      </c>
      <c r="M386" s="3">
        <f>Prices!M386</f>
        <v>21.809999000000001</v>
      </c>
      <c r="N386" s="99">
        <f t="shared" si="22"/>
        <v>-4.1096347031962252E-3</v>
      </c>
      <c r="O386" s="99">
        <f t="shared" si="23"/>
        <v>1.5038589503920041E-3</v>
      </c>
    </row>
    <row r="387" spans="9:15">
      <c r="I387" s="178">
        <f>Prices!A387</f>
        <v>42165</v>
      </c>
      <c r="J387" s="3">
        <f>Prices!E387</f>
        <v>26.73</v>
      </c>
      <c r="K387" s="99">
        <f t="shared" si="20"/>
        <v>1.7897943640517854E-2</v>
      </c>
      <c r="L387" s="99">
        <f t="shared" si="21"/>
        <v>1.3824747709725155E-3</v>
      </c>
      <c r="M387" s="3">
        <f>Prices!M387</f>
        <v>21.9</v>
      </c>
      <c r="N387" s="99">
        <f t="shared" si="22"/>
        <v>2.7472527472526889E-3</v>
      </c>
      <c r="O387" s="99">
        <f t="shared" si="23"/>
        <v>2.1379121141232435E-3</v>
      </c>
    </row>
    <row r="388" spans="9:15">
      <c r="I388" s="178">
        <f>Prices!A388</f>
        <v>42166</v>
      </c>
      <c r="J388" s="3">
        <f>Prices!E388</f>
        <v>26.26</v>
      </c>
      <c r="K388" s="99">
        <f t="shared" si="20"/>
        <v>3.8095238095244049E-4</v>
      </c>
      <c r="L388" s="99">
        <f t="shared" si="21"/>
        <v>-1.5197907351786027E-3</v>
      </c>
      <c r="M388" s="3">
        <f>Prices!M388</f>
        <v>21.84</v>
      </c>
      <c r="N388" s="99">
        <f t="shared" si="22"/>
        <v>7.8449469312412614E-3</v>
      </c>
      <c r="O388" s="99">
        <f t="shared" si="23"/>
        <v>1.5055023058484368E-3</v>
      </c>
    </row>
    <row r="389" spans="9:15">
      <c r="I389" s="178">
        <f>Prices!A389</f>
        <v>42167</v>
      </c>
      <c r="J389" s="3">
        <f>Prices!E389</f>
        <v>26.25</v>
      </c>
      <c r="K389" s="99">
        <f t="shared" si="20"/>
        <v>-1.1671649535830225E-2</v>
      </c>
      <c r="L389" s="99">
        <f t="shared" si="21"/>
        <v>-2.8130683874555882E-3</v>
      </c>
      <c r="M389" s="3">
        <f>Prices!M389</f>
        <v>21.67</v>
      </c>
      <c r="N389" s="99">
        <f t="shared" si="22"/>
        <v>-3.219871205151644E-3</v>
      </c>
      <c r="O389" s="99">
        <f t="shared" si="23"/>
        <v>5.9995351271614555E-4</v>
      </c>
    </row>
    <row r="390" spans="9:15">
      <c r="I390" s="178">
        <f>Prices!A390</f>
        <v>42170</v>
      </c>
      <c r="J390" s="3">
        <f>Prices!E390</f>
        <v>26.559999000000001</v>
      </c>
      <c r="K390" s="99">
        <f t="shared" si="20"/>
        <v>-1.8790679489263909E-3</v>
      </c>
      <c r="L390" s="99">
        <f t="shared" si="21"/>
        <v>-1.9225158964701413E-3</v>
      </c>
      <c r="M390" s="3">
        <f>Prices!M390</f>
        <v>21.74</v>
      </c>
      <c r="N390" s="99">
        <f t="shared" si="22"/>
        <v>9.2085639598772759E-4</v>
      </c>
      <c r="O390" s="99">
        <f t="shared" si="23"/>
        <v>6.910519159422663E-4</v>
      </c>
    </row>
    <row r="391" spans="9:15">
      <c r="I391" s="178">
        <f>Prices!A391</f>
        <v>42171</v>
      </c>
      <c r="J391" s="3">
        <f>Prices!E391</f>
        <v>26.610001</v>
      </c>
      <c r="K391" s="99">
        <f t="shared" ref="K391:K454" si="24">(J391-J392)/J392</f>
        <v>5.2890821794137231E-3</v>
      </c>
      <c r="L391" s="99">
        <f t="shared" ref="L391:L454" si="25">AVERAGE(K391:K410)</f>
        <v>-2.8197111715901951E-3</v>
      </c>
      <c r="M391" s="3">
        <f>Prices!M391</f>
        <v>21.719999000000001</v>
      </c>
      <c r="N391" s="99">
        <f t="shared" ref="N391:N454" si="26">(M391-M392)/M392</f>
        <v>8.3564527225417125E-3</v>
      </c>
      <c r="O391" s="99">
        <f t="shared" ref="O391:O454" si="27">AVERAGE(N391:N410)</f>
        <v>2.979429391352967E-4</v>
      </c>
    </row>
    <row r="392" spans="9:15">
      <c r="I392" s="178">
        <f>Prices!A392</f>
        <v>42172</v>
      </c>
      <c r="J392" s="3">
        <f>Prices!E392</f>
        <v>26.469999000000001</v>
      </c>
      <c r="K392" s="99">
        <f t="shared" si="24"/>
        <v>1.4176206896551722E-2</v>
      </c>
      <c r="L392" s="99">
        <f t="shared" si="25"/>
        <v>-2.7814587278543264E-3</v>
      </c>
      <c r="M392" s="3">
        <f>Prices!M392</f>
        <v>21.540001</v>
      </c>
      <c r="N392" s="99">
        <f t="shared" si="26"/>
        <v>-2.3158406669754371E-3</v>
      </c>
      <c r="O392" s="99">
        <f t="shared" si="27"/>
        <v>-4.1886543756216156E-4</v>
      </c>
    </row>
    <row r="393" spans="9:15">
      <c r="I393" s="178">
        <f>Prices!A393</f>
        <v>42173</v>
      </c>
      <c r="J393" s="3">
        <f>Prices!E393</f>
        <v>26.1</v>
      </c>
      <c r="K393" s="99">
        <f t="shared" si="24"/>
        <v>-3.4364641681379599E-3</v>
      </c>
      <c r="L393" s="99">
        <f t="shared" si="25"/>
        <v>-3.7383183373186739E-3</v>
      </c>
      <c r="M393" s="3">
        <f>Prices!M393</f>
        <v>21.59</v>
      </c>
      <c r="N393" s="99">
        <f t="shared" si="26"/>
        <v>1.218940459446796E-2</v>
      </c>
      <c r="O393" s="99">
        <f t="shared" si="27"/>
        <v>-2.5554915661978342E-5</v>
      </c>
    </row>
    <row r="394" spans="9:15">
      <c r="I394" s="178">
        <f>Prices!A394</f>
        <v>42174</v>
      </c>
      <c r="J394" s="3">
        <f>Prices!E394</f>
        <v>26.190000999999999</v>
      </c>
      <c r="K394" s="99">
        <f t="shared" si="24"/>
        <v>-1.1324990562476395E-2</v>
      </c>
      <c r="L394" s="99">
        <f t="shared" si="25"/>
        <v>-3.4065235626134622E-3</v>
      </c>
      <c r="M394" s="3">
        <f>Prices!M394</f>
        <v>21.33</v>
      </c>
      <c r="N394" s="99">
        <f t="shared" si="26"/>
        <v>-1.3869579929245637E-2</v>
      </c>
      <c r="O394" s="99">
        <f t="shared" si="27"/>
        <v>-2.7043022940488951E-6</v>
      </c>
    </row>
    <row r="395" spans="9:15">
      <c r="I395" s="178">
        <f>Prices!A395</f>
        <v>42177</v>
      </c>
      <c r="J395" s="3">
        <f>Prices!E395</f>
        <v>26.49</v>
      </c>
      <c r="K395" s="99">
        <f t="shared" si="24"/>
        <v>-1.2304250559284186E-2</v>
      </c>
      <c r="L395" s="99">
        <f t="shared" si="25"/>
        <v>-1.8801309185476137E-3</v>
      </c>
      <c r="M395" s="3">
        <f>Prices!M395</f>
        <v>21.629999000000002</v>
      </c>
      <c r="N395" s="99">
        <f t="shared" si="26"/>
        <v>-8.2530952890002285E-3</v>
      </c>
      <c r="O395" s="99">
        <f t="shared" si="27"/>
        <v>9.9709186223219046E-4</v>
      </c>
    </row>
    <row r="396" spans="9:15">
      <c r="I396" s="178">
        <f>Prices!A396</f>
        <v>42178</v>
      </c>
      <c r="J396" s="3">
        <f>Prices!E396</f>
        <v>26.82</v>
      </c>
      <c r="K396" s="99">
        <f t="shared" si="24"/>
        <v>7.4630599799651491E-4</v>
      </c>
      <c r="L396" s="99">
        <f t="shared" si="25"/>
        <v>1.246495136379557E-3</v>
      </c>
      <c r="M396" s="3">
        <f>Prices!M396</f>
        <v>21.809999000000001</v>
      </c>
      <c r="N396" s="99">
        <f t="shared" si="26"/>
        <v>-2.7435755489904744E-3</v>
      </c>
      <c r="O396" s="99">
        <f t="shared" si="27"/>
        <v>1.5989613943839455E-3</v>
      </c>
    </row>
    <row r="397" spans="9:15">
      <c r="I397" s="178">
        <f>Prices!A397</f>
        <v>42179</v>
      </c>
      <c r="J397" s="3">
        <f>Prices!E397</f>
        <v>26.799999</v>
      </c>
      <c r="K397" s="99">
        <f t="shared" si="24"/>
        <v>-3.5624395983289113E-2</v>
      </c>
      <c r="L397" s="99">
        <f t="shared" si="25"/>
        <v>3.0435013354935328E-3</v>
      </c>
      <c r="M397" s="3">
        <f>Prices!M397</f>
        <v>21.870000999999998</v>
      </c>
      <c r="N397" s="99">
        <f t="shared" si="26"/>
        <v>3.6714087346759777E-3</v>
      </c>
      <c r="O397" s="99">
        <f t="shared" si="27"/>
        <v>1.8546773932654266E-3</v>
      </c>
    </row>
    <row r="398" spans="9:15">
      <c r="I398" s="178">
        <f>Prices!A398</f>
        <v>42180</v>
      </c>
      <c r="J398" s="3">
        <f>Prices!E398</f>
        <v>27.790001</v>
      </c>
      <c r="K398" s="99">
        <f t="shared" si="24"/>
        <v>2.1637576631806615E-3</v>
      </c>
      <c r="L398" s="99">
        <f t="shared" si="25"/>
        <v>5.6263223049344974E-3</v>
      </c>
      <c r="M398" s="3">
        <f>Prices!M398</f>
        <v>21.790001</v>
      </c>
      <c r="N398" s="99">
        <f t="shared" si="26"/>
        <v>3.2229283251808062E-3</v>
      </c>
      <c r="O398" s="99">
        <f t="shared" si="27"/>
        <v>1.8853926708173418E-3</v>
      </c>
    </row>
    <row r="399" spans="9:15">
      <c r="I399" s="178">
        <f>Prices!A399</f>
        <v>42181</v>
      </c>
      <c r="J399" s="3">
        <f>Prices!E399</f>
        <v>27.73</v>
      </c>
      <c r="K399" s="99">
        <f t="shared" si="24"/>
        <v>2.0610967979388984E-2</v>
      </c>
      <c r="L399" s="99">
        <f t="shared" si="25"/>
        <v>7.8461566533190898E-3</v>
      </c>
      <c r="M399" s="3">
        <f>Prices!M399</f>
        <v>21.719999000000001</v>
      </c>
      <c r="N399" s="99">
        <f t="shared" si="26"/>
        <v>2.4045262802699877E-2</v>
      </c>
      <c r="O399" s="99">
        <f t="shared" si="27"/>
        <v>2.1323115450047766E-3</v>
      </c>
    </row>
    <row r="400" spans="9:15">
      <c r="I400" s="178">
        <f>Prices!A400</f>
        <v>42184</v>
      </c>
      <c r="J400" s="3">
        <f>Prices!E400</f>
        <v>27.17</v>
      </c>
      <c r="K400" s="99">
        <f t="shared" si="24"/>
        <v>-1.1029779006257615E-3</v>
      </c>
      <c r="L400" s="99">
        <f t="shared" si="25"/>
        <v>5.9499858306068494E-3</v>
      </c>
      <c r="M400" s="3">
        <f>Prices!M400</f>
        <v>21.209999</v>
      </c>
      <c r="N400" s="99">
        <f t="shared" si="26"/>
        <v>-4.6926327870780949E-3</v>
      </c>
      <c r="O400" s="99">
        <f t="shared" si="27"/>
        <v>7.1494324234587427E-4</v>
      </c>
    </row>
    <row r="401" spans="9:15">
      <c r="I401" s="178">
        <f>Prices!A401</f>
        <v>42185</v>
      </c>
      <c r="J401" s="3">
        <f>Prices!E401</f>
        <v>27.200001</v>
      </c>
      <c r="K401" s="99">
        <f t="shared" si="24"/>
        <v>-1.7695918465297219E-2</v>
      </c>
      <c r="L401" s="99">
        <f t="shared" si="25"/>
        <v>6.8220576072081955E-3</v>
      </c>
      <c r="M401" s="3">
        <f>Prices!M401</f>
        <v>21.309999000000001</v>
      </c>
      <c r="N401" s="99">
        <f t="shared" si="26"/>
        <v>-5.1354341736694889E-3</v>
      </c>
      <c r="O401" s="99">
        <f t="shared" si="27"/>
        <v>2.6593741429584817E-4</v>
      </c>
    </row>
    <row r="402" spans="9:15">
      <c r="I402" s="178">
        <f>Prices!A402</f>
        <v>42187</v>
      </c>
      <c r="J402" s="3">
        <f>Prices!E402</f>
        <v>27.690000999999999</v>
      </c>
      <c r="K402" s="99">
        <f t="shared" si="24"/>
        <v>-7.8824435686134491E-3</v>
      </c>
      <c r="L402" s="99">
        <f t="shared" si="25"/>
        <v>9.0181196525710716E-3</v>
      </c>
      <c r="M402" s="3">
        <f>Prices!M402</f>
        <v>21.42</v>
      </c>
      <c r="N402" s="99">
        <f t="shared" si="26"/>
        <v>-4.6468401486987861E-3</v>
      </c>
      <c r="O402" s="99">
        <f t="shared" si="27"/>
        <v>1.715808622643521E-4</v>
      </c>
    </row>
    <row r="403" spans="9:15">
      <c r="I403" s="178">
        <f>Prices!A403</f>
        <v>42188</v>
      </c>
      <c r="J403" s="3">
        <f>Prices!E403</f>
        <v>27.91</v>
      </c>
      <c r="K403" s="99">
        <f t="shared" si="24"/>
        <v>3.2350826743350056E-3</v>
      </c>
      <c r="L403" s="99">
        <f t="shared" si="25"/>
        <v>8.2983263671058023E-3</v>
      </c>
      <c r="M403" s="3">
        <f>Prices!M403</f>
        <v>21.52</v>
      </c>
      <c r="N403" s="99">
        <f t="shared" si="26"/>
        <v>4.6685340802986863E-3</v>
      </c>
      <c r="O403" s="99">
        <f t="shared" si="27"/>
        <v>7.8343799931850745E-5</v>
      </c>
    </row>
    <row r="404" spans="9:15">
      <c r="I404" s="178">
        <f>Prices!A404</f>
        <v>42191</v>
      </c>
      <c r="J404" s="3">
        <f>Prices!E404</f>
        <v>27.82</v>
      </c>
      <c r="K404" s="99">
        <f t="shared" si="24"/>
        <v>2.1292217327459687E-2</v>
      </c>
      <c r="L404" s="99">
        <f t="shared" si="25"/>
        <v>7.3504758328925644E-3</v>
      </c>
      <c r="M404" s="3">
        <f>Prices!M404</f>
        <v>21.42</v>
      </c>
      <c r="N404" s="99">
        <f t="shared" si="26"/>
        <v>-4.1841004184100345E-3</v>
      </c>
      <c r="O404" s="99">
        <f t="shared" si="27"/>
        <v>-2.9422715914543591E-4</v>
      </c>
    </row>
    <row r="405" spans="9:15">
      <c r="I405" s="178">
        <f>Prices!A405</f>
        <v>42192</v>
      </c>
      <c r="J405" s="3">
        <f>Prices!E405</f>
        <v>27.24</v>
      </c>
      <c r="K405" s="99">
        <f t="shared" si="24"/>
        <v>2.2906534844405999E-2</v>
      </c>
      <c r="L405" s="99">
        <f t="shared" si="25"/>
        <v>6.1414755275756927E-3</v>
      </c>
      <c r="M405" s="3">
        <f>Prices!M405</f>
        <v>21.51</v>
      </c>
      <c r="N405" s="99">
        <f t="shared" si="26"/>
        <v>1.5580736543909436E-2</v>
      </c>
      <c r="O405" s="99">
        <f t="shared" si="27"/>
        <v>-2.0071394221883365E-4</v>
      </c>
    </row>
    <row r="406" spans="9:15">
      <c r="I406" s="178">
        <f>Prices!A406</f>
        <v>42193</v>
      </c>
      <c r="J406" s="3">
        <f>Prices!E406</f>
        <v>26.629999000000002</v>
      </c>
      <c r="K406" s="99">
        <f t="shared" si="24"/>
        <v>2.1872602527728425E-2</v>
      </c>
      <c r="L406" s="99">
        <f t="shared" si="25"/>
        <v>6.724701922359232E-3</v>
      </c>
      <c r="M406" s="3">
        <f>Prices!M406</f>
        <v>21.18</v>
      </c>
      <c r="N406" s="99">
        <f t="shared" si="26"/>
        <v>8.571428571428558E-3</v>
      </c>
      <c r="O406" s="99">
        <f t="shared" si="27"/>
        <v>-6.0679041384136098E-4</v>
      </c>
    </row>
    <row r="407" spans="9:15">
      <c r="I407" s="178">
        <f>Prices!A407</f>
        <v>42194</v>
      </c>
      <c r="J407" s="3">
        <f>Prices!E407</f>
        <v>26.059999000000001</v>
      </c>
      <c r="K407" s="99">
        <f t="shared" si="24"/>
        <v>-4.0147366482504505E-2</v>
      </c>
      <c r="L407" s="99">
        <f t="shared" si="25"/>
        <v>6.3453575102585215E-3</v>
      </c>
      <c r="M407" s="3">
        <f>Prices!M407</f>
        <v>21</v>
      </c>
      <c r="N407" s="99">
        <f t="shared" si="26"/>
        <v>-9.9009434182434353E-3</v>
      </c>
      <c r="O407" s="99">
        <f t="shared" si="27"/>
        <v>-7.0687285468454199E-4</v>
      </c>
    </row>
    <row r="408" spans="9:15">
      <c r="I408" s="178">
        <f>Prices!A408</f>
        <v>42195</v>
      </c>
      <c r="J408" s="3">
        <f>Prices!E408</f>
        <v>27.15</v>
      </c>
      <c r="K408" s="99">
        <f t="shared" si="24"/>
        <v>-2.5484600664587267E-2</v>
      </c>
      <c r="L408" s="99">
        <f t="shared" si="25"/>
        <v>8.1801632804579527E-3</v>
      </c>
      <c r="M408" s="3">
        <f>Prices!M408</f>
        <v>21.209999</v>
      </c>
      <c r="N408" s="99">
        <f t="shared" si="26"/>
        <v>-1.0266028931404568E-2</v>
      </c>
      <c r="O408" s="99">
        <f t="shared" si="27"/>
        <v>-6.9974622280582371E-4</v>
      </c>
    </row>
    <row r="409" spans="9:15">
      <c r="I409" s="178">
        <f>Prices!A409</f>
        <v>42198</v>
      </c>
      <c r="J409" s="3">
        <f>Prices!E409</f>
        <v>27.860001</v>
      </c>
      <c r="K409" s="99">
        <f t="shared" si="24"/>
        <v>6.1394002838787085E-3</v>
      </c>
      <c r="L409" s="99">
        <f t="shared" si="25"/>
        <v>1.2040597824295094E-2</v>
      </c>
      <c r="M409" s="3">
        <f>Prices!M409</f>
        <v>21.43</v>
      </c>
      <c r="N409" s="99">
        <f t="shared" si="26"/>
        <v>-1.3979031406292288E-3</v>
      </c>
      <c r="O409" s="99">
        <f t="shared" si="27"/>
        <v>2.3541224697675712E-5</v>
      </c>
    </row>
    <row r="410" spans="9:15">
      <c r="I410" s="178">
        <f>Prices!A410</f>
        <v>42199</v>
      </c>
      <c r="J410" s="3">
        <f>Prices!E410</f>
        <v>27.690000999999999</v>
      </c>
      <c r="K410" s="99">
        <f t="shared" si="24"/>
        <v>-1.9822973451327476E-2</v>
      </c>
      <c r="L410" s="99">
        <f t="shared" si="25"/>
        <v>1.3349555210569542E-2</v>
      </c>
      <c r="M410" s="3">
        <f>Prices!M410</f>
        <v>21.459999</v>
      </c>
      <c r="N410" s="99">
        <f t="shared" si="26"/>
        <v>-6.9413231401516656E-3</v>
      </c>
      <c r="O410" s="99">
        <f t="shared" si="27"/>
        <v>3.9860306272287819E-4</v>
      </c>
    </row>
    <row r="411" spans="9:15">
      <c r="I411" s="178">
        <f>Prices!A411</f>
        <v>42200</v>
      </c>
      <c r="J411" s="3">
        <f>Prices!E411</f>
        <v>28.25</v>
      </c>
      <c r="K411" s="99">
        <f t="shared" si="24"/>
        <v>6.0541310541311153E-3</v>
      </c>
      <c r="L411" s="99">
        <f t="shared" si="25"/>
        <v>1.4317293303707573E-2</v>
      </c>
      <c r="M411" s="3">
        <f>Prices!M411</f>
        <v>21.610001</v>
      </c>
      <c r="N411" s="99">
        <f t="shared" si="26"/>
        <v>-5.9797148114074513E-3</v>
      </c>
      <c r="O411" s="99">
        <f t="shared" si="27"/>
        <v>1.0527051195887464E-3</v>
      </c>
    </row>
    <row r="412" spans="9:15">
      <c r="I412" s="178">
        <f>Prices!A412</f>
        <v>42201</v>
      </c>
      <c r="J412" s="3">
        <f>Prices!E412</f>
        <v>28.08</v>
      </c>
      <c r="K412" s="99">
        <f t="shared" si="24"/>
        <v>-4.9609852927352364E-3</v>
      </c>
      <c r="L412" s="99">
        <f t="shared" si="25"/>
        <v>1.3527801864584698E-2</v>
      </c>
      <c r="M412" s="3">
        <f>Prices!M412</f>
        <v>21.74</v>
      </c>
      <c r="N412" s="99">
        <f t="shared" si="26"/>
        <v>5.5503697710282242E-3</v>
      </c>
      <c r="O412" s="99">
        <f t="shared" si="27"/>
        <v>1.2103813924247838E-3</v>
      </c>
    </row>
    <row r="413" spans="9:15">
      <c r="I413" s="178">
        <f>Prices!A413</f>
        <v>42202</v>
      </c>
      <c r="J413" s="3">
        <f>Prices!E413</f>
        <v>28.219999000000001</v>
      </c>
      <c r="K413" s="99">
        <f t="shared" si="24"/>
        <v>3.19943132596627E-3</v>
      </c>
      <c r="L413" s="99">
        <f t="shared" si="25"/>
        <v>1.3453421358496923E-2</v>
      </c>
      <c r="M413" s="3">
        <f>Prices!M413</f>
        <v>21.620000999999998</v>
      </c>
      <c r="N413" s="99">
        <f t="shared" si="26"/>
        <v>1.2646416861826559E-2</v>
      </c>
      <c r="O413" s="99">
        <f t="shared" si="27"/>
        <v>9.8001283537502083E-4</v>
      </c>
    </row>
    <row r="414" spans="9:15">
      <c r="I414" s="178">
        <f>Prices!A414</f>
        <v>42205</v>
      </c>
      <c r="J414" s="3">
        <f>Prices!E414</f>
        <v>28.129999000000002</v>
      </c>
      <c r="K414" s="99">
        <f t="shared" si="24"/>
        <v>1.9202862318840584E-2</v>
      </c>
      <c r="L414" s="99">
        <f t="shared" si="25"/>
        <v>1.2167830651018098E-2</v>
      </c>
      <c r="M414" s="3">
        <f>Prices!M414</f>
        <v>21.35</v>
      </c>
      <c r="N414" s="99">
        <f t="shared" si="26"/>
        <v>6.1263433612791414E-3</v>
      </c>
      <c r="O414" s="99">
        <f t="shared" si="27"/>
        <v>5.6075542916516252E-4</v>
      </c>
    </row>
    <row r="415" spans="9:15">
      <c r="I415" s="178">
        <f>Prices!A415</f>
        <v>42206</v>
      </c>
      <c r="J415" s="3">
        <f>Prices!E415</f>
        <v>27.6</v>
      </c>
      <c r="K415" s="99">
        <f t="shared" si="24"/>
        <v>5.0228270539259219E-2</v>
      </c>
      <c r="L415" s="99">
        <f t="shared" si="25"/>
        <v>1.2858848000192349E-2</v>
      </c>
      <c r="M415" s="3">
        <f>Prices!M415</f>
        <v>21.219999000000001</v>
      </c>
      <c r="N415" s="99">
        <f t="shared" si="26"/>
        <v>3.7842953540348726E-3</v>
      </c>
      <c r="O415" s="99">
        <f t="shared" si="27"/>
        <v>8.2915572157617223E-4</v>
      </c>
    </row>
    <row r="416" spans="9:15">
      <c r="I416" s="178">
        <f>Prices!A416</f>
        <v>42207</v>
      </c>
      <c r="J416" s="3">
        <f>Prices!E416</f>
        <v>26.280000999999999</v>
      </c>
      <c r="K416" s="99">
        <f t="shared" si="24"/>
        <v>3.668642998027602E-2</v>
      </c>
      <c r="L416" s="99">
        <f t="shared" si="25"/>
        <v>1.098332707803391E-2</v>
      </c>
      <c r="M416" s="3">
        <f>Prices!M416</f>
        <v>21.139999</v>
      </c>
      <c r="N416" s="99">
        <f t="shared" si="26"/>
        <v>2.3707444286391504E-3</v>
      </c>
      <c r="O416" s="99">
        <f t="shared" si="27"/>
        <v>1.7913348784212228E-3</v>
      </c>
    </row>
    <row r="417" spans="9:15">
      <c r="I417" s="178">
        <f>Prices!A417</f>
        <v>42208</v>
      </c>
      <c r="J417" s="3">
        <f>Prices!E417</f>
        <v>25.35</v>
      </c>
      <c r="K417" s="99">
        <f t="shared" si="24"/>
        <v>1.6032023405530168E-2</v>
      </c>
      <c r="L417" s="99">
        <f t="shared" si="25"/>
        <v>1.1388178807366565E-2</v>
      </c>
      <c r="M417" s="3">
        <f>Prices!M417</f>
        <v>21.09</v>
      </c>
      <c r="N417" s="99">
        <f t="shared" si="26"/>
        <v>4.285714285714279E-3</v>
      </c>
      <c r="O417" s="99">
        <f t="shared" si="27"/>
        <v>2.5959488085286289E-3</v>
      </c>
    </row>
    <row r="418" spans="9:15">
      <c r="I418" s="178">
        <f>Prices!A418</f>
        <v>42209</v>
      </c>
      <c r="J418" s="3">
        <f>Prices!E418</f>
        <v>24.950001</v>
      </c>
      <c r="K418" s="99">
        <f t="shared" si="24"/>
        <v>4.65604446308725E-2</v>
      </c>
      <c r="L418" s="99">
        <f t="shared" si="25"/>
        <v>1.1159001728677911E-2</v>
      </c>
      <c r="M418" s="3">
        <f>Prices!M418</f>
        <v>21</v>
      </c>
      <c r="N418" s="99">
        <f t="shared" si="26"/>
        <v>8.1613058089295108E-3</v>
      </c>
      <c r="O418" s="99">
        <f t="shared" si="27"/>
        <v>3.9514031868831635E-3</v>
      </c>
    </row>
    <row r="419" spans="9:15">
      <c r="I419" s="178">
        <f>Prices!A419</f>
        <v>42212</v>
      </c>
      <c r="J419" s="3">
        <f>Prices!E419</f>
        <v>23.84</v>
      </c>
      <c r="K419" s="99">
        <f t="shared" si="24"/>
        <v>-1.7312448474855798E-2</v>
      </c>
      <c r="L419" s="99">
        <f t="shared" si="25"/>
        <v>9.2071053559043044E-3</v>
      </c>
      <c r="M419" s="3">
        <f>Prices!M419</f>
        <v>20.83</v>
      </c>
      <c r="N419" s="99">
        <f t="shared" si="26"/>
        <v>-4.3021032504781745E-3</v>
      </c>
      <c r="O419" s="99">
        <f t="shared" si="27"/>
        <v>3.2110295972389178E-3</v>
      </c>
    </row>
    <row r="420" spans="9:15">
      <c r="I420" s="178">
        <f>Prices!A420</f>
        <v>42213</v>
      </c>
      <c r="J420" s="3">
        <f>Prices!E420</f>
        <v>24.26</v>
      </c>
      <c r="K420" s="99">
        <f t="shared" si="24"/>
        <v>1.6338457631401151E-2</v>
      </c>
      <c r="L420" s="99">
        <f t="shared" si="25"/>
        <v>1.0553742969520509E-2</v>
      </c>
      <c r="M420" s="3">
        <f>Prices!M420</f>
        <v>20.92</v>
      </c>
      <c r="N420" s="99">
        <f t="shared" si="26"/>
        <v>-1.3672749348078618E-2</v>
      </c>
      <c r="O420" s="99">
        <f t="shared" si="27"/>
        <v>2.4732712167770524E-3</v>
      </c>
    </row>
    <row r="421" spans="9:15">
      <c r="I421" s="178">
        <f>Prices!A421</f>
        <v>42214</v>
      </c>
      <c r="J421" s="3">
        <f>Prices!E421</f>
        <v>23.870000999999998</v>
      </c>
      <c r="K421" s="99">
        <f t="shared" si="24"/>
        <v>2.6225322441960311E-2</v>
      </c>
      <c r="L421" s="99">
        <f t="shared" si="25"/>
        <v>9.3599356658399021E-3</v>
      </c>
      <c r="M421" s="3">
        <f>Prices!M421</f>
        <v>21.209999</v>
      </c>
      <c r="N421" s="99">
        <f t="shared" si="26"/>
        <v>-7.0225652142994113E-3</v>
      </c>
      <c r="O421" s="99">
        <f t="shared" si="27"/>
        <v>1.6963440035852972E-3</v>
      </c>
    </row>
    <row r="422" spans="9:15">
      <c r="I422" s="178">
        <f>Prices!A422</f>
        <v>42215</v>
      </c>
      <c r="J422" s="3">
        <f>Prices!E422</f>
        <v>23.26</v>
      </c>
      <c r="K422" s="99">
        <f t="shared" si="24"/>
        <v>-2.2278309277918844E-2</v>
      </c>
      <c r="L422" s="99">
        <f t="shared" si="25"/>
        <v>6.9190011316430794E-3</v>
      </c>
      <c r="M422" s="3">
        <f>Prices!M422</f>
        <v>21.360001</v>
      </c>
      <c r="N422" s="99">
        <f t="shared" si="26"/>
        <v>-6.511581395348816E-3</v>
      </c>
      <c r="O422" s="99">
        <f t="shared" si="27"/>
        <v>1.8293481625976903E-3</v>
      </c>
    </row>
    <row r="423" spans="9:15">
      <c r="I423" s="178">
        <f>Prices!A423</f>
        <v>42216</v>
      </c>
      <c r="J423" s="3">
        <f>Prices!E423</f>
        <v>23.790001</v>
      </c>
      <c r="K423" s="99">
        <f t="shared" si="24"/>
        <v>-1.5721928009929727E-2</v>
      </c>
      <c r="L423" s="99">
        <f t="shared" si="25"/>
        <v>8.6796852522554382E-3</v>
      </c>
      <c r="M423" s="3">
        <f>Prices!M423</f>
        <v>21.5</v>
      </c>
      <c r="N423" s="99">
        <f t="shared" si="26"/>
        <v>-2.7828851012470473E-3</v>
      </c>
      <c r="O423" s="99">
        <f t="shared" si="27"/>
        <v>2.4229559848017836E-3</v>
      </c>
    </row>
    <row r="424" spans="9:15">
      <c r="I424" s="178">
        <f>Prices!A424</f>
        <v>42220</v>
      </c>
      <c r="J424" s="3">
        <f>Prices!E424</f>
        <v>24.17</v>
      </c>
      <c r="K424" s="99">
        <f t="shared" si="24"/>
        <v>-2.8877887788777532E-3</v>
      </c>
      <c r="L424" s="99">
        <f t="shared" si="25"/>
        <v>1.1619388295201333E-2</v>
      </c>
      <c r="M424" s="3">
        <f>Prices!M424</f>
        <v>21.559999000000001</v>
      </c>
      <c r="N424" s="99">
        <f t="shared" si="26"/>
        <v>-2.3138360798779793E-3</v>
      </c>
      <c r="O424" s="99">
        <f t="shared" si="27"/>
        <v>3.8621002398641349E-3</v>
      </c>
    </row>
    <row r="425" spans="9:15">
      <c r="I425" s="178">
        <f>Prices!A425</f>
        <v>42221</v>
      </c>
      <c r="J425" s="3">
        <f>Prices!E425</f>
        <v>24.24</v>
      </c>
      <c r="K425" s="99">
        <f t="shared" si="24"/>
        <v>3.457106274007677E-2</v>
      </c>
      <c r="L425" s="99">
        <f t="shared" si="25"/>
        <v>1.2050834101577371E-2</v>
      </c>
      <c r="M425" s="3">
        <f>Prices!M425</f>
        <v>21.610001</v>
      </c>
      <c r="N425" s="99">
        <f t="shared" si="26"/>
        <v>7.4592071114588827E-3</v>
      </c>
      <c r="O425" s="99">
        <f t="shared" si="27"/>
        <v>3.6548933690990298E-3</v>
      </c>
    </row>
    <row r="426" spans="9:15">
      <c r="I426" s="178">
        <f>Prices!A426</f>
        <v>42222</v>
      </c>
      <c r="J426" s="3">
        <f>Prices!E426</f>
        <v>23.43</v>
      </c>
      <c r="K426" s="99">
        <f t="shared" si="24"/>
        <v>1.4285714285714211E-2</v>
      </c>
      <c r="L426" s="99">
        <f t="shared" si="25"/>
        <v>9.72919429138701E-3</v>
      </c>
      <c r="M426" s="3">
        <f>Prices!M426</f>
        <v>21.450001</v>
      </c>
      <c r="N426" s="99">
        <f t="shared" si="26"/>
        <v>6.5697797545649379E-3</v>
      </c>
      <c r="O426" s="99">
        <f t="shared" si="27"/>
        <v>3.1086607448762007E-3</v>
      </c>
    </row>
    <row r="427" spans="9:15">
      <c r="I427" s="178">
        <f>Prices!A427</f>
        <v>42223</v>
      </c>
      <c r="J427" s="3">
        <f>Prices!E427</f>
        <v>23.1</v>
      </c>
      <c r="K427" s="99">
        <f t="shared" si="24"/>
        <v>-3.4512510785158885E-3</v>
      </c>
      <c r="L427" s="99">
        <f t="shared" si="25"/>
        <v>8.4791917403666019E-3</v>
      </c>
      <c r="M427" s="3">
        <f>Prices!M427</f>
        <v>21.309999000000001</v>
      </c>
      <c r="N427" s="99">
        <f t="shared" si="26"/>
        <v>-9.7584107806690679E-3</v>
      </c>
      <c r="O427" s="99">
        <f t="shared" si="27"/>
        <v>3.2297247042009031E-3</v>
      </c>
    </row>
    <row r="428" spans="9:15">
      <c r="I428" s="178">
        <f>Prices!A428</f>
        <v>42226</v>
      </c>
      <c r="J428" s="3">
        <f>Prices!E428</f>
        <v>23.18</v>
      </c>
      <c r="K428" s="99">
        <f t="shared" si="24"/>
        <v>5.1724090212155592E-2</v>
      </c>
      <c r="L428" s="99">
        <f t="shared" si="25"/>
        <v>8.3474971794720559E-3</v>
      </c>
      <c r="M428" s="3">
        <f>Prices!M428</f>
        <v>21.52</v>
      </c>
      <c r="N428" s="99">
        <f t="shared" si="26"/>
        <v>4.1997200186654161E-3</v>
      </c>
      <c r="O428" s="99">
        <f t="shared" si="27"/>
        <v>3.0766171683343614E-3</v>
      </c>
    </row>
    <row r="429" spans="9:15">
      <c r="I429" s="178">
        <f>Prices!A429</f>
        <v>42227</v>
      </c>
      <c r="J429" s="3">
        <f>Prices!E429</f>
        <v>22.040001</v>
      </c>
      <c r="K429" s="99">
        <f t="shared" si="24"/>
        <v>3.231854800936762E-2</v>
      </c>
      <c r="L429" s="99">
        <f t="shared" si="25"/>
        <v>6.982069292240903E-3</v>
      </c>
      <c r="M429" s="3">
        <f>Prices!M429</f>
        <v>21.43</v>
      </c>
      <c r="N429" s="99">
        <f t="shared" si="26"/>
        <v>6.1033336198748197E-3</v>
      </c>
      <c r="O429" s="99">
        <f t="shared" si="27"/>
        <v>3.1642526951788661E-3</v>
      </c>
    </row>
    <row r="430" spans="9:15">
      <c r="I430" s="178">
        <f>Prices!A430</f>
        <v>42228</v>
      </c>
      <c r="J430" s="3">
        <f>Prices!E430</f>
        <v>21.35</v>
      </c>
      <c r="K430" s="99">
        <f t="shared" si="24"/>
        <v>-4.6821158856682815E-4</v>
      </c>
      <c r="L430" s="99">
        <f t="shared" si="25"/>
        <v>6.9194359464056178E-3</v>
      </c>
      <c r="M430" s="3">
        <f>Prices!M430</f>
        <v>21.299999</v>
      </c>
      <c r="N430" s="99">
        <f t="shared" si="26"/>
        <v>6.1407179971657046E-3</v>
      </c>
      <c r="O430" s="99">
        <f t="shared" si="27"/>
        <v>2.7107205271245131E-3</v>
      </c>
    </row>
    <row r="431" spans="9:15">
      <c r="I431" s="178">
        <f>Prices!A431</f>
        <v>42229</v>
      </c>
      <c r="J431" s="3">
        <f>Prices!E431</f>
        <v>21.360001</v>
      </c>
      <c r="K431" s="99">
        <f t="shared" si="24"/>
        <v>-9.7356977283263712E-3</v>
      </c>
      <c r="L431" s="99">
        <f t="shared" si="25"/>
        <v>5.6641408890907487E-3</v>
      </c>
      <c r="M431" s="3">
        <f>Prices!M431</f>
        <v>21.17</v>
      </c>
      <c r="N431" s="99">
        <f t="shared" si="26"/>
        <v>-2.8261893546867038E-3</v>
      </c>
      <c r="O431" s="99">
        <f t="shared" si="27"/>
        <v>2.8024882363790701E-3</v>
      </c>
    </row>
    <row r="432" spans="9:15">
      <c r="I432" s="178">
        <f>Prices!A432</f>
        <v>42230</v>
      </c>
      <c r="J432" s="3">
        <f>Prices!E432</f>
        <v>21.57</v>
      </c>
      <c r="K432" s="99">
        <f t="shared" si="24"/>
        <v>-6.448595414490786E-3</v>
      </c>
      <c r="L432" s="99">
        <f t="shared" si="25"/>
        <v>8.3295721710056284E-3</v>
      </c>
      <c r="M432" s="3">
        <f>Prices!M432</f>
        <v>21.23</v>
      </c>
      <c r="N432" s="99">
        <f t="shared" si="26"/>
        <v>9.4299863003296711E-4</v>
      </c>
      <c r="O432" s="99">
        <f t="shared" si="27"/>
        <v>3.3204903208888976E-3</v>
      </c>
    </row>
    <row r="433" spans="9:15">
      <c r="I433" s="178">
        <f>Prices!A433</f>
        <v>42233</v>
      </c>
      <c r="J433" s="3">
        <f>Prices!E433</f>
        <v>21.709999</v>
      </c>
      <c r="K433" s="99">
        <f t="shared" si="24"/>
        <v>-2.2512382823610212E-2</v>
      </c>
      <c r="L433" s="99">
        <f t="shared" si="25"/>
        <v>9.4825723088713832E-3</v>
      </c>
      <c r="M433" s="3">
        <f>Prices!M433</f>
        <v>21.209999</v>
      </c>
      <c r="N433" s="99">
        <f t="shared" si="26"/>
        <v>4.2612687376293859E-3</v>
      </c>
      <c r="O433" s="99">
        <f t="shared" si="27"/>
        <v>2.8994644983665139E-3</v>
      </c>
    </row>
    <row r="434" spans="9:15">
      <c r="I434" s="178">
        <f>Prices!A434</f>
        <v>42234</v>
      </c>
      <c r="J434" s="3">
        <f>Prices!E434</f>
        <v>22.209999</v>
      </c>
      <c r="K434" s="99">
        <f t="shared" si="24"/>
        <v>3.3023209302325572E-2</v>
      </c>
      <c r="L434" s="99">
        <f t="shared" si="25"/>
        <v>7.9600503907965199E-3</v>
      </c>
      <c r="M434" s="3">
        <f>Prices!M434</f>
        <v>21.120000999999998</v>
      </c>
      <c r="N434" s="99">
        <f t="shared" si="26"/>
        <v>1.1494349209499335E-2</v>
      </c>
      <c r="O434" s="99">
        <f t="shared" si="27"/>
        <v>1.973867891951875E-3</v>
      </c>
    </row>
    <row r="435" spans="9:15">
      <c r="I435" s="178">
        <f>Prices!A435</f>
        <v>42235</v>
      </c>
      <c r="J435" s="3">
        <f>Prices!E435</f>
        <v>21.5</v>
      </c>
      <c r="K435" s="99">
        <f t="shared" si="24"/>
        <v>1.2717852096090419E-2</v>
      </c>
      <c r="L435" s="99">
        <f t="shared" si="25"/>
        <v>7.8773052853341134E-3</v>
      </c>
      <c r="M435" s="3">
        <f>Prices!M435</f>
        <v>20.879999000000002</v>
      </c>
      <c r="N435" s="99">
        <f t="shared" si="26"/>
        <v>2.3027878490935884E-2</v>
      </c>
      <c r="O435" s="99">
        <f t="shared" si="27"/>
        <v>1.3255513110844099E-3</v>
      </c>
    </row>
    <row r="436" spans="9:15">
      <c r="I436" s="178">
        <f>Prices!A436</f>
        <v>42236</v>
      </c>
      <c r="J436" s="3">
        <f>Prices!E436</f>
        <v>21.23</v>
      </c>
      <c r="K436" s="99">
        <f t="shared" si="24"/>
        <v>4.4783464566929138E-2</v>
      </c>
      <c r="L436" s="99">
        <f t="shared" si="25"/>
        <v>8.4886382211490155E-3</v>
      </c>
      <c r="M436" s="3">
        <f>Prices!M436</f>
        <v>20.41</v>
      </c>
      <c r="N436" s="99">
        <f t="shared" si="26"/>
        <v>1.8463023030787271E-2</v>
      </c>
      <c r="O436" s="99">
        <f t="shared" si="27"/>
        <v>6.1969696844160055E-4</v>
      </c>
    </row>
    <row r="437" spans="9:15">
      <c r="I437" s="178">
        <f>Prices!A437</f>
        <v>42237</v>
      </c>
      <c r="J437" s="3">
        <f>Prices!E437</f>
        <v>20.32</v>
      </c>
      <c r="K437" s="99">
        <f t="shared" si="24"/>
        <v>1.1448481831757115E-2</v>
      </c>
      <c r="L437" s="99">
        <f t="shared" si="25"/>
        <v>6.1388482892627393E-3</v>
      </c>
      <c r="M437" s="3">
        <f>Prices!M437</f>
        <v>20.040001</v>
      </c>
      <c r="N437" s="99">
        <f t="shared" si="26"/>
        <v>3.1394801852804965E-2</v>
      </c>
      <c r="O437" s="99">
        <f t="shared" si="27"/>
        <v>-7.2073447680024805E-4</v>
      </c>
    </row>
    <row r="438" spans="9:15">
      <c r="I438" s="178">
        <f>Prices!A438</f>
        <v>42240</v>
      </c>
      <c r="J438" s="3">
        <f>Prices!E438</f>
        <v>20.09</v>
      </c>
      <c r="K438" s="99">
        <f t="shared" si="24"/>
        <v>7.5225171754003985E-3</v>
      </c>
      <c r="L438" s="99">
        <f t="shared" si="25"/>
        <v>7.0177617047892773E-3</v>
      </c>
      <c r="M438" s="3">
        <f>Prices!M438</f>
        <v>19.43</v>
      </c>
      <c r="N438" s="99">
        <f t="shared" si="26"/>
        <v>-6.6461659839553936E-3</v>
      </c>
      <c r="O438" s="99">
        <f t="shared" si="27"/>
        <v>-1.05807511107031E-3</v>
      </c>
    </row>
    <row r="439" spans="9:15">
      <c r="I439" s="178">
        <f>Prices!A439</f>
        <v>42241</v>
      </c>
      <c r="J439" s="3">
        <f>Prices!E439</f>
        <v>19.940000999999999</v>
      </c>
      <c r="K439" s="99">
        <f t="shared" si="24"/>
        <v>9.6203037974682912E-3</v>
      </c>
      <c r="L439" s="99">
        <f t="shared" si="25"/>
        <v>7.2173381732672567E-3</v>
      </c>
      <c r="M439" s="3">
        <f>Prices!M439</f>
        <v>19.559999000000001</v>
      </c>
      <c r="N439" s="99">
        <f t="shared" si="26"/>
        <v>-1.9057270859715481E-2</v>
      </c>
      <c r="O439" s="99">
        <f t="shared" si="27"/>
        <v>-3.7115941572258345E-4</v>
      </c>
    </row>
    <row r="440" spans="9:15">
      <c r="I440" s="178">
        <f>Prices!A440</f>
        <v>42242</v>
      </c>
      <c r="J440" s="3">
        <f>Prices!E440</f>
        <v>19.75</v>
      </c>
      <c r="K440" s="99">
        <f t="shared" si="24"/>
        <v>-7.5376884422109847E-3</v>
      </c>
      <c r="L440" s="99">
        <f t="shared" si="25"/>
        <v>7.0841519689010856E-3</v>
      </c>
      <c r="M440" s="3">
        <f>Prices!M440</f>
        <v>19.940000999999999</v>
      </c>
      <c r="N440" s="99">
        <f t="shared" si="26"/>
        <v>-2.921129361191372E-2</v>
      </c>
      <c r="O440" s="99">
        <f t="shared" si="27"/>
        <v>7.0866958551786454E-4</v>
      </c>
    </row>
    <row r="441" spans="9:15">
      <c r="I441" s="178">
        <f>Prices!A441</f>
        <v>42243</v>
      </c>
      <c r="J441" s="3">
        <f>Prices!E441</f>
        <v>19.899999999999999</v>
      </c>
      <c r="K441" s="99">
        <f t="shared" si="24"/>
        <v>-2.2593368241976112E-2</v>
      </c>
      <c r="L441" s="99">
        <f t="shared" si="25"/>
        <v>6.8879676559439381E-3</v>
      </c>
      <c r="M441" s="3">
        <f>Prices!M441</f>
        <v>20.540001</v>
      </c>
      <c r="N441" s="99">
        <f t="shared" si="26"/>
        <v>-4.3624820340515454E-3</v>
      </c>
      <c r="O441" s="99">
        <f t="shared" si="27"/>
        <v>1.992111290405042E-3</v>
      </c>
    </row>
    <row r="442" spans="9:15">
      <c r="I442" s="178">
        <f>Prices!A442</f>
        <v>42244</v>
      </c>
      <c r="J442" s="3">
        <f>Prices!E442</f>
        <v>20.360001</v>
      </c>
      <c r="K442" s="99">
        <f t="shared" si="24"/>
        <v>1.2935373134328309E-2</v>
      </c>
      <c r="L442" s="99">
        <f t="shared" si="25"/>
        <v>1.1089412036912823E-2</v>
      </c>
      <c r="M442" s="3">
        <f>Prices!M442</f>
        <v>20.629999000000002</v>
      </c>
      <c r="N442" s="99">
        <f t="shared" si="26"/>
        <v>5.3605750487330387E-3</v>
      </c>
      <c r="O442" s="99">
        <f t="shared" si="27"/>
        <v>3.6150247471955152E-3</v>
      </c>
    </row>
    <row r="443" spans="9:15">
      <c r="I443" s="178">
        <f>Prices!A443</f>
        <v>42247</v>
      </c>
      <c r="J443" s="3">
        <f>Prices!E443</f>
        <v>20.100000000000001</v>
      </c>
      <c r="K443" s="99">
        <f t="shared" si="24"/>
        <v>4.3072132848988164E-2</v>
      </c>
      <c r="L443" s="99">
        <f t="shared" si="25"/>
        <v>1.1152088211130695E-2</v>
      </c>
      <c r="M443" s="3">
        <f>Prices!M443</f>
        <v>20.52</v>
      </c>
      <c r="N443" s="99">
        <f t="shared" si="26"/>
        <v>2.5999999999999978E-2</v>
      </c>
      <c r="O443" s="99">
        <f t="shared" si="27"/>
        <v>3.2431512387879383E-3</v>
      </c>
    </row>
    <row r="444" spans="9:15">
      <c r="I444" s="178">
        <f>Prices!A444</f>
        <v>42248</v>
      </c>
      <c r="J444" s="3">
        <f>Prices!E444</f>
        <v>19.27</v>
      </c>
      <c r="K444" s="99">
        <f t="shared" si="24"/>
        <v>5.7411273486429769E-3</v>
      </c>
      <c r="L444" s="99">
        <f t="shared" si="25"/>
        <v>9.9412816943883885E-3</v>
      </c>
      <c r="M444" s="3">
        <f>Prices!M444</f>
        <v>20</v>
      </c>
      <c r="N444" s="99">
        <f t="shared" si="26"/>
        <v>-6.4579734951800806E-3</v>
      </c>
      <c r="O444" s="99">
        <f t="shared" si="27"/>
        <v>7.7682511473489127E-4</v>
      </c>
    </row>
    <row r="445" spans="9:15">
      <c r="I445" s="178">
        <f>Prices!A445</f>
        <v>42249</v>
      </c>
      <c r="J445" s="3">
        <f>Prices!E445</f>
        <v>19.16</v>
      </c>
      <c r="K445" s="99">
        <f t="shared" si="24"/>
        <v>-1.1861733463730421E-2</v>
      </c>
      <c r="L445" s="99">
        <f t="shared" si="25"/>
        <v>1.094371597814902E-2</v>
      </c>
      <c r="M445" s="3">
        <f>Prices!M445</f>
        <v>20.129999000000002</v>
      </c>
      <c r="N445" s="99">
        <f t="shared" si="26"/>
        <v>-3.4654453729976937E-3</v>
      </c>
      <c r="O445" s="99">
        <f t="shared" si="27"/>
        <v>1.3801878241464199E-3</v>
      </c>
    </row>
    <row r="446" spans="9:15">
      <c r="I446" s="178">
        <f>Prices!A446</f>
        <v>42250</v>
      </c>
      <c r="J446" s="3">
        <f>Prices!E446</f>
        <v>19.389999</v>
      </c>
      <c r="K446" s="99">
        <f t="shared" si="24"/>
        <v>-1.0714336734693972E-2</v>
      </c>
      <c r="L446" s="99">
        <f t="shared" si="25"/>
        <v>1.0837501952034839E-2</v>
      </c>
      <c r="M446" s="3">
        <f>Prices!M446</f>
        <v>20.200001</v>
      </c>
      <c r="N446" s="99">
        <f t="shared" si="26"/>
        <v>8.9910589410589787E-3</v>
      </c>
      <c r="O446" s="99">
        <f t="shared" si="27"/>
        <v>1.1739079672902289E-3</v>
      </c>
    </row>
    <row r="447" spans="9:15">
      <c r="I447" s="178">
        <f>Prices!A447</f>
        <v>42251</v>
      </c>
      <c r="J447" s="3">
        <f>Prices!E447</f>
        <v>19.600000000000001</v>
      </c>
      <c r="K447" s="99">
        <f t="shared" si="24"/>
        <v>-6.0851422964068079E-3</v>
      </c>
      <c r="L447" s="99">
        <f t="shared" si="25"/>
        <v>9.6543699071764671E-3</v>
      </c>
      <c r="M447" s="3">
        <f>Prices!M447</f>
        <v>20.02</v>
      </c>
      <c r="N447" s="99">
        <f t="shared" si="26"/>
        <v>-1.282056149799988E-2</v>
      </c>
      <c r="O447" s="99">
        <f t="shared" si="27"/>
        <v>1.4906737641537686E-4</v>
      </c>
    </row>
    <row r="448" spans="9:15">
      <c r="I448" s="178">
        <f>Prices!A448</f>
        <v>42255</v>
      </c>
      <c r="J448" s="3">
        <f>Prices!E448</f>
        <v>19.719999000000001</v>
      </c>
      <c r="K448" s="99">
        <f t="shared" si="24"/>
        <v>2.4415532467532541E-2</v>
      </c>
      <c r="L448" s="99">
        <f t="shared" si="25"/>
        <v>9.2028834159353593E-3</v>
      </c>
      <c r="M448" s="3">
        <f>Prices!M448</f>
        <v>20.280000999999999</v>
      </c>
      <c r="N448" s="99">
        <f t="shared" si="26"/>
        <v>5.95243055555548E-3</v>
      </c>
      <c r="O448" s="99">
        <f t="shared" si="27"/>
        <v>4.1770466817779198E-4</v>
      </c>
    </row>
    <row r="449" spans="9:15">
      <c r="I449" s="178">
        <f>Prices!A449</f>
        <v>42256</v>
      </c>
      <c r="J449" s="3">
        <f>Prices!E449</f>
        <v>19.25</v>
      </c>
      <c r="K449" s="99">
        <f t="shared" si="24"/>
        <v>3.106588109266193E-2</v>
      </c>
      <c r="L449" s="99">
        <f t="shared" si="25"/>
        <v>4.6788937319594635E-3</v>
      </c>
      <c r="M449" s="3">
        <f>Prices!M449</f>
        <v>20.16</v>
      </c>
      <c r="N449" s="99">
        <f t="shared" si="26"/>
        <v>-2.9673097412122149E-3</v>
      </c>
      <c r="O449" s="99">
        <f t="shared" si="27"/>
        <v>-6.859745443121353E-4</v>
      </c>
    </row>
    <row r="450" spans="9:15">
      <c r="I450" s="178">
        <f>Prices!A450</f>
        <v>42257</v>
      </c>
      <c r="J450" s="3">
        <f>Prices!E450</f>
        <v>18.670000000000002</v>
      </c>
      <c r="K450" s="99">
        <f t="shared" si="24"/>
        <v>-2.5574112734864218E-2</v>
      </c>
      <c r="L450" s="99">
        <f t="shared" si="25"/>
        <v>1.6195728427151896E-3</v>
      </c>
      <c r="M450" s="3">
        <f>Prices!M450</f>
        <v>20.219999000000001</v>
      </c>
      <c r="N450" s="99">
        <f t="shared" si="26"/>
        <v>7.9760721822568457E-3</v>
      </c>
      <c r="O450" s="99">
        <f t="shared" si="27"/>
        <v>-9.2539385549606206E-4</v>
      </c>
    </row>
    <row r="451" spans="9:15">
      <c r="I451" s="178">
        <f>Prices!A451</f>
        <v>42258</v>
      </c>
      <c r="J451" s="3">
        <f>Prices!E451</f>
        <v>19.16</v>
      </c>
      <c r="K451" s="99">
        <f t="shared" si="24"/>
        <v>4.3572927909971228E-2</v>
      </c>
      <c r="L451" s="99">
        <f t="shared" si="25"/>
        <v>7.2436543598014373E-4</v>
      </c>
      <c r="M451" s="3">
        <f>Prices!M451</f>
        <v>20.059999000000001</v>
      </c>
      <c r="N451" s="99">
        <f t="shared" si="26"/>
        <v>7.5338523355098497E-3</v>
      </c>
      <c r="O451" s="99">
        <f t="shared" si="27"/>
        <v>-1.2513843578127873E-3</v>
      </c>
    </row>
    <row r="452" spans="9:15">
      <c r="I452" s="178">
        <f>Prices!A452</f>
        <v>42261</v>
      </c>
      <c r="J452" s="3">
        <f>Prices!E452</f>
        <v>18.360001</v>
      </c>
      <c r="K452" s="99">
        <f t="shared" si="24"/>
        <v>1.6611407342824281E-2</v>
      </c>
      <c r="L452" s="99">
        <f t="shared" si="25"/>
        <v>-3.2948181650824493E-4</v>
      </c>
      <c r="M452" s="3">
        <f>Prices!M452</f>
        <v>19.91</v>
      </c>
      <c r="N452" s="99">
        <f t="shared" si="26"/>
        <v>-7.4775178204147018E-3</v>
      </c>
      <c r="O452" s="99">
        <f t="shared" si="27"/>
        <v>-1.187332606321875E-3</v>
      </c>
    </row>
    <row r="453" spans="9:15">
      <c r="I453" s="178">
        <f>Prices!A453</f>
        <v>42262</v>
      </c>
      <c r="J453" s="3">
        <f>Prices!E453</f>
        <v>18.059999000000001</v>
      </c>
      <c r="K453" s="99">
        <f t="shared" si="24"/>
        <v>-5.296282118510745E-2</v>
      </c>
      <c r="L453" s="99">
        <f t="shared" si="25"/>
        <v>-4.5391421515407232E-4</v>
      </c>
      <c r="M453" s="3">
        <f>Prices!M453</f>
        <v>20.059999000000001</v>
      </c>
      <c r="N453" s="99">
        <f t="shared" si="26"/>
        <v>-1.4250663390663398E-2</v>
      </c>
      <c r="O453" s="99">
        <f t="shared" si="27"/>
        <v>-9.3558422493120825E-4</v>
      </c>
    </row>
    <row r="454" spans="9:15">
      <c r="I454" s="178">
        <f>Prices!A454</f>
        <v>42263</v>
      </c>
      <c r="J454" s="3">
        <f>Prices!E454</f>
        <v>19.07</v>
      </c>
      <c r="K454" s="99">
        <f t="shared" si="24"/>
        <v>3.1368307193077441E-2</v>
      </c>
      <c r="L454" s="99">
        <f t="shared" si="25"/>
        <v>2.0318039874460251E-3</v>
      </c>
      <c r="M454" s="3">
        <f>Prices!M454</f>
        <v>20.350000000000001</v>
      </c>
      <c r="N454" s="99">
        <f t="shared" si="26"/>
        <v>-1.4719824078499762E-3</v>
      </c>
      <c r="O454" s="99">
        <f t="shared" si="27"/>
        <v>-5.1484878927442644E-5</v>
      </c>
    </row>
    <row r="455" spans="9:15">
      <c r="I455" s="178">
        <f>Prices!A455</f>
        <v>42264</v>
      </c>
      <c r="J455" s="3">
        <f>Prices!E455</f>
        <v>18.489999999999998</v>
      </c>
      <c r="K455" s="99">
        <f t="shared" ref="K455:K518" si="28">(J455-J456)/J456</f>
        <v>2.4944510812388441E-2</v>
      </c>
      <c r="L455" s="99">
        <f t="shared" ref="L455:L518" si="29">AVERAGE(K455:K474)</f>
        <v>1.1216415076605046E-3</v>
      </c>
      <c r="M455" s="3">
        <f>Prices!M455</f>
        <v>20.379999000000002</v>
      </c>
      <c r="N455" s="99">
        <f t="shared" ref="N455:N518" si="30">(M455-M456)/M456</f>
        <v>8.9107916380796823E-3</v>
      </c>
      <c r="O455" s="99">
        <f t="shared" ref="O455:O518" si="31">AVERAGE(N455:N474)</f>
        <v>-2.217881975593377E-4</v>
      </c>
    </row>
    <row r="456" spans="9:15">
      <c r="I456" s="178">
        <f>Prices!A456</f>
        <v>42265</v>
      </c>
      <c r="J456" s="3">
        <f>Prices!E456</f>
        <v>18.040001</v>
      </c>
      <c r="K456" s="99">
        <f t="shared" si="28"/>
        <v>-2.2123340707963565E-3</v>
      </c>
      <c r="L456" s="99">
        <f t="shared" si="29"/>
        <v>7.1100269319836142E-4</v>
      </c>
      <c r="M456" s="3">
        <f>Prices!M456</f>
        <v>20.200001</v>
      </c>
      <c r="N456" s="99">
        <f t="shared" si="30"/>
        <v>-8.3456058740496945E-3</v>
      </c>
      <c r="O456" s="99">
        <f t="shared" si="31"/>
        <v>-3.2351885725354545E-4</v>
      </c>
    </row>
    <row r="457" spans="9:15">
      <c r="I457" s="178">
        <f>Prices!A457</f>
        <v>42268</v>
      </c>
      <c r="J457" s="3">
        <f>Prices!E457</f>
        <v>18.079999999999998</v>
      </c>
      <c r="K457" s="99">
        <f t="shared" si="28"/>
        <v>2.9026750142287876E-2</v>
      </c>
      <c r="L457" s="99">
        <f t="shared" si="29"/>
        <v>4.3423699496728928E-4</v>
      </c>
      <c r="M457" s="3">
        <f>Prices!M457</f>
        <v>20.370000999999998</v>
      </c>
      <c r="N457" s="99">
        <f t="shared" si="30"/>
        <v>2.4647989167403725E-2</v>
      </c>
      <c r="O457" s="99">
        <f t="shared" si="31"/>
        <v>-1.506129645468751E-4</v>
      </c>
    </row>
    <row r="458" spans="9:15">
      <c r="I458" s="178">
        <f>Prices!A458</f>
        <v>42269</v>
      </c>
      <c r="J458" s="3">
        <f>Prices!E458</f>
        <v>17.57</v>
      </c>
      <c r="K458" s="99">
        <f t="shared" si="28"/>
        <v>1.1514046544960004E-2</v>
      </c>
      <c r="L458" s="99">
        <f t="shared" si="29"/>
        <v>-1.4287333558152121E-3</v>
      </c>
      <c r="M458" s="3">
        <f>Prices!M458</f>
        <v>19.879999000000002</v>
      </c>
      <c r="N458" s="99">
        <f t="shared" si="30"/>
        <v>7.0921479229991442E-3</v>
      </c>
      <c r="O458" s="99">
        <f t="shared" si="31"/>
        <v>-9.3923039351774995E-4</v>
      </c>
    </row>
    <row r="459" spans="9:15">
      <c r="I459" s="178">
        <f>Prices!A459</f>
        <v>42270</v>
      </c>
      <c r="J459" s="3">
        <f>Prices!E459</f>
        <v>17.370000999999998</v>
      </c>
      <c r="K459" s="99">
        <f t="shared" si="28"/>
        <v>6.9565797101448388E-3</v>
      </c>
      <c r="L459" s="99">
        <f t="shared" si="29"/>
        <v>-3.1048114801848327E-3</v>
      </c>
      <c r="M459" s="3">
        <f>Prices!M459</f>
        <v>19.739999999999998</v>
      </c>
      <c r="N459" s="99">
        <f t="shared" si="30"/>
        <v>2.5393091650934749E-3</v>
      </c>
      <c r="O459" s="99">
        <f t="shared" si="31"/>
        <v>-1.9267491512591738E-3</v>
      </c>
    </row>
    <row r="460" spans="9:15">
      <c r="I460" s="178">
        <f>Prices!A460</f>
        <v>42271</v>
      </c>
      <c r="J460" s="3">
        <f>Prices!E460</f>
        <v>17.25</v>
      </c>
      <c r="K460" s="99">
        <f t="shared" si="28"/>
        <v>-1.1461374701353904E-2</v>
      </c>
      <c r="L460" s="99">
        <f t="shared" si="29"/>
        <v>-4.2710195143520948E-3</v>
      </c>
      <c r="M460" s="3">
        <f>Prices!M460</f>
        <v>19.690000999999999</v>
      </c>
      <c r="N460" s="99">
        <f t="shared" si="30"/>
        <v>-3.5424595141701825E-3</v>
      </c>
      <c r="O460" s="99">
        <f t="shared" si="31"/>
        <v>-2.3681775993541995E-3</v>
      </c>
    </row>
    <row r="461" spans="9:15">
      <c r="I461" s="178">
        <f>Prices!A461</f>
        <v>42272</v>
      </c>
      <c r="J461" s="3">
        <f>Prices!E461</f>
        <v>17.450001</v>
      </c>
      <c r="K461" s="99">
        <f t="shared" si="28"/>
        <v>6.1435519377401597E-2</v>
      </c>
      <c r="L461" s="99">
        <f t="shared" si="29"/>
        <v>-3.2988023172912419E-3</v>
      </c>
      <c r="M461" s="3">
        <f>Prices!M461</f>
        <v>19.760000000000002</v>
      </c>
      <c r="N461" s="99">
        <f t="shared" si="30"/>
        <v>2.8095787101757922E-2</v>
      </c>
      <c r="O461" s="99">
        <f t="shared" si="31"/>
        <v>-1.6778556738314657E-3</v>
      </c>
    </row>
    <row r="462" spans="9:15">
      <c r="I462" s="178">
        <f>Prices!A462</f>
        <v>42275</v>
      </c>
      <c r="J462" s="3">
        <f>Prices!E462</f>
        <v>16.440000999999999</v>
      </c>
      <c r="K462" s="99">
        <f t="shared" si="28"/>
        <v>1.4188896618685722E-2</v>
      </c>
      <c r="L462" s="99">
        <f t="shared" si="29"/>
        <v>-4.6074901318913439E-3</v>
      </c>
      <c r="M462" s="3">
        <f>Prices!M462</f>
        <v>19.219999000000001</v>
      </c>
      <c r="N462" s="99">
        <f t="shared" si="30"/>
        <v>-2.0768951194184929E-3</v>
      </c>
      <c r="O462" s="99">
        <f t="shared" si="31"/>
        <v>-2.8123772156515526E-3</v>
      </c>
    </row>
    <row r="463" spans="9:15">
      <c r="I463" s="178">
        <f>Prices!A463</f>
        <v>42276</v>
      </c>
      <c r="J463" s="3">
        <f>Prices!E463</f>
        <v>16.209999</v>
      </c>
      <c r="K463" s="99">
        <f t="shared" si="28"/>
        <v>1.8856002514142028E-2</v>
      </c>
      <c r="L463" s="99">
        <f t="shared" si="29"/>
        <v>-6.579021361209819E-3</v>
      </c>
      <c r="M463" s="3">
        <f>Prices!M463</f>
        <v>19.260000000000002</v>
      </c>
      <c r="N463" s="99">
        <f t="shared" si="30"/>
        <v>-2.3326522481060968E-2</v>
      </c>
      <c r="O463" s="99">
        <f t="shared" si="31"/>
        <v>-3.4110494510816401E-3</v>
      </c>
    </row>
    <row r="464" spans="9:15">
      <c r="I464" s="178">
        <f>Prices!A464</f>
        <v>42277</v>
      </c>
      <c r="J464" s="3">
        <f>Prices!E464</f>
        <v>15.91</v>
      </c>
      <c r="K464" s="99">
        <f t="shared" si="28"/>
        <v>2.57898130238556E-2</v>
      </c>
      <c r="L464" s="99">
        <f t="shared" si="29"/>
        <v>-8.521818855337978E-3</v>
      </c>
      <c r="M464" s="3">
        <f>Prices!M464</f>
        <v>19.719999000000001</v>
      </c>
      <c r="N464" s="99">
        <f t="shared" si="30"/>
        <v>5.6092806930504967E-3</v>
      </c>
      <c r="O464" s="99">
        <f t="shared" si="31"/>
        <v>-1.9032623514188365E-3</v>
      </c>
    </row>
    <row r="465" spans="9:15">
      <c r="I465" s="178">
        <f>Prices!A465</f>
        <v>42278</v>
      </c>
      <c r="J465" s="3">
        <f>Prices!E465</f>
        <v>15.51</v>
      </c>
      <c r="K465" s="99">
        <f t="shared" si="28"/>
        <v>-1.3986013986014026E-2</v>
      </c>
      <c r="L465" s="99">
        <f t="shared" si="29"/>
        <v>-8.4599581551794058E-3</v>
      </c>
      <c r="M465" s="3">
        <f>Prices!M465</f>
        <v>19.610001</v>
      </c>
      <c r="N465" s="99">
        <f t="shared" si="30"/>
        <v>-7.5910425101215128E-3</v>
      </c>
      <c r="O465" s="99">
        <f t="shared" si="31"/>
        <v>-9.5933857997441388E-4</v>
      </c>
    </row>
    <row r="466" spans="9:15">
      <c r="I466" s="178">
        <f>Prices!A466</f>
        <v>42279</v>
      </c>
      <c r="J466" s="3">
        <f>Prices!E466</f>
        <v>15.73</v>
      </c>
      <c r="K466" s="99">
        <f t="shared" si="28"/>
        <v>-3.4376977631861393E-2</v>
      </c>
      <c r="L466" s="99">
        <f t="shared" si="29"/>
        <v>-8.4273241225453731E-3</v>
      </c>
      <c r="M466" s="3">
        <f>Prices!M466</f>
        <v>19.760000000000002</v>
      </c>
      <c r="N466" s="99">
        <f t="shared" si="30"/>
        <v>-1.1505752876438064E-2</v>
      </c>
      <c r="O466" s="99">
        <f t="shared" si="31"/>
        <v>-9.5181026399214442E-4</v>
      </c>
    </row>
    <row r="467" spans="9:15">
      <c r="I467" s="178">
        <f>Prices!A467</f>
        <v>42282</v>
      </c>
      <c r="J467" s="3">
        <f>Prices!E467</f>
        <v>16.290001</v>
      </c>
      <c r="K467" s="99">
        <f t="shared" si="28"/>
        <v>-1.5114872121229013E-2</v>
      </c>
      <c r="L467" s="99">
        <f t="shared" si="29"/>
        <v>-6.6550849579838037E-3</v>
      </c>
      <c r="M467" s="3">
        <f>Prices!M467</f>
        <v>19.989999999999998</v>
      </c>
      <c r="N467" s="99">
        <f t="shared" si="30"/>
        <v>-7.4478156627515776E-3</v>
      </c>
      <c r="O467" s="99">
        <f t="shared" si="31"/>
        <v>-6.9687992325760933E-4</v>
      </c>
    </row>
    <row r="468" spans="9:15">
      <c r="I468" s="178">
        <f>Prices!A468</f>
        <v>42283</v>
      </c>
      <c r="J468" s="3">
        <f>Prices!E468</f>
        <v>16.540001</v>
      </c>
      <c r="K468" s="99">
        <f t="shared" si="28"/>
        <v>-6.6064261211985373E-2</v>
      </c>
      <c r="L468" s="99">
        <f t="shared" si="29"/>
        <v>-5.5769367480752062E-3</v>
      </c>
      <c r="M468" s="3">
        <f>Prices!M468</f>
        <v>20.139999</v>
      </c>
      <c r="N468" s="99">
        <f t="shared" si="30"/>
        <v>-1.6121153694243065E-2</v>
      </c>
      <c r="O468" s="99">
        <f t="shared" si="31"/>
        <v>-1.5138824135144289E-4</v>
      </c>
    </row>
    <row r="469" spans="9:15">
      <c r="I469" s="178">
        <f>Prices!A469</f>
        <v>42284</v>
      </c>
      <c r="J469" s="3">
        <f>Prices!E469</f>
        <v>17.709999</v>
      </c>
      <c r="K469" s="99">
        <f t="shared" si="28"/>
        <v>-3.0120536692223532E-2</v>
      </c>
      <c r="L469" s="99">
        <f t="shared" si="29"/>
        <v>-3.0669521380311988E-3</v>
      </c>
      <c r="M469" s="3">
        <f>Prices!M469</f>
        <v>20.469999000000001</v>
      </c>
      <c r="N469" s="99">
        <f t="shared" si="30"/>
        <v>-7.7556959648907462E-3</v>
      </c>
      <c r="O469" s="99">
        <f t="shared" si="31"/>
        <v>1.1037662273379199E-3</v>
      </c>
    </row>
    <row r="470" spans="9:15">
      <c r="I470" s="178">
        <f>Prices!A470</f>
        <v>42285</v>
      </c>
      <c r="J470" s="3">
        <f>Prices!E470</f>
        <v>18.260000000000002</v>
      </c>
      <c r="K470" s="99">
        <f t="shared" si="28"/>
        <v>-4.3478260869565126E-2</v>
      </c>
      <c r="L470" s="99">
        <f t="shared" si="29"/>
        <v>-9.9943068104005632E-4</v>
      </c>
      <c r="M470" s="3">
        <f>Prices!M470</f>
        <v>20.629999000000002</v>
      </c>
      <c r="N470" s="99">
        <f t="shared" si="30"/>
        <v>1.4562621359223353E-3</v>
      </c>
      <c r="O470" s="99">
        <f t="shared" si="31"/>
        <v>1.4666183560097567E-3</v>
      </c>
    </row>
    <row r="471" spans="9:15">
      <c r="I471" s="178">
        <f>Prices!A471</f>
        <v>42286</v>
      </c>
      <c r="J471" s="3">
        <f>Prices!E471</f>
        <v>19.09</v>
      </c>
      <c r="K471" s="99">
        <f t="shared" si="28"/>
        <v>2.2495982860203434E-2</v>
      </c>
      <c r="L471" s="99">
        <f t="shared" si="29"/>
        <v>2.0449992759592481E-3</v>
      </c>
      <c r="M471" s="3">
        <f>Prices!M471</f>
        <v>20.6</v>
      </c>
      <c r="N471" s="99">
        <f t="shared" si="30"/>
        <v>8.8148873653280946E-3</v>
      </c>
      <c r="O471" s="99">
        <f t="shared" si="31"/>
        <v>1.6948564283405839E-3</v>
      </c>
    </row>
    <row r="472" spans="9:15">
      <c r="I472" s="178">
        <f>Prices!A472</f>
        <v>42290</v>
      </c>
      <c r="J472" s="3">
        <f>Prices!E472</f>
        <v>18.670000000000002</v>
      </c>
      <c r="K472" s="99">
        <f t="shared" si="28"/>
        <v>1.4122759369907744E-2</v>
      </c>
      <c r="L472" s="99">
        <f t="shared" si="29"/>
        <v>7.8454902063220618E-4</v>
      </c>
      <c r="M472" s="3">
        <f>Prices!M472</f>
        <v>20.420000000000002</v>
      </c>
      <c r="N472" s="99">
        <f t="shared" si="30"/>
        <v>-2.4425501926013614E-3</v>
      </c>
      <c r="O472" s="99">
        <f t="shared" si="31"/>
        <v>1.4809265762032113E-3</v>
      </c>
    </row>
    <row r="473" spans="9:15">
      <c r="I473" s="178">
        <f>Prices!A473</f>
        <v>42291</v>
      </c>
      <c r="J473" s="3">
        <f>Prices!E473</f>
        <v>18.41</v>
      </c>
      <c r="K473" s="99">
        <f t="shared" si="28"/>
        <v>-3.2484571331054886E-3</v>
      </c>
      <c r="L473" s="99">
        <f t="shared" si="29"/>
        <v>1.5993279126725674E-4</v>
      </c>
      <c r="M473" s="3">
        <f>Prices!M473</f>
        <v>20.469999000000001</v>
      </c>
      <c r="N473" s="99">
        <f t="shared" si="30"/>
        <v>3.4313235294119028E-3</v>
      </c>
      <c r="O473" s="99">
        <f t="shared" si="31"/>
        <v>1.8563468923175788E-3</v>
      </c>
    </row>
    <row r="474" spans="9:15">
      <c r="I474" s="178">
        <f>Prices!A474</f>
        <v>42292</v>
      </c>
      <c r="J474" s="3">
        <f>Prices!E474</f>
        <v>18.469999000000001</v>
      </c>
      <c r="K474" s="99">
        <f t="shared" si="28"/>
        <v>1.316505759736703E-2</v>
      </c>
      <c r="L474" s="99">
        <f t="shared" si="29"/>
        <v>7.3331455203211619E-4</v>
      </c>
      <c r="M474" s="3">
        <f>Prices!M474</f>
        <v>20.399999999999999</v>
      </c>
      <c r="N474" s="99">
        <f t="shared" si="30"/>
        <v>-4.8780487804878743E-3</v>
      </c>
      <c r="O474" s="99">
        <f t="shared" si="31"/>
        <v>2.5086736097707655E-3</v>
      </c>
    </row>
    <row r="475" spans="9:15">
      <c r="I475" s="178">
        <f>Prices!A475</f>
        <v>42293</v>
      </c>
      <c r="J475" s="3">
        <f>Prices!E475</f>
        <v>18.23</v>
      </c>
      <c r="K475" s="99">
        <f t="shared" si="28"/>
        <v>1.6731734523145605E-2</v>
      </c>
      <c r="L475" s="99">
        <f t="shared" si="29"/>
        <v>7.5061672163765326E-5</v>
      </c>
      <c r="M475" s="3">
        <f>Prices!M475</f>
        <v>20.5</v>
      </c>
      <c r="N475" s="99">
        <f t="shared" si="30"/>
        <v>6.8761784441955347E-3</v>
      </c>
      <c r="O475" s="99">
        <f t="shared" si="31"/>
        <v>2.9853748072017896E-3</v>
      </c>
    </row>
    <row r="476" spans="9:15">
      <c r="I476" s="178">
        <f>Prices!A476</f>
        <v>42296</v>
      </c>
      <c r="J476" s="3">
        <f>Prices!E476</f>
        <v>17.93</v>
      </c>
      <c r="K476" s="99">
        <f t="shared" si="28"/>
        <v>-7.7476480354178512E-3</v>
      </c>
      <c r="L476" s="99">
        <f t="shared" si="29"/>
        <v>-1.1960714961445202E-3</v>
      </c>
      <c r="M476" s="3">
        <f>Prices!M476</f>
        <v>20.360001</v>
      </c>
      <c r="N476" s="99">
        <f t="shared" si="30"/>
        <v>-4.8874880199162949E-3</v>
      </c>
      <c r="O476" s="99">
        <f t="shared" si="31"/>
        <v>1.7273937628067462E-3</v>
      </c>
    </row>
    <row r="477" spans="9:15">
      <c r="I477" s="178">
        <f>Prices!A477</f>
        <v>42297</v>
      </c>
      <c r="J477" s="3">
        <f>Prices!E477</f>
        <v>18.07</v>
      </c>
      <c r="K477" s="99">
        <f t="shared" si="28"/>
        <v>-8.2326568733621271E-3</v>
      </c>
      <c r="L477" s="99">
        <f t="shared" si="29"/>
        <v>1.3209673849853623E-4</v>
      </c>
      <c r="M477" s="3">
        <f>Prices!M477</f>
        <v>20.459999</v>
      </c>
      <c r="N477" s="99">
        <f t="shared" si="30"/>
        <v>8.8756405879862246E-3</v>
      </c>
      <c r="O477" s="99">
        <f t="shared" si="31"/>
        <v>2.0735518788152834E-3</v>
      </c>
    </row>
    <row r="478" spans="9:15">
      <c r="I478" s="178">
        <f>Prices!A478</f>
        <v>42298</v>
      </c>
      <c r="J478" s="3">
        <f>Prices!E478</f>
        <v>18.219999000000001</v>
      </c>
      <c r="K478" s="99">
        <f t="shared" si="28"/>
        <v>-2.2007515942432422E-2</v>
      </c>
      <c r="L478" s="99">
        <f t="shared" si="29"/>
        <v>-8.2871390545445048E-4</v>
      </c>
      <c r="M478" s="3">
        <f>Prices!M478</f>
        <v>20.280000999999999</v>
      </c>
      <c r="N478" s="99">
        <f t="shared" si="30"/>
        <v>-1.2658227231829324E-2</v>
      </c>
      <c r="O478" s="99">
        <f t="shared" si="31"/>
        <v>1.1509392042546791E-3</v>
      </c>
    </row>
    <row r="479" spans="9:15">
      <c r="I479" s="178">
        <f>Prices!A479</f>
        <v>42299</v>
      </c>
      <c r="J479" s="3">
        <f>Prices!E479</f>
        <v>18.629999000000002</v>
      </c>
      <c r="K479" s="99">
        <f t="shared" si="28"/>
        <v>-1.6367580973200437E-2</v>
      </c>
      <c r="L479" s="99">
        <f t="shared" si="29"/>
        <v>-1.7923191229861409E-3</v>
      </c>
      <c r="M479" s="3">
        <f>Prices!M479</f>
        <v>20.540001</v>
      </c>
      <c r="N479" s="99">
        <f t="shared" si="30"/>
        <v>-6.2892597968070398E-3</v>
      </c>
      <c r="O479" s="99">
        <f t="shared" si="31"/>
        <v>1.3838505658461454E-3</v>
      </c>
    </row>
    <row r="480" spans="9:15">
      <c r="I480" s="178">
        <f>Prices!A480</f>
        <v>42300</v>
      </c>
      <c r="J480" s="3">
        <f>Prices!E480</f>
        <v>18.940000999999999</v>
      </c>
      <c r="K480" s="99">
        <f t="shared" si="28"/>
        <v>7.9829692398631896E-3</v>
      </c>
      <c r="L480" s="99">
        <f t="shared" si="29"/>
        <v>-1.2306161523548639E-3</v>
      </c>
      <c r="M480" s="3">
        <f>Prices!M480</f>
        <v>20.67</v>
      </c>
      <c r="N480" s="99">
        <f t="shared" si="30"/>
        <v>1.0263978996284501E-2</v>
      </c>
      <c r="O480" s="99">
        <f t="shared" si="31"/>
        <v>1.8236243263476102E-3</v>
      </c>
    </row>
    <row r="481" spans="9:15">
      <c r="I481" s="178">
        <f>Prices!A481</f>
        <v>42303</v>
      </c>
      <c r="J481" s="3">
        <f>Prices!E481</f>
        <v>18.790001</v>
      </c>
      <c r="K481" s="99">
        <f t="shared" si="28"/>
        <v>3.5261763085399543E-2</v>
      </c>
      <c r="L481" s="99">
        <f t="shared" si="29"/>
        <v>-2.3382666386395244E-3</v>
      </c>
      <c r="M481" s="3">
        <f>Prices!M481</f>
        <v>20.459999</v>
      </c>
      <c r="N481" s="99">
        <f t="shared" si="30"/>
        <v>5.4053562653561867E-3</v>
      </c>
      <c r="O481" s="99">
        <f t="shared" si="31"/>
        <v>1.5876456386301608E-3</v>
      </c>
    </row>
    <row r="482" spans="9:15">
      <c r="I482" s="178">
        <f>Prices!A482</f>
        <v>42304</v>
      </c>
      <c r="J482" s="3">
        <f>Prices!E482</f>
        <v>18.149999999999999</v>
      </c>
      <c r="K482" s="99">
        <f t="shared" si="28"/>
        <v>-2.5241727967683779E-2</v>
      </c>
      <c r="L482" s="99">
        <f t="shared" si="29"/>
        <v>-4.4531135868793436E-3</v>
      </c>
      <c r="M482" s="3">
        <f>Prices!M482</f>
        <v>20.350000000000001</v>
      </c>
      <c r="N482" s="99">
        <f t="shared" si="30"/>
        <v>-1.405033982802025E-2</v>
      </c>
      <c r="O482" s="99">
        <f t="shared" si="31"/>
        <v>1.2167767136620899E-3</v>
      </c>
    </row>
    <row r="483" spans="9:15">
      <c r="I483" s="178">
        <f>Prices!A483</f>
        <v>42305</v>
      </c>
      <c r="J483" s="3">
        <f>Prices!E483</f>
        <v>18.620000999999998</v>
      </c>
      <c r="K483" s="99">
        <f t="shared" si="28"/>
        <v>-1.9999947368421134E-2</v>
      </c>
      <c r="L483" s="99">
        <f t="shared" si="29"/>
        <v>-4.5119689046917433E-3</v>
      </c>
      <c r="M483" s="3">
        <f>Prices!M483</f>
        <v>20.639999</v>
      </c>
      <c r="N483" s="99">
        <f t="shared" si="30"/>
        <v>6.8292195121950998E-3</v>
      </c>
      <c r="O483" s="99">
        <f t="shared" si="31"/>
        <v>1.9444522342448648E-3</v>
      </c>
    </row>
    <row r="484" spans="9:15">
      <c r="I484" s="178">
        <f>Prices!A484</f>
        <v>42306</v>
      </c>
      <c r="J484" s="3">
        <f>Prices!E484</f>
        <v>19</v>
      </c>
      <c r="K484" s="99">
        <f t="shared" si="28"/>
        <v>2.7027027027027029E-2</v>
      </c>
      <c r="L484" s="99">
        <f t="shared" si="29"/>
        <v>-4.5890371694475981E-3</v>
      </c>
      <c r="M484" s="3">
        <f>Prices!M484</f>
        <v>20.5</v>
      </c>
      <c r="N484" s="99">
        <f t="shared" si="30"/>
        <v>2.4487756121938951E-2</v>
      </c>
      <c r="O484" s="99">
        <f t="shared" si="31"/>
        <v>1.5025417357822685E-3</v>
      </c>
    </row>
    <row r="485" spans="9:15">
      <c r="I485" s="178">
        <f>Prices!A485</f>
        <v>42307</v>
      </c>
      <c r="J485" s="3">
        <f>Prices!E485</f>
        <v>18.5</v>
      </c>
      <c r="K485" s="99">
        <f t="shared" si="28"/>
        <v>-1.3333333333333334E-2</v>
      </c>
      <c r="L485" s="99">
        <f t="shared" si="29"/>
        <v>-5.5301568407684683E-3</v>
      </c>
      <c r="M485" s="3">
        <f>Prices!M485</f>
        <v>20.010000000000002</v>
      </c>
      <c r="N485" s="99">
        <f t="shared" si="30"/>
        <v>-7.4404761904761198E-3</v>
      </c>
      <c r="O485" s="99">
        <f t="shared" si="31"/>
        <v>5.0519732019995171E-4</v>
      </c>
    </row>
    <row r="486" spans="9:15">
      <c r="I486" s="178">
        <f>Prices!A486</f>
        <v>42310</v>
      </c>
      <c r="J486" s="3">
        <f>Prices!E486</f>
        <v>18.75</v>
      </c>
      <c r="K486" s="99">
        <f t="shared" si="28"/>
        <v>1.0678056593699718E-3</v>
      </c>
      <c r="L486" s="99">
        <f t="shared" si="29"/>
        <v>-5.1275348212453369E-3</v>
      </c>
      <c r="M486" s="3">
        <f>Prices!M486</f>
        <v>20.16</v>
      </c>
      <c r="N486" s="99">
        <f t="shared" si="30"/>
        <v>-6.4071460617473614E-3</v>
      </c>
      <c r="O486" s="99">
        <f t="shared" si="31"/>
        <v>4.7682072932335679E-4</v>
      </c>
    </row>
    <row r="487" spans="9:15">
      <c r="I487" s="178">
        <f>Prices!A487</f>
        <v>42311</v>
      </c>
      <c r="J487" s="3">
        <f>Prices!E487</f>
        <v>18.73</v>
      </c>
      <c r="K487" s="99">
        <f t="shared" si="28"/>
        <v>6.4480920769429276E-3</v>
      </c>
      <c r="L487" s="99">
        <f t="shared" si="29"/>
        <v>-5.3483892190463716E-3</v>
      </c>
      <c r="M487" s="3">
        <f>Prices!M487</f>
        <v>20.290001</v>
      </c>
      <c r="N487" s="99">
        <f t="shared" si="30"/>
        <v>3.4620179753717486E-3</v>
      </c>
      <c r="O487" s="99">
        <f t="shared" si="31"/>
        <v>5.7530632985058371E-5</v>
      </c>
    </row>
    <row r="488" spans="9:15">
      <c r="I488" s="178">
        <f>Prices!A488</f>
        <v>42312</v>
      </c>
      <c r="J488" s="3">
        <f>Prices!E488</f>
        <v>18.610001</v>
      </c>
      <c r="K488" s="99">
        <f t="shared" si="28"/>
        <v>-1.5864569011105219E-2</v>
      </c>
      <c r="L488" s="99">
        <f t="shared" si="29"/>
        <v>-3.7582229380166803E-3</v>
      </c>
      <c r="M488" s="3">
        <f>Prices!M488</f>
        <v>20.219999000000001</v>
      </c>
      <c r="N488" s="99">
        <f t="shared" si="30"/>
        <v>8.9819356795441882E-3</v>
      </c>
      <c r="O488" s="99">
        <f t="shared" si="31"/>
        <v>5.3378288106961593E-4</v>
      </c>
    </row>
    <row r="489" spans="9:15">
      <c r="I489" s="178">
        <f>Prices!A489</f>
        <v>42313</v>
      </c>
      <c r="J489" s="3">
        <f>Prices!E489</f>
        <v>18.91</v>
      </c>
      <c r="K489" s="99">
        <f t="shared" si="28"/>
        <v>1.1229892447599324E-2</v>
      </c>
      <c r="L489" s="99">
        <f t="shared" si="29"/>
        <v>-1.9513122776286744E-3</v>
      </c>
      <c r="M489" s="3">
        <f>Prices!M489</f>
        <v>20.040001</v>
      </c>
      <c r="N489" s="99">
        <f t="shared" si="30"/>
        <v>-4.9865339145400988E-4</v>
      </c>
      <c r="O489" s="99">
        <f t="shared" si="31"/>
        <v>6.1472398351531429E-4</v>
      </c>
    </row>
    <row r="490" spans="9:15">
      <c r="I490" s="178">
        <f>Prices!A490</f>
        <v>42314</v>
      </c>
      <c r="J490" s="3">
        <f>Prices!E490</f>
        <v>18.700001</v>
      </c>
      <c r="K490" s="99">
        <f t="shared" si="28"/>
        <v>1.7410338270420947E-2</v>
      </c>
      <c r="L490" s="99">
        <f t="shared" si="29"/>
        <v>-3.7485953330289082E-3</v>
      </c>
      <c r="M490" s="3">
        <f>Prices!M490</f>
        <v>20.049999</v>
      </c>
      <c r="N490" s="99">
        <f t="shared" si="30"/>
        <v>6.0210235825388847E-3</v>
      </c>
      <c r="O490" s="99">
        <f t="shared" si="31"/>
        <v>4.8867024901084024E-4</v>
      </c>
    </row>
    <row r="491" spans="9:15">
      <c r="I491" s="178">
        <f>Prices!A491</f>
        <v>42317</v>
      </c>
      <c r="J491" s="3">
        <f>Prices!E491</f>
        <v>18.379999000000002</v>
      </c>
      <c r="K491" s="99">
        <f t="shared" si="28"/>
        <v>-2.7130222463373948E-3</v>
      </c>
      <c r="L491" s="99">
        <f t="shared" si="29"/>
        <v>-4.1702319249100383E-3</v>
      </c>
      <c r="M491" s="3">
        <f>Prices!M491</f>
        <v>19.93</v>
      </c>
      <c r="N491" s="99">
        <f t="shared" si="30"/>
        <v>4.5362903225806377E-3</v>
      </c>
      <c r="O491" s="99">
        <f t="shared" si="31"/>
        <v>1.3989618533890506E-3</v>
      </c>
    </row>
    <row r="492" spans="9:15">
      <c r="I492" s="178">
        <f>Prices!A492</f>
        <v>42318</v>
      </c>
      <c r="J492" s="3">
        <f>Prices!E492</f>
        <v>18.43</v>
      </c>
      <c r="K492" s="99">
        <f t="shared" si="28"/>
        <v>1.6304347826087576E-3</v>
      </c>
      <c r="L492" s="99">
        <f t="shared" si="29"/>
        <v>-2.8866241799401114E-3</v>
      </c>
      <c r="M492" s="3">
        <f>Prices!M492</f>
        <v>19.84</v>
      </c>
      <c r="N492" s="99">
        <f t="shared" si="30"/>
        <v>5.065856129685989E-3</v>
      </c>
      <c r="O492" s="99">
        <f t="shared" si="31"/>
        <v>1.6404121899272774E-3</v>
      </c>
    </row>
    <row r="493" spans="9:15">
      <c r="I493" s="178">
        <f>Prices!A493</f>
        <v>42319</v>
      </c>
      <c r="J493" s="3">
        <f>Prices!E493</f>
        <v>18.399999999999999</v>
      </c>
      <c r="K493" s="99">
        <f t="shared" si="28"/>
        <v>8.2191780821917037E-3</v>
      </c>
      <c r="L493" s="99">
        <f t="shared" si="29"/>
        <v>-1.6323680248851069E-3</v>
      </c>
      <c r="M493" s="3">
        <f>Prices!M493</f>
        <v>19.739999999999998</v>
      </c>
      <c r="N493" s="99">
        <f t="shared" si="30"/>
        <v>1.6477857878475628E-2</v>
      </c>
      <c r="O493" s="99">
        <f t="shared" si="31"/>
        <v>1.2315125450408503E-3</v>
      </c>
    </row>
    <row r="494" spans="9:15">
      <c r="I494" s="178">
        <f>Prices!A494</f>
        <v>42320</v>
      </c>
      <c r="J494" s="3">
        <f>Prices!E494</f>
        <v>18.25</v>
      </c>
      <c r="K494" s="99">
        <f t="shared" si="28"/>
        <v>0</v>
      </c>
      <c r="L494" s="99">
        <f t="shared" si="29"/>
        <v>-4.6970967702645349E-3</v>
      </c>
      <c r="M494" s="3">
        <f>Prices!M494</f>
        <v>19.420000000000002</v>
      </c>
      <c r="N494" s="99">
        <f t="shared" si="30"/>
        <v>4.6559751681326134E-3</v>
      </c>
      <c r="O494" s="99">
        <f t="shared" si="31"/>
        <v>1.4962686174694852E-4</v>
      </c>
    </row>
    <row r="495" spans="9:15">
      <c r="I495" s="178">
        <f>Prices!A495</f>
        <v>42321</v>
      </c>
      <c r="J495" s="3">
        <f>Prices!E495</f>
        <v>18.25</v>
      </c>
      <c r="K495" s="99">
        <f t="shared" si="28"/>
        <v>-8.6909288430201057E-3</v>
      </c>
      <c r="L495" s="99">
        <f t="shared" si="29"/>
        <v>-2.9782666009469314E-3</v>
      </c>
      <c r="M495" s="3">
        <f>Prices!M495</f>
        <v>19.329999999999998</v>
      </c>
      <c r="N495" s="99">
        <f t="shared" si="30"/>
        <v>-1.8283442443705333E-2</v>
      </c>
      <c r="O495" s="99">
        <f t="shared" si="31"/>
        <v>8.3642343073941547E-4</v>
      </c>
    </row>
    <row r="496" spans="9:15">
      <c r="I496" s="178">
        <f>Prices!A496</f>
        <v>42324</v>
      </c>
      <c r="J496" s="3">
        <f>Prices!E496</f>
        <v>18.41</v>
      </c>
      <c r="K496" s="99">
        <f t="shared" si="28"/>
        <v>1.881571665744327E-2</v>
      </c>
      <c r="L496" s="99">
        <f t="shared" si="29"/>
        <v>-4.8709344636929316E-4</v>
      </c>
      <c r="M496" s="3">
        <f>Prices!M496</f>
        <v>19.690000999999999</v>
      </c>
      <c r="N496" s="99">
        <f t="shared" si="30"/>
        <v>2.0356743002544618E-3</v>
      </c>
      <c r="O496" s="99">
        <f t="shared" si="31"/>
        <v>1.9616773359810474E-3</v>
      </c>
    </row>
    <row r="497" spans="9:15">
      <c r="I497" s="178">
        <f>Prices!A497</f>
        <v>42325</v>
      </c>
      <c r="J497" s="3">
        <f>Prices!E497</f>
        <v>18.07</v>
      </c>
      <c r="K497" s="99">
        <f t="shared" si="28"/>
        <v>-2.7448869752421855E-2</v>
      </c>
      <c r="L497" s="99">
        <f t="shared" si="29"/>
        <v>-2.5761073585733969E-3</v>
      </c>
      <c r="M497" s="3">
        <f>Prices!M497</f>
        <v>19.649999999999999</v>
      </c>
      <c r="N497" s="99">
        <f t="shared" si="30"/>
        <v>-9.5766129032258708E-3</v>
      </c>
      <c r="O497" s="99">
        <f t="shared" si="31"/>
        <v>9.0233927314223739E-4</v>
      </c>
    </row>
    <row r="498" spans="9:15">
      <c r="I498" s="178">
        <f>Prices!A498</f>
        <v>42326</v>
      </c>
      <c r="J498" s="3">
        <f>Prices!E498</f>
        <v>18.579999999999998</v>
      </c>
      <c r="K498" s="99">
        <f t="shared" si="28"/>
        <v>-4.1279620293066227E-2</v>
      </c>
      <c r="L498" s="99">
        <f t="shared" si="29"/>
        <v>-3.2076694823754285E-3</v>
      </c>
      <c r="M498" s="3">
        <f>Prices!M498</f>
        <v>19.84</v>
      </c>
      <c r="N498" s="99">
        <f t="shared" si="30"/>
        <v>-8.0000000000000071E-3</v>
      </c>
      <c r="O498" s="99">
        <f t="shared" si="31"/>
        <v>4.416041965953438E-4</v>
      </c>
    </row>
    <row r="499" spans="9:15">
      <c r="I499" s="178">
        <f>Prices!A499</f>
        <v>42327</v>
      </c>
      <c r="J499" s="3">
        <f>Prices!E499</f>
        <v>19.379999000000002</v>
      </c>
      <c r="K499" s="99">
        <f t="shared" si="28"/>
        <v>-5.1335215605748923E-3</v>
      </c>
      <c r="L499" s="99">
        <f t="shared" si="29"/>
        <v>-1.8353905428209276E-3</v>
      </c>
      <c r="M499" s="3">
        <f>Prices!M499</f>
        <v>20</v>
      </c>
      <c r="N499" s="99">
        <f t="shared" si="30"/>
        <v>2.5062154132222689E-3</v>
      </c>
      <c r="O499" s="99">
        <f t="shared" si="31"/>
        <v>1.5890294543273033E-3</v>
      </c>
    </row>
    <row r="500" spans="9:15">
      <c r="I500" s="178">
        <f>Prices!A500</f>
        <v>42328</v>
      </c>
      <c r="J500" s="3">
        <f>Prices!E500</f>
        <v>19.48</v>
      </c>
      <c r="K500" s="99">
        <f t="shared" si="28"/>
        <v>-1.4170040485830015E-2</v>
      </c>
      <c r="L500" s="99">
        <f t="shared" si="29"/>
        <v>-2.4047591683879067E-3</v>
      </c>
      <c r="M500" s="3">
        <f>Prices!M500</f>
        <v>19.950001</v>
      </c>
      <c r="N500" s="99">
        <f t="shared" si="30"/>
        <v>5.5444052419355069E-3</v>
      </c>
      <c r="O500" s="99">
        <f t="shared" si="31"/>
        <v>1.5153208535114955E-3</v>
      </c>
    </row>
    <row r="501" spans="9:15">
      <c r="I501" s="178">
        <f>Prices!A501</f>
        <v>42331</v>
      </c>
      <c r="J501" s="3">
        <f>Prices!E501</f>
        <v>19.760000000000002</v>
      </c>
      <c r="K501" s="99">
        <f t="shared" si="28"/>
        <v>-7.0351758793968351E-3</v>
      </c>
      <c r="L501" s="99">
        <f t="shared" si="29"/>
        <v>-1.402999554005619E-3</v>
      </c>
      <c r="M501" s="3">
        <f>Prices!M501</f>
        <v>19.84</v>
      </c>
      <c r="N501" s="99">
        <f t="shared" si="30"/>
        <v>-2.0120222340052267E-3</v>
      </c>
      <c r="O501" s="99">
        <f t="shared" si="31"/>
        <v>1.0837744676660713E-3</v>
      </c>
    </row>
    <row r="502" spans="9:15">
      <c r="I502" s="178">
        <f>Prices!A502</f>
        <v>42332</v>
      </c>
      <c r="J502" s="3">
        <f>Prices!E502</f>
        <v>19.899999999999999</v>
      </c>
      <c r="K502" s="99">
        <f t="shared" si="28"/>
        <v>-2.6418834323931793E-2</v>
      </c>
      <c r="L502" s="99">
        <f t="shared" si="29"/>
        <v>-9.2875423382313745E-4</v>
      </c>
      <c r="M502" s="3">
        <f>Prices!M502</f>
        <v>19.879999000000002</v>
      </c>
      <c r="N502" s="99">
        <f t="shared" si="30"/>
        <v>5.0317058363525302E-4</v>
      </c>
      <c r="O502" s="99">
        <f t="shared" si="31"/>
        <v>1.0561072366264666E-3</v>
      </c>
    </row>
    <row r="503" spans="9:15">
      <c r="I503" s="178">
        <f>Prices!A503</f>
        <v>42333</v>
      </c>
      <c r="J503" s="3">
        <f>Prices!E503</f>
        <v>20.440000999999999</v>
      </c>
      <c r="K503" s="99">
        <f t="shared" si="28"/>
        <v>-2.1541312663538221E-2</v>
      </c>
      <c r="L503" s="99">
        <f t="shared" si="29"/>
        <v>-8.267417719286539E-4</v>
      </c>
      <c r="M503" s="3">
        <f>Prices!M503</f>
        <v>19.870000999999998</v>
      </c>
      <c r="N503" s="99">
        <f t="shared" si="30"/>
        <v>-2.0089904570568394E-3</v>
      </c>
      <c r="O503" s="99">
        <f t="shared" si="31"/>
        <v>1.9845627555771674E-4</v>
      </c>
    </row>
    <row r="504" spans="9:15">
      <c r="I504" s="178">
        <f>Prices!A504</f>
        <v>42334</v>
      </c>
      <c r="J504" s="3">
        <f>Prices!E504</f>
        <v>20.889999</v>
      </c>
      <c r="K504" s="99">
        <f t="shared" si="28"/>
        <v>8.2046336006096395E-3</v>
      </c>
      <c r="L504" s="99">
        <f t="shared" si="29"/>
        <v>-2.4659760098181584E-4</v>
      </c>
      <c r="M504" s="3">
        <f>Prices!M504</f>
        <v>19.91</v>
      </c>
      <c r="N504" s="99">
        <f t="shared" si="30"/>
        <v>4.540867810292626E-3</v>
      </c>
      <c r="O504" s="99">
        <f t="shared" si="31"/>
        <v>2.4850257260410817E-4</v>
      </c>
    </row>
    <row r="505" spans="9:15">
      <c r="I505" s="178">
        <f>Prices!A505</f>
        <v>42335</v>
      </c>
      <c r="J505" s="3">
        <f>Prices!E505</f>
        <v>20.719999000000001</v>
      </c>
      <c r="K505" s="99">
        <f t="shared" si="28"/>
        <v>-5.2808929428707109E-3</v>
      </c>
      <c r="L505" s="99">
        <f t="shared" si="29"/>
        <v>8.7975364581697308E-4</v>
      </c>
      <c r="M505" s="3">
        <f>Prices!M505</f>
        <v>19.82</v>
      </c>
      <c r="N505" s="99">
        <f t="shared" si="30"/>
        <v>-8.0080080080080149E-3</v>
      </c>
      <c r="O505" s="99">
        <f t="shared" si="31"/>
        <v>6.5953983548406583E-4</v>
      </c>
    </row>
    <row r="506" spans="9:15">
      <c r="I506" s="178">
        <f>Prices!A506</f>
        <v>42338</v>
      </c>
      <c r="J506" s="3">
        <f>Prices!E506</f>
        <v>20.83</v>
      </c>
      <c r="K506" s="99">
        <f t="shared" si="28"/>
        <v>-3.3492822966507316E-3</v>
      </c>
      <c r="L506" s="99">
        <f t="shared" si="29"/>
        <v>1.7111391908391481E-3</v>
      </c>
      <c r="M506" s="3">
        <f>Prices!M506</f>
        <v>19.98</v>
      </c>
      <c r="N506" s="99">
        <f t="shared" si="30"/>
        <v>-1.4792947988513324E-2</v>
      </c>
      <c r="O506" s="99">
        <f t="shared" si="31"/>
        <v>1.4716746671762833E-3</v>
      </c>
    </row>
    <row r="507" spans="9:15">
      <c r="I507" s="178">
        <f>Prices!A507</f>
        <v>42339</v>
      </c>
      <c r="J507" s="3">
        <f>Prices!E507</f>
        <v>20.9</v>
      </c>
      <c r="K507" s="99">
        <f t="shared" si="28"/>
        <v>3.8251417697536746E-2</v>
      </c>
      <c r="L507" s="99">
        <f t="shared" si="29"/>
        <v>2.0767186995243173E-3</v>
      </c>
      <c r="M507" s="3">
        <f>Prices!M507</f>
        <v>20.280000999999999</v>
      </c>
      <c r="N507" s="99">
        <f t="shared" si="30"/>
        <v>1.298706293706289E-2</v>
      </c>
      <c r="O507" s="99">
        <f t="shared" si="31"/>
        <v>2.7576306278042648E-3</v>
      </c>
    </row>
    <row r="508" spans="9:15">
      <c r="I508" s="178">
        <f>Prices!A508</f>
        <v>42340</v>
      </c>
      <c r="J508" s="3">
        <f>Prices!E508</f>
        <v>20.129999000000002</v>
      </c>
      <c r="K508" s="99">
        <f t="shared" si="28"/>
        <v>2.0273644196654894E-2</v>
      </c>
      <c r="L508" s="99">
        <f t="shared" si="29"/>
        <v>1.6002135635131605E-5</v>
      </c>
      <c r="M508" s="3">
        <f>Prices!M508</f>
        <v>20.02</v>
      </c>
      <c r="N508" s="99">
        <f t="shared" si="30"/>
        <v>1.0600757728458155E-2</v>
      </c>
      <c r="O508" s="99">
        <f t="shared" si="31"/>
        <v>2.4751511706785903E-3</v>
      </c>
    </row>
    <row r="509" spans="9:15">
      <c r="I509" s="178">
        <f>Prices!A509</f>
        <v>42341</v>
      </c>
      <c r="J509" s="3">
        <f>Prices!E509</f>
        <v>19.73</v>
      </c>
      <c r="K509" s="99">
        <f t="shared" si="28"/>
        <v>-2.4715768660405337E-2</v>
      </c>
      <c r="L509" s="99">
        <f t="shared" si="29"/>
        <v>8.1910335380732844E-4</v>
      </c>
      <c r="M509" s="3">
        <f>Prices!M509</f>
        <v>19.809999000000001</v>
      </c>
      <c r="N509" s="99">
        <f t="shared" si="30"/>
        <v>-3.01972808154349E-3</v>
      </c>
      <c r="O509" s="99">
        <f t="shared" si="31"/>
        <v>1.9975818074701836E-3</v>
      </c>
    </row>
    <row r="510" spans="9:15">
      <c r="I510" s="178">
        <f>Prices!A510</f>
        <v>42342</v>
      </c>
      <c r="J510" s="3">
        <f>Prices!E510</f>
        <v>20.23</v>
      </c>
      <c r="K510" s="99">
        <f t="shared" si="28"/>
        <v>8.9776064327983622E-3</v>
      </c>
      <c r="L510" s="99">
        <f t="shared" si="29"/>
        <v>6.3628434266274903E-3</v>
      </c>
      <c r="M510" s="3">
        <f>Prices!M510</f>
        <v>19.870000999999998</v>
      </c>
      <c r="N510" s="99">
        <f t="shared" si="30"/>
        <v>2.422685567010309E-2</v>
      </c>
      <c r="O510" s="99">
        <f t="shared" si="31"/>
        <v>2.9210748711104946E-3</v>
      </c>
    </row>
    <row r="511" spans="9:15">
      <c r="I511" s="178">
        <f>Prices!A511</f>
        <v>42345</v>
      </c>
      <c r="J511" s="3">
        <f>Prices!E511</f>
        <v>20.049999</v>
      </c>
      <c r="K511" s="99">
        <f t="shared" si="28"/>
        <v>2.2959132653061133E-2</v>
      </c>
      <c r="L511" s="99">
        <f t="shared" si="29"/>
        <v>1.0166074082068393E-2</v>
      </c>
      <c r="M511" s="3">
        <f>Prices!M511</f>
        <v>19.399999999999999</v>
      </c>
      <c r="N511" s="99">
        <f t="shared" si="30"/>
        <v>9.3652970533451736E-3</v>
      </c>
      <c r="O511" s="99">
        <f t="shared" si="31"/>
        <v>2.8262870376840449E-3</v>
      </c>
    </row>
    <row r="512" spans="9:15">
      <c r="I512" s="178">
        <f>Prices!A512</f>
        <v>42346</v>
      </c>
      <c r="J512" s="3">
        <f>Prices!E512</f>
        <v>19.600000000000001</v>
      </c>
      <c r="K512" s="99">
        <f t="shared" si="28"/>
        <v>2.6715557883708829E-2</v>
      </c>
      <c r="L512" s="99">
        <f t="shared" si="29"/>
        <v>1.0064915478971986E-2</v>
      </c>
      <c r="M512" s="3">
        <f>Prices!M512</f>
        <v>19.219999000000001</v>
      </c>
      <c r="N512" s="99">
        <f t="shared" si="30"/>
        <v>-3.1121367680425551E-3</v>
      </c>
      <c r="O512" s="99">
        <f t="shared" si="31"/>
        <v>2.3580221850167866E-3</v>
      </c>
    </row>
    <row r="513" spans="9:15">
      <c r="I513" s="178">
        <f>Prices!A513</f>
        <v>42347</v>
      </c>
      <c r="J513" s="3">
        <f>Prices!E513</f>
        <v>19.09</v>
      </c>
      <c r="K513" s="99">
        <f t="shared" si="28"/>
        <v>-5.3075396825396838E-2</v>
      </c>
      <c r="L513" s="99">
        <f t="shared" si="29"/>
        <v>1.0514851870500826E-2</v>
      </c>
      <c r="M513" s="3">
        <f>Prices!M513</f>
        <v>19.280000999999999</v>
      </c>
      <c r="N513" s="99">
        <f t="shared" si="30"/>
        <v>-5.1598557874024094E-3</v>
      </c>
      <c r="O513" s="99">
        <f t="shared" si="31"/>
        <v>2.9531894388276831E-3</v>
      </c>
    </row>
    <row r="514" spans="9:15">
      <c r="I514" s="178">
        <f>Prices!A514</f>
        <v>42348</v>
      </c>
      <c r="J514" s="3">
        <f>Prices!E514</f>
        <v>20.16</v>
      </c>
      <c r="K514" s="99">
        <f t="shared" si="28"/>
        <v>3.4376603386352067E-2</v>
      </c>
      <c r="L514" s="99">
        <f t="shared" si="29"/>
        <v>1.8574982135798935E-2</v>
      </c>
      <c r="M514" s="3">
        <f>Prices!M514</f>
        <v>19.379999000000002</v>
      </c>
      <c r="N514" s="99">
        <f t="shared" si="30"/>
        <v>1.8391906547981944E-2</v>
      </c>
      <c r="O514" s="99">
        <f t="shared" si="31"/>
        <v>2.883674040424878E-3</v>
      </c>
    </row>
    <row r="515" spans="9:15">
      <c r="I515" s="178">
        <f>Prices!A515</f>
        <v>42349</v>
      </c>
      <c r="J515" s="3">
        <f>Prices!E515</f>
        <v>19.489999999999998</v>
      </c>
      <c r="K515" s="99">
        <f t="shared" si="28"/>
        <v>4.1132534248532651E-2</v>
      </c>
      <c r="L515" s="99">
        <f t="shared" si="29"/>
        <v>1.7572997844617536E-2</v>
      </c>
      <c r="M515" s="3">
        <f>Prices!M515</f>
        <v>19.030000999999999</v>
      </c>
      <c r="N515" s="99">
        <f t="shared" si="30"/>
        <v>4.2216356611273157E-3</v>
      </c>
      <c r="O515" s="99">
        <f t="shared" si="31"/>
        <v>2.8529676019146697E-3</v>
      </c>
    </row>
    <row r="516" spans="9:15">
      <c r="I516" s="178">
        <f>Prices!A516</f>
        <v>42352</v>
      </c>
      <c r="J516" s="3">
        <f>Prices!E516</f>
        <v>18.719999000000001</v>
      </c>
      <c r="K516" s="99">
        <f t="shared" si="28"/>
        <v>-2.2964561586638767E-2</v>
      </c>
      <c r="L516" s="99">
        <f t="shared" si="29"/>
        <v>1.3062383402129552E-2</v>
      </c>
      <c r="M516" s="3">
        <f>Prices!M516</f>
        <v>18.950001</v>
      </c>
      <c r="N516" s="99">
        <f t="shared" si="30"/>
        <v>-1.9151086956521738E-2</v>
      </c>
      <c r="O516" s="99">
        <f t="shared" si="31"/>
        <v>1.9029695627006704E-3</v>
      </c>
    </row>
    <row r="517" spans="9:15">
      <c r="I517" s="178">
        <f>Prices!A517</f>
        <v>42353</v>
      </c>
      <c r="J517" s="3">
        <f>Prices!E517</f>
        <v>19.16</v>
      </c>
      <c r="K517" s="99">
        <f t="shared" si="28"/>
        <v>-4.0080112228462521E-2</v>
      </c>
      <c r="L517" s="99">
        <f t="shared" si="29"/>
        <v>1.6195019702581265E-2</v>
      </c>
      <c r="M517" s="3">
        <f>Prices!M517</f>
        <v>19.32</v>
      </c>
      <c r="N517" s="99">
        <f t="shared" si="30"/>
        <v>-1.879131443416374E-2</v>
      </c>
      <c r="O517" s="99">
        <f t="shared" si="31"/>
        <v>4.0369944987620459E-3</v>
      </c>
    </row>
    <row r="518" spans="9:15">
      <c r="I518" s="178">
        <f>Prices!A518</f>
        <v>42354</v>
      </c>
      <c r="J518" s="3">
        <f>Prices!E518</f>
        <v>19.959999</v>
      </c>
      <c r="K518" s="99">
        <f t="shared" si="28"/>
        <v>-1.3834041501976218E-2</v>
      </c>
      <c r="L518" s="99">
        <f t="shared" si="29"/>
        <v>1.844831306329214E-2</v>
      </c>
      <c r="M518" s="3">
        <f>Prices!M518</f>
        <v>19.690000999999999</v>
      </c>
      <c r="N518" s="99">
        <f t="shared" si="30"/>
        <v>1.4948505154639186E-2</v>
      </c>
      <c r="O518" s="99">
        <f t="shared" si="31"/>
        <v>5.4002861852314793E-3</v>
      </c>
    </row>
    <row r="519" spans="9:15">
      <c r="I519" s="178">
        <f>Prices!A519</f>
        <v>42355</v>
      </c>
      <c r="J519" s="3">
        <f>Prices!E519</f>
        <v>20.239999999999998</v>
      </c>
      <c r="K519" s="99">
        <f t="shared" ref="K519:K582" si="32">(J519-J520)/J520</f>
        <v>-1.6520894071914476E-2</v>
      </c>
      <c r="L519" s="99">
        <f t="shared" ref="L519:L582" si="33">AVERAGE(K519:K538)</f>
        <v>1.9789365787741601E-2</v>
      </c>
      <c r="M519" s="3">
        <f>Prices!M519</f>
        <v>19.399999999999999</v>
      </c>
      <c r="N519" s="99">
        <f t="shared" ref="N519:N582" si="34">(M519-M520)/M520</f>
        <v>1.0320433969061118E-3</v>
      </c>
      <c r="O519" s="99">
        <f t="shared" ref="O519:O582" si="35">AVERAGE(N519:N538)</f>
        <v>4.3999098455968291E-3</v>
      </c>
    </row>
    <row r="520" spans="9:15">
      <c r="I520" s="178">
        <f>Prices!A520</f>
        <v>42356</v>
      </c>
      <c r="J520" s="3">
        <f>Prices!E520</f>
        <v>20.58</v>
      </c>
      <c r="K520" s="99">
        <f t="shared" si="32"/>
        <v>5.8651518018157517E-3</v>
      </c>
      <c r="L520" s="99">
        <f t="shared" si="33"/>
        <v>2.2642437518364346E-2</v>
      </c>
      <c r="M520" s="3">
        <f>Prices!M520</f>
        <v>19.379999000000002</v>
      </c>
      <c r="N520" s="99">
        <f t="shared" si="34"/>
        <v>-3.086522474972981E-3</v>
      </c>
      <c r="O520" s="99">
        <f t="shared" si="35"/>
        <v>5.2350382249506068E-3</v>
      </c>
    </row>
    <row r="521" spans="9:15">
      <c r="I521" s="178">
        <f>Prices!A521</f>
        <v>42359</v>
      </c>
      <c r="J521" s="3">
        <f>Prices!E521</f>
        <v>20.459999</v>
      </c>
      <c r="K521" s="99">
        <f t="shared" si="32"/>
        <v>2.4497305242528016E-3</v>
      </c>
      <c r="L521" s="99">
        <f t="shared" si="33"/>
        <v>2.1104670411436079E-2</v>
      </c>
      <c r="M521" s="3">
        <f>Prices!M521</f>
        <v>19.440000999999999</v>
      </c>
      <c r="N521" s="99">
        <f t="shared" si="34"/>
        <v>-2.5653668547973157E-3</v>
      </c>
      <c r="O521" s="99">
        <f t="shared" si="35"/>
        <v>4.5180855893557342E-3</v>
      </c>
    </row>
    <row r="522" spans="9:15">
      <c r="I522" s="178">
        <f>Prices!A522</f>
        <v>42360</v>
      </c>
      <c r="J522" s="3">
        <f>Prices!E522</f>
        <v>20.41</v>
      </c>
      <c r="K522" s="99">
        <f t="shared" si="32"/>
        <v>-2.4378585086042136E-2</v>
      </c>
      <c r="L522" s="99">
        <f t="shared" si="33"/>
        <v>1.5217935180560227E-2</v>
      </c>
      <c r="M522" s="3">
        <f>Prices!M522</f>
        <v>19.489999999999998</v>
      </c>
      <c r="N522" s="99">
        <f t="shared" si="34"/>
        <v>-1.6649848637739748E-2</v>
      </c>
      <c r="O522" s="99">
        <f t="shared" si="35"/>
        <v>3.1469019146474013E-3</v>
      </c>
    </row>
    <row r="523" spans="9:15">
      <c r="I523" s="178">
        <f>Prices!A523</f>
        <v>42361</v>
      </c>
      <c r="J523" s="3">
        <f>Prices!E523</f>
        <v>20.92</v>
      </c>
      <c r="K523" s="99">
        <f t="shared" si="32"/>
        <v>-9.9384292446014696E-3</v>
      </c>
      <c r="L523" s="99">
        <f t="shared" si="33"/>
        <v>1.7461319160572839E-2</v>
      </c>
      <c r="M523" s="3">
        <f>Prices!M523</f>
        <v>19.82</v>
      </c>
      <c r="N523" s="99">
        <f t="shared" si="34"/>
        <v>-1.0080645161290108E-3</v>
      </c>
      <c r="O523" s="99">
        <f t="shared" si="35"/>
        <v>5.0088907866844366E-3</v>
      </c>
    </row>
    <row r="524" spans="9:15">
      <c r="I524" s="178">
        <f>Prices!A524</f>
        <v>42362</v>
      </c>
      <c r="J524" s="3">
        <f>Prices!E524</f>
        <v>21.129999000000002</v>
      </c>
      <c r="K524" s="99">
        <f t="shared" si="32"/>
        <v>3.0731658536585441E-2</v>
      </c>
      <c r="L524" s="99">
        <f t="shared" si="33"/>
        <v>1.6639064303626602E-2</v>
      </c>
      <c r="M524" s="3">
        <f>Prices!M524</f>
        <v>19.84</v>
      </c>
      <c r="N524" s="99">
        <f t="shared" si="34"/>
        <v>1.2761613067891782E-2</v>
      </c>
      <c r="O524" s="99">
        <f t="shared" si="35"/>
        <v>4.2921679850936303E-3</v>
      </c>
    </row>
    <row r="525" spans="9:15">
      <c r="I525" s="178">
        <f>Prices!A525</f>
        <v>42367</v>
      </c>
      <c r="J525" s="3">
        <f>Prices!E525</f>
        <v>20.5</v>
      </c>
      <c r="K525" s="99">
        <f t="shared" si="32"/>
        <v>1.1346817957572789E-2</v>
      </c>
      <c r="L525" s="99">
        <f t="shared" si="33"/>
        <v>1.6661870892391219E-2</v>
      </c>
      <c r="M525" s="3">
        <f>Prices!M525</f>
        <v>19.59</v>
      </c>
      <c r="N525" s="99">
        <f t="shared" si="34"/>
        <v>8.2346886258363432E-3</v>
      </c>
      <c r="O525" s="99">
        <f t="shared" si="35"/>
        <v>3.4358658368818067E-3</v>
      </c>
    </row>
    <row r="526" spans="9:15">
      <c r="I526" s="178">
        <f>Prices!A526</f>
        <v>42368</v>
      </c>
      <c r="J526" s="3">
        <f>Prices!E526</f>
        <v>20.27</v>
      </c>
      <c r="K526" s="99">
        <f t="shared" si="32"/>
        <v>3.9623078770526475E-3</v>
      </c>
      <c r="L526" s="99">
        <f t="shared" si="33"/>
        <v>1.66649997931703E-2</v>
      </c>
      <c r="M526" s="3">
        <f>Prices!M526</f>
        <v>19.43</v>
      </c>
      <c r="N526" s="99">
        <f t="shared" si="34"/>
        <v>1.0926171224046282E-2</v>
      </c>
      <c r="O526" s="99">
        <f t="shared" si="35"/>
        <v>2.061046919933729E-3</v>
      </c>
    </row>
    <row r="527" spans="9:15">
      <c r="I527" s="178">
        <f>Prices!A527</f>
        <v>42369</v>
      </c>
      <c r="J527" s="3">
        <f>Prices!E527</f>
        <v>20.190000999999999</v>
      </c>
      <c r="K527" s="99">
        <f t="shared" si="32"/>
        <v>-2.9629135802469752E-3</v>
      </c>
      <c r="L527" s="99">
        <f t="shared" si="33"/>
        <v>1.4009960340606758E-2</v>
      </c>
      <c r="M527" s="3">
        <f>Prices!M527</f>
        <v>19.219999000000001</v>
      </c>
      <c r="N527" s="99">
        <f t="shared" si="34"/>
        <v>7.3374737945494286E-3</v>
      </c>
      <c r="O527" s="99">
        <f t="shared" si="35"/>
        <v>9.069185912895458E-4</v>
      </c>
    </row>
    <row r="528" spans="9:15">
      <c r="I528" s="178">
        <f>Prices!A528</f>
        <v>42373</v>
      </c>
      <c r="J528" s="3">
        <f>Prices!E528</f>
        <v>20.25</v>
      </c>
      <c r="K528" s="99">
        <f t="shared" si="32"/>
        <v>3.6335668560098837E-2</v>
      </c>
      <c r="L528" s="99">
        <f t="shared" si="33"/>
        <v>1.4968741557881105E-2</v>
      </c>
      <c r="M528" s="3">
        <f>Prices!M528</f>
        <v>19.079999999999998</v>
      </c>
      <c r="N528" s="99">
        <f t="shared" si="34"/>
        <v>1.049370464290006E-3</v>
      </c>
      <c r="O528" s="99">
        <f t="shared" si="35"/>
        <v>8.85970907633073E-4</v>
      </c>
    </row>
    <row r="529" spans="9:15">
      <c r="I529" s="178">
        <f>Prices!A529</f>
        <v>42374</v>
      </c>
      <c r="J529" s="3">
        <f>Prices!E529</f>
        <v>19.540001</v>
      </c>
      <c r="K529" s="99">
        <f t="shared" si="32"/>
        <v>8.6159032795997875E-2</v>
      </c>
      <c r="L529" s="99">
        <f t="shared" si="33"/>
        <v>1.7601110672249044E-2</v>
      </c>
      <c r="M529" s="3">
        <f>Prices!M529</f>
        <v>19.059999000000001</v>
      </c>
      <c r="N529" s="99">
        <f t="shared" si="34"/>
        <v>1.5450133191262743E-2</v>
      </c>
      <c r="O529" s="99">
        <f t="shared" si="35"/>
        <v>1.7825261941244446E-3</v>
      </c>
    </row>
    <row r="530" spans="9:15">
      <c r="I530" s="178">
        <f>Prices!A530</f>
        <v>42375</v>
      </c>
      <c r="J530" s="3">
        <f>Prices!E530</f>
        <v>17.989999999999998</v>
      </c>
      <c r="K530" s="99">
        <f t="shared" si="32"/>
        <v>8.5042219541616421E-2</v>
      </c>
      <c r="L530" s="99">
        <f t="shared" si="33"/>
        <v>1.2391633373641931E-2</v>
      </c>
      <c r="M530" s="3">
        <f>Prices!M530</f>
        <v>18.77</v>
      </c>
      <c r="N530" s="99">
        <f t="shared" si="34"/>
        <v>2.2331099001574081E-2</v>
      </c>
      <c r="O530" s="99">
        <f t="shared" si="35"/>
        <v>4.4701953456130727E-4</v>
      </c>
    </row>
    <row r="531" spans="9:15">
      <c r="I531" s="178">
        <f>Prices!A531</f>
        <v>42376</v>
      </c>
      <c r="J531" s="3">
        <f>Prices!E531</f>
        <v>16.579999999999998</v>
      </c>
      <c r="K531" s="99">
        <f t="shared" si="32"/>
        <v>2.0935960591132997E-2</v>
      </c>
      <c r="L531" s="99">
        <f t="shared" si="33"/>
        <v>6.1102476127953094E-3</v>
      </c>
      <c r="M531" s="3">
        <f>Prices!M531</f>
        <v>18.360001</v>
      </c>
      <c r="N531" s="99">
        <f t="shared" si="34"/>
        <v>0</v>
      </c>
      <c r="O531" s="99">
        <f t="shared" si="35"/>
        <v>-1.487043370027313E-3</v>
      </c>
    </row>
    <row r="532" spans="9:15">
      <c r="I532" s="178">
        <f>Prices!A532</f>
        <v>42377</v>
      </c>
      <c r="J532" s="3">
        <f>Prices!E532</f>
        <v>16.239999999999998</v>
      </c>
      <c r="K532" s="99">
        <f t="shared" si="32"/>
        <v>3.5714285714285636E-2</v>
      </c>
      <c r="L532" s="99">
        <f t="shared" si="33"/>
        <v>6.3954167963534096E-3</v>
      </c>
      <c r="M532" s="3">
        <f>Prices!M532</f>
        <v>18.360001</v>
      </c>
      <c r="N532" s="99">
        <f t="shared" si="34"/>
        <v>8.7912083081753759E-3</v>
      </c>
      <c r="O532" s="99">
        <f t="shared" si="35"/>
        <v>-1.487043370027313E-3</v>
      </c>
    </row>
    <row r="533" spans="9:15">
      <c r="I533" s="178">
        <f>Prices!A533</f>
        <v>42380</v>
      </c>
      <c r="J533" s="3">
        <f>Prices!E533</f>
        <v>15.68</v>
      </c>
      <c r="K533" s="99">
        <f t="shared" si="32"/>
        <v>0.10812720848056533</v>
      </c>
      <c r="L533" s="99">
        <f t="shared" si="33"/>
        <v>9.4411631847964392E-3</v>
      </c>
      <c r="M533" s="3">
        <f>Prices!M533</f>
        <v>18.200001</v>
      </c>
      <c r="N533" s="99">
        <f t="shared" si="34"/>
        <v>-6.5501637554585138E-3</v>
      </c>
      <c r="O533" s="99">
        <f t="shared" si="35"/>
        <v>-1.0409354609235623E-3</v>
      </c>
    </row>
    <row r="534" spans="9:15">
      <c r="I534" s="178">
        <f>Prices!A534</f>
        <v>42381</v>
      </c>
      <c r="J534" s="3">
        <f>Prices!E534</f>
        <v>14.15</v>
      </c>
      <c r="K534" s="99">
        <f t="shared" si="32"/>
        <v>1.4336917562724091E-2</v>
      </c>
      <c r="L534" s="99">
        <f t="shared" si="33"/>
        <v>4.5264820345956996E-3</v>
      </c>
      <c r="M534" s="3">
        <f>Prices!M534</f>
        <v>18.32</v>
      </c>
      <c r="N534" s="99">
        <f t="shared" si="34"/>
        <v>1.7777777777777795E-2</v>
      </c>
      <c r="O534" s="99">
        <f t="shared" si="35"/>
        <v>3.5564893298972288E-4</v>
      </c>
    </row>
    <row r="535" spans="9:15">
      <c r="I535" s="178">
        <f>Prices!A535</f>
        <v>42382</v>
      </c>
      <c r="J535" s="3">
        <f>Prices!E535</f>
        <v>13.95</v>
      </c>
      <c r="K535" s="99">
        <f t="shared" si="32"/>
        <v>-4.9079754601227037E-2</v>
      </c>
      <c r="L535" s="99">
        <f t="shared" si="33"/>
        <v>3.9233586735178769E-3</v>
      </c>
      <c r="M535" s="3">
        <f>Prices!M535</f>
        <v>18</v>
      </c>
      <c r="N535" s="99">
        <f t="shared" si="34"/>
        <v>-1.4778325123152686E-2</v>
      </c>
      <c r="O535" s="99">
        <f t="shared" si="35"/>
        <v>-9.0762079792971407E-5</v>
      </c>
    </row>
    <row r="536" spans="9:15">
      <c r="I536" s="178">
        <f>Prices!A536</f>
        <v>42383</v>
      </c>
      <c r="J536" s="3">
        <f>Prices!E536</f>
        <v>14.67</v>
      </c>
      <c r="K536" s="99">
        <f t="shared" si="32"/>
        <v>3.9688164422395499E-2</v>
      </c>
      <c r="L536" s="99">
        <f t="shared" si="33"/>
        <v>8.5529793149716291E-3</v>
      </c>
      <c r="M536" s="3">
        <f>Prices!M536</f>
        <v>18.27</v>
      </c>
      <c r="N536" s="99">
        <f t="shared" si="34"/>
        <v>2.3529411764705778E-2</v>
      </c>
      <c r="O536" s="99">
        <f t="shared" si="35"/>
        <v>1.0945827477932245E-3</v>
      </c>
    </row>
    <row r="537" spans="9:15">
      <c r="I537" s="178">
        <f>Prices!A537</f>
        <v>42384</v>
      </c>
      <c r="J537" s="3">
        <f>Prices!E537</f>
        <v>14.11</v>
      </c>
      <c r="K537" s="99">
        <f t="shared" si="32"/>
        <v>4.9857549857550065E-3</v>
      </c>
      <c r="L537" s="99">
        <f t="shared" si="33"/>
        <v>4.1947956605436444E-3</v>
      </c>
      <c r="M537" s="3">
        <f>Prices!M537</f>
        <v>17.850000000000001</v>
      </c>
      <c r="N537" s="99">
        <f t="shared" si="34"/>
        <v>8.4745192952249606E-3</v>
      </c>
      <c r="O537" s="99">
        <f t="shared" si="35"/>
        <v>-1.3862356665290125E-3</v>
      </c>
    </row>
    <row r="538" spans="9:15">
      <c r="I538" s="178">
        <f>Prices!A538</f>
        <v>42387</v>
      </c>
      <c r="J538" s="3">
        <f>Prices!E538</f>
        <v>14.04</v>
      </c>
      <c r="K538" s="99">
        <f t="shared" si="32"/>
        <v>1.2987012987012967E-2</v>
      </c>
      <c r="L538" s="99">
        <f t="shared" si="33"/>
        <v>4.3634410419549794E-3</v>
      </c>
      <c r="M538" s="3">
        <f>Prices!M538</f>
        <v>17.700001</v>
      </c>
      <c r="N538" s="99">
        <f t="shared" si="34"/>
        <v>-5.0590216380538627E-3</v>
      </c>
      <c r="O538" s="99">
        <f t="shared" si="35"/>
        <v>-2.5066390160705435E-3</v>
      </c>
    </row>
    <row r="539" spans="9:15">
      <c r="I539" s="178">
        <f>Prices!A539</f>
        <v>42388</v>
      </c>
      <c r="J539" s="3">
        <f>Prices!E539</f>
        <v>13.86</v>
      </c>
      <c r="K539" s="99">
        <f t="shared" si="32"/>
        <v>4.0540540540540473E-2</v>
      </c>
      <c r="L539" s="99">
        <f t="shared" si="33"/>
        <v>2.0253972942196061E-3</v>
      </c>
      <c r="M539" s="3">
        <f>Prices!M539</f>
        <v>17.790001</v>
      </c>
      <c r="N539" s="99">
        <f t="shared" si="34"/>
        <v>1.7734610983981679E-2</v>
      </c>
      <c r="O539" s="99">
        <f t="shared" si="35"/>
        <v>-3.4310845235243871E-3</v>
      </c>
    </row>
    <row r="540" spans="9:15">
      <c r="I540" s="178">
        <f>Prices!A540</f>
        <v>42389</v>
      </c>
      <c r="J540" s="3">
        <f>Prices!E540</f>
        <v>13.32</v>
      </c>
      <c r="K540" s="99">
        <f t="shared" si="32"/>
        <v>-2.4890190336749624E-2</v>
      </c>
      <c r="L540" s="99">
        <f t="shared" si="33"/>
        <v>4.0547611471293511E-4</v>
      </c>
      <c r="M540" s="3">
        <f>Prices!M540</f>
        <v>17.48</v>
      </c>
      <c r="N540" s="99">
        <f t="shared" si="34"/>
        <v>-1.7425575186870407E-2</v>
      </c>
      <c r="O540" s="99">
        <f t="shared" si="35"/>
        <v>-4.5521900605164402E-3</v>
      </c>
    </row>
    <row r="541" spans="9:15">
      <c r="I541" s="178">
        <f>Prices!A541</f>
        <v>42390</v>
      </c>
      <c r="J541" s="3">
        <f>Prices!E541</f>
        <v>13.66</v>
      </c>
      <c r="K541" s="99">
        <f t="shared" si="32"/>
        <v>-0.11528497409326421</v>
      </c>
      <c r="L541" s="99">
        <f t="shared" si="33"/>
        <v>-9.132166156405958E-4</v>
      </c>
      <c r="M541" s="3">
        <f>Prices!M541</f>
        <v>17.790001</v>
      </c>
      <c r="N541" s="99">
        <f t="shared" si="34"/>
        <v>-2.9989040348963995E-2</v>
      </c>
      <c r="O541" s="99">
        <f t="shared" si="35"/>
        <v>-3.2077225524873242E-3</v>
      </c>
    </row>
    <row r="542" spans="9:15">
      <c r="I542" s="178">
        <f>Prices!A542</f>
        <v>42391</v>
      </c>
      <c r="J542" s="3">
        <f>Prices!E542</f>
        <v>15.44</v>
      </c>
      <c r="K542" s="99">
        <f t="shared" si="32"/>
        <v>2.0489094514210094E-2</v>
      </c>
      <c r="L542" s="99">
        <f t="shared" si="33"/>
        <v>5.1335179647288304E-3</v>
      </c>
      <c r="M542" s="3">
        <f>Prices!M542</f>
        <v>18.34</v>
      </c>
      <c r="N542" s="99">
        <f t="shared" si="34"/>
        <v>2.0589928803000961E-2</v>
      </c>
      <c r="O542" s="99">
        <f t="shared" si="35"/>
        <v>-1.7870080719807279E-3</v>
      </c>
    </row>
    <row r="543" spans="9:15">
      <c r="I543" s="178">
        <f>Prices!A543</f>
        <v>42394</v>
      </c>
      <c r="J543" s="3">
        <f>Prices!E543</f>
        <v>15.13</v>
      </c>
      <c r="K543" s="99">
        <f t="shared" si="32"/>
        <v>-2.6383526383526281E-2</v>
      </c>
      <c r="L543" s="99">
        <f t="shared" si="33"/>
        <v>6.5146887016386077E-3</v>
      </c>
      <c r="M543" s="3">
        <f>Prices!M543</f>
        <v>17.969999000000001</v>
      </c>
      <c r="N543" s="99">
        <f t="shared" si="34"/>
        <v>-1.5342520547945129E-2</v>
      </c>
      <c r="O543" s="99">
        <f t="shared" si="35"/>
        <v>-2.5526575603548908E-3</v>
      </c>
    </row>
    <row r="544" spans="9:15">
      <c r="I544" s="178">
        <f>Prices!A544</f>
        <v>42395</v>
      </c>
      <c r="J544" s="3">
        <f>Prices!E544</f>
        <v>15.54</v>
      </c>
      <c r="K544" s="99">
        <f t="shared" si="32"/>
        <v>3.1187790311877826E-2</v>
      </c>
      <c r="L544" s="99">
        <f t="shared" si="33"/>
        <v>8.3196647218612575E-3</v>
      </c>
      <c r="M544" s="3">
        <f>Prices!M544</f>
        <v>18.25</v>
      </c>
      <c r="N544" s="99">
        <f t="shared" si="34"/>
        <v>-4.3644298963446976E-3</v>
      </c>
      <c r="O544" s="99">
        <f t="shared" si="35"/>
        <v>-1.546931333519682E-3</v>
      </c>
    </row>
    <row r="545" spans="9:15">
      <c r="I545" s="178">
        <f>Prices!A545</f>
        <v>42396</v>
      </c>
      <c r="J545" s="3">
        <f>Prices!E545</f>
        <v>15.07</v>
      </c>
      <c r="K545" s="99">
        <f t="shared" si="32"/>
        <v>1.1409395973154357E-2</v>
      </c>
      <c r="L545" s="99">
        <f t="shared" si="33"/>
        <v>7.4805178143037606E-3</v>
      </c>
      <c r="M545" s="3">
        <f>Prices!M545</f>
        <v>18.329999999999998</v>
      </c>
      <c r="N545" s="99">
        <f t="shared" si="34"/>
        <v>-1.9261689713125241E-2</v>
      </c>
      <c r="O545" s="99">
        <f t="shared" si="35"/>
        <v>-1.4609123770419493E-3</v>
      </c>
    </row>
    <row r="546" spans="9:15">
      <c r="I546" s="178">
        <f>Prices!A546</f>
        <v>42397</v>
      </c>
      <c r="J546" s="3">
        <f>Prices!E546</f>
        <v>14.9</v>
      </c>
      <c r="K546" s="99">
        <f t="shared" si="32"/>
        <v>-4.9138481174218228E-2</v>
      </c>
      <c r="L546" s="99">
        <f t="shared" si="33"/>
        <v>4.6999030881098086E-3</v>
      </c>
      <c r="M546" s="3">
        <f>Prices!M546</f>
        <v>18.690000999999999</v>
      </c>
      <c r="N546" s="99">
        <f t="shared" si="34"/>
        <v>-1.2156395348837364E-2</v>
      </c>
      <c r="O546" s="99">
        <f t="shared" si="35"/>
        <v>-6.5596970256870629E-4</v>
      </c>
    </row>
    <row r="547" spans="9:15">
      <c r="I547" s="178">
        <f>Prices!A547</f>
        <v>42398</v>
      </c>
      <c r="J547" s="3">
        <f>Prices!E547</f>
        <v>15.67</v>
      </c>
      <c r="K547" s="99">
        <f t="shared" si="32"/>
        <v>1.621271076523995E-2</v>
      </c>
      <c r="L547" s="99">
        <f t="shared" si="33"/>
        <v>6.4425414325350065E-3</v>
      </c>
      <c r="M547" s="3">
        <f>Prices!M547</f>
        <v>18.920000000000002</v>
      </c>
      <c r="N547" s="99">
        <f t="shared" si="34"/>
        <v>6.9185201214199792E-3</v>
      </c>
      <c r="O547" s="99">
        <f t="shared" si="35"/>
        <v>-1.2709993512683419E-4</v>
      </c>
    </row>
    <row r="548" spans="9:15">
      <c r="I548" s="178">
        <f>Prices!A548</f>
        <v>42401</v>
      </c>
      <c r="J548" s="3">
        <f>Prices!E548</f>
        <v>15.42</v>
      </c>
      <c r="K548" s="99">
        <f t="shared" si="32"/>
        <v>8.8983050847457612E-2</v>
      </c>
      <c r="L548" s="99">
        <f t="shared" si="33"/>
        <v>3.2509535133206308E-3</v>
      </c>
      <c r="M548" s="3">
        <f>Prices!M548</f>
        <v>18.790001</v>
      </c>
      <c r="N548" s="99">
        <f t="shared" si="34"/>
        <v>1.8980476194117423E-2</v>
      </c>
      <c r="O548" s="99">
        <f t="shared" si="35"/>
        <v>-1.096726564898453E-3</v>
      </c>
    </row>
    <row r="549" spans="9:15">
      <c r="I549" s="178">
        <f>Prices!A549</f>
        <v>42402</v>
      </c>
      <c r="J549" s="3">
        <f>Prices!E549</f>
        <v>14.16</v>
      </c>
      <c r="K549" s="99">
        <f t="shared" si="32"/>
        <v>-1.8030513176144229E-2</v>
      </c>
      <c r="L549" s="99">
        <f t="shared" si="33"/>
        <v>-3.5328293792468045E-3</v>
      </c>
      <c r="M549" s="3">
        <f>Prices!M549</f>
        <v>18.440000999999999</v>
      </c>
      <c r="N549" s="99">
        <f t="shared" si="34"/>
        <v>-1.1259999999999992E-2</v>
      </c>
      <c r="O549" s="99">
        <f t="shared" si="35"/>
        <v>-2.1235915785482811E-3</v>
      </c>
    </row>
    <row r="550" spans="9:15">
      <c r="I550" s="178">
        <f>Prices!A550</f>
        <v>42403</v>
      </c>
      <c r="J550" s="3">
        <f>Prices!E550</f>
        <v>14.42</v>
      </c>
      <c r="K550" s="99">
        <f t="shared" si="32"/>
        <v>-4.0585495675315997E-2</v>
      </c>
      <c r="L550" s="99">
        <f t="shared" si="33"/>
        <v>-3.52302346566252E-3</v>
      </c>
      <c r="M550" s="3">
        <f>Prices!M550</f>
        <v>18.649999999999999</v>
      </c>
      <c r="N550" s="99">
        <f t="shared" si="34"/>
        <v>-1.6350159090198331E-2</v>
      </c>
      <c r="O550" s="99">
        <f t="shared" si="35"/>
        <v>-1.8700268704222006E-3</v>
      </c>
    </row>
    <row r="551" spans="9:15">
      <c r="I551" s="178">
        <f>Prices!A551</f>
        <v>42404</v>
      </c>
      <c r="J551" s="3">
        <f>Prices!E551</f>
        <v>15.03</v>
      </c>
      <c r="K551" s="99">
        <f t="shared" si="32"/>
        <v>2.6639344262294997E-2</v>
      </c>
      <c r="L551" s="99">
        <f t="shared" si="33"/>
        <v>-3.3046785891447336E-3</v>
      </c>
      <c r="M551" s="3">
        <f>Prices!M551</f>
        <v>18.959999</v>
      </c>
      <c r="N551" s="99">
        <f t="shared" si="34"/>
        <v>0</v>
      </c>
      <c r="O551" s="99">
        <f t="shared" si="35"/>
        <v>-1.3600560763428378E-3</v>
      </c>
    </row>
    <row r="552" spans="9:15">
      <c r="I552" s="178">
        <f>Prices!A552</f>
        <v>42405</v>
      </c>
      <c r="J552" s="3">
        <f>Prices!E552</f>
        <v>14.64</v>
      </c>
      <c r="K552" s="99">
        <f t="shared" si="32"/>
        <v>9.662921348314614E-2</v>
      </c>
      <c r="L552" s="99">
        <f t="shared" si="33"/>
        <v>-3.4102275632657735E-3</v>
      </c>
      <c r="M552" s="3">
        <f>Prices!M552</f>
        <v>18.959999</v>
      </c>
      <c r="N552" s="99">
        <f t="shared" si="34"/>
        <v>1.771336649025039E-2</v>
      </c>
      <c r="O552" s="99">
        <f t="shared" si="35"/>
        <v>-1.9926471694602468E-3</v>
      </c>
    </row>
    <row r="553" spans="9:15">
      <c r="I553" s="178">
        <f>Prices!A553</f>
        <v>42408</v>
      </c>
      <c r="J553" s="3">
        <f>Prices!E553</f>
        <v>13.35</v>
      </c>
      <c r="K553" s="99">
        <f t="shared" si="32"/>
        <v>9.8335854765506051E-3</v>
      </c>
      <c r="L553" s="99">
        <f t="shared" si="33"/>
        <v>-6.5511810852774393E-3</v>
      </c>
      <c r="M553" s="3">
        <f>Prices!M553</f>
        <v>18.629999000000002</v>
      </c>
      <c r="N553" s="99">
        <f t="shared" si="34"/>
        <v>2.138152412280719E-2</v>
      </c>
      <c r="O553" s="99">
        <f t="shared" si="35"/>
        <v>-2.8022891381694181E-3</v>
      </c>
    </row>
    <row r="554" spans="9:15">
      <c r="I554" s="178">
        <f>Prices!A554</f>
        <v>42409</v>
      </c>
      <c r="J554" s="3">
        <f>Prices!E554</f>
        <v>13.22</v>
      </c>
      <c r="K554" s="99">
        <f t="shared" si="32"/>
        <v>2.2744503411676375E-3</v>
      </c>
      <c r="L554" s="99">
        <f t="shared" si="33"/>
        <v>-7.2693975759334437E-3</v>
      </c>
      <c r="M554" s="3">
        <f>Prices!M554</f>
        <v>18.239999999999998</v>
      </c>
      <c r="N554" s="99">
        <f t="shared" si="34"/>
        <v>8.8495575221239024E-3</v>
      </c>
      <c r="O554" s="99">
        <f t="shared" si="35"/>
        <v>-4.1986588827139298E-3</v>
      </c>
    </row>
    <row r="555" spans="9:15">
      <c r="I555" s="178">
        <f>Prices!A555</f>
        <v>42410</v>
      </c>
      <c r="J555" s="3">
        <f>Prices!E555</f>
        <v>13.19</v>
      </c>
      <c r="K555" s="99">
        <f t="shared" si="32"/>
        <v>4.3512658227848014E-2</v>
      </c>
      <c r="L555" s="99">
        <f t="shared" si="33"/>
        <v>-7.5765436906707435E-3</v>
      </c>
      <c r="M555" s="3">
        <f>Prices!M555</f>
        <v>18.079999999999998</v>
      </c>
      <c r="N555" s="99">
        <f t="shared" si="34"/>
        <v>8.9285714285712373E-3</v>
      </c>
      <c r="O555" s="99">
        <f t="shared" si="35"/>
        <v>-4.5907310128523822E-3</v>
      </c>
    </row>
    <row r="556" spans="9:15">
      <c r="I556" s="178">
        <f>Prices!A556</f>
        <v>42411</v>
      </c>
      <c r="J556" s="3">
        <f>Prices!E556</f>
        <v>12.64</v>
      </c>
      <c r="K556" s="99">
        <f t="shared" si="32"/>
        <v>-4.7475508666164207E-2</v>
      </c>
      <c r="L556" s="99">
        <f t="shared" si="33"/>
        <v>-1.2922463629254394E-2</v>
      </c>
      <c r="M556" s="3">
        <f>Prices!M556</f>
        <v>17.920000000000002</v>
      </c>
      <c r="N556" s="99">
        <f t="shared" si="34"/>
        <v>-2.6086956521738962E-2</v>
      </c>
      <c r="O556" s="99">
        <f t="shared" si="35"/>
        <v>-5.6347691460339284E-3</v>
      </c>
    </row>
    <row r="557" spans="9:15">
      <c r="I557" s="178">
        <f>Prices!A557</f>
        <v>42412</v>
      </c>
      <c r="J557" s="3">
        <f>Prices!E557</f>
        <v>13.27</v>
      </c>
      <c r="K557" s="99">
        <f t="shared" si="32"/>
        <v>8.358662613981719E-3</v>
      </c>
      <c r="L557" s="99">
        <f t="shared" si="33"/>
        <v>-9.719965103786761E-3</v>
      </c>
      <c r="M557" s="3">
        <f>Prices!M557</f>
        <v>18.399999999999999</v>
      </c>
      <c r="N557" s="99">
        <f t="shared" si="34"/>
        <v>-1.3933547695605657E-2</v>
      </c>
      <c r="O557" s="99">
        <f t="shared" si="35"/>
        <v>-4.1805711700968334E-3</v>
      </c>
    </row>
    <row r="558" spans="9:15">
      <c r="I558" s="178">
        <f>Prices!A558</f>
        <v>42416</v>
      </c>
      <c r="J558" s="3">
        <f>Prices!E558</f>
        <v>13.16</v>
      </c>
      <c r="K558" s="99">
        <f t="shared" si="32"/>
        <v>-3.3773861967694503E-2</v>
      </c>
      <c r="L558" s="99">
        <f t="shared" si="33"/>
        <v>-9.1679326525083756E-3</v>
      </c>
      <c r="M558" s="3">
        <f>Prices!M558</f>
        <v>18.66</v>
      </c>
      <c r="N558" s="99">
        <f t="shared" si="34"/>
        <v>-2.3547931787130744E-2</v>
      </c>
      <c r="O558" s="99">
        <f t="shared" si="35"/>
        <v>-3.2832944974830114E-3</v>
      </c>
    </row>
    <row r="559" spans="9:15">
      <c r="I559" s="178">
        <f>Prices!A559</f>
        <v>42417</v>
      </c>
      <c r="J559" s="3">
        <f>Prices!E559</f>
        <v>13.62</v>
      </c>
      <c r="K559" s="99">
        <f t="shared" si="32"/>
        <v>8.1421169504070634E-3</v>
      </c>
      <c r="L559" s="99">
        <f t="shared" si="33"/>
        <v>-7.1326737066126199E-3</v>
      </c>
      <c r="M559" s="3">
        <f>Prices!M559</f>
        <v>19.110001</v>
      </c>
      <c r="N559" s="99">
        <f t="shared" si="34"/>
        <v>-4.6874997558593806E-3</v>
      </c>
      <c r="O559" s="99">
        <f t="shared" si="35"/>
        <v>-1.954987437758752E-3</v>
      </c>
    </row>
    <row r="560" spans="9:15">
      <c r="I560" s="178">
        <f>Prices!A560</f>
        <v>42418</v>
      </c>
      <c r="J560" s="3">
        <f>Prices!E560</f>
        <v>13.51</v>
      </c>
      <c r="K560" s="99">
        <f t="shared" si="32"/>
        <v>-5.1264044943820253E-2</v>
      </c>
      <c r="L560" s="99">
        <f t="shared" si="33"/>
        <v>-9.6809134503935256E-3</v>
      </c>
      <c r="M560" s="3">
        <f>Prices!M560</f>
        <v>19.200001</v>
      </c>
      <c r="N560" s="99">
        <f t="shared" si="34"/>
        <v>9.4637749737119213E-3</v>
      </c>
      <c r="O560" s="99">
        <f t="shared" si="35"/>
        <v>-2.1939582397017044E-3</v>
      </c>
    </row>
    <row r="561" spans="9:15">
      <c r="I561" s="178">
        <f>Prices!A561</f>
        <v>42419</v>
      </c>
      <c r="J561" s="3">
        <f>Prices!E561</f>
        <v>14.24</v>
      </c>
      <c r="K561" s="99">
        <f t="shared" si="32"/>
        <v>5.649717514124299E-3</v>
      </c>
      <c r="L561" s="99">
        <f t="shared" si="33"/>
        <v>-6.9664740677661636E-3</v>
      </c>
      <c r="M561" s="3">
        <f>Prices!M561</f>
        <v>19.02</v>
      </c>
      <c r="N561" s="99">
        <f t="shared" si="34"/>
        <v>-1.5747507388320656E-3</v>
      </c>
      <c r="O561" s="99">
        <f t="shared" si="35"/>
        <v>-2.1129908171026689E-3</v>
      </c>
    </row>
    <row r="562" spans="9:15">
      <c r="I562" s="178">
        <f>Prices!A562</f>
        <v>42422</v>
      </c>
      <c r="J562" s="3">
        <f>Prices!E562</f>
        <v>14.16</v>
      </c>
      <c r="K562" s="99">
        <f t="shared" si="32"/>
        <v>4.811250925240565E-2</v>
      </c>
      <c r="L562" s="99">
        <f t="shared" si="33"/>
        <v>-8.2566658706978713E-3</v>
      </c>
      <c r="M562" s="3">
        <f>Prices!M562</f>
        <v>19.049999</v>
      </c>
      <c r="N562" s="99">
        <f t="shared" si="34"/>
        <v>5.2769390355176951E-3</v>
      </c>
      <c r="O562" s="99">
        <f t="shared" si="35"/>
        <v>-2.3347014674644289E-3</v>
      </c>
    </row>
    <row r="563" spans="9:15">
      <c r="I563" s="178">
        <f>Prices!A563</f>
        <v>42423</v>
      </c>
      <c r="J563" s="3">
        <f>Prices!E563</f>
        <v>13.51</v>
      </c>
      <c r="K563" s="99">
        <f t="shared" si="32"/>
        <v>9.7159940209266809E-3</v>
      </c>
      <c r="L563" s="99">
        <f t="shared" si="33"/>
        <v>-1.1678545747734796E-2</v>
      </c>
      <c r="M563" s="3">
        <f>Prices!M563</f>
        <v>18.950001</v>
      </c>
      <c r="N563" s="99">
        <f t="shared" si="34"/>
        <v>4.7720039887590594E-3</v>
      </c>
      <c r="O563" s="99">
        <f t="shared" si="35"/>
        <v>-2.3721902589607284E-3</v>
      </c>
    </row>
    <row r="564" spans="9:15">
      <c r="I564" s="178">
        <f>Prices!A564</f>
        <v>42424</v>
      </c>
      <c r="J564" s="3">
        <f>Prices!E564</f>
        <v>13.38</v>
      </c>
      <c r="K564" s="99">
        <f t="shared" si="32"/>
        <v>1.4404852160727922E-2</v>
      </c>
      <c r="L564" s="99">
        <f t="shared" si="33"/>
        <v>-9.6963411830894748E-3</v>
      </c>
      <c r="M564" s="3">
        <f>Prices!M564</f>
        <v>18.860001</v>
      </c>
      <c r="N564" s="99">
        <f t="shared" si="34"/>
        <v>-2.6440507667900414E-3</v>
      </c>
      <c r="O564" s="99">
        <f t="shared" si="35"/>
        <v>-2.2306612135938129E-3</v>
      </c>
    </row>
    <row r="565" spans="9:15">
      <c r="I565" s="178">
        <f>Prices!A565</f>
        <v>42425</v>
      </c>
      <c r="J565" s="3">
        <f>Prices!E565</f>
        <v>13.19</v>
      </c>
      <c r="K565" s="99">
        <f t="shared" si="32"/>
        <v>-4.420289855072472E-2</v>
      </c>
      <c r="L565" s="99">
        <f t="shared" si="33"/>
        <v>-9.1032629656099227E-3</v>
      </c>
      <c r="M565" s="3">
        <f>Prices!M565</f>
        <v>18.91</v>
      </c>
      <c r="N565" s="99">
        <f t="shared" si="34"/>
        <v>-3.1628362236603828E-3</v>
      </c>
      <c r="O565" s="99">
        <f t="shared" si="35"/>
        <v>-2.0223190852106357E-3</v>
      </c>
    </row>
    <row r="566" spans="9:15">
      <c r="I566" s="178">
        <f>Prices!A566</f>
        <v>42426</v>
      </c>
      <c r="J566" s="3">
        <f>Prices!E566</f>
        <v>13.8</v>
      </c>
      <c r="K566" s="99">
        <f t="shared" si="32"/>
        <v>-1.4285714285714235E-2</v>
      </c>
      <c r="L566" s="99">
        <f t="shared" si="33"/>
        <v>-8.2912972843849804E-3</v>
      </c>
      <c r="M566" s="3">
        <f>Prices!M566</f>
        <v>18.969999000000001</v>
      </c>
      <c r="N566" s="99">
        <f t="shared" si="34"/>
        <v>-1.578999999999927E-3</v>
      </c>
      <c r="O566" s="99">
        <f t="shared" si="35"/>
        <v>-2.015996606011425E-3</v>
      </c>
    </row>
    <row r="567" spans="9:15">
      <c r="I567" s="178">
        <f>Prices!A567</f>
        <v>42429</v>
      </c>
      <c r="J567" s="3">
        <f>Prices!E567</f>
        <v>14</v>
      </c>
      <c r="K567" s="99">
        <f t="shared" si="32"/>
        <v>-4.7619047619047575E-2</v>
      </c>
      <c r="L567" s="99">
        <f t="shared" si="33"/>
        <v>-1.081748627163423E-2</v>
      </c>
      <c r="M567" s="3">
        <f>Prices!M567</f>
        <v>19</v>
      </c>
      <c r="N567" s="99">
        <f t="shared" si="34"/>
        <v>-1.2474012474012393E-2</v>
      </c>
      <c r="O567" s="99">
        <f t="shared" si="35"/>
        <v>-2.0380541868703925E-3</v>
      </c>
    </row>
    <row r="568" spans="9:15">
      <c r="I568" s="178">
        <f>Prices!A568</f>
        <v>42430</v>
      </c>
      <c r="J568" s="3">
        <f>Prices!E568</f>
        <v>14.7</v>
      </c>
      <c r="K568" s="99">
        <f t="shared" si="32"/>
        <v>-4.6692607003891093E-2</v>
      </c>
      <c r="L568" s="99">
        <f t="shared" si="33"/>
        <v>-9.6296526476185897E-3</v>
      </c>
      <c r="M568" s="3">
        <f>Prices!M568</f>
        <v>19.239999999999998</v>
      </c>
      <c r="N568" s="99">
        <f t="shared" si="34"/>
        <v>-1.5568240788791457E-3</v>
      </c>
      <c r="O568" s="99">
        <f t="shared" si="35"/>
        <v>-1.715560892487047E-3</v>
      </c>
    </row>
    <row r="569" spans="9:15">
      <c r="I569" s="178">
        <f>Prices!A569</f>
        <v>42431</v>
      </c>
      <c r="J569" s="3">
        <f>Prices!E569</f>
        <v>15.42</v>
      </c>
      <c r="K569" s="99">
        <f t="shared" si="32"/>
        <v>-1.783439490445856E-2</v>
      </c>
      <c r="L569" s="99">
        <f t="shared" si="33"/>
        <v>-6.8188318212335647E-3</v>
      </c>
      <c r="M569" s="3">
        <f>Prices!M569</f>
        <v>19.27</v>
      </c>
      <c r="N569" s="99">
        <f t="shared" si="34"/>
        <v>-6.188705837478381E-3</v>
      </c>
      <c r="O569" s="99">
        <f t="shared" si="35"/>
        <v>-1.5119043954286019E-3</v>
      </c>
    </row>
    <row r="570" spans="9:15">
      <c r="I570" s="178">
        <f>Prices!A570</f>
        <v>42432</v>
      </c>
      <c r="J570" s="3">
        <f>Prices!E570</f>
        <v>15.7</v>
      </c>
      <c r="K570" s="99">
        <f t="shared" si="32"/>
        <v>-3.6218598144960264E-2</v>
      </c>
      <c r="L570" s="99">
        <f t="shared" si="33"/>
        <v>-6.9424771152732604E-3</v>
      </c>
      <c r="M570" s="3">
        <f>Prices!M570</f>
        <v>19.389999</v>
      </c>
      <c r="N570" s="99">
        <f t="shared" si="34"/>
        <v>-6.1507432086110722E-3</v>
      </c>
      <c r="O570" s="99">
        <f t="shared" si="35"/>
        <v>-1.051025380614573E-3</v>
      </c>
    </row>
    <row r="571" spans="9:15">
      <c r="I571" s="178">
        <f>Prices!A571</f>
        <v>42433</v>
      </c>
      <c r="J571" s="3">
        <f>Prices!E571</f>
        <v>16.290001</v>
      </c>
      <c r="K571" s="99">
        <f t="shared" si="32"/>
        <v>2.45283647798742E-2</v>
      </c>
      <c r="L571" s="99">
        <f t="shared" si="33"/>
        <v>-2.0429720332000691E-3</v>
      </c>
      <c r="M571" s="3">
        <f>Prices!M571</f>
        <v>19.510000000000002</v>
      </c>
      <c r="N571" s="99">
        <f t="shared" si="34"/>
        <v>-1.2651821862348178E-2</v>
      </c>
      <c r="O571" s="99">
        <f t="shared" si="35"/>
        <v>-3.620055141819817E-4</v>
      </c>
    </row>
    <row r="572" spans="9:15">
      <c r="I572" s="178">
        <f>Prices!A572</f>
        <v>42436</v>
      </c>
      <c r="J572" s="3">
        <f>Prices!E572</f>
        <v>15.9</v>
      </c>
      <c r="K572" s="99">
        <f t="shared" si="32"/>
        <v>3.3810143042912848E-2</v>
      </c>
      <c r="L572" s="99">
        <f t="shared" si="33"/>
        <v>-2.0455096751788525E-3</v>
      </c>
      <c r="M572" s="3">
        <f>Prices!M572</f>
        <v>19.760000000000002</v>
      </c>
      <c r="N572" s="99">
        <f t="shared" si="34"/>
        <v>1.5205271160669608E-3</v>
      </c>
      <c r="O572" s="99">
        <f t="shared" si="35"/>
        <v>4.2364680342522009E-4</v>
      </c>
    </row>
    <row r="573" spans="9:15">
      <c r="I573" s="178">
        <f>Prices!A573</f>
        <v>42437</v>
      </c>
      <c r="J573" s="3">
        <f>Prices!E573</f>
        <v>15.38</v>
      </c>
      <c r="K573" s="99">
        <f t="shared" si="32"/>
        <v>-4.530744336569483E-3</v>
      </c>
      <c r="L573" s="99">
        <f t="shared" si="33"/>
        <v>-4.1504603095295564E-3</v>
      </c>
      <c r="M573" s="3">
        <f>Prices!M573</f>
        <v>19.73</v>
      </c>
      <c r="N573" s="99">
        <f t="shared" si="34"/>
        <v>-6.5458707680830447E-3</v>
      </c>
      <c r="O573" s="99">
        <f t="shared" si="35"/>
        <v>1.6968450456137299E-4</v>
      </c>
    </row>
    <row r="574" spans="9:15">
      <c r="I574" s="178">
        <f>Prices!A574</f>
        <v>42438</v>
      </c>
      <c r="J574" s="3">
        <f>Prices!E574</f>
        <v>15.45</v>
      </c>
      <c r="K574" s="99">
        <f t="shared" si="32"/>
        <v>-3.8684719535783687E-3</v>
      </c>
      <c r="L574" s="99">
        <f t="shared" si="33"/>
        <v>-1.1096673078355428E-3</v>
      </c>
      <c r="M574" s="3">
        <f>Prices!M574</f>
        <v>19.860001</v>
      </c>
      <c r="N574" s="99">
        <f t="shared" si="34"/>
        <v>1.008114919354869E-3</v>
      </c>
      <c r="O574" s="99">
        <f t="shared" si="35"/>
        <v>8.0388598705289326E-4</v>
      </c>
    </row>
    <row r="575" spans="9:15">
      <c r="I575" s="178">
        <f>Prices!A575</f>
        <v>42439</v>
      </c>
      <c r="J575" s="3">
        <f>Prices!E575</f>
        <v>15.51</v>
      </c>
      <c r="K575" s="99">
        <f t="shared" si="32"/>
        <v>-6.3405740543825001E-2</v>
      </c>
      <c r="L575" s="99">
        <f t="shared" si="33"/>
        <v>1.7001827067404611E-4</v>
      </c>
      <c r="M575" s="3">
        <f>Prices!M575</f>
        <v>19.84</v>
      </c>
      <c r="N575" s="99">
        <f t="shared" si="34"/>
        <v>-1.1952191235059684E-2</v>
      </c>
      <c r="O575" s="99">
        <f t="shared" si="35"/>
        <v>2.4714859551552864E-4</v>
      </c>
    </row>
    <row r="576" spans="9:15">
      <c r="I576" s="178">
        <f>Prices!A576</f>
        <v>42440</v>
      </c>
      <c r="J576" s="3">
        <f>Prices!E576</f>
        <v>16.559999000000001</v>
      </c>
      <c r="K576" s="99">
        <f t="shared" si="32"/>
        <v>1.657446184318841E-2</v>
      </c>
      <c r="L576" s="99">
        <f t="shared" si="33"/>
        <v>3.3722746073282122E-3</v>
      </c>
      <c r="M576" s="3">
        <f>Prices!M576</f>
        <v>20.079999999999998</v>
      </c>
      <c r="N576" s="99">
        <f t="shared" si="34"/>
        <v>2.9970029970029332E-3</v>
      </c>
      <c r="O576" s="99">
        <f t="shared" si="35"/>
        <v>7.9417646784008726E-4</v>
      </c>
    </row>
    <row r="577" spans="9:15">
      <c r="I577" s="178">
        <f>Prices!A577</f>
        <v>42443</v>
      </c>
      <c r="J577" s="3">
        <f>Prices!E577</f>
        <v>16.290001</v>
      </c>
      <c r="K577" s="99">
        <f t="shared" si="32"/>
        <v>1.9399311639549419E-2</v>
      </c>
      <c r="L577" s="99">
        <f t="shared" si="33"/>
        <v>2.1943451659624438E-3</v>
      </c>
      <c r="M577" s="3">
        <f>Prices!M577</f>
        <v>20.02</v>
      </c>
      <c r="N577" s="99">
        <f t="shared" si="34"/>
        <v>4.011985756670766E-3</v>
      </c>
      <c r="O577" s="99">
        <f t="shared" si="35"/>
        <v>1.9950693614315984E-5</v>
      </c>
    </row>
    <row r="578" spans="9:15">
      <c r="I578" s="178">
        <f>Prices!A578</f>
        <v>42444</v>
      </c>
      <c r="J578" s="3">
        <f>Prices!E578</f>
        <v>15.98</v>
      </c>
      <c r="K578" s="99">
        <f t="shared" si="32"/>
        <v>6.9313169502206182E-3</v>
      </c>
      <c r="L578" s="99">
        <f t="shared" si="33"/>
        <v>1.4475938696992599E-3</v>
      </c>
      <c r="M578" s="3">
        <f>Prices!M578</f>
        <v>19.940000999999999</v>
      </c>
      <c r="N578" s="99">
        <f t="shared" si="34"/>
        <v>3.0182094073544579E-3</v>
      </c>
      <c r="O578" s="99">
        <f t="shared" si="35"/>
        <v>-5.524879596133772E-4</v>
      </c>
    </row>
    <row r="579" spans="9:15">
      <c r="I579" s="178">
        <f>Prices!A579</f>
        <v>42445</v>
      </c>
      <c r="J579" s="3">
        <f>Prices!E579</f>
        <v>15.87</v>
      </c>
      <c r="K579" s="99">
        <f t="shared" si="32"/>
        <v>-4.2822677925211043E-2</v>
      </c>
      <c r="L579" s="99">
        <f t="shared" si="33"/>
        <v>1.9111381971720271E-3</v>
      </c>
      <c r="M579" s="3">
        <f>Prices!M579</f>
        <v>19.879999000000002</v>
      </c>
      <c r="N579" s="99">
        <f t="shared" si="34"/>
        <v>-9.4669157947184224E-3</v>
      </c>
      <c r="O579" s="99">
        <f t="shared" si="35"/>
        <v>-7.2817543691865725E-4</v>
      </c>
    </row>
    <row r="580" spans="9:15">
      <c r="I580" s="178">
        <f>Prices!A580</f>
        <v>42446</v>
      </c>
      <c r="J580" s="3">
        <f>Prices!E580</f>
        <v>16.579999999999998</v>
      </c>
      <c r="K580" s="99">
        <f t="shared" si="32"/>
        <v>3.0247427087269798E-3</v>
      </c>
      <c r="L580" s="99">
        <f t="shared" si="33"/>
        <v>4.7421538279923655E-3</v>
      </c>
      <c r="M580" s="3">
        <f>Prices!M580</f>
        <v>20.07</v>
      </c>
      <c r="N580" s="99">
        <f t="shared" si="34"/>
        <v>1.1083123425692638E-2</v>
      </c>
      <c r="O580" s="99">
        <f t="shared" si="35"/>
        <v>-1.0572677188963511E-4</v>
      </c>
    </row>
    <row r="581" spans="9:15">
      <c r="I581" s="178">
        <f>Prices!A581</f>
        <v>42447</v>
      </c>
      <c r="J581" s="3">
        <f>Prices!E581</f>
        <v>16.530000999999999</v>
      </c>
      <c r="K581" s="99">
        <f t="shared" si="32"/>
        <v>-2.0154118544509859E-2</v>
      </c>
      <c r="L581" s="99">
        <f t="shared" si="33"/>
        <v>3.5928484375656786E-3</v>
      </c>
      <c r="M581" s="3">
        <f>Prices!M581</f>
        <v>19.850000000000001</v>
      </c>
      <c r="N581" s="99">
        <f t="shared" si="34"/>
        <v>-6.0089637460672861E-3</v>
      </c>
      <c r="O581" s="99">
        <f t="shared" si="35"/>
        <v>-9.071579306755102E-4</v>
      </c>
    </row>
    <row r="582" spans="9:15">
      <c r="I582" s="178">
        <f>Prices!A582</f>
        <v>42450</v>
      </c>
      <c r="J582" s="3">
        <f>Prices!E582</f>
        <v>16.870000999999998</v>
      </c>
      <c r="K582" s="99">
        <f t="shared" si="32"/>
        <v>-2.0325088288332821E-2</v>
      </c>
      <c r="L582" s="99">
        <f t="shared" si="33"/>
        <v>5.285932954869497E-3</v>
      </c>
      <c r="M582" s="3">
        <f>Prices!M582</f>
        <v>19.969999000000001</v>
      </c>
      <c r="N582" s="99">
        <f t="shared" si="34"/>
        <v>4.5271632055917032E-3</v>
      </c>
      <c r="O582" s="99">
        <f t="shared" si="35"/>
        <v>-1.1448750790783364E-3</v>
      </c>
    </row>
    <row r="583" spans="9:15">
      <c r="I583" s="178">
        <f>Prices!A583</f>
        <v>42451</v>
      </c>
      <c r="J583" s="3">
        <f>Prices!E583</f>
        <v>17.219999000000001</v>
      </c>
      <c r="K583" s="99">
        <f t="shared" ref="K583:K646" si="36">(J583-J584)/J584</f>
        <v>4.9360085313833103E-2</v>
      </c>
      <c r="L583" s="99">
        <f t="shared" ref="L583:L646" si="37">AVERAGE(K583:K602)</f>
        <v>7.8499666425028303E-3</v>
      </c>
      <c r="M583" s="3">
        <f>Prices!M583</f>
        <v>19.879999000000002</v>
      </c>
      <c r="N583" s="99">
        <f t="shared" ref="N583:N646" si="38">(M583-M584)/M584</f>
        <v>7.6025848960973698E-3</v>
      </c>
      <c r="O583" s="99">
        <f t="shared" ref="O583:O646" si="39">AVERAGE(N583:N602)</f>
        <v>-1.5904246558610183E-3</v>
      </c>
    </row>
    <row r="584" spans="9:15">
      <c r="I584" s="178">
        <f>Prices!A584</f>
        <v>42452</v>
      </c>
      <c r="J584" s="3">
        <f>Prices!E584</f>
        <v>16.41</v>
      </c>
      <c r="K584" s="99">
        <f t="shared" si="36"/>
        <v>2.6266416510318944E-2</v>
      </c>
      <c r="L584" s="99">
        <f t="shared" si="37"/>
        <v>5.2142896739272027E-3</v>
      </c>
      <c r="M584" s="3">
        <f>Prices!M584</f>
        <v>19.73</v>
      </c>
      <c r="N584" s="99">
        <f t="shared" si="38"/>
        <v>1.5227918008735182E-3</v>
      </c>
      <c r="O584" s="99">
        <f t="shared" si="39"/>
        <v>-1.823993072792868E-3</v>
      </c>
    </row>
    <row r="585" spans="9:15">
      <c r="I585" s="178">
        <f>Prices!A585</f>
        <v>42453</v>
      </c>
      <c r="J585" s="3">
        <f>Prices!E585</f>
        <v>15.99</v>
      </c>
      <c r="K585" s="99">
        <f t="shared" si="36"/>
        <v>-2.7963584926225846E-2</v>
      </c>
      <c r="L585" s="99">
        <f t="shared" si="37"/>
        <v>4.823099995952239E-3</v>
      </c>
      <c r="M585" s="3">
        <f>Prices!M585</f>
        <v>19.700001</v>
      </c>
      <c r="N585" s="99">
        <f t="shared" si="38"/>
        <v>-3.036386639676176E-3</v>
      </c>
      <c r="O585" s="99">
        <f t="shared" si="39"/>
        <v>-1.9001326628365445E-3</v>
      </c>
    </row>
    <row r="586" spans="9:15">
      <c r="I586" s="178">
        <f>Prices!A586</f>
        <v>42457</v>
      </c>
      <c r="J586" s="3">
        <f>Prices!E586</f>
        <v>16.450001</v>
      </c>
      <c r="K586" s="99">
        <f t="shared" si="36"/>
        <v>-6.480949403069923E-2</v>
      </c>
      <c r="L586" s="99">
        <f t="shared" si="37"/>
        <v>7.1962096043805242E-3</v>
      </c>
      <c r="M586" s="3">
        <f>Prices!M586</f>
        <v>19.760000000000002</v>
      </c>
      <c r="N586" s="99">
        <f t="shared" si="38"/>
        <v>-2.0201516171792794E-3</v>
      </c>
      <c r="O586" s="99">
        <f t="shared" si="39"/>
        <v>-1.4534754930148974E-3</v>
      </c>
    </row>
    <row r="587" spans="9:15">
      <c r="I587" s="178">
        <f>Prices!A587</f>
        <v>42458</v>
      </c>
      <c r="J587" s="3">
        <f>Prices!E587</f>
        <v>17.59</v>
      </c>
      <c r="K587" s="99">
        <f t="shared" si="36"/>
        <v>-2.3862375138734723E-2</v>
      </c>
      <c r="L587" s="99">
        <f t="shared" si="37"/>
        <v>8.4313367123325933E-3</v>
      </c>
      <c r="M587" s="3">
        <f>Prices!M587</f>
        <v>19.799999</v>
      </c>
      <c r="N587" s="99">
        <f t="shared" si="38"/>
        <v>-6.0241465863454828E-3</v>
      </c>
      <c r="O587" s="99">
        <f t="shared" si="39"/>
        <v>-1.4015621660050056E-3</v>
      </c>
    </row>
    <row r="588" spans="9:15">
      <c r="I588" s="178">
        <f>Prices!A588</f>
        <v>42459</v>
      </c>
      <c r="J588" s="3">
        <f>Prices!E588</f>
        <v>18.02</v>
      </c>
      <c r="K588" s="99">
        <f t="shared" si="36"/>
        <v>9.5238095238094189E-3</v>
      </c>
      <c r="L588" s="99">
        <f t="shared" si="37"/>
        <v>1.0857332181598102E-2</v>
      </c>
      <c r="M588" s="3">
        <f>Prices!M588</f>
        <v>19.920000000000002</v>
      </c>
      <c r="N588" s="99">
        <f t="shared" si="38"/>
        <v>2.5163058622897521E-3</v>
      </c>
      <c r="O588" s="99">
        <f t="shared" si="39"/>
        <v>-1.3202913088253923E-3</v>
      </c>
    </row>
    <row r="589" spans="9:15">
      <c r="I589" s="178">
        <f>Prices!A589</f>
        <v>42460</v>
      </c>
      <c r="J589" s="3">
        <f>Prices!E589</f>
        <v>17.850000000000001</v>
      </c>
      <c r="K589" s="99">
        <f t="shared" si="36"/>
        <v>-2.0307300785252509E-2</v>
      </c>
      <c r="L589" s="99">
        <f t="shared" si="37"/>
        <v>1.2861371755731137E-2</v>
      </c>
      <c r="M589" s="3">
        <f>Prices!M589</f>
        <v>19.870000999999998</v>
      </c>
      <c r="N589" s="99">
        <f t="shared" si="38"/>
        <v>3.028874458802205E-3</v>
      </c>
      <c r="O589" s="99">
        <f t="shared" si="39"/>
        <v>-1.4461066019398803E-3</v>
      </c>
    </row>
    <row r="590" spans="9:15">
      <c r="I590" s="178">
        <f>Prices!A590</f>
        <v>42461</v>
      </c>
      <c r="J590" s="3">
        <f>Prices!E590</f>
        <v>18.219999000000001</v>
      </c>
      <c r="K590" s="99">
        <f t="shared" si="36"/>
        <v>6.1771503496503566E-2</v>
      </c>
      <c r="L590" s="99">
        <f t="shared" si="37"/>
        <v>1.4569156620066645E-2</v>
      </c>
      <c r="M590" s="3">
        <f>Prices!M590</f>
        <v>19.809999000000001</v>
      </c>
      <c r="N590" s="99">
        <f t="shared" si="38"/>
        <v>7.6296541200407478E-3</v>
      </c>
      <c r="O590" s="99">
        <f t="shared" si="39"/>
        <v>-1.7922971508416842E-3</v>
      </c>
    </row>
    <row r="591" spans="9:15">
      <c r="I591" s="178">
        <f>Prices!A591</f>
        <v>42464</v>
      </c>
      <c r="J591" s="3">
        <f>Prices!E591</f>
        <v>17.16</v>
      </c>
      <c r="K591" s="99">
        <f t="shared" si="36"/>
        <v>2.4477611940298516E-2</v>
      </c>
      <c r="L591" s="99">
        <f t="shared" si="37"/>
        <v>9.0533969792220524E-3</v>
      </c>
      <c r="M591" s="3">
        <f>Prices!M591</f>
        <v>19.66</v>
      </c>
      <c r="N591" s="99">
        <f t="shared" si="38"/>
        <v>3.0612244897958527E-3</v>
      </c>
      <c r="O591" s="99">
        <f t="shared" si="39"/>
        <v>-1.9045654662416648E-3</v>
      </c>
    </row>
    <row r="592" spans="9:15">
      <c r="I592" s="178">
        <f>Prices!A592</f>
        <v>42465</v>
      </c>
      <c r="J592" s="3">
        <f>Prices!E592</f>
        <v>16.75</v>
      </c>
      <c r="K592" s="99">
        <f t="shared" si="36"/>
        <v>-8.288869644101195E-3</v>
      </c>
      <c r="L592" s="99">
        <f t="shared" si="37"/>
        <v>8.9642681552567736E-3</v>
      </c>
      <c r="M592" s="3">
        <f>Prices!M592</f>
        <v>19.600000000000001</v>
      </c>
      <c r="N592" s="99">
        <f t="shared" si="38"/>
        <v>-3.5587188612099785E-3</v>
      </c>
      <c r="O592" s="99">
        <f t="shared" si="39"/>
        <v>-1.5383363584223447E-3</v>
      </c>
    </row>
    <row r="593" spans="9:15">
      <c r="I593" s="178">
        <f>Prices!A593</f>
        <v>42466</v>
      </c>
      <c r="J593" s="3">
        <f>Prices!E593</f>
        <v>16.889999</v>
      </c>
      <c r="K593" s="99">
        <f t="shared" si="36"/>
        <v>5.6285115697310775E-2</v>
      </c>
      <c r="L593" s="99">
        <f t="shared" si="37"/>
        <v>9.3432757763704105E-3</v>
      </c>
      <c r="M593" s="3">
        <f>Prices!M593</f>
        <v>19.670000000000002</v>
      </c>
      <c r="N593" s="99">
        <f t="shared" si="38"/>
        <v>6.1381588817473612E-3</v>
      </c>
      <c r="O593" s="99">
        <f t="shared" si="39"/>
        <v>-1.0368588523951925E-3</v>
      </c>
    </row>
    <row r="594" spans="9:15">
      <c r="I594" s="178">
        <f>Prices!A594</f>
        <v>42467</v>
      </c>
      <c r="J594" s="3">
        <f>Prices!E594</f>
        <v>15.99</v>
      </c>
      <c r="K594" s="99">
        <f t="shared" si="36"/>
        <v>2.172523961661341E-2</v>
      </c>
      <c r="L594" s="99">
        <f t="shared" si="37"/>
        <v>6.5290199915048735E-3</v>
      </c>
      <c r="M594" s="3">
        <f>Prices!M594</f>
        <v>19.549999</v>
      </c>
      <c r="N594" s="99">
        <f t="shared" si="38"/>
        <v>-1.0126632911392422E-2</v>
      </c>
      <c r="O594" s="99">
        <f t="shared" si="39"/>
        <v>-1.2939411861188342E-3</v>
      </c>
    </row>
    <row r="595" spans="9:15">
      <c r="I595" s="178">
        <f>Prices!A595</f>
        <v>42468</v>
      </c>
      <c r="J595" s="3">
        <f>Prices!E595</f>
        <v>15.65</v>
      </c>
      <c r="K595" s="99">
        <f t="shared" si="36"/>
        <v>6.3938618925829841E-4</v>
      </c>
      <c r="L595" s="99">
        <f t="shared" si="37"/>
        <v>4.1315088733381048E-3</v>
      </c>
      <c r="M595" s="3">
        <f>Prices!M595</f>
        <v>19.75</v>
      </c>
      <c r="N595" s="99">
        <f t="shared" si="38"/>
        <v>-1.0116337885685165E-3</v>
      </c>
      <c r="O595" s="99">
        <f t="shared" si="39"/>
        <v>-9.8612070680231074E-4</v>
      </c>
    </row>
    <row r="596" spans="9:15">
      <c r="I596" s="178">
        <f>Prices!A596</f>
        <v>42471</v>
      </c>
      <c r="J596" s="3">
        <f>Prices!E596</f>
        <v>15.64</v>
      </c>
      <c r="K596" s="99">
        <f t="shared" si="36"/>
        <v>-6.9841269841269477E-3</v>
      </c>
      <c r="L596" s="99">
        <f t="shared" si="37"/>
        <v>5.0847612387520348E-3</v>
      </c>
      <c r="M596" s="3">
        <f>Prices!M596</f>
        <v>19.77</v>
      </c>
      <c r="N596" s="99">
        <f t="shared" si="38"/>
        <v>-1.2487512487512488E-2</v>
      </c>
      <c r="O596" s="99">
        <f t="shared" si="39"/>
        <v>-4.0896181208688461E-4</v>
      </c>
    </row>
    <row r="597" spans="9:15">
      <c r="I597" s="178">
        <f>Prices!A597</f>
        <v>42472</v>
      </c>
      <c r="J597" s="3">
        <f>Prices!E597</f>
        <v>15.75</v>
      </c>
      <c r="K597" s="99">
        <f t="shared" si="36"/>
        <v>4.4642857142857323E-3</v>
      </c>
      <c r="L597" s="99">
        <f t="shared" si="37"/>
        <v>3.6361385513233786E-3</v>
      </c>
      <c r="M597" s="3">
        <f>Prices!M597</f>
        <v>20.02</v>
      </c>
      <c r="N597" s="99">
        <f t="shared" si="38"/>
        <v>-7.4367873078830995E-3</v>
      </c>
      <c r="O597" s="99">
        <f t="shared" si="39"/>
        <v>-5.9859457448975279E-4</v>
      </c>
    </row>
    <row r="598" spans="9:15">
      <c r="I598" s="178">
        <f>Prices!A598</f>
        <v>42473</v>
      </c>
      <c r="J598" s="3">
        <f>Prices!E598</f>
        <v>15.68</v>
      </c>
      <c r="K598" s="99">
        <f t="shared" si="36"/>
        <v>1.6202203499675955E-2</v>
      </c>
      <c r="L598" s="99">
        <f t="shared" si="37"/>
        <v>3.5831080641114772E-3</v>
      </c>
      <c r="M598" s="3">
        <f>Prices!M598</f>
        <v>20.170000000000002</v>
      </c>
      <c r="N598" s="99">
        <f t="shared" si="38"/>
        <v>-4.9554013875114029E-4</v>
      </c>
      <c r="O598" s="99">
        <f t="shared" si="39"/>
        <v>-2.0207603831574072E-4</v>
      </c>
    </row>
    <row r="599" spans="9:15">
      <c r="I599" s="178">
        <f>Prices!A599</f>
        <v>42474</v>
      </c>
      <c r="J599" s="3">
        <f>Prices!E599</f>
        <v>15.43</v>
      </c>
      <c r="K599" s="99">
        <f t="shared" si="36"/>
        <v>1.3797634691195734E-2</v>
      </c>
      <c r="L599" s="99">
        <f t="shared" si="37"/>
        <v>4.1007407263044743E-3</v>
      </c>
      <c r="M599" s="3">
        <f>Prices!M599</f>
        <v>20.18</v>
      </c>
      <c r="N599" s="99">
        <f t="shared" si="38"/>
        <v>2.9820575058620152E-3</v>
      </c>
      <c r="O599" s="99">
        <f t="shared" si="39"/>
        <v>-1.5260767335348861E-4</v>
      </c>
    </row>
    <row r="600" spans="9:15">
      <c r="I600" s="178">
        <f>Prices!A600</f>
        <v>42475</v>
      </c>
      <c r="J600" s="3">
        <f>Prices!E600</f>
        <v>15.22</v>
      </c>
      <c r="K600" s="99">
        <f t="shared" si="36"/>
        <v>-1.9961365099806744E-2</v>
      </c>
      <c r="L600" s="99">
        <f t="shared" si="37"/>
        <v>3.4458240267097227E-3</v>
      </c>
      <c r="M600" s="3">
        <f>Prices!M600</f>
        <v>20.120000999999998</v>
      </c>
      <c r="N600" s="99">
        <f t="shared" si="38"/>
        <v>-4.9454997500248598E-3</v>
      </c>
      <c r="O600" s="99">
        <f t="shared" si="39"/>
        <v>-1.779506537832186E-4</v>
      </c>
    </row>
    <row r="601" spans="9:15">
      <c r="I601" s="178">
        <f>Prices!A601</f>
        <v>42478</v>
      </c>
      <c r="J601" s="3">
        <f>Prices!E601</f>
        <v>15.53</v>
      </c>
      <c r="K601" s="99">
        <f t="shared" si="36"/>
        <v>1.370757180156652E-2</v>
      </c>
      <c r="L601" s="99">
        <f t="shared" si="37"/>
        <v>3.6185827906409173E-3</v>
      </c>
      <c r="M601" s="3">
        <f>Prices!M601</f>
        <v>20.219999000000001</v>
      </c>
      <c r="N601" s="99">
        <f t="shared" si="38"/>
        <v>-1.0763306714123809E-2</v>
      </c>
      <c r="O601" s="99">
        <f t="shared" si="39"/>
        <v>-4.9357091836224815E-4</v>
      </c>
    </row>
    <row r="602" spans="9:15">
      <c r="I602" s="178">
        <f>Prices!A602</f>
        <v>42479</v>
      </c>
      <c r="J602" s="3">
        <f>Prices!E602</f>
        <v>15.32</v>
      </c>
      <c r="K602" s="99">
        <f t="shared" si="36"/>
        <v>3.0955585464333839E-2</v>
      </c>
      <c r="L602" s="99">
        <f t="shared" si="37"/>
        <v>3.8079417792889745E-3</v>
      </c>
      <c r="M602" s="3">
        <f>Prices!M602</f>
        <v>20.440000999999999</v>
      </c>
      <c r="N602" s="99">
        <f t="shared" si="38"/>
        <v>-4.3838283300619355E-3</v>
      </c>
      <c r="O602" s="99">
        <f t="shared" si="39"/>
        <v>-5.3107101840307974E-5</v>
      </c>
    </row>
    <row r="603" spans="9:15">
      <c r="I603" s="178">
        <f>Prices!A603</f>
        <v>42480</v>
      </c>
      <c r="J603" s="3">
        <f>Prices!E603</f>
        <v>14.86</v>
      </c>
      <c r="K603" s="99">
        <f t="shared" si="36"/>
        <v>-3.3534540576794572E-3</v>
      </c>
      <c r="L603" s="99">
        <f t="shared" si="37"/>
        <v>2.8621455089051433E-3</v>
      </c>
      <c r="M603" s="3">
        <f>Prices!M603</f>
        <v>20.530000999999999</v>
      </c>
      <c r="N603" s="99">
        <f t="shared" si="38"/>
        <v>2.9312165574603703E-3</v>
      </c>
      <c r="O603" s="99">
        <f t="shared" si="39"/>
        <v>3.6225891967380886E-4</v>
      </c>
    </row>
    <row r="604" spans="9:15">
      <c r="I604" s="178">
        <f>Prices!A604</f>
        <v>42481</v>
      </c>
      <c r="J604" s="3">
        <f>Prices!E604</f>
        <v>14.91</v>
      </c>
      <c r="K604" s="99">
        <f t="shared" si="36"/>
        <v>1.8442622950819641E-2</v>
      </c>
      <c r="L604" s="99">
        <f t="shared" si="37"/>
        <v>4.2263374286129005E-3</v>
      </c>
      <c r="M604" s="3">
        <f>Prices!M604</f>
        <v>20.469999000000001</v>
      </c>
      <c r="N604" s="99">
        <f t="shared" si="38"/>
        <v>0</v>
      </c>
      <c r="O604" s="99">
        <f t="shared" si="39"/>
        <v>3.3860615473097627E-4</v>
      </c>
    </row>
    <row r="605" spans="9:15">
      <c r="I605" s="178">
        <f>Prices!A605</f>
        <v>42482</v>
      </c>
      <c r="J605" s="3">
        <f>Prices!E605</f>
        <v>14.64</v>
      </c>
      <c r="K605" s="99">
        <f t="shared" si="36"/>
        <v>1.9498607242339913E-2</v>
      </c>
      <c r="L605" s="99">
        <f t="shared" si="37"/>
        <v>2.3091814054500255E-3</v>
      </c>
      <c r="M605" s="3">
        <f>Prices!M605</f>
        <v>20.469999000000001</v>
      </c>
      <c r="N605" s="99">
        <f t="shared" si="38"/>
        <v>5.8967567567567549E-3</v>
      </c>
      <c r="O605" s="99">
        <f t="shared" si="39"/>
        <v>-9.999033649709318E-5</v>
      </c>
    </row>
    <row r="606" spans="9:15">
      <c r="I606" s="178">
        <f>Prices!A606</f>
        <v>42485</v>
      </c>
      <c r="J606" s="3">
        <f>Prices!E606</f>
        <v>14.36</v>
      </c>
      <c r="K606" s="99">
        <f t="shared" si="36"/>
        <v>-4.0106951871657845E-2</v>
      </c>
      <c r="L606" s="99">
        <f t="shared" si="37"/>
        <v>-1.3557287818182792E-3</v>
      </c>
      <c r="M606" s="3">
        <f>Prices!M606</f>
        <v>20.350000000000001</v>
      </c>
      <c r="N606" s="99">
        <f t="shared" si="38"/>
        <v>-9.8188507698144189E-4</v>
      </c>
      <c r="O606" s="99">
        <f t="shared" si="39"/>
        <v>-5.1636439212783482E-4</v>
      </c>
    </row>
    <row r="607" spans="9:15">
      <c r="I607" s="178">
        <f>Prices!A607</f>
        <v>42486</v>
      </c>
      <c r="J607" s="3">
        <f>Prices!E607</f>
        <v>14.96</v>
      </c>
      <c r="K607" s="99">
        <f t="shared" si="36"/>
        <v>2.4657534246575425E-2</v>
      </c>
      <c r="L607" s="99">
        <f t="shared" si="37"/>
        <v>-1.0083785874551571E-3</v>
      </c>
      <c r="M607" s="3">
        <f>Prices!M607</f>
        <v>20.370000999999998</v>
      </c>
      <c r="N607" s="99">
        <f t="shared" si="38"/>
        <v>-4.3987294427532157E-3</v>
      </c>
      <c r="O607" s="99">
        <f t="shared" si="39"/>
        <v>-9.0100507803779831E-4</v>
      </c>
    </row>
    <row r="608" spans="9:15">
      <c r="I608" s="178">
        <f>Prices!A608</f>
        <v>42487</v>
      </c>
      <c r="J608" s="3">
        <f>Prices!E608</f>
        <v>14.6</v>
      </c>
      <c r="K608" s="99">
        <f t="shared" si="36"/>
        <v>4.9604601006470128E-2</v>
      </c>
      <c r="L608" s="99">
        <f t="shared" si="37"/>
        <v>-2.403277334780685E-3</v>
      </c>
      <c r="M608" s="3">
        <f>Prices!M608</f>
        <v>20.459999</v>
      </c>
      <c r="N608" s="99">
        <f t="shared" si="38"/>
        <v>0</v>
      </c>
      <c r="O608" s="99">
        <f t="shared" si="39"/>
        <v>-6.3282933913699334E-4</v>
      </c>
    </row>
    <row r="609" spans="9:15">
      <c r="I609" s="178">
        <f>Prices!A609</f>
        <v>42488</v>
      </c>
      <c r="J609" s="3">
        <f>Prices!E609</f>
        <v>13.91</v>
      </c>
      <c r="K609" s="99">
        <f t="shared" si="36"/>
        <v>1.3848396501457689E-2</v>
      </c>
      <c r="L609" s="99">
        <f t="shared" si="37"/>
        <v>-5.9925061176770685E-3</v>
      </c>
      <c r="M609" s="3">
        <f>Prices!M609</f>
        <v>20.459999</v>
      </c>
      <c r="N609" s="99">
        <f t="shared" si="38"/>
        <v>-3.8949365192338767E-3</v>
      </c>
      <c r="O609" s="99">
        <f t="shared" si="39"/>
        <v>-8.4896766766725238E-4</v>
      </c>
    </row>
    <row r="610" spans="9:15">
      <c r="I610" s="178">
        <f>Prices!A610</f>
        <v>42489</v>
      </c>
      <c r="J610" s="3">
        <f>Prices!E610</f>
        <v>13.72</v>
      </c>
      <c r="K610" s="99">
        <f t="shared" si="36"/>
        <v>-4.85436893203883E-2</v>
      </c>
      <c r="L610" s="99">
        <f t="shared" si="37"/>
        <v>-7.062284433315991E-3</v>
      </c>
      <c r="M610" s="3">
        <f>Prices!M610</f>
        <v>20.540001</v>
      </c>
      <c r="N610" s="99">
        <f t="shared" si="38"/>
        <v>5.3842878120411389E-3</v>
      </c>
      <c r="O610" s="99">
        <f t="shared" si="39"/>
        <v>-5.8207317802819723E-4</v>
      </c>
    </row>
    <row r="611" spans="9:15">
      <c r="I611" s="178">
        <f>Prices!A611</f>
        <v>42492</v>
      </c>
      <c r="J611" s="3">
        <f>Prices!E611</f>
        <v>14.42</v>
      </c>
      <c r="K611" s="99">
        <f t="shared" si="36"/>
        <v>2.269503546099293E-2</v>
      </c>
      <c r="L611" s="99">
        <f t="shared" si="37"/>
        <v>-3.9981572921373391E-3</v>
      </c>
      <c r="M611" s="3">
        <f>Prices!M611</f>
        <v>20.43</v>
      </c>
      <c r="N611" s="99">
        <f t="shared" si="38"/>
        <v>1.0385806646182244E-2</v>
      </c>
      <c r="O611" s="99">
        <f t="shared" si="39"/>
        <v>-6.8236381530382105E-4</v>
      </c>
    </row>
    <row r="612" spans="9:15">
      <c r="I612" s="178">
        <f>Prices!A612</f>
        <v>42493</v>
      </c>
      <c r="J612" s="3">
        <f>Prices!E612</f>
        <v>14.1</v>
      </c>
      <c r="K612" s="99">
        <f t="shared" si="36"/>
        <v>-7.0871722182847539E-4</v>
      </c>
      <c r="L612" s="99">
        <f t="shared" si="37"/>
        <v>-3.9595061968688647E-3</v>
      </c>
      <c r="M612" s="3">
        <f>Prices!M612</f>
        <v>20.219999000000001</v>
      </c>
      <c r="N612" s="99">
        <f t="shared" si="38"/>
        <v>6.4708312593330774E-3</v>
      </c>
      <c r="O612" s="99">
        <f t="shared" si="39"/>
        <v>-1.2257761929578416E-3</v>
      </c>
    </row>
    <row r="613" spans="9:15">
      <c r="I613" s="178">
        <f>Prices!A613</f>
        <v>42494</v>
      </c>
      <c r="J613" s="3">
        <f>Prices!E613</f>
        <v>14.11</v>
      </c>
      <c r="K613" s="99">
        <f t="shared" si="36"/>
        <v>0</v>
      </c>
      <c r="L613" s="99">
        <f t="shared" si="37"/>
        <v>-3.4303244503264851E-3</v>
      </c>
      <c r="M613" s="3">
        <f>Prices!M613</f>
        <v>20.09</v>
      </c>
      <c r="N613" s="99">
        <f t="shared" si="38"/>
        <v>9.9651220727451782E-4</v>
      </c>
      <c r="O613" s="99">
        <f t="shared" si="39"/>
        <v>-1.8609212884458989E-3</v>
      </c>
    </row>
    <row r="614" spans="9:15">
      <c r="I614" s="178">
        <f>Prices!A614</f>
        <v>42495</v>
      </c>
      <c r="J614" s="3">
        <f>Prices!E614</f>
        <v>14.11</v>
      </c>
      <c r="K614" s="99">
        <f t="shared" si="36"/>
        <v>-2.6224982746721932E-2</v>
      </c>
      <c r="L614" s="99">
        <f t="shared" si="37"/>
        <v>-1.9736848839308221E-3</v>
      </c>
      <c r="M614" s="3">
        <f>Prices!M614</f>
        <v>20.07</v>
      </c>
      <c r="N614" s="99">
        <f t="shared" si="38"/>
        <v>-3.9702233250619506E-3</v>
      </c>
      <c r="O614" s="99">
        <f t="shared" si="39"/>
        <v>-2.1967311695436573E-3</v>
      </c>
    </row>
    <row r="615" spans="9:15">
      <c r="I615" s="178">
        <f>Prices!A615</f>
        <v>42496</v>
      </c>
      <c r="J615" s="3">
        <f>Prices!E615</f>
        <v>14.49</v>
      </c>
      <c r="K615" s="99">
        <f t="shared" si="36"/>
        <v>1.9704433497536901E-2</v>
      </c>
      <c r="L615" s="99">
        <f t="shared" si="37"/>
        <v>5.9213737941353745E-5</v>
      </c>
      <c r="M615" s="3">
        <f>Prices!M615</f>
        <v>20.149999999999999</v>
      </c>
      <c r="N615" s="99">
        <f t="shared" si="38"/>
        <v>1.0531544105740007E-2</v>
      </c>
      <c r="O615" s="99">
        <f t="shared" si="39"/>
        <v>-2.0933674818823748E-3</v>
      </c>
    </row>
    <row r="616" spans="9:15">
      <c r="I616" s="178">
        <f>Prices!A616</f>
        <v>42499</v>
      </c>
      <c r="J616" s="3">
        <f>Prices!E616</f>
        <v>14.21</v>
      </c>
      <c r="K616" s="99">
        <f t="shared" si="36"/>
        <v>-3.595658073270009E-2</v>
      </c>
      <c r="L616" s="99">
        <f t="shared" si="37"/>
        <v>-1.4362120185681402E-3</v>
      </c>
      <c r="M616" s="3">
        <f>Prices!M616</f>
        <v>19.940000999999999</v>
      </c>
      <c r="N616" s="99">
        <f t="shared" si="38"/>
        <v>-1.628016773556985E-2</v>
      </c>
      <c r="O616" s="99">
        <f t="shared" si="39"/>
        <v>-2.9976595124762686E-3</v>
      </c>
    </row>
    <row r="617" spans="9:15">
      <c r="I617" s="178">
        <f>Prices!A617</f>
        <v>42500</v>
      </c>
      <c r="J617" s="3">
        <f>Prices!E617</f>
        <v>14.74</v>
      </c>
      <c r="K617" s="99">
        <f t="shared" si="36"/>
        <v>3.4036759700476998E-3</v>
      </c>
      <c r="L617" s="99">
        <f t="shared" si="37"/>
        <v>1.5098424877954663E-3</v>
      </c>
      <c r="M617" s="3">
        <f>Prices!M617</f>
        <v>20.27</v>
      </c>
      <c r="N617" s="99">
        <f t="shared" si="38"/>
        <v>4.9358341559713767E-4</v>
      </c>
      <c r="O617" s="99">
        <f t="shared" si="39"/>
        <v>-1.8987484531003116E-3</v>
      </c>
    </row>
    <row r="618" spans="9:15">
      <c r="I618" s="178">
        <f>Prices!A618</f>
        <v>42501</v>
      </c>
      <c r="J618" s="3">
        <f>Prices!E618</f>
        <v>14.69</v>
      </c>
      <c r="K618" s="99">
        <f t="shared" si="36"/>
        <v>2.6554856743535919E-2</v>
      </c>
      <c r="L618" s="99">
        <f t="shared" si="37"/>
        <v>2.1170438483036776E-3</v>
      </c>
      <c r="M618" s="3">
        <f>Prices!M618</f>
        <v>20.260000000000002</v>
      </c>
      <c r="N618" s="99">
        <f t="shared" si="38"/>
        <v>4.9382716049390437E-4</v>
      </c>
      <c r="O618" s="99">
        <f t="shared" si="39"/>
        <v>-1.6609025767453239E-3</v>
      </c>
    </row>
    <row r="619" spans="9:15">
      <c r="I619" s="178">
        <f>Prices!A619</f>
        <v>42502</v>
      </c>
      <c r="J619" s="3">
        <f>Prices!E619</f>
        <v>14.31</v>
      </c>
      <c r="K619" s="99">
        <f t="shared" si="36"/>
        <v>6.9930069930068434E-4</v>
      </c>
      <c r="L619" s="99">
        <f t="shared" si="37"/>
        <v>1.909243207658676E-3</v>
      </c>
      <c r="M619" s="3">
        <f>Prices!M619</f>
        <v>20.25</v>
      </c>
      <c r="N619" s="99">
        <f t="shared" si="38"/>
        <v>2.475197897267415E-3</v>
      </c>
      <c r="O619" s="99">
        <f t="shared" si="39"/>
        <v>-9.3462006117632154E-4</v>
      </c>
    </row>
    <row r="620" spans="9:15">
      <c r="I620" s="178">
        <f>Prices!A620</f>
        <v>42503</v>
      </c>
      <c r="J620" s="3">
        <f>Prices!E620</f>
        <v>14.3</v>
      </c>
      <c r="K620" s="99">
        <f t="shared" si="36"/>
        <v>-1.6506189821182838E-2</v>
      </c>
      <c r="L620" s="99">
        <f t="shared" si="37"/>
        <v>2.6074160026056626E-3</v>
      </c>
      <c r="M620" s="3">
        <f>Prices!M620</f>
        <v>20.200001</v>
      </c>
      <c r="N620" s="99">
        <f t="shared" si="38"/>
        <v>-1.1257905041605452E-2</v>
      </c>
      <c r="O620" s="99">
        <f t="shared" si="39"/>
        <v>-9.3696422024561882E-4</v>
      </c>
    </row>
    <row r="621" spans="9:15">
      <c r="I621" s="178">
        <f>Prices!A621</f>
        <v>42506</v>
      </c>
      <c r="J621" s="3">
        <f>Prices!E621</f>
        <v>14.54</v>
      </c>
      <c r="K621" s="99">
        <f t="shared" si="36"/>
        <v>1.7494751574527644E-2</v>
      </c>
      <c r="L621" s="99">
        <f t="shared" si="37"/>
        <v>4.5955161913392257E-3</v>
      </c>
      <c r="M621" s="3">
        <f>Prices!M621</f>
        <v>20.43</v>
      </c>
      <c r="N621" s="99">
        <f t="shared" si="38"/>
        <v>-1.954030383685005E-3</v>
      </c>
      <c r="O621" s="99">
        <f t="shared" si="39"/>
        <v>1.751204015575103E-5</v>
      </c>
    </row>
    <row r="622" spans="9:15">
      <c r="I622" s="178">
        <f>Prices!A622</f>
        <v>42507</v>
      </c>
      <c r="J622" s="3">
        <f>Prices!E622</f>
        <v>14.29</v>
      </c>
      <c r="K622" s="99">
        <f t="shared" si="36"/>
        <v>1.2039660056657219E-2</v>
      </c>
      <c r="L622" s="99">
        <f t="shared" si="37"/>
        <v>4.7154228360252364E-3</v>
      </c>
      <c r="M622" s="3">
        <f>Prices!M622</f>
        <v>20.469999000000001</v>
      </c>
      <c r="N622" s="99">
        <f t="shared" si="38"/>
        <v>3.9234921002203995E-3</v>
      </c>
      <c r="O622" s="99">
        <f t="shared" si="39"/>
        <v>3.3645249739309817E-4</v>
      </c>
    </row>
    <row r="623" spans="9:15">
      <c r="I623" s="178">
        <f>Prices!A623</f>
        <v>42508</v>
      </c>
      <c r="J623" s="3">
        <f>Prices!E623</f>
        <v>14.12</v>
      </c>
      <c r="K623" s="99">
        <f t="shared" si="36"/>
        <v>2.3930384336475714E-2</v>
      </c>
      <c r="L623" s="99">
        <f t="shared" si="37"/>
        <v>3.7714945444385765E-3</v>
      </c>
      <c r="M623" s="3">
        <f>Prices!M623</f>
        <v>20.389999</v>
      </c>
      <c r="N623" s="99">
        <f t="shared" si="38"/>
        <v>2.4581612586037208E-3</v>
      </c>
      <c r="O623" s="99">
        <f t="shared" si="39"/>
        <v>2.6348882766000096E-4</v>
      </c>
    </row>
    <row r="624" spans="9:15">
      <c r="I624" s="178">
        <f>Prices!A624</f>
        <v>42509</v>
      </c>
      <c r="J624" s="3">
        <f>Prices!E624</f>
        <v>13.79</v>
      </c>
      <c r="K624" s="99">
        <f t="shared" si="36"/>
        <v>-1.990049751243789E-2</v>
      </c>
      <c r="L624" s="99">
        <f t="shared" si="37"/>
        <v>2.689217521064905E-3</v>
      </c>
      <c r="M624" s="3">
        <f>Prices!M624</f>
        <v>20.34</v>
      </c>
      <c r="N624" s="99">
        <f t="shared" si="38"/>
        <v>-8.7719298245613891E-3</v>
      </c>
      <c r="O624" s="99">
        <f t="shared" si="39"/>
        <v>-6.8369256878786021E-6</v>
      </c>
    </row>
    <row r="625" spans="9:15">
      <c r="I625" s="178">
        <f>Prices!A625</f>
        <v>42510</v>
      </c>
      <c r="J625" s="3">
        <f>Prices!E625</f>
        <v>14.07</v>
      </c>
      <c r="K625" s="99">
        <f t="shared" si="36"/>
        <v>-5.3799596503026161E-2</v>
      </c>
      <c r="L625" s="99">
        <f t="shared" si="37"/>
        <v>3.1194833605422247E-3</v>
      </c>
      <c r="M625" s="3">
        <f>Prices!M625</f>
        <v>20.52</v>
      </c>
      <c r="N625" s="99">
        <f t="shared" si="38"/>
        <v>-2.4307243558580804E-3</v>
      </c>
      <c r="O625" s="99">
        <f t="shared" si="39"/>
        <v>1.1437675304019329E-4</v>
      </c>
    </row>
    <row r="626" spans="9:15">
      <c r="I626" s="178">
        <f>Prices!A626</f>
        <v>42514</v>
      </c>
      <c r="J626" s="3">
        <f>Prices!E626</f>
        <v>14.87</v>
      </c>
      <c r="K626" s="99">
        <f t="shared" si="36"/>
        <v>-3.3159947984395421E-2</v>
      </c>
      <c r="L626" s="99">
        <f t="shared" si="37"/>
        <v>6.0744139805459108E-3</v>
      </c>
      <c r="M626" s="3">
        <f>Prices!M626</f>
        <v>20.57</v>
      </c>
      <c r="N626" s="99">
        <f t="shared" si="38"/>
        <v>-8.6746987951807093E-3</v>
      </c>
      <c r="O626" s="99">
        <f t="shared" si="39"/>
        <v>2.1151082344413163E-4</v>
      </c>
    </row>
    <row r="627" spans="9:15">
      <c r="I627" s="178">
        <f>Prices!A627</f>
        <v>42515</v>
      </c>
      <c r="J627" s="3">
        <f>Prices!E627</f>
        <v>15.38</v>
      </c>
      <c r="K627" s="99">
        <f t="shared" si="36"/>
        <v>-3.2404406999351223E-3</v>
      </c>
      <c r="L627" s="99">
        <f t="shared" si="37"/>
        <v>7.8082263911379403E-3</v>
      </c>
      <c r="M627" s="3">
        <f>Prices!M627</f>
        <v>20.75</v>
      </c>
      <c r="N627" s="99">
        <f t="shared" si="38"/>
        <v>9.6478533526288344E-4</v>
      </c>
      <c r="O627" s="99">
        <f t="shared" si="39"/>
        <v>6.4524576320316703E-4</v>
      </c>
    </row>
    <row r="628" spans="9:15">
      <c r="I628" s="178">
        <f>Prices!A628</f>
        <v>42516</v>
      </c>
      <c r="J628" s="3">
        <f>Prices!E628</f>
        <v>15.43</v>
      </c>
      <c r="K628" s="99">
        <f t="shared" si="36"/>
        <v>-2.2179974651457518E-2</v>
      </c>
      <c r="L628" s="99">
        <f t="shared" si="37"/>
        <v>7.7814266738688324E-3</v>
      </c>
      <c r="M628" s="3">
        <f>Prices!M628</f>
        <v>20.73</v>
      </c>
      <c r="N628" s="99">
        <f t="shared" si="38"/>
        <v>-4.3227665706051807E-3</v>
      </c>
      <c r="O628" s="99">
        <f t="shared" si="39"/>
        <v>6.5864510387774868E-5</v>
      </c>
    </row>
    <row r="629" spans="9:15">
      <c r="I629" s="178">
        <f>Prices!A629</f>
        <v>42517</v>
      </c>
      <c r="J629" s="3">
        <f>Prices!E629</f>
        <v>15.78</v>
      </c>
      <c r="K629" s="99">
        <f t="shared" si="36"/>
        <v>-7.5471698113208172E-3</v>
      </c>
      <c r="L629" s="99">
        <f t="shared" si="37"/>
        <v>1.0730675993755729E-2</v>
      </c>
      <c r="M629" s="3">
        <f>Prices!M629</f>
        <v>20.82</v>
      </c>
      <c r="N629" s="99">
        <f t="shared" si="38"/>
        <v>1.4429532735472264E-3</v>
      </c>
      <c r="O629" s="99">
        <f t="shared" si="39"/>
        <v>1.2667394703673967E-3</v>
      </c>
    </row>
    <row r="630" spans="9:15">
      <c r="I630" s="178">
        <f>Prices!A630</f>
        <v>42520</v>
      </c>
      <c r="J630" s="3">
        <f>Prices!E630</f>
        <v>15.9</v>
      </c>
      <c r="K630" s="99">
        <f t="shared" si="36"/>
        <v>1.2738853503184782E-2</v>
      </c>
      <c r="L630" s="99">
        <f t="shared" si="37"/>
        <v>1.3018603590012823E-2</v>
      </c>
      <c r="M630" s="3">
        <f>Prices!M630</f>
        <v>20.790001</v>
      </c>
      <c r="N630" s="99">
        <f t="shared" si="38"/>
        <v>3.3784750665286608E-3</v>
      </c>
      <c r="O630" s="99">
        <f t="shared" si="39"/>
        <v>1.9442144953457064E-3</v>
      </c>
    </row>
    <row r="631" spans="9:15">
      <c r="I631" s="178">
        <f>Prices!A631</f>
        <v>42521</v>
      </c>
      <c r="J631" s="3">
        <f>Prices!E631</f>
        <v>15.7</v>
      </c>
      <c r="K631" s="99">
        <f t="shared" si="36"/>
        <v>2.3468057366362413E-2</v>
      </c>
      <c r="L631" s="99">
        <f t="shared" si="37"/>
        <v>1.1268783331387765E-2</v>
      </c>
      <c r="M631" s="3">
        <f>Prices!M631</f>
        <v>20.719999000000001</v>
      </c>
      <c r="N631" s="99">
        <f t="shared" si="38"/>
        <v>-4.8244090689816875E-4</v>
      </c>
      <c r="O631" s="99">
        <f t="shared" si="39"/>
        <v>1.1583114725227293E-3</v>
      </c>
    </row>
    <row r="632" spans="9:15">
      <c r="I632" s="178">
        <f>Prices!A632</f>
        <v>42522</v>
      </c>
      <c r="J632" s="3">
        <f>Prices!E632</f>
        <v>15.34</v>
      </c>
      <c r="K632" s="99">
        <f t="shared" si="36"/>
        <v>9.8749177090191147E-3</v>
      </c>
      <c r="L632" s="99">
        <f t="shared" si="37"/>
        <v>1.0455668693654111E-2</v>
      </c>
      <c r="M632" s="3">
        <f>Prices!M632</f>
        <v>20.73</v>
      </c>
      <c r="N632" s="99">
        <f t="shared" si="38"/>
        <v>-6.2320706504280622E-3</v>
      </c>
      <c r="O632" s="99">
        <f t="shared" si="39"/>
        <v>5.2485683289817012E-4</v>
      </c>
    </row>
    <row r="633" spans="9:15">
      <c r="I633" s="178">
        <f>Prices!A633</f>
        <v>42523</v>
      </c>
      <c r="J633" s="3">
        <f>Prices!E633</f>
        <v>15.19</v>
      </c>
      <c r="K633" s="99">
        <f t="shared" si="36"/>
        <v>2.9132791327913261E-2</v>
      </c>
      <c r="L633" s="99">
        <f t="shared" si="37"/>
        <v>7.8163289384713536E-3</v>
      </c>
      <c r="M633" s="3">
        <f>Prices!M633</f>
        <v>20.860001</v>
      </c>
      <c r="N633" s="99">
        <f t="shared" si="38"/>
        <v>-5.7196854146806461E-3</v>
      </c>
      <c r="O633" s="99">
        <f t="shared" si="39"/>
        <v>7.6350802724095058E-4</v>
      </c>
    </row>
    <row r="634" spans="9:15">
      <c r="I634" s="178">
        <f>Prices!A634</f>
        <v>42524</v>
      </c>
      <c r="J634" s="3">
        <f>Prices!E634</f>
        <v>14.76</v>
      </c>
      <c r="K634" s="99">
        <f t="shared" si="36"/>
        <v>1.4432989690721586E-2</v>
      </c>
      <c r="L634" s="99">
        <f t="shared" si="37"/>
        <v>4.4791583986243649E-3</v>
      </c>
      <c r="M634" s="3">
        <f>Prices!M634</f>
        <v>20.98</v>
      </c>
      <c r="N634" s="99">
        <f t="shared" si="38"/>
        <v>-1.9029495718363059E-3</v>
      </c>
      <c r="O634" s="99">
        <f t="shared" si="39"/>
        <v>3.3040796044307431E-4</v>
      </c>
    </row>
    <row r="635" spans="9:15">
      <c r="I635" s="178">
        <f>Prices!A635</f>
        <v>42527</v>
      </c>
      <c r="J635" s="3">
        <f>Prices!E635</f>
        <v>14.55</v>
      </c>
      <c r="K635" s="99">
        <f t="shared" si="36"/>
        <v>-1.0204081632652965E-2</v>
      </c>
      <c r="L635" s="99">
        <f t="shared" si="37"/>
        <v>4.6202245930080169E-3</v>
      </c>
      <c r="M635" s="3">
        <f>Prices!M635</f>
        <v>21.02</v>
      </c>
      <c r="N635" s="99">
        <f t="shared" si="38"/>
        <v>-7.5542965061378723E-3</v>
      </c>
      <c r="O635" s="99">
        <f t="shared" si="39"/>
        <v>5.9390559928740761E-4</v>
      </c>
    </row>
    <row r="636" spans="9:15">
      <c r="I636" s="178">
        <f>Prices!A636</f>
        <v>42528</v>
      </c>
      <c r="J636" s="3">
        <f>Prices!E636</f>
        <v>14.7</v>
      </c>
      <c r="K636" s="99">
        <f t="shared" si="36"/>
        <v>2.2964509394572032E-2</v>
      </c>
      <c r="L636" s="99">
        <f t="shared" si="37"/>
        <v>5.7378698287788585E-3</v>
      </c>
      <c r="M636" s="3">
        <f>Prices!M636</f>
        <v>21.18</v>
      </c>
      <c r="N636" s="99">
        <f t="shared" si="38"/>
        <v>5.6980534519492834E-3</v>
      </c>
      <c r="O636" s="99">
        <f t="shared" si="39"/>
        <v>9.4758676959268433E-4</v>
      </c>
    </row>
    <row r="637" spans="9:15">
      <c r="I637" s="178">
        <f>Prices!A637</f>
        <v>42529</v>
      </c>
      <c r="J637" s="3">
        <f>Prices!E637</f>
        <v>14.37</v>
      </c>
      <c r="K637" s="99">
        <f t="shared" si="36"/>
        <v>1.5547703180211933E-2</v>
      </c>
      <c r="L637" s="99">
        <f t="shared" si="37"/>
        <v>5.0494144739927811E-3</v>
      </c>
      <c r="M637" s="3">
        <f>Prices!M637</f>
        <v>21.059999000000001</v>
      </c>
      <c r="N637" s="99">
        <f t="shared" si="38"/>
        <v>5.2505009426968962E-3</v>
      </c>
      <c r="O637" s="99">
        <f t="shared" si="39"/>
        <v>1.0015006507222278E-3</v>
      </c>
    </row>
    <row r="638" spans="9:15">
      <c r="I638" s="178">
        <f>Prices!A638</f>
        <v>42530</v>
      </c>
      <c r="J638" s="3">
        <f>Prices!E638</f>
        <v>14.15</v>
      </c>
      <c r="K638" s="99">
        <f t="shared" si="36"/>
        <v>2.2398843930635876E-2</v>
      </c>
      <c r="L638" s="99">
        <f t="shared" si="37"/>
        <v>2.9660591657284549E-3</v>
      </c>
      <c r="M638" s="3">
        <f>Prices!M638</f>
        <v>20.950001</v>
      </c>
      <c r="N638" s="99">
        <f t="shared" si="38"/>
        <v>1.5019477471873946E-2</v>
      </c>
      <c r="O638" s="99">
        <f t="shared" si="39"/>
        <v>3.3091031314091594E-4</v>
      </c>
    </row>
    <row r="639" spans="9:15">
      <c r="I639" s="178">
        <f>Prices!A639</f>
        <v>42531</v>
      </c>
      <c r="J639" s="3">
        <f>Prices!E639</f>
        <v>13.84</v>
      </c>
      <c r="K639" s="99">
        <f t="shared" si="36"/>
        <v>1.4662756598240416E-2</v>
      </c>
      <c r="L639" s="99">
        <f t="shared" si="37"/>
        <v>1.4023299869481442E-3</v>
      </c>
      <c r="M639" s="3">
        <f>Prices!M639</f>
        <v>20.639999</v>
      </c>
      <c r="N639" s="99">
        <f t="shared" si="38"/>
        <v>2.4283147158814804E-3</v>
      </c>
      <c r="O639" s="99">
        <f t="shared" si="39"/>
        <v>-8.2482546521469029E-4</v>
      </c>
    </row>
    <row r="640" spans="9:15">
      <c r="I640" s="178">
        <f>Prices!A640</f>
        <v>42534</v>
      </c>
      <c r="J640" s="3">
        <f>Prices!E640</f>
        <v>13.64</v>
      </c>
      <c r="K640" s="99">
        <f t="shared" si="36"/>
        <v>2.325581395348841E-2</v>
      </c>
      <c r="L640" s="99">
        <f t="shared" si="37"/>
        <v>-2.3732715319826903E-5</v>
      </c>
      <c r="M640" s="3">
        <f>Prices!M640</f>
        <v>20.59</v>
      </c>
      <c r="N640" s="99">
        <f t="shared" si="38"/>
        <v>7.8316201664219362E-3</v>
      </c>
      <c r="O640" s="99">
        <f t="shared" si="39"/>
        <v>-1.3711703794790186E-3</v>
      </c>
    </row>
    <row r="641" spans="9:15">
      <c r="I641" s="178">
        <f>Prices!A641</f>
        <v>42535</v>
      </c>
      <c r="J641" s="3">
        <f>Prices!E641</f>
        <v>13.33</v>
      </c>
      <c r="K641" s="99">
        <f t="shared" si="36"/>
        <v>1.9892884468247878E-2</v>
      </c>
      <c r="L641" s="99">
        <f t="shared" si="37"/>
        <v>-7.0787834672031175E-4</v>
      </c>
      <c r="M641" s="3">
        <f>Prices!M641</f>
        <v>20.43</v>
      </c>
      <c r="N641" s="99">
        <f t="shared" si="38"/>
        <v>4.4247787610619399E-3</v>
      </c>
      <c r="O641" s="99">
        <f t="shared" si="39"/>
        <v>-1.8569997428542363E-3</v>
      </c>
    </row>
    <row r="642" spans="9:15">
      <c r="I642" s="178">
        <f>Prices!A642</f>
        <v>42536</v>
      </c>
      <c r="J642" s="3">
        <f>Prices!E642</f>
        <v>13.07</v>
      </c>
      <c r="K642" s="99">
        <f t="shared" si="36"/>
        <v>-6.8389057750759766E-3</v>
      </c>
      <c r="L642" s="99">
        <f t="shared" si="37"/>
        <v>-1.9224639191063146E-3</v>
      </c>
      <c r="M642" s="3">
        <f>Prices!M642</f>
        <v>20.34</v>
      </c>
      <c r="N642" s="99">
        <f t="shared" si="38"/>
        <v>2.4642187055584513E-3</v>
      </c>
      <c r="O642" s="99">
        <f t="shared" si="39"/>
        <v>-2.172314409976007E-3</v>
      </c>
    </row>
    <row r="643" spans="9:15">
      <c r="I643" s="178">
        <f>Prices!A643</f>
        <v>42537</v>
      </c>
      <c r="J643" s="3">
        <f>Prices!E643</f>
        <v>13.16</v>
      </c>
      <c r="K643" s="99">
        <f t="shared" si="36"/>
        <v>2.284843869002236E-3</v>
      </c>
      <c r="L643" s="99">
        <f t="shared" si="37"/>
        <v>-5.4370815532212543E-3</v>
      </c>
      <c r="M643" s="3">
        <f>Prices!M643</f>
        <v>20.290001</v>
      </c>
      <c r="N643" s="99">
        <f t="shared" si="38"/>
        <v>-2.9483538083538694E-3</v>
      </c>
      <c r="O643" s="99">
        <f t="shared" si="39"/>
        <v>-2.2484443659695529E-3</v>
      </c>
    </row>
    <row r="644" spans="9:15">
      <c r="I644" s="178">
        <f>Prices!A644</f>
        <v>42538</v>
      </c>
      <c r="J644" s="3">
        <f>Prices!E644</f>
        <v>13.13</v>
      </c>
      <c r="K644" s="99">
        <f t="shared" si="36"/>
        <v>-1.129518072289146E-2</v>
      </c>
      <c r="L644" s="99">
        <f t="shared" si="37"/>
        <v>-6.1198856195810638E-3</v>
      </c>
      <c r="M644" s="3">
        <f>Prices!M644</f>
        <v>20.350000000000001</v>
      </c>
      <c r="N644" s="99">
        <f t="shared" si="38"/>
        <v>-6.3476562499999514E-3</v>
      </c>
      <c r="O644" s="99">
        <f t="shared" si="39"/>
        <v>-2.241869405168892E-3</v>
      </c>
    </row>
    <row r="645" spans="9:15">
      <c r="I645" s="178">
        <f>Prices!A645</f>
        <v>42541</v>
      </c>
      <c r="J645" s="3">
        <f>Prices!E645</f>
        <v>13.28</v>
      </c>
      <c r="K645" s="99">
        <f t="shared" si="36"/>
        <v>5.2990158970475775E-3</v>
      </c>
      <c r="L645" s="99">
        <f t="shared" si="37"/>
        <v>-6.3451200001580195E-3</v>
      </c>
      <c r="M645" s="3">
        <f>Prices!M645</f>
        <v>20.48</v>
      </c>
      <c r="N645" s="99">
        <f t="shared" si="38"/>
        <v>-4.8804294777930751E-4</v>
      </c>
      <c r="O645" s="99">
        <f t="shared" si="39"/>
        <v>-1.924486592668894E-3</v>
      </c>
    </row>
    <row r="646" spans="9:15">
      <c r="I646" s="178">
        <f>Prices!A646</f>
        <v>42542</v>
      </c>
      <c r="J646" s="3">
        <f>Prices!E646</f>
        <v>13.21</v>
      </c>
      <c r="K646" s="99">
        <f t="shared" si="36"/>
        <v>1.5163002274451364E-3</v>
      </c>
      <c r="L646" s="99">
        <f t="shared" si="37"/>
        <v>-8.540450541845844E-3</v>
      </c>
      <c r="M646" s="3">
        <f>Prices!M646</f>
        <v>20.49</v>
      </c>
      <c r="N646" s="99">
        <f t="shared" si="38"/>
        <v>0</v>
      </c>
      <c r="O646" s="99">
        <f t="shared" si="39"/>
        <v>-1.9704102774412008E-3</v>
      </c>
    </row>
    <row r="647" spans="9:15">
      <c r="I647" s="178">
        <f>Prices!A647</f>
        <v>42543</v>
      </c>
      <c r="J647" s="3">
        <f>Prices!E647</f>
        <v>13.19</v>
      </c>
      <c r="K647" s="99">
        <f t="shared" ref="K647:K710" si="40">(J647-J648)/J648</f>
        <v>-3.7764350453172741E-3</v>
      </c>
      <c r="L647" s="99">
        <f t="shared" ref="L647:L710" si="41">AVERAGE(K647:K666)</f>
        <v>-7.5496850748729165E-3</v>
      </c>
      <c r="M647" s="3">
        <f>Prices!M647</f>
        <v>20.49</v>
      </c>
      <c r="N647" s="99">
        <f t="shared" ref="N647:N710" si="42">(M647-M648)/M648</f>
        <v>-1.062283972104496E-2</v>
      </c>
      <c r="O647" s="99">
        <f t="shared" ref="O647:O710" si="43">AVERAGE(N647:N666)</f>
        <v>-1.9938404555105579E-3</v>
      </c>
    </row>
    <row r="648" spans="9:15">
      <c r="I648" s="178">
        <f>Prices!A648</f>
        <v>42544</v>
      </c>
      <c r="J648" s="3">
        <f>Prices!E648</f>
        <v>13.24</v>
      </c>
      <c r="K648" s="99">
        <f t="shared" si="40"/>
        <v>3.6805011746280397E-2</v>
      </c>
      <c r="L648" s="99">
        <f t="shared" si="41"/>
        <v>-7.0682755462741541E-3</v>
      </c>
      <c r="M648" s="3">
        <f>Prices!M648</f>
        <v>20.709999</v>
      </c>
      <c r="N648" s="99">
        <f t="shared" si="42"/>
        <v>1.9694732628987258E-2</v>
      </c>
      <c r="O648" s="99">
        <f t="shared" si="43"/>
        <v>-1.6494398326702656E-3</v>
      </c>
    </row>
    <row r="649" spans="9:15">
      <c r="I649" s="178">
        <f>Prices!A649</f>
        <v>42545</v>
      </c>
      <c r="J649" s="3">
        <f>Prices!E649</f>
        <v>12.77</v>
      </c>
      <c r="K649" s="99">
        <f t="shared" si="40"/>
        <v>3.8211382113821045E-2</v>
      </c>
      <c r="L649" s="99">
        <f t="shared" si="41"/>
        <v>-1.0237640057638806E-2</v>
      </c>
      <c r="M649" s="3">
        <f>Prices!M649</f>
        <v>20.309999000000001</v>
      </c>
      <c r="N649" s="99">
        <f t="shared" si="42"/>
        <v>1.4992453773113427E-2</v>
      </c>
      <c r="O649" s="99">
        <f t="shared" si="43"/>
        <v>-2.2815671552338691E-3</v>
      </c>
    </row>
    <row r="650" spans="9:15">
      <c r="I650" s="178">
        <f>Prices!A650</f>
        <v>42548</v>
      </c>
      <c r="J650" s="3">
        <f>Prices!E650</f>
        <v>12.3</v>
      </c>
      <c r="K650" s="99">
        <f t="shared" si="40"/>
        <v>-2.2257551669316325E-2</v>
      </c>
      <c r="L650" s="99">
        <f t="shared" si="41"/>
        <v>-1.091604314517162E-2</v>
      </c>
      <c r="M650" s="3">
        <f>Prices!M650</f>
        <v>20.010000000000002</v>
      </c>
      <c r="N650" s="99">
        <f t="shared" si="42"/>
        <v>-1.2339585389930897E-2</v>
      </c>
      <c r="O650" s="99">
        <f t="shared" si="43"/>
        <v>-3.2185434738661255E-3</v>
      </c>
    </row>
    <row r="651" spans="9:15">
      <c r="I651" s="178">
        <f>Prices!A651</f>
        <v>42549</v>
      </c>
      <c r="J651" s="3">
        <f>Prices!E651</f>
        <v>12.58</v>
      </c>
      <c r="K651" s="99">
        <f t="shared" si="40"/>
        <v>7.2057646116893397E-3</v>
      </c>
      <c r="L651" s="99">
        <f t="shared" si="41"/>
        <v>-1.0757364034988249E-2</v>
      </c>
      <c r="M651" s="3">
        <f>Prices!M651</f>
        <v>20.260000000000002</v>
      </c>
      <c r="N651" s="99">
        <f t="shared" si="42"/>
        <v>-1.315153369938935E-2</v>
      </c>
      <c r="O651" s="99">
        <f t="shared" si="43"/>
        <v>-2.554681879006235E-3</v>
      </c>
    </row>
    <row r="652" spans="9:15">
      <c r="I652" s="178">
        <f>Prices!A652</f>
        <v>42550</v>
      </c>
      <c r="J652" s="3">
        <f>Prices!E652</f>
        <v>12.49</v>
      </c>
      <c r="K652" s="99">
        <f t="shared" si="40"/>
        <v>-4.2911877394636054E-2</v>
      </c>
      <c r="L652" s="99">
        <f t="shared" si="41"/>
        <v>-1.0733036880957326E-2</v>
      </c>
      <c r="M652" s="3">
        <f>Prices!M652</f>
        <v>20.530000999999999</v>
      </c>
      <c r="N652" s="99">
        <f t="shared" si="42"/>
        <v>-1.4590467635724415E-3</v>
      </c>
      <c r="O652" s="99">
        <f t="shared" si="43"/>
        <v>-1.9205353721061247E-3</v>
      </c>
    </row>
    <row r="653" spans="9:15">
      <c r="I653" s="178">
        <f>Prices!A653</f>
        <v>42551</v>
      </c>
      <c r="J653" s="3">
        <f>Prices!E653</f>
        <v>13.05</v>
      </c>
      <c r="K653" s="99">
        <f t="shared" si="40"/>
        <v>-3.7610619469026531E-2</v>
      </c>
      <c r="L653" s="99">
        <f t="shared" si="41"/>
        <v>-8.2648623660642358E-3</v>
      </c>
      <c r="M653" s="3">
        <f>Prices!M653</f>
        <v>20.559999000000001</v>
      </c>
      <c r="N653" s="99">
        <f t="shared" si="42"/>
        <v>-1.4381686750638181E-2</v>
      </c>
      <c r="O653" s="99">
        <f t="shared" si="43"/>
        <v>-1.8710022376745791E-3</v>
      </c>
    </row>
    <row r="654" spans="9:15">
      <c r="I654" s="178">
        <f>Prices!A654</f>
        <v>42555</v>
      </c>
      <c r="J654" s="3">
        <f>Prices!E654</f>
        <v>13.56</v>
      </c>
      <c r="K654" s="99">
        <f t="shared" si="40"/>
        <v>1.7254313578394631E-2</v>
      </c>
      <c r="L654" s="99">
        <f t="shared" si="41"/>
        <v>-7.0840769396867034E-3</v>
      </c>
      <c r="M654" s="3">
        <f>Prices!M654</f>
        <v>20.860001</v>
      </c>
      <c r="N654" s="99">
        <f t="shared" si="42"/>
        <v>3.3670032050503646E-3</v>
      </c>
      <c r="O654" s="99">
        <f t="shared" si="43"/>
        <v>-7.505958982540915E-4</v>
      </c>
    </row>
    <row r="655" spans="9:15">
      <c r="I655" s="178">
        <f>Prices!A655</f>
        <v>42556</v>
      </c>
      <c r="J655" s="3">
        <f>Prices!E655</f>
        <v>13.33</v>
      </c>
      <c r="K655" s="99">
        <f t="shared" si="40"/>
        <v>1.2148823082763868E-2</v>
      </c>
      <c r="L655" s="99">
        <f t="shared" si="41"/>
        <v>-7.0400568673110956E-3</v>
      </c>
      <c r="M655" s="3">
        <f>Prices!M655</f>
        <v>20.790001</v>
      </c>
      <c r="N655" s="99">
        <f t="shared" si="42"/>
        <v>-4.8067310003233689E-4</v>
      </c>
      <c r="O655" s="99">
        <f t="shared" si="43"/>
        <v>-1.0836519408595517E-3</v>
      </c>
    </row>
    <row r="656" spans="9:15">
      <c r="I656" s="178">
        <f>Prices!A656</f>
        <v>42557</v>
      </c>
      <c r="J656" s="3">
        <f>Prices!E656</f>
        <v>13.17</v>
      </c>
      <c r="K656" s="99">
        <f t="shared" si="40"/>
        <v>9.1954022988505139E-3</v>
      </c>
      <c r="L656" s="99">
        <f t="shared" si="41"/>
        <v>-8.2553035236885772E-3</v>
      </c>
      <c r="M656" s="3">
        <f>Prices!M656</f>
        <v>20.799999</v>
      </c>
      <c r="N656" s="99">
        <f t="shared" si="42"/>
        <v>6.7763310745401518E-3</v>
      </c>
      <c r="O656" s="99">
        <f t="shared" si="43"/>
        <v>-9.6532078023334655E-4</v>
      </c>
    </row>
    <row r="657" spans="9:15">
      <c r="I657" s="178">
        <f>Prices!A657</f>
        <v>42558</v>
      </c>
      <c r="J657" s="3">
        <f>Prices!E657</f>
        <v>13.05</v>
      </c>
      <c r="K657" s="99">
        <f t="shared" si="40"/>
        <v>-2.6119402985074598E-2</v>
      </c>
      <c r="L657" s="99">
        <f t="shared" si="41"/>
        <v>-1.0174700967823649E-2</v>
      </c>
      <c r="M657" s="3">
        <f>Prices!M657</f>
        <v>20.66</v>
      </c>
      <c r="N657" s="99">
        <f t="shared" si="42"/>
        <v>-8.1613058089293408E-3</v>
      </c>
      <c r="O657" s="99">
        <f t="shared" si="43"/>
        <v>-1.7712111312513407E-3</v>
      </c>
    </row>
    <row r="658" spans="9:15">
      <c r="I658" s="178">
        <f>Prices!A658</f>
        <v>42559</v>
      </c>
      <c r="J658" s="3">
        <f>Prices!E658</f>
        <v>13.4</v>
      </c>
      <c r="K658" s="99">
        <f t="shared" si="40"/>
        <v>-8.8757396449703572E-3</v>
      </c>
      <c r="L658" s="99">
        <f t="shared" si="41"/>
        <v>-7.8547891202175694E-3</v>
      </c>
      <c r="M658" s="3">
        <f>Prices!M658</f>
        <v>20.83</v>
      </c>
      <c r="N658" s="99">
        <f t="shared" si="42"/>
        <v>-8.0952380952381761E-3</v>
      </c>
      <c r="O658" s="99">
        <f t="shared" si="43"/>
        <v>-1.7800054980535989E-3</v>
      </c>
    </row>
    <row r="659" spans="9:15">
      <c r="I659" s="178">
        <f>Prices!A659</f>
        <v>42562</v>
      </c>
      <c r="J659" s="3">
        <f>Prices!E659</f>
        <v>13.52</v>
      </c>
      <c r="K659" s="99">
        <f t="shared" si="40"/>
        <v>-1.3858497447118983E-2</v>
      </c>
      <c r="L659" s="99">
        <f t="shared" si="41"/>
        <v>-6.7691536142206578E-3</v>
      </c>
      <c r="M659" s="3">
        <f>Prices!M659</f>
        <v>21</v>
      </c>
      <c r="N659" s="99">
        <f t="shared" si="42"/>
        <v>-8.4985835694050861E-3</v>
      </c>
      <c r="O659" s="99">
        <f t="shared" si="43"/>
        <v>-1.628702106957198E-3</v>
      </c>
    </row>
    <row r="660" spans="9:15">
      <c r="I660" s="178">
        <f>Prices!A660</f>
        <v>42563</v>
      </c>
      <c r="J660" s="3">
        <f>Prices!E660</f>
        <v>13.71</v>
      </c>
      <c r="K660" s="99">
        <f t="shared" si="40"/>
        <v>9.572901325478703E-3</v>
      </c>
      <c r="L660" s="99">
        <f t="shared" si="41"/>
        <v>-6.1723209904233209E-3</v>
      </c>
      <c r="M660" s="3">
        <f>Prices!M660</f>
        <v>21.18</v>
      </c>
      <c r="N660" s="99">
        <f t="shared" si="42"/>
        <v>-1.8849671010824115E-3</v>
      </c>
      <c r="O660" s="99">
        <f t="shared" si="43"/>
        <v>-1.0882971779095723E-3</v>
      </c>
    </row>
    <row r="661" spans="9:15">
      <c r="I661" s="178">
        <f>Prices!A661</f>
        <v>42564</v>
      </c>
      <c r="J661" s="3">
        <f>Prices!E661</f>
        <v>13.58</v>
      </c>
      <c r="K661" s="99">
        <f t="shared" si="40"/>
        <v>-4.3988269794721768E-3</v>
      </c>
      <c r="L661" s="99">
        <f t="shared" si="41"/>
        <v>-6.6829762999751048E-3</v>
      </c>
      <c r="M661" s="3">
        <f>Prices!M661</f>
        <v>21.219999000000001</v>
      </c>
      <c r="N661" s="99">
        <f t="shared" si="42"/>
        <v>-1.8815145813734795E-3</v>
      </c>
      <c r="O661" s="99">
        <f t="shared" si="43"/>
        <v>-1.1322316942595481E-3</v>
      </c>
    </row>
    <row r="662" spans="9:15">
      <c r="I662" s="178">
        <f>Prices!A662</f>
        <v>42565</v>
      </c>
      <c r="J662" s="3">
        <f>Prices!E662</f>
        <v>13.64</v>
      </c>
      <c r="K662" s="99">
        <f t="shared" si="40"/>
        <v>-7.7131258457374757E-2</v>
      </c>
      <c r="L662" s="99">
        <f t="shared" si="41"/>
        <v>-6.6861069713966522E-3</v>
      </c>
      <c r="M662" s="3">
        <f>Prices!M662</f>
        <v>21.26</v>
      </c>
      <c r="N662" s="99">
        <f t="shared" si="42"/>
        <v>9.416195856875296E-4</v>
      </c>
      <c r="O662" s="99">
        <f t="shared" si="43"/>
        <v>-8.3001998961899199E-4</v>
      </c>
    </row>
    <row r="663" spans="9:15">
      <c r="I663" s="178">
        <f>Prices!A663</f>
        <v>42566</v>
      </c>
      <c r="J663" s="3">
        <f>Prices!E663</f>
        <v>14.78</v>
      </c>
      <c r="K663" s="99">
        <f t="shared" si="40"/>
        <v>-1.1371237458193975E-2</v>
      </c>
      <c r="L663" s="99">
        <f t="shared" si="41"/>
        <v>-3.0516252668020289E-3</v>
      </c>
      <c r="M663" s="3">
        <f>Prices!M663</f>
        <v>21.24</v>
      </c>
      <c r="N663" s="99">
        <f t="shared" si="42"/>
        <v>-2.8168545923406498E-3</v>
      </c>
      <c r="O663" s="99">
        <f t="shared" si="43"/>
        <v>-9.4638272409967373E-4</v>
      </c>
    </row>
    <row r="664" spans="9:15">
      <c r="I664" s="178">
        <f>Prices!A664</f>
        <v>42569</v>
      </c>
      <c r="J664" s="3">
        <f>Prices!E664</f>
        <v>14.95</v>
      </c>
      <c r="K664" s="99">
        <f t="shared" si="40"/>
        <v>-1.5799868334430561E-2</v>
      </c>
      <c r="L664" s="99">
        <f t="shared" si="41"/>
        <v>-1.8078222363360631E-3</v>
      </c>
      <c r="M664" s="3">
        <f>Prices!M664</f>
        <v>21.299999</v>
      </c>
      <c r="N664" s="99">
        <f t="shared" si="42"/>
        <v>0</v>
      </c>
      <c r="O664" s="99">
        <f t="shared" si="43"/>
        <v>-5.9681781411519922E-4</v>
      </c>
    </row>
    <row r="665" spans="9:15">
      <c r="I665" s="178">
        <f>Prices!A665</f>
        <v>42570</v>
      </c>
      <c r="J665" s="3">
        <f>Prices!E665</f>
        <v>15.19</v>
      </c>
      <c r="K665" s="99">
        <f t="shared" si="40"/>
        <v>-3.8607594936708935E-2</v>
      </c>
      <c r="L665" s="99">
        <f t="shared" si="41"/>
        <v>6.627104897942039E-5</v>
      </c>
      <c r="M665" s="3">
        <f>Prices!M665</f>
        <v>21.299999</v>
      </c>
      <c r="N665" s="99">
        <f t="shared" si="42"/>
        <v>-1.4065166432254391E-3</v>
      </c>
      <c r="O665" s="99">
        <f t="shared" si="43"/>
        <v>-5.9681781411519922E-4</v>
      </c>
    </row>
    <row r="666" spans="9:15">
      <c r="I666" s="178">
        <f>Prices!A666</f>
        <v>42571</v>
      </c>
      <c r="J666" s="3">
        <f>Prices!E666</f>
        <v>15.8</v>
      </c>
      <c r="K666" s="99">
        <f t="shared" si="40"/>
        <v>2.1331609566903689E-2</v>
      </c>
      <c r="L666" s="99">
        <f t="shared" si="41"/>
        <v>2.5614348489710137E-3</v>
      </c>
      <c r="M666" s="3">
        <f>Prices!M666</f>
        <v>21.33</v>
      </c>
      <c r="N666" s="99">
        <f t="shared" si="42"/>
        <v>-4.6860356138713979E-4</v>
      </c>
      <c r="O666" s="99">
        <f t="shared" si="43"/>
        <v>-4.5682640228209481E-4</v>
      </c>
    </row>
    <row r="667" spans="9:15">
      <c r="I667" s="178">
        <f>Prices!A667</f>
        <v>42572</v>
      </c>
      <c r="J667" s="3">
        <f>Prices!E667</f>
        <v>15.47</v>
      </c>
      <c r="K667" s="99">
        <f t="shared" si="40"/>
        <v>5.8517555266579882E-3</v>
      </c>
      <c r="L667" s="99">
        <f t="shared" si="41"/>
        <v>2.0321277084364409E-3</v>
      </c>
      <c r="M667" s="3">
        <f>Prices!M667</f>
        <v>21.34</v>
      </c>
      <c r="N667" s="99">
        <f t="shared" si="42"/>
        <v>-3.734827264239115E-3</v>
      </c>
      <c r="O667" s="99">
        <f t="shared" si="43"/>
        <v>-4.3339622421273785E-4</v>
      </c>
    </row>
    <row r="668" spans="9:15">
      <c r="I668" s="178">
        <f>Prices!A668</f>
        <v>42573</v>
      </c>
      <c r="J668" s="3">
        <f>Prices!E668</f>
        <v>15.38</v>
      </c>
      <c r="K668" s="99">
        <f t="shared" si="40"/>
        <v>-2.6582278481012654E-2</v>
      </c>
      <c r="L668" s="99">
        <f t="shared" si="41"/>
        <v>2.4547987876893758E-3</v>
      </c>
      <c r="M668" s="3">
        <f>Prices!M668</f>
        <v>21.42</v>
      </c>
      <c r="N668" s="99">
        <f t="shared" si="42"/>
        <v>7.0521861777151917E-3</v>
      </c>
      <c r="O668" s="99">
        <f t="shared" si="43"/>
        <v>-5.008092165532036E-4</v>
      </c>
    </row>
    <row r="669" spans="9:15">
      <c r="I669" s="178">
        <f>Prices!A669</f>
        <v>42576</v>
      </c>
      <c r="J669" s="3">
        <f>Prices!E669</f>
        <v>15.8</v>
      </c>
      <c r="K669" s="99">
        <f t="shared" si="40"/>
        <v>2.4643320363164772E-2</v>
      </c>
      <c r="L669" s="99">
        <f t="shared" si="41"/>
        <v>2.6846455565101611E-3</v>
      </c>
      <c r="M669" s="3">
        <f>Prices!M669</f>
        <v>21.27</v>
      </c>
      <c r="N669" s="99">
        <f t="shared" si="42"/>
        <v>-3.7470725995317022E-3</v>
      </c>
      <c r="O669" s="99">
        <f t="shared" si="43"/>
        <v>-9.9167197528903656E-4</v>
      </c>
    </row>
    <row r="670" spans="9:15">
      <c r="I670" s="178">
        <f>Prices!A670</f>
        <v>42577</v>
      </c>
      <c r="J670" s="3">
        <f>Prices!E670</f>
        <v>15.42</v>
      </c>
      <c r="K670" s="99">
        <f t="shared" si="40"/>
        <v>-1.9083969465648901E-2</v>
      </c>
      <c r="L670" s="99">
        <f t="shared" si="41"/>
        <v>1.3527454957987333E-3</v>
      </c>
      <c r="M670" s="3">
        <f>Prices!M670</f>
        <v>21.35</v>
      </c>
      <c r="N670" s="99">
        <f t="shared" si="42"/>
        <v>9.3764650726690707E-4</v>
      </c>
      <c r="O670" s="99">
        <f t="shared" si="43"/>
        <v>-5.5950677007137598E-5</v>
      </c>
    </row>
    <row r="671" spans="9:15">
      <c r="I671" s="178">
        <f>Prices!A671</f>
        <v>42578</v>
      </c>
      <c r="J671" s="3">
        <f>Prices!E671</f>
        <v>15.72</v>
      </c>
      <c r="K671" s="99">
        <f t="shared" si="40"/>
        <v>7.6923076923077561E-3</v>
      </c>
      <c r="L671" s="99">
        <f t="shared" si="41"/>
        <v>2.240542906664175E-3</v>
      </c>
      <c r="M671" s="3">
        <f>Prices!M671</f>
        <v>21.33</v>
      </c>
      <c r="N671" s="99">
        <f t="shared" si="42"/>
        <v>-4.6860356138713979E-4</v>
      </c>
      <c r="O671" s="99">
        <f t="shared" si="43"/>
        <v>-5.6021206809235038E-5</v>
      </c>
    </row>
    <row r="672" spans="9:15">
      <c r="I672" s="178">
        <f>Prices!A672</f>
        <v>42579</v>
      </c>
      <c r="J672" s="3">
        <f>Prices!E672</f>
        <v>15.6</v>
      </c>
      <c r="K672" s="99">
        <f t="shared" si="40"/>
        <v>6.4516129032257839E-3</v>
      </c>
      <c r="L672" s="99">
        <f t="shared" si="41"/>
        <v>2.5971674142320779E-3</v>
      </c>
      <c r="M672" s="3">
        <f>Prices!M672</f>
        <v>21.34</v>
      </c>
      <c r="N672" s="99">
        <f t="shared" si="42"/>
        <v>-4.6838407494152517E-4</v>
      </c>
      <c r="O672" s="99">
        <f t="shared" si="43"/>
        <v>-7.9359038410975312E-5</v>
      </c>
    </row>
    <row r="673" spans="9:15">
      <c r="I673" s="178">
        <f>Prices!A673</f>
        <v>42580</v>
      </c>
      <c r="J673" s="3">
        <f>Prices!E673</f>
        <v>15.5</v>
      </c>
      <c r="K673" s="99">
        <f t="shared" si="40"/>
        <v>-1.3994910941475867E-2</v>
      </c>
      <c r="L673" s="99">
        <f t="shared" si="41"/>
        <v>1.906693792482162E-3</v>
      </c>
      <c r="M673" s="3">
        <f>Prices!M673</f>
        <v>21.35</v>
      </c>
      <c r="N673" s="99">
        <f t="shared" si="42"/>
        <v>8.0264400377715629E-3</v>
      </c>
      <c r="O673" s="99">
        <f t="shared" si="43"/>
        <v>-2.1911465223150404E-4</v>
      </c>
    </row>
    <row r="674" spans="9:15">
      <c r="I674" s="178">
        <f>Prices!A674</f>
        <v>42584</v>
      </c>
      <c r="J674" s="3">
        <f>Prices!E674</f>
        <v>15.72</v>
      </c>
      <c r="K674" s="99">
        <f t="shared" si="40"/>
        <v>1.8134715025906811E-2</v>
      </c>
      <c r="L674" s="99">
        <f t="shared" si="41"/>
        <v>2.7405775018631289E-3</v>
      </c>
      <c r="M674" s="3">
        <f>Prices!M674</f>
        <v>21.18</v>
      </c>
      <c r="N674" s="99">
        <f t="shared" si="42"/>
        <v>-3.2941176470588371E-3</v>
      </c>
      <c r="O674" s="99">
        <f t="shared" si="43"/>
        <v>-7.1350087003445653E-4</v>
      </c>
    </row>
    <row r="675" spans="9:15">
      <c r="I675" s="178">
        <f>Prices!A675</f>
        <v>42585</v>
      </c>
      <c r="J675" s="3">
        <f>Prices!E675</f>
        <v>15.44</v>
      </c>
      <c r="K675" s="99">
        <f t="shared" si="40"/>
        <v>-1.2156110044785749E-2</v>
      </c>
      <c r="L675" s="99">
        <f t="shared" si="41"/>
        <v>7.8328364157238361E-4</v>
      </c>
      <c r="M675" s="3">
        <f>Prices!M675</f>
        <v>21.25</v>
      </c>
      <c r="N675" s="99">
        <f t="shared" si="42"/>
        <v>1.8859501124917628E-3</v>
      </c>
      <c r="O675" s="99">
        <f t="shared" si="43"/>
        <v>-1.7373638477481001E-4</v>
      </c>
    </row>
    <row r="676" spans="9:15">
      <c r="I676" s="178">
        <f>Prices!A676</f>
        <v>42586</v>
      </c>
      <c r="J676" s="3">
        <f>Prices!E676</f>
        <v>15.63</v>
      </c>
      <c r="K676" s="99">
        <f t="shared" si="40"/>
        <v>-2.9192546583850967E-2</v>
      </c>
      <c r="L676" s="99">
        <f t="shared" si="41"/>
        <v>-5.0404667425528915E-4</v>
      </c>
      <c r="M676" s="3">
        <f>Prices!M676</f>
        <v>21.209999</v>
      </c>
      <c r="N676" s="99">
        <f t="shared" si="42"/>
        <v>-9.3414759458197247E-3</v>
      </c>
      <c r="O676" s="99">
        <f t="shared" si="43"/>
        <v>-5.477564880813331E-4</v>
      </c>
    </row>
    <row r="677" spans="9:15">
      <c r="I677" s="178">
        <f>Prices!A677</f>
        <v>42587</v>
      </c>
      <c r="J677" s="3">
        <f>Prices!E677</f>
        <v>16.100000000000001</v>
      </c>
      <c r="K677" s="99">
        <f t="shared" si="40"/>
        <v>2.0278833967047025E-2</v>
      </c>
      <c r="L677" s="99">
        <f t="shared" si="41"/>
        <v>-2.4663581868891482E-4</v>
      </c>
      <c r="M677" s="3">
        <f>Prices!M677</f>
        <v>21.41</v>
      </c>
      <c r="N677" s="99">
        <f t="shared" si="42"/>
        <v>-8.337193144974513E-3</v>
      </c>
      <c r="O677" s="99">
        <f t="shared" si="43"/>
        <v>-4.2790259819775676E-4</v>
      </c>
    </row>
    <row r="678" spans="9:15">
      <c r="I678" s="178">
        <f>Prices!A678</f>
        <v>42590</v>
      </c>
      <c r="J678" s="3">
        <f>Prices!E678</f>
        <v>15.78</v>
      </c>
      <c r="K678" s="99">
        <f t="shared" si="40"/>
        <v>1.2836970474967862E-2</v>
      </c>
      <c r="L678" s="99">
        <f t="shared" si="41"/>
        <v>-4.1418566751147846E-4</v>
      </c>
      <c r="M678" s="3">
        <f>Prices!M678</f>
        <v>21.59</v>
      </c>
      <c r="N678" s="99">
        <f t="shared" si="42"/>
        <v>-5.0691702733101467E-3</v>
      </c>
      <c r="O678" s="99">
        <f t="shared" si="43"/>
        <v>-1.1042940949031057E-5</v>
      </c>
    </row>
    <row r="679" spans="9:15">
      <c r="I679" s="178">
        <f>Prices!A679</f>
        <v>42591</v>
      </c>
      <c r="J679" s="3">
        <f>Prices!E679</f>
        <v>15.58</v>
      </c>
      <c r="K679" s="99">
        <f t="shared" si="40"/>
        <v>-1.9218449711722845E-3</v>
      </c>
      <c r="L679" s="99">
        <f t="shared" si="41"/>
        <v>1.1022391900350928E-3</v>
      </c>
      <c r="M679" s="3">
        <f>Prices!M679</f>
        <v>21.700001</v>
      </c>
      <c r="N679" s="99">
        <f t="shared" si="42"/>
        <v>2.3095150115474247E-3</v>
      </c>
      <c r="O679" s="99">
        <f t="shared" si="43"/>
        <v>2.8875477568219253E-4</v>
      </c>
    </row>
    <row r="680" spans="9:15">
      <c r="I680" s="178">
        <f>Prices!A680</f>
        <v>42592</v>
      </c>
      <c r="J680" s="3">
        <f>Prices!E680</f>
        <v>15.61</v>
      </c>
      <c r="K680" s="99">
        <f t="shared" si="40"/>
        <v>-6.4020486555696466E-4</v>
      </c>
      <c r="L680" s="99">
        <f t="shared" si="41"/>
        <v>2.1989985500013081E-3</v>
      </c>
      <c r="M680" s="3">
        <f>Prices!M680</f>
        <v>21.65</v>
      </c>
      <c r="N680" s="99">
        <f t="shared" si="42"/>
        <v>-2.7636574280819289E-3</v>
      </c>
      <c r="O680" s="99">
        <f t="shared" si="43"/>
        <v>1.732790251048213E-4</v>
      </c>
    </row>
    <row r="681" spans="9:15">
      <c r="I681" s="178">
        <f>Prices!A681</f>
        <v>42593</v>
      </c>
      <c r="J681" s="3">
        <f>Prices!E681</f>
        <v>15.62</v>
      </c>
      <c r="K681" s="99">
        <f t="shared" si="40"/>
        <v>-4.4614404079031415E-3</v>
      </c>
      <c r="L681" s="99">
        <f t="shared" si="41"/>
        <v>4.171410733681098E-3</v>
      </c>
      <c r="M681" s="3">
        <f>Prices!M681</f>
        <v>21.709999</v>
      </c>
      <c r="N681" s="99">
        <f t="shared" si="42"/>
        <v>4.1627195114376436E-3</v>
      </c>
      <c r="O681" s="99">
        <f t="shared" si="43"/>
        <v>1.1597206546737906E-3</v>
      </c>
    </row>
    <row r="682" spans="9:15">
      <c r="I682" s="178">
        <f>Prices!A682</f>
        <v>42594</v>
      </c>
      <c r="J682" s="3">
        <f>Prices!E682</f>
        <v>15.69</v>
      </c>
      <c r="K682" s="99">
        <f t="shared" si="40"/>
        <v>-4.441624365482252E-3</v>
      </c>
      <c r="L682" s="99">
        <f t="shared" si="41"/>
        <v>4.1531034437314266E-3</v>
      </c>
      <c r="M682" s="3">
        <f>Prices!M682</f>
        <v>21.620000999999998</v>
      </c>
      <c r="N682" s="99">
        <f t="shared" si="42"/>
        <v>-1.3856351039261022E-3</v>
      </c>
      <c r="O682" s="99">
        <f t="shared" si="43"/>
        <v>7.4041620368339755E-4</v>
      </c>
    </row>
    <row r="683" spans="9:15">
      <c r="I683" s="178">
        <f>Prices!A683</f>
        <v>42597</v>
      </c>
      <c r="J683" s="3">
        <f>Prices!E683</f>
        <v>15.76</v>
      </c>
      <c r="K683" s="99">
        <f t="shared" si="40"/>
        <v>1.3504823151125342E-2</v>
      </c>
      <c r="L683" s="99">
        <f t="shared" si="41"/>
        <v>4.8626498430640371E-3</v>
      </c>
      <c r="M683" s="3">
        <f>Prices!M683</f>
        <v>21.65</v>
      </c>
      <c r="N683" s="99">
        <f t="shared" si="42"/>
        <v>4.1744436073488378E-3</v>
      </c>
      <c r="O683" s="99">
        <f t="shared" si="43"/>
        <v>1.6688816887516032E-3</v>
      </c>
    </row>
    <row r="684" spans="9:15">
      <c r="I684" s="178">
        <f>Prices!A684</f>
        <v>42598</v>
      </c>
      <c r="J684" s="3">
        <f>Prices!E684</f>
        <v>15.55</v>
      </c>
      <c r="K684" s="99">
        <f t="shared" si="40"/>
        <v>2.1681997371879109E-2</v>
      </c>
      <c r="L684" s="99">
        <f t="shared" si="41"/>
        <v>3.670523778547053E-3</v>
      </c>
      <c r="M684" s="3">
        <f>Prices!M684</f>
        <v>21.559999000000001</v>
      </c>
      <c r="N684" s="99">
        <f t="shared" si="42"/>
        <v>0</v>
      </c>
      <c r="O684" s="99">
        <f t="shared" si="43"/>
        <v>1.38866522811724E-3</v>
      </c>
    </row>
    <row r="685" spans="9:15">
      <c r="I685" s="178">
        <f>Prices!A685</f>
        <v>42599</v>
      </c>
      <c r="J685" s="3">
        <f>Prices!E685</f>
        <v>15.22</v>
      </c>
      <c r="K685" s="99">
        <f t="shared" si="40"/>
        <v>1.1295681063122918E-2</v>
      </c>
      <c r="L685" s="99">
        <f t="shared" si="41"/>
        <v>2.6554370224444691E-3</v>
      </c>
      <c r="M685" s="3">
        <f>Prices!M685</f>
        <v>21.559999000000001</v>
      </c>
      <c r="N685" s="99">
        <f t="shared" si="42"/>
        <v>1.3933115934366485E-3</v>
      </c>
      <c r="O685" s="99">
        <f t="shared" si="43"/>
        <v>8.2316331645362266E-4</v>
      </c>
    </row>
    <row r="686" spans="9:15">
      <c r="I686" s="178">
        <f>Prices!A686</f>
        <v>42600</v>
      </c>
      <c r="J686" s="3">
        <f>Prices!E686</f>
        <v>15.05</v>
      </c>
      <c r="K686" s="99">
        <f t="shared" si="40"/>
        <v>1.0745466756212232E-2</v>
      </c>
      <c r="L686" s="99">
        <f t="shared" si="41"/>
        <v>2.2290612737865959E-3</v>
      </c>
      <c r="M686" s="3">
        <f>Prices!M686</f>
        <v>21.530000999999999</v>
      </c>
      <c r="N686" s="99">
        <f t="shared" si="42"/>
        <v>0</v>
      </c>
      <c r="O686" s="99">
        <f t="shared" si="43"/>
        <v>9.1898000628534303E-4</v>
      </c>
    </row>
    <row r="687" spans="9:15">
      <c r="I687" s="178">
        <f>Prices!A687</f>
        <v>42601</v>
      </c>
      <c r="J687" s="3">
        <f>Prices!E687</f>
        <v>14.89</v>
      </c>
      <c r="K687" s="99">
        <f t="shared" si="40"/>
        <v>1.430517711171668E-2</v>
      </c>
      <c r="L687" s="99">
        <f t="shared" si="41"/>
        <v>1.7264139747571472E-3</v>
      </c>
      <c r="M687" s="3">
        <f>Prices!M687</f>
        <v>21.530000999999999</v>
      </c>
      <c r="N687" s="99">
        <f t="shared" si="42"/>
        <v>-5.0830871110484309E-3</v>
      </c>
      <c r="O687" s="99">
        <f t="shared" si="43"/>
        <v>8.0105312505547479E-4</v>
      </c>
    </row>
    <row r="688" spans="9:15">
      <c r="I688" s="178">
        <f>Prices!A688</f>
        <v>42604</v>
      </c>
      <c r="J688" s="3">
        <f>Prices!E688</f>
        <v>14.68</v>
      </c>
      <c r="K688" s="99">
        <f t="shared" si="40"/>
        <v>-2.198534310459694E-2</v>
      </c>
      <c r="L688" s="99">
        <f t="shared" si="41"/>
        <v>1.5713792088071683E-3</v>
      </c>
      <c r="M688" s="3">
        <f>Prices!M688</f>
        <v>21.639999</v>
      </c>
      <c r="N688" s="99">
        <f t="shared" si="42"/>
        <v>-2.7650689970014643E-3</v>
      </c>
      <c r="O688" s="99">
        <f t="shared" si="43"/>
        <v>9.8455510189852284E-4</v>
      </c>
    </row>
    <row r="689" spans="9:15">
      <c r="I689" s="178">
        <f>Prices!A689</f>
        <v>42605</v>
      </c>
      <c r="J689" s="3">
        <f>Prices!E689</f>
        <v>15.01</v>
      </c>
      <c r="K689" s="99">
        <f t="shared" si="40"/>
        <v>-1.9946808510637876E-3</v>
      </c>
      <c r="L689" s="99">
        <f t="shared" si="41"/>
        <v>2.392094832003588E-3</v>
      </c>
      <c r="M689" s="3">
        <f>Prices!M689</f>
        <v>21.700001</v>
      </c>
      <c r="N689" s="99">
        <f t="shared" si="42"/>
        <v>1.4967353366106273E-2</v>
      </c>
      <c r="O689" s="99">
        <f t="shared" si="43"/>
        <v>5.1787602499196955E-4</v>
      </c>
    </row>
    <row r="690" spans="9:15">
      <c r="I690" s="178">
        <f>Prices!A690</f>
        <v>42606</v>
      </c>
      <c r="J690" s="3">
        <f>Prices!E690</f>
        <v>15.04</v>
      </c>
      <c r="K690" s="99">
        <f t="shared" si="40"/>
        <v>-1.3280212483400631E-3</v>
      </c>
      <c r="L690" s="99">
        <f t="shared" si="41"/>
        <v>1.6026359880998704E-3</v>
      </c>
      <c r="M690" s="3">
        <f>Prices!M690</f>
        <v>21.379999000000002</v>
      </c>
      <c r="N690" s="99">
        <f t="shared" si="42"/>
        <v>9.3623591122496061E-4</v>
      </c>
      <c r="O690" s="99">
        <f t="shared" si="43"/>
        <v>-5.0814318067329627E-4</v>
      </c>
    </row>
    <row r="691" spans="9:15">
      <c r="I691" s="178">
        <f>Prices!A691</f>
        <v>42607</v>
      </c>
      <c r="J691" s="3">
        <f>Prices!E691</f>
        <v>15.06</v>
      </c>
      <c r="K691" s="99">
        <f t="shared" si="40"/>
        <v>1.4824797843665811E-2</v>
      </c>
      <c r="L691" s="99">
        <f t="shared" si="41"/>
        <v>2.15246246488151E-3</v>
      </c>
      <c r="M691" s="3">
        <f>Prices!M691</f>
        <v>21.360001</v>
      </c>
      <c r="N691" s="99">
        <f t="shared" si="42"/>
        <v>-9.3536019342194869E-4</v>
      </c>
      <c r="O691" s="99">
        <f t="shared" si="43"/>
        <v>-2.7575302183714543E-4</v>
      </c>
    </row>
    <row r="692" spans="9:15">
      <c r="I692" s="178">
        <f>Prices!A692</f>
        <v>42608</v>
      </c>
      <c r="J692" s="3">
        <f>Prices!E692</f>
        <v>14.84</v>
      </c>
      <c r="K692" s="99">
        <f t="shared" si="40"/>
        <v>-7.3578595317725379E-3</v>
      </c>
      <c r="L692" s="99">
        <f t="shared" si="41"/>
        <v>2.1826110719969597E-3</v>
      </c>
      <c r="M692" s="3">
        <f>Prices!M692</f>
        <v>21.379999000000002</v>
      </c>
      <c r="N692" s="99">
        <f t="shared" si="42"/>
        <v>-3.2634963513520948E-3</v>
      </c>
      <c r="O692" s="99">
        <f t="shared" si="43"/>
        <v>-1.8704638334272623E-5</v>
      </c>
    </row>
    <row r="693" spans="9:15">
      <c r="I693" s="178">
        <f>Prices!A693</f>
        <v>42611</v>
      </c>
      <c r="J693" s="3">
        <f>Prices!E693</f>
        <v>14.95</v>
      </c>
      <c r="K693" s="99">
        <f t="shared" si="40"/>
        <v>2.6827632461434705E-3</v>
      </c>
      <c r="L693" s="99">
        <f t="shared" si="41"/>
        <v>2.7264364905278766E-3</v>
      </c>
      <c r="M693" s="3">
        <f>Prices!M693</f>
        <v>21.450001</v>
      </c>
      <c r="N693" s="99">
        <f t="shared" si="42"/>
        <v>-1.8612843182874883E-3</v>
      </c>
      <c r="O693" s="99">
        <f t="shared" si="43"/>
        <v>3.3208744002132077E-4</v>
      </c>
    </row>
    <row r="694" spans="9:15">
      <c r="I694" s="178">
        <f>Prices!A694</f>
        <v>42612</v>
      </c>
      <c r="J694" s="3">
        <f>Prices!E694</f>
        <v>14.91</v>
      </c>
      <c r="K694" s="99">
        <f t="shared" si="40"/>
        <v>-2.1011162179908095E-2</v>
      </c>
      <c r="L694" s="99">
        <f t="shared" si="41"/>
        <v>2.347200289005022E-3</v>
      </c>
      <c r="M694" s="3">
        <f>Prices!M694</f>
        <v>21.49</v>
      </c>
      <c r="N694" s="99">
        <f t="shared" si="42"/>
        <v>7.5011720581340908E-3</v>
      </c>
      <c r="O694" s="99">
        <f t="shared" si="43"/>
        <v>-2.0013782993739336E-4</v>
      </c>
    </row>
    <row r="695" spans="9:15">
      <c r="I695" s="178">
        <f>Prices!A695</f>
        <v>42613</v>
      </c>
      <c r="J695" s="3">
        <f>Prices!E695</f>
        <v>15.23</v>
      </c>
      <c r="K695" s="99">
        <f t="shared" si="40"/>
        <v>-3.7902716361339205E-2</v>
      </c>
      <c r="L695" s="99">
        <f t="shared" si="41"/>
        <v>3.7503677068861799E-3</v>
      </c>
      <c r="M695" s="3">
        <f>Prices!M695</f>
        <v>21.33</v>
      </c>
      <c r="N695" s="99">
        <f t="shared" si="42"/>
        <v>-5.5944519536386978E-3</v>
      </c>
      <c r="O695" s="99">
        <f t="shared" si="43"/>
        <v>-6.4457894582362692E-4</v>
      </c>
    </row>
    <row r="696" spans="9:15">
      <c r="I696" s="178">
        <f>Prices!A696</f>
        <v>42614</v>
      </c>
      <c r="J696" s="3">
        <f>Prices!E696</f>
        <v>15.83</v>
      </c>
      <c r="K696" s="99">
        <f t="shared" si="40"/>
        <v>-2.4044329472523475E-2</v>
      </c>
      <c r="L696" s="99">
        <f t="shared" si="41"/>
        <v>4.3071370184328923E-3</v>
      </c>
      <c r="M696" s="3">
        <f>Prices!M696</f>
        <v>21.450001</v>
      </c>
      <c r="N696" s="99">
        <f t="shared" si="42"/>
        <v>-6.9443981481481986E-3</v>
      </c>
      <c r="O696" s="99">
        <f t="shared" si="43"/>
        <v>-3.1855773703058784E-4</v>
      </c>
    </row>
    <row r="697" spans="9:15">
      <c r="I697" s="178">
        <f>Prices!A697</f>
        <v>42615</v>
      </c>
      <c r="J697" s="3">
        <f>Prices!E697</f>
        <v>16.219999000000001</v>
      </c>
      <c r="K697" s="99">
        <f t="shared" si="40"/>
        <v>1.6927836990595743E-2</v>
      </c>
      <c r="L697" s="99">
        <f t="shared" si="41"/>
        <v>6.8483245984720361E-3</v>
      </c>
      <c r="M697" s="3">
        <f>Prices!M697</f>
        <v>21.6</v>
      </c>
      <c r="N697" s="99">
        <f t="shared" si="42"/>
        <v>0</v>
      </c>
      <c r="O697" s="99">
        <f t="shared" si="43"/>
        <v>1.6793560866496619E-4</v>
      </c>
    </row>
    <row r="698" spans="9:15">
      <c r="I698" s="178">
        <f>Prices!A698</f>
        <v>42619</v>
      </c>
      <c r="J698" s="3">
        <f>Prices!E698</f>
        <v>15.95</v>
      </c>
      <c r="K698" s="99">
        <f t="shared" si="40"/>
        <v>4.316546762589929E-2</v>
      </c>
      <c r="L698" s="99">
        <f t="shared" si="41"/>
        <v>7.0818463558536921E-3</v>
      </c>
      <c r="M698" s="3">
        <f>Prices!M698</f>
        <v>21.6</v>
      </c>
      <c r="N698" s="99">
        <f t="shared" si="42"/>
        <v>9.2678405931432477E-4</v>
      </c>
      <c r="O698" s="99">
        <f t="shared" si="43"/>
        <v>6.3654151306984043E-4</v>
      </c>
    </row>
    <row r="699" spans="9:15">
      <c r="I699" s="178">
        <f>Prices!A699</f>
        <v>42620</v>
      </c>
      <c r="J699" s="3">
        <f>Prices!E699</f>
        <v>15.29</v>
      </c>
      <c r="K699" s="99">
        <f t="shared" si="40"/>
        <v>2.0013342228152028E-2</v>
      </c>
      <c r="L699" s="99">
        <f t="shared" si="41"/>
        <v>4.5307158317015855E-3</v>
      </c>
      <c r="M699" s="3">
        <f>Prices!M699</f>
        <v>21.58</v>
      </c>
      <c r="N699" s="99">
        <f t="shared" si="42"/>
        <v>0</v>
      </c>
      <c r="O699" s="99">
        <f t="shared" si="43"/>
        <v>2.1810928684830997E-4</v>
      </c>
    </row>
    <row r="700" spans="9:15">
      <c r="I700" s="178">
        <f>Prices!A700</f>
        <v>42621</v>
      </c>
      <c r="J700" s="3">
        <f>Prices!E700</f>
        <v>14.99</v>
      </c>
      <c r="K700" s="99">
        <f t="shared" si="40"/>
        <v>3.880803880803884E-2</v>
      </c>
      <c r="L700" s="99">
        <f t="shared" si="41"/>
        <v>2.1411598314050933E-3</v>
      </c>
      <c r="M700" s="3">
        <f>Prices!M700</f>
        <v>21.58</v>
      </c>
      <c r="N700" s="99">
        <f t="shared" si="42"/>
        <v>1.6965175163297458E-2</v>
      </c>
      <c r="O700" s="99">
        <f t="shared" si="43"/>
        <v>2.8797654673965557E-4</v>
      </c>
    </row>
    <row r="701" spans="9:15">
      <c r="I701" s="178">
        <f>Prices!A701</f>
        <v>42622</v>
      </c>
      <c r="J701" s="3">
        <f>Prices!E701</f>
        <v>14.43</v>
      </c>
      <c r="K701" s="99">
        <f t="shared" si="40"/>
        <v>-4.8275862068965711E-3</v>
      </c>
      <c r="L701" s="99">
        <f t="shared" si="41"/>
        <v>2.3550424263622978E-4</v>
      </c>
      <c r="M701" s="3">
        <f>Prices!M701</f>
        <v>21.219999000000001</v>
      </c>
      <c r="N701" s="99">
        <f t="shared" si="42"/>
        <v>-4.2233695083702186E-3</v>
      </c>
      <c r="O701" s="99">
        <f t="shared" si="43"/>
        <v>-4.4357119368478818E-4</v>
      </c>
    </row>
    <row r="702" spans="9:15">
      <c r="I702" s="178">
        <f>Prices!A702</f>
        <v>42625</v>
      </c>
      <c r="J702" s="3">
        <f>Prices!E702</f>
        <v>14.5</v>
      </c>
      <c r="K702" s="99">
        <f t="shared" si="40"/>
        <v>9.7493036211699566E-3</v>
      </c>
      <c r="L702" s="99">
        <f t="shared" si="41"/>
        <v>1.1458976374881056E-3</v>
      </c>
      <c r="M702" s="3">
        <f>Prices!M702</f>
        <v>21.309999000000001</v>
      </c>
      <c r="N702" s="99">
        <f t="shared" si="42"/>
        <v>1.7183674597438012E-2</v>
      </c>
      <c r="O702" s="99">
        <f t="shared" si="43"/>
        <v>-2.3240271826627758E-4</v>
      </c>
    </row>
    <row r="703" spans="9:15">
      <c r="I703" s="178">
        <f>Prices!A703</f>
        <v>42626</v>
      </c>
      <c r="J703" s="3">
        <f>Prices!E703</f>
        <v>14.36</v>
      </c>
      <c r="K703" s="99">
        <f t="shared" si="40"/>
        <v>-1.033769813921436E-2</v>
      </c>
      <c r="L703" s="99">
        <f t="shared" si="41"/>
        <v>1.0487802208015006E-3</v>
      </c>
      <c r="M703" s="3">
        <f>Prices!M703</f>
        <v>20.950001</v>
      </c>
      <c r="N703" s="99">
        <f t="shared" si="42"/>
        <v>-1.4298856053384227E-3</v>
      </c>
      <c r="O703" s="99">
        <f t="shared" si="43"/>
        <v>-1.2776329597660812E-3</v>
      </c>
    </row>
    <row r="704" spans="9:15">
      <c r="I704" s="178">
        <f>Prices!A704</f>
        <v>42627</v>
      </c>
      <c r="J704" s="3">
        <f>Prices!E704</f>
        <v>14.51</v>
      </c>
      <c r="K704" s="99">
        <f t="shared" si="40"/>
        <v>1.3802622498274378E-3</v>
      </c>
      <c r="L704" s="99">
        <f t="shared" si="41"/>
        <v>2.5794232740330349E-3</v>
      </c>
      <c r="M704" s="3">
        <f>Prices!M704</f>
        <v>20.98</v>
      </c>
      <c r="N704" s="99">
        <f t="shared" si="42"/>
        <v>-1.1310038233272346E-2</v>
      </c>
      <c r="O704" s="99">
        <f t="shared" si="43"/>
        <v>-1.2989915071290198E-3</v>
      </c>
    </row>
    <row r="705" spans="9:15">
      <c r="I705" s="178">
        <f>Prices!A705</f>
        <v>42628</v>
      </c>
      <c r="J705" s="3">
        <f>Prices!E705</f>
        <v>14.49</v>
      </c>
      <c r="K705" s="99">
        <f t="shared" si="40"/>
        <v>2.768166089965462E-3</v>
      </c>
      <c r="L705" s="99">
        <f t="shared" si="41"/>
        <v>3.1707183053421018E-3</v>
      </c>
      <c r="M705" s="3">
        <f>Prices!M705</f>
        <v>21.219999000000001</v>
      </c>
      <c r="N705" s="99">
        <f t="shared" si="42"/>
        <v>3.3096453900710548E-3</v>
      </c>
      <c r="O705" s="99">
        <f t="shared" si="43"/>
        <v>-5.2369939545562189E-4</v>
      </c>
    </row>
    <row r="706" spans="9:15">
      <c r="I706" s="178">
        <f>Prices!A706</f>
        <v>42629</v>
      </c>
      <c r="J706" s="3">
        <f>Prices!E706</f>
        <v>14.45</v>
      </c>
      <c r="K706" s="99">
        <f t="shared" si="40"/>
        <v>6.9252077562325395E-4</v>
      </c>
      <c r="L706" s="99">
        <f t="shared" si="41"/>
        <v>3.6262223987651352E-3</v>
      </c>
      <c r="M706" s="3">
        <f>Prices!M706</f>
        <v>21.15</v>
      </c>
      <c r="N706" s="99">
        <f t="shared" si="42"/>
        <v>-2.3585376245973638E-3</v>
      </c>
      <c r="O706" s="99">
        <f t="shared" si="43"/>
        <v>-6.891816649591745E-4</v>
      </c>
    </row>
    <row r="707" spans="9:15">
      <c r="I707" s="178">
        <f>Prices!A707</f>
        <v>42632</v>
      </c>
      <c r="J707" s="3">
        <f>Prices!E707</f>
        <v>14.44</v>
      </c>
      <c r="K707" s="99">
        <f t="shared" si="40"/>
        <v>1.1204481792717097E-2</v>
      </c>
      <c r="L707" s="99">
        <f t="shared" si="41"/>
        <v>2.6805176427828069E-3</v>
      </c>
      <c r="M707" s="3">
        <f>Prices!M707</f>
        <v>21.200001</v>
      </c>
      <c r="N707" s="99">
        <f t="shared" si="42"/>
        <v>-1.4130475741874757E-3</v>
      </c>
      <c r="O707" s="99">
        <f t="shared" si="43"/>
        <v>-1.1245051040036081E-3</v>
      </c>
    </row>
    <row r="708" spans="9:15">
      <c r="I708" s="178">
        <f>Prices!A708</f>
        <v>42633</v>
      </c>
      <c r="J708" s="3">
        <f>Prices!E708</f>
        <v>14.28</v>
      </c>
      <c r="K708" s="99">
        <f t="shared" si="40"/>
        <v>-5.5710306406685289E-3</v>
      </c>
      <c r="L708" s="99">
        <f t="shared" si="41"/>
        <v>2.5985864155457774E-3</v>
      </c>
      <c r="M708" s="3">
        <f>Prices!M708</f>
        <v>21.23</v>
      </c>
      <c r="N708" s="99">
        <f t="shared" si="42"/>
        <v>-1.2098650535132528E-2</v>
      </c>
      <c r="O708" s="99">
        <f t="shared" si="43"/>
        <v>-1.3517422761649986E-3</v>
      </c>
    </row>
    <row r="709" spans="9:15">
      <c r="I709" s="178">
        <f>Prices!A709</f>
        <v>42634</v>
      </c>
      <c r="J709" s="3">
        <f>Prices!E709</f>
        <v>14.36</v>
      </c>
      <c r="K709" s="99">
        <f t="shared" si="40"/>
        <v>-1.7783857729138153E-2</v>
      </c>
      <c r="L709" s="99">
        <f t="shared" si="41"/>
        <v>3.3975840442334814E-3</v>
      </c>
      <c r="M709" s="3">
        <f>Prices!M709</f>
        <v>21.49</v>
      </c>
      <c r="N709" s="99">
        <f t="shared" si="42"/>
        <v>-5.553030747199041E-3</v>
      </c>
      <c r="O709" s="99">
        <f t="shared" si="43"/>
        <v>-7.4680974940837235E-4</v>
      </c>
    </row>
    <row r="710" spans="9:15">
      <c r="I710" s="178">
        <f>Prices!A710</f>
        <v>42635</v>
      </c>
      <c r="J710" s="3">
        <f>Prices!E710</f>
        <v>14.62</v>
      </c>
      <c r="K710" s="99">
        <f t="shared" si="40"/>
        <v>9.668508287292734E-3</v>
      </c>
      <c r="L710" s="99">
        <f t="shared" si="41"/>
        <v>2.2197776434487635E-3</v>
      </c>
      <c r="M710" s="3">
        <f>Prices!M710</f>
        <v>21.610001</v>
      </c>
      <c r="N710" s="99">
        <f t="shared" si="42"/>
        <v>5.5840390879479769E-3</v>
      </c>
      <c r="O710" s="99">
        <f t="shared" si="43"/>
        <v>-7.8791733403198573E-4</v>
      </c>
    </row>
    <row r="711" spans="9:15">
      <c r="I711" s="178">
        <f>Prices!A711</f>
        <v>42636</v>
      </c>
      <c r="J711" s="3">
        <f>Prices!E711</f>
        <v>14.48</v>
      </c>
      <c r="K711" s="99">
        <f t="shared" ref="K711:K774" si="44">(J711-J712)/J712</f>
        <v>1.5427769985974799E-2</v>
      </c>
      <c r="L711" s="99">
        <f t="shared" ref="L711:L774" si="45">AVERAGE(K711:K730)</f>
        <v>2.4594180280718319E-3</v>
      </c>
      <c r="M711" s="3">
        <f>Prices!M711</f>
        <v>21.49</v>
      </c>
      <c r="N711" s="99">
        <f t="shared" ref="N711:N774" si="46">(M711-M712)/M712</f>
        <v>4.2056074766355081E-3</v>
      </c>
      <c r="O711" s="99">
        <f t="shared" ref="O711:O774" si="47">AVERAGE(N711:N730)</f>
        <v>-1.1126174685931712E-3</v>
      </c>
    </row>
    <row r="712" spans="9:15">
      <c r="I712" s="178">
        <f>Prices!A712</f>
        <v>42639</v>
      </c>
      <c r="J712" s="3">
        <f>Prices!E712</f>
        <v>14.26</v>
      </c>
      <c r="K712" s="99">
        <f t="shared" si="44"/>
        <v>3.518648838845808E-3</v>
      </c>
      <c r="L712" s="99">
        <f t="shared" si="45"/>
        <v>-1.1428026676798409E-3</v>
      </c>
      <c r="M712" s="3">
        <f>Prices!M712</f>
        <v>21.4</v>
      </c>
      <c r="N712" s="99">
        <f t="shared" si="46"/>
        <v>3.7523452157597697E-3</v>
      </c>
      <c r="O712" s="99">
        <f t="shared" si="47"/>
        <v>-1.1402494405984582E-3</v>
      </c>
    </row>
    <row r="713" spans="9:15">
      <c r="I713" s="178">
        <f>Prices!A713</f>
        <v>42640</v>
      </c>
      <c r="J713" s="3">
        <f>Prices!E713</f>
        <v>14.21</v>
      </c>
      <c r="K713" s="99">
        <f t="shared" si="44"/>
        <v>-4.9019607843136213E-3</v>
      </c>
      <c r="L713" s="99">
        <f t="shared" si="45"/>
        <v>-2.3541392512386994E-3</v>
      </c>
      <c r="M713" s="3">
        <f>Prices!M713</f>
        <v>21.32</v>
      </c>
      <c r="N713" s="99">
        <f t="shared" si="46"/>
        <v>-1.2505789717461769E-2</v>
      </c>
      <c r="O713" s="99">
        <f t="shared" si="47"/>
        <v>-1.2821605749830658E-3</v>
      </c>
    </row>
    <row r="714" spans="9:15">
      <c r="I714" s="178">
        <f>Prices!A714</f>
        <v>42641</v>
      </c>
      <c r="J714" s="3">
        <f>Prices!E714</f>
        <v>14.28</v>
      </c>
      <c r="K714" s="99">
        <f t="shared" si="44"/>
        <v>7.0521861777150668E-3</v>
      </c>
      <c r="L714" s="99">
        <f t="shared" si="45"/>
        <v>-2.5723105700640467E-3</v>
      </c>
      <c r="M714" s="3">
        <f>Prices!M714</f>
        <v>21.59</v>
      </c>
      <c r="N714" s="99">
        <f t="shared" si="46"/>
        <v>-1.3876502595905806E-3</v>
      </c>
      <c r="O714" s="99">
        <f t="shared" si="47"/>
        <v>-8.6169585947068581E-4</v>
      </c>
    </row>
    <row r="715" spans="9:15">
      <c r="I715" s="178">
        <f>Prices!A715</f>
        <v>42642</v>
      </c>
      <c r="J715" s="3">
        <f>Prices!E715</f>
        <v>14.18</v>
      </c>
      <c r="K715" s="99">
        <f t="shared" si="44"/>
        <v>-2.6767330130404981E-2</v>
      </c>
      <c r="L715" s="99">
        <f t="shared" si="45"/>
        <v>-2.8254503829285818E-3</v>
      </c>
      <c r="M715" s="3">
        <f>Prices!M715</f>
        <v>21.620000999999998</v>
      </c>
      <c r="N715" s="99">
        <f t="shared" si="46"/>
        <v>9.2597222222208552E-4</v>
      </c>
      <c r="O715" s="99">
        <f t="shared" si="47"/>
        <v>-6.0958149712012229E-4</v>
      </c>
    </row>
    <row r="716" spans="9:15">
      <c r="I716" s="178">
        <f>Prices!A716</f>
        <v>42643</v>
      </c>
      <c r="J716" s="3">
        <f>Prices!E716</f>
        <v>14.57</v>
      </c>
      <c r="K716" s="99">
        <f t="shared" si="44"/>
        <v>2.6779422128259393E-2</v>
      </c>
      <c r="L716" s="99">
        <f t="shared" si="45"/>
        <v>-8.1504086565564802E-4</v>
      </c>
      <c r="M716" s="3">
        <f>Prices!M716</f>
        <v>21.6</v>
      </c>
      <c r="N716" s="99">
        <f t="shared" si="46"/>
        <v>2.7854687657628821E-3</v>
      </c>
      <c r="O716" s="99">
        <f t="shared" si="47"/>
        <v>-6.3302818762556753E-4</v>
      </c>
    </row>
    <row r="717" spans="9:15">
      <c r="I717" s="178">
        <f>Prices!A717</f>
        <v>42646</v>
      </c>
      <c r="J717" s="3">
        <f>Prices!E717</f>
        <v>14.19</v>
      </c>
      <c r="K717" s="99">
        <f t="shared" si="44"/>
        <v>2.1598272138228864E-2</v>
      </c>
      <c r="L717" s="99">
        <f t="shared" si="45"/>
        <v>-2.653013968076596E-3</v>
      </c>
      <c r="M717" s="3">
        <f>Prices!M717</f>
        <v>21.540001</v>
      </c>
      <c r="N717" s="99">
        <f t="shared" si="46"/>
        <v>9.3721180880974846E-3</v>
      </c>
      <c r="O717" s="99">
        <f t="shared" si="47"/>
        <v>-7.0365402865970683E-4</v>
      </c>
    </row>
    <row r="718" spans="9:15">
      <c r="I718" s="178">
        <f>Prices!A718</f>
        <v>42647</v>
      </c>
      <c r="J718" s="3">
        <f>Prices!E718</f>
        <v>13.89</v>
      </c>
      <c r="K718" s="99">
        <f t="shared" si="44"/>
        <v>-7.857142857142816E-3</v>
      </c>
      <c r="L718" s="99">
        <f t="shared" si="45"/>
        <v>-3.5995052934670287E-3</v>
      </c>
      <c r="M718" s="3">
        <f>Prices!M718</f>
        <v>21.34</v>
      </c>
      <c r="N718" s="99">
        <f t="shared" si="46"/>
        <v>-7.4418604651162856E-3</v>
      </c>
      <c r="O718" s="99">
        <f t="shared" si="47"/>
        <v>-6.1696379957527447E-4</v>
      </c>
    </row>
    <row r="719" spans="9:15">
      <c r="I719" s="178">
        <f>Prices!A719</f>
        <v>42648</v>
      </c>
      <c r="J719" s="3">
        <f>Prices!E719</f>
        <v>14</v>
      </c>
      <c r="K719" s="99">
        <f t="shared" si="44"/>
        <v>-2.7777777777777801E-2</v>
      </c>
      <c r="L719" s="99">
        <f t="shared" si="45"/>
        <v>-4.0591071670033297E-3</v>
      </c>
      <c r="M719" s="3">
        <f>Prices!M719</f>
        <v>21.5</v>
      </c>
      <c r="N719" s="99">
        <f t="shared" si="46"/>
        <v>1.3973451978269123E-3</v>
      </c>
      <c r="O719" s="99">
        <f t="shared" si="47"/>
        <v>-1.7535965491074365E-4</v>
      </c>
    </row>
    <row r="720" spans="9:15">
      <c r="I720" s="178">
        <f>Prices!A720</f>
        <v>42649</v>
      </c>
      <c r="J720" s="3">
        <f>Prices!E720</f>
        <v>14.4</v>
      </c>
      <c r="K720" s="99">
        <f t="shared" si="44"/>
        <v>6.9492703266155567E-4</v>
      </c>
      <c r="L720" s="99">
        <f t="shared" si="45"/>
        <v>-1.6668737965090854E-3</v>
      </c>
      <c r="M720" s="3">
        <f>Prices!M720</f>
        <v>21.469999000000001</v>
      </c>
      <c r="N720" s="99">
        <f t="shared" si="46"/>
        <v>2.334220354808575E-3</v>
      </c>
      <c r="O720" s="99">
        <f t="shared" si="47"/>
        <v>3.4365362904910076E-5</v>
      </c>
    </row>
    <row r="721" spans="9:15">
      <c r="I721" s="178">
        <f>Prices!A721</f>
        <v>42650</v>
      </c>
      <c r="J721" s="3">
        <f>Prices!E721</f>
        <v>14.39</v>
      </c>
      <c r="K721" s="99">
        <f t="shared" si="44"/>
        <v>1.3380281690140937E-2</v>
      </c>
      <c r="L721" s="99">
        <f t="shared" si="45"/>
        <v>-1.4326221656270322E-3</v>
      </c>
      <c r="M721" s="3">
        <f>Prices!M721</f>
        <v>21.42</v>
      </c>
      <c r="N721" s="99">
        <f t="shared" si="46"/>
        <v>0</v>
      </c>
      <c r="O721" s="99">
        <f t="shared" si="47"/>
        <v>-6.5811721521191486E-4</v>
      </c>
    </row>
    <row r="722" spans="9:15">
      <c r="I722" s="178">
        <f>Prices!A722</f>
        <v>42654</v>
      </c>
      <c r="J722" s="3">
        <f>Prices!E722</f>
        <v>14.2</v>
      </c>
      <c r="K722" s="99">
        <f t="shared" si="44"/>
        <v>7.8069552874378591E-3</v>
      </c>
      <c r="L722" s="99">
        <f t="shared" si="45"/>
        <v>-1.7290075238468173E-3</v>
      </c>
      <c r="M722" s="3">
        <f>Prices!M722</f>
        <v>21.42</v>
      </c>
      <c r="N722" s="99">
        <f t="shared" si="46"/>
        <v>-3.7209302325580604E-3</v>
      </c>
      <c r="O722" s="99">
        <f t="shared" si="47"/>
        <v>-6.8113747409867076E-4</v>
      </c>
    </row>
    <row r="723" spans="9:15">
      <c r="I723" s="178">
        <f>Prices!A723</f>
        <v>42655</v>
      </c>
      <c r="J723" s="3">
        <f>Prices!E723</f>
        <v>14.09</v>
      </c>
      <c r="K723" s="99">
        <f t="shared" si="44"/>
        <v>2.0275162925416319E-2</v>
      </c>
      <c r="L723" s="99">
        <f t="shared" si="45"/>
        <v>6.7034428259673683E-4</v>
      </c>
      <c r="M723" s="3">
        <f>Prices!M723</f>
        <v>21.5</v>
      </c>
      <c r="N723" s="99">
        <f t="shared" si="46"/>
        <v>-1.8570565525971969E-3</v>
      </c>
      <c r="O723" s="99">
        <f t="shared" si="47"/>
        <v>-8.3803104738433749E-4</v>
      </c>
    </row>
    <row r="724" spans="9:15">
      <c r="I724" s="178">
        <f>Prices!A724</f>
        <v>42656</v>
      </c>
      <c r="J724" s="3">
        <f>Prices!E724</f>
        <v>13.81</v>
      </c>
      <c r="K724" s="99">
        <f t="shared" si="44"/>
        <v>1.3206162876008783E-2</v>
      </c>
      <c r="L724" s="99">
        <f t="shared" si="45"/>
        <v>-4.5048024483039376E-4</v>
      </c>
      <c r="M724" s="3">
        <f>Prices!M724</f>
        <v>21.540001</v>
      </c>
      <c r="N724" s="99">
        <f t="shared" si="46"/>
        <v>4.1958040001956109E-3</v>
      </c>
      <c r="O724" s="99">
        <f t="shared" si="47"/>
        <v>-8.1366908733438662E-4</v>
      </c>
    </row>
    <row r="725" spans="9:15">
      <c r="I725" s="178">
        <f>Prices!A725</f>
        <v>42657</v>
      </c>
      <c r="J725" s="3">
        <f>Prices!E725</f>
        <v>13.63</v>
      </c>
      <c r="K725" s="99">
        <f t="shared" si="44"/>
        <v>1.1878247958426142E-2</v>
      </c>
      <c r="L725" s="99">
        <f t="shared" si="45"/>
        <v>-5.33171060110977E-4</v>
      </c>
      <c r="M725" s="3">
        <f>Prices!M725</f>
        <v>21.450001</v>
      </c>
      <c r="N725" s="99">
        <f t="shared" si="46"/>
        <v>0</v>
      </c>
      <c r="O725" s="99">
        <f t="shared" si="47"/>
        <v>-4.4609208180144185E-4</v>
      </c>
    </row>
    <row r="726" spans="9:15">
      <c r="I726" s="178">
        <f>Prices!A726</f>
        <v>42660</v>
      </c>
      <c r="J726" s="3">
        <f>Prices!E726</f>
        <v>13.47</v>
      </c>
      <c r="K726" s="99">
        <f t="shared" si="44"/>
        <v>-1.8221574344023321E-2</v>
      </c>
      <c r="L726" s="99">
        <f t="shared" si="45"/>
        <v>-1.9088887174494851E-3</v>
      </c>
      <c r="M726" s="3">
        <f>Prices!M726</f>
        <v>21.450001</v>
      </c>
      <c r="N726" s="99">
        <f t="shared" si="46"/>
        <v>-1.1065006405486032E-2</v>
      </c>
      <c r="O726" s="99">
        <f t="shared" si="47"/>
        <v>-5.8427495320553823E-4</v>
      </c>
    </row>
    <row r="727" spans="9:15">
      <c r="I727" s="178">
        <f>Prices!A727</f>
        <v>42661</v>
      </c>
      <c r="J727" s="3">
        <f>Prices!E727</f>
        <v>13.72</v>
      </c>
      <c r="K727" s="99">
        <f t="shared" si="44"/>
        <v>9.5658572479765114E-3</v>
      </c>
      <c r="L727" s="99">
        <f t="shared" si="45"/>
        <v>-1.8707150281812809E-3</v>
      </c>
      <c r="M727" s="3">
        <f>Prices!M727</f>
        <v>21.690000999999999</v>
      </c>
      <c r="N727" s="99">
        <f t="shared" si="46"/>
        <v>-5.9577910174152858E-3</v>
      </c>
      <c r="O727" s="99">
        <f t="shared" si="47"/>
        <v>-5.3262290014509861E-4</v>
      </c>
    </row>
    <row r="728" spans="9:15">
      <c r="I728" s="178">
        <f>Prices!A728</f>
        <v>42662</v>
      </c>
      <c r="J728" s="3">
        <f>Prices!E728</f>
        <v>13.59</v>
      </c>
      <c r="K728" s="99">
        <f t="shared" si="44"/>
        <v>1.0408921933085544E-2</v>
      </c>
      <c r="L728" s="99">
        <f t="shared" si="45"/>
        <v>-2.3490078905801064E-3</v>
      </c>
      <c r="M728" s="3">
        <f>Prices!M728</f>
        <v>21.82</v>
      </c>
      <c r="N728" s="99">
        <f t="shared" si="46"/>
        <v>0</v>
      </c>
      <c r="O728" s="99">
        <f t="shared" si="47"/>
        <v>-2.1192313029623678E-4</v>
      </c>
    </row>
    <row r="729" spans="9:15">
      <c r="I729" s="178">
        <f>Prices!A729</f>
        <v>42663</v>
      </c>
      <c r="J729" s="3">
        <f>Prices!E729</f>
        <v>13.45</v>
      </c>
      <c r="K729" s="99">
        <f t="shared" si="44"/>
        <v>-4.1339985744832511E-2</v>
      </c>
      <c r="L729" s="99">
        <f t="shared" si="45"/>
        <v>-3.4901436424067964E-3</v>
      </c>
      <c r="M729" s="3">
        <f>Prices!M729</f>
        <v>21.82</v>
      </c>
      <c r="N729" s="99">
        <f t="shared" si="46"/>
        <v>-6.3751824396713107E-3</v>
      </c>
      <c r="O729" s="99">
        <f t="shared" si="47"/>
        <v>-5.9671262780641829E-4</v>
      </c>
    </row>
    <row r="730" spans="9:15">
      <c r="I730" s="178">
        <f>Prices!A730</f>
        <v>42664</v>
      </c>
      <c r="J730" s="3">
        <f>Prices!E730</f>
        <v>14.03</v>
      </c>
      <c r="K730" s="99">
        <f t="shared" si="44"/>
        <v>1.4461315979754107E-2</v>
      </c>
      <c r="L730" s="99">
        <f t="shared" si="45"/>
        <v>-1.5949656610070976E-3</v>
      </c>
      <c r="M730" s="3">
        <f>Prices!M730</f>
        <v>21.959999</v>
      </c>
      <c r="N730" s="99">
        <f t="shared" si="46"/>
        <v>-9.099636032757325E-4</v>
      </c>
      <c r="O730" s="99">
        <f t="shared" si="47"/>
        <v>-4.1339368640975723E-4</v>
      </c>
    </row>
    <row r="731" spans="9:15">
      <c r="I731" s="178">
        <f>Prices!A731</f>
        <v>42667</v>
      </c>
      <c r="J731" s="3">
        <f>Prices!E731</f>
        <v>13.83</v>
      </c>
      <c r="K731" s="99">
        <f t="shared" si="44"/>
        <v>-5.6616643929058665E-2</v>
      </c>
      <c r="L731" s="99">
        <f t="shared" si="45"/>
        <v>-2.4209121184310149E-3</v>
      </c>
      <c r="M731" s="3">
        <f>Prices!M731</f>
        <v>21.98</v>
      </c>
      <c r="N731" s="99">
        <f t="shared" si="46"/>
        <v>3.6529680365297648E-3</v>
      </c>
      <c r="O731" s="99">
        <f t="shared" si="47"/>
        <v>-9.2593122053168488E-4</v>
      </c>
    </row>
    <row r="732" spans="9:15">
      <c r="I732" s="178">
        <f>Prices!A732</f>
        <v>42668</v>
      </c>
      <c r="J732" s="3">
        <f>Prices!E732</f>
        <v>14.66</v>
      </c>
      <c r="K732" s="99">
        <f t="shared" si="44"/>
        <v>-2.0708082832331363E-2</v>
      </c>
      <c r="L732" s="99">
        <f t="shared" si="45"/>
        <v>-1.1837054199860507E-3</v>
      </c>
      <c r="M732" s="3">
        <f>Prices!M732</f>
        <v>21.9</v>
      </c>
      <c r="N732" s="99">
        <f t="shared" si="46"/>
        <v>9.1412252806762225E-4</v>
      </c>
      <c r="O732" s="99">
        <f t="shared" si="47"/>
        <v>-1.2865155654186754E-3</v>
      </c>
    </row>
    <row r="733" spans="9:15">
      <c r="I733" s="178">
        <f>Prices!A733</f>
        <v>42669</v>
      </c>
      <c r="J733" s="3">
        <f>Prices!E733</f>
        <v>14.97</v>
      </c>
      <c r="K733" s="99">
        <f t="shared" si="44"/>
        <v>-9.2653871608205686E-3</v>
      </c>
      <c r="L733" s="99">
        <f t="shared" si="45"/>
        <v>-4.1250207097186101E-4</v>
      </c>
      <c r="M733" s="3">
        <f>Prices!M733</f>
        <v>21.879999000000002</v>
      </c>
      <c r="N733" s="99">
        <f t="shared" si="46"/>
        <v>-4.0964954072141672E-3</v>
      </c>
      <c r="O733" s="99">
        <f t="shared" si="47"/>
        <v>-9.5122436412159559E-4</v>
      </c>
    </row>
    <row r="734" spans="9:15">
      <c r="I734" s="178">
        <f>Prices!A734</f>
        <v>42670</v>
      </c>
      <c r="J734" s="3">
        <f>Prices!E734</f>
        <v>15.11</v>
      </c>
      <c r="K734" s="99">
        <f t="shared" si="44"/>
        <v>1.9893899204243607E-3</v>
      </c>
      <c r="L734" s="99">
        <f t="shared" si="45"/>
        <v>-1.4660113398346015E-4</v>
      </c>
      <c r="M734" s="3">
        <f>Prices!M734</f>
        <v>21.969999000000001</v>
      </c>
      <c r="N734" s="99">
        <f t="shared" si="46"/>
        <v>3.6546369874206871E-3</v>
      </c>
      <c r="O734" s="99">
        <f t="shared" si="47"/>
        <v>-7.6880326759601054E-4</v>
      </c>
    </row>
    <row r="735" spans="9:15">
      <c r="I735" s="178">
        <f>Prices!A735</f>
        <v>42671</v>
      </c>
      <c r="J735" s="3">
        <f>Prices!E735</f>
        <v>15.08</v>
      </c>
      <c r="K735" s="99">
        <f t="shared" si="44"/>
        <v>1.3440860215053715E-2</v>
      </c>
      <c r="L735" s="99">
        <f t="shared" si="45"/>
        <v>1.8524987430852381E-4</v>
      </c>
      <c r="M735" s="3">
        <f>Prices!M735</f>
        <v>21.889999</v>
      </c>
      <c r="N735" s="99">
        <f t="shared" si="46"/>
        <v>4.5703841211318201E-4</v>
      </c>
      <c r="O735" s="99">
        <f t="shared" si="47"/>
        <v>-9.7392651866878691E-4</v>
      </c>
    </row>
    <row r="736" spans="9:15">
      <c r="I736" s="178">
        <f>Prices!A736</f>
        <v>42674</v>
      </c>
      <c r="J736" s="3">
        <f>Prices!E736</f>
        <v>14.88</v>
      </c>
      <c r="K736" s="99">
        <f t="shared" si="44"/>
        <v>-9.980039920159587E-3</v>
      </c>
      <c r="L736" s="99">
        <f t="shared" si="45"/>
        <v>5.9795262626770372E-4</v>
      </c>
      <c r="M736" s="3">
        <f>Prices!M736</f>
        <v>21.879999000000002</v>
      </c>
      <c r="N736" s="99">
        <f t="shared" si="46"/>
        <v>1.3729519450800965E-3</v>
      </c>
      <c r="O736" s="99">
        <f t="shared" si="47"/>
        <v>-7.2662759415284463E-4</v>
      </c>
    </row>
    <row r="737" spans="9:15">
      <c r="I737" s="178">
        <f>Prices!A737</f>
        <v>42675</v>
      </c>
      <c r="J737" s="3">
        <f>Prices!E737</f>
        <v>15.03</v>
      </c>
      <c r="K737" s="99">
        <f t="shared" si="44"/>
        <v>2.6684456304202232E-3</v>
      </c>
      <c r="L737" s="99">
        <f t="shared" si="45"/>
        <v>1.0292498152343836E-3</v>
      </c>
      <c r="M737" s="3">
        <f>Prices!M737</f>
        <v>21.85</v>
      </c>
      <c r="N737" s="99">
        <f t="shared" si="46"/>
        <v>1.110592266978613E-2</v>
      </c>
      <c r="O737" s="99">
        <f t="shared" si="47"/>
        <v>-7.5021435522211672E-4</v>
      </c>
    </row>
    <row r="738" spans="9:15">
      <c r="I738" s="178">
        <f>Prices!A738</f>
        <v>42676</v>
      </c>
      <c r="J738" s="3">
        <f>Prices!E738</f>
        <v>14.99</v>
      </c>
      <c r="K738" s="99">
        <f t="shared" si="44"/>
        <v>-1.7049180327868837E-2</v>
      </c>
      <c r="L738" s="99">
        <f t="shared" si="45"/>
        <v>1.1681216113171855E-3</v>
      </c>
      <c r="M738" s="3">
        <f>Prices!M738</f>
        <v>21.610001</v>
      </c>
      <c r="N738" s="99">
        <f t="shared" si="46"/>
        <v>1.3902224281743358E-3</v>
      </c>
      <c r="O738" s="99">
        <f t="shared" si="47"/>
        <v>-1.4403397021945715E-3</v>
      </c>
    </row>
    <row r="739" spans="9:15">
      <c r="I739" s="178">
        <f>Prices!A739</f>
        <v>42677</v>
      </c>
      <c r="J739" s="3">
        <f>Prices!E739</f>
        <v>15.25</v>
      </c>
      <c r="K739" s="99">
        <f t="shared" si="44"/>
        <v>2.0066889632107072E-2</v>
      </c>
      <c r="L739" s="99">
        <f t="shared" si="45"/>
        <v>1.7161151337999382E-3</v>
      </c>
      <c r="M739" s="3">
        <f>Prices!M739</f>
        <v>21.58</v>
      </c>
      <c r="N739" s="99">
        <f t="shared" si="46"/>
        <v>5.5918455541399828E-3</v>
      </c>
      <c r="O739" s="99">
        <f t="shared" si="47"/>
        <v>-1.3294268272117723E-3</v>
      </c>
    </row>
    <row r="740" spans="9:15">
      <c r="I740" s="178">
        <f>Prices!A740</f>
        <v>42678</v>
      </c>
      <c r="J740" s="3">
        <f>Prices!E740</f>
        <v>14.95</v>
      </c>
      <c r="K740" s="99">
        <f t="shared" si="44"/>
        <v>5.3799596503026278E-3</v>
      </c>
      <c r="L740" s="99">
        <f t="shared" si="45"/>
        <v>1.4682651576890856E-3</v>
      </c>
      <c r="M740" s="3">
        <f>Prices!M740</f>
        <v>21.459999</v>
      </c>
      <c r="N740" s="99">
        <f t="shared" si="46"/>
        <v>-1.1515431207527923E-2</v>
      </c>
      <c r="O740" s="99">
        <f t="shared" si="47"/>
        <v>-1.699066384974926E-3</v>
      </c>
    </row>
    <row r="741" spans="9:15">
      <c r="I741" s="178">
        <f>Prices!A741</f>
        <v>42681</v>
      </c>
      <c r="J741" s="3">
        <f>Prices!E741</f>
        <v>14.87</v>
      </c>
      <c r="K741" s="99">
        <f t="shared" si="44"/>
        <v>7.4525745257452191E-3</v>
      </c>
      <c r="L741" s="99">
        <f t="shared" si="45"/>
        <v>5.8868372876961356E-4</v>
      </c>
      <c r="M741" s="3">
        <f>Prices!M741</f>
        <v>21.709999</v>
      </c>
      <c r="N741" s="99">
        <f t="shared" si="46"/>
        <v>-4.6040517773511698E-4</v>
      </c>
      <c r="O741" s="99">
        <f t="shared" si="47"/>
        <v>-1.2131847122389796E-3</v>
      </c>
    </row>
    <row r="742" spans="9:15">
      <c r="I742" s="178">
        <f>Prices!A742</f>
        <v>42682</v>
      </c>
      <c r="J742" s="3">
        <f>Prices!E742</f>
        <v>14.76</v>
      </c>
      <c r="K742" s="99">
        <f t="shared" si="44"/>
        <v>5.5793991416308968E-2</v>
      </c>
      <c r="L742" s="99">
        <f t="shared" si="45"/>
        <v>2.4999933377902557E-4</v>
      </c>
      <c r="M742" s="3">
        <f>Prices!M742</f>
        <v>21.719999000000001</v>
      </c>
      <c r="N742" s="99">
        <f t="shared" si="46"/>
        <v>-6.8588016982713941E-3</v>
      </c>
      <c r="O742" s="99">
        <f t="shared" si="47"/>
        <v>-1.3469744891945184E-3</v>
      </c>
    </row>
    <row r="743" spans="9:15">
      <c r="I743" s="178">
        <f>Prices!A743</f>
        <v>42683</v>
      </c>
      <c r="J743" s="3">
        <f>Prices!E743</f>
        <v>13.98</v>
      </c>
      <c r="K743" s="99">
        <f t="shared" si="44"/>
        <v>-2.1413276231262929E-3</v>
      </c>
      <c r="L743" s="99">
        <f t="shared" si="45"/>
        <v>-4.8080087269910549E-3</v>
      </c>
      <c r="M743" s="3">
        <f>Prices!M743</f>
        <v>21.870000999999998</v>
      </c>
      <c r="N743" s="99">
        <f t="shared" si="46"/>
        <v>-1.3698173515981785E-3</v>
      </c>
      <c r="O743" s="99">
        <f t="shared" si="47"/>
        <v>-1.4480841378511069E-3</v>
      </c>
    </row>
    <row r="744" spans="9:15">
      <c r="I744" s="178">
        <f>Prices!A744</f>
        <v>42684</v>
      </c>
      <c r="J744" s="3">
        <f>Prices!E744</f>
        <v>14.01</v>
      </c>
      <c r="K744" s="99">
        <f t="shared" si="44"/>
        <v>1.1552346570397122E-2</v>
      </c>
      <c r="L744" s="99">
        <f t="shared" si="45"/>
        <v>-5.9643662245460489E-3</v>
      </c>
      <c r="M744" s="3">
        <f>Prices!M744</f>
        <v>21.9</v>
      </c>
      <c r="N744" s="99">
        <f t="shared" si="46"/>
        <v>1.1547344110854504E-2</v>
      </c>
      <c r="O744" s="99">
        <f t="shared" si="47"/>
        <v>-1.578622452092112E-3</v>
      </c>
    </row>
    <row r="745" spans="9:15">
      <c r="I745" s="178">
        <f>Prices!A745</f>
        <v>42685</v>
      </c>
      <c r="J745" s="3">
        <f>Prices!E745</f>
        <v>13.85</v>
      </c>
      <c r="K745" s="99">
        <f t="shared" si="44"/>
        <v>-1.5636105188344039E-2</v>
      </c>
      <c r="L745" s="99">
        <f t="shared" si="45"/>
        <v>-5.9021882875508729E-3</v>
      </c>
      <c r="M745" s="3">
        <f>Prices!M745</f>
        <v>21.65</v>
      </c>
      <c r="N745" s="99">
        <f t="shared" si="46"/>
        <v>-2.7636574280819289E-3</v>
      </c>
      <c r="O745" s="99">
        <f t="shared" si="47"/>
        <v>-2.2442876708798657E-3</v>
      </c>
    </row>
    <row r="746" spans="9:15">
      <c r="I746" s="178">
        <f>Prices!A746</f>
        <v>42688</v>
      </c>
      <c r="J746" s="3">
        <f>Prices!E746</f>
        <v>14.07</v>
      </c>
      <c r="K746" s="99">
        <f t="shared" si="44"/>
        <v>-1.7458100558659217E-2</v>
      </c>
      <c r="L746" s="99">
        <f t="shared" si="45"/>
        <v>-5.0883727848558147E-3</v>
      </c>
      <c r="M746" s="3">
        <f>Prices!M746</f>
        <v>21.709999</v>
      </c>
      <c r="N746" s="99">
        <f t="shared" si="46"/>
        <v>-1.0031965344277241E-2</v>
      </c>
      <c r="O746" s="99">
        <f t="shared" si="47"/>
        <v>-2.0176505795931649E-3</v>
      </c>
    </row>
    <row r="747" spans="9:15">
      <c r="I747" s="178">
        <f>Prices!A747</f>
        <v>42689</v>
      </c>
      <c r="J747" s="3">
        <f>Prices!E747</f>
        <v>14.32</v>
      </c>
      <c r="K747" s="99">
        <f t="shared" si="44"/>
        <v>0</v>
      </c>
      <c r="L747" s="99">
        <f t="shared" si="45"/>
        <v>-4.5651181065732094E-3</v>
      </c>
      <c r="M747" s="3">
        <f>Prices!M747</f>
        <v>21.93</v>
      </c>
      <c r="N747" s="99">
        <f t="shared" si="46"/>
        <v>4.5620437956195298E-4</v>
      </c>
      <c r="O747" s="99">
        <f t="shared" si="47"/>
        <v>-1.8891866243576001E-3</v>
      </c>
    </row>
    <row r="748" spans="9:15">
      <c r="I748" s="178">
        <f>Prices!A748</f>
        <v>42690</v>
      </c>
      <c r="J748" s="3">
        <f>Prices!E748</f>
        <v>14.32</v>
      </c>
      <c r="K748" s="99">
        <f t="shared" si="44"/>
        <v>-1.2413793103448256E-2</v>
      </c>
      <c r="L748" s="99">
        <f t="shared" si="45"/>
        <v>-3.1934655918769324E-3</v>
      </c>
      <c r="M748" s="3">
        <f>Prices!M748</f>
        <v>21.92</v>
      </c>
      <c r="N748" s="99">
        <f t="shared" si="46"/>
        <v>-7.6957899502036282E-3</v>
      </c>
      <c r="O748" s="99">
        <f t="shared" si="47"/>
        <v>-1.3347299694458242E-3</v>
      </c>
    </row>
    <row r="749" spans="9:15">
      <c r="I749" s="178">
        <f>Prices!A749</f>
        <v>42691</v>
      </c>
      <c r="J749" s="3">
        <f>Prices!E749</f>
        <v>14.5</v>
      </c>
      <c r="K749" s="99">
        <f t="shared" si="44"/>
        <v>-3.4364261168385365E-3</v>
      </c>
      <c r="L749" s="99">
        <f t="shared" si="45"/>
        <v>-2.4418001672218701E-3</v>
      </c>
      <c r="M749" s="3">
        <f>Prices!M749</f>
        <v>22.09</v>
      </c>
      <c r="N749" s="99">
        <f t="shared" si="46"/>
        <v>-2.7088036117380913E-3</v>
      </c>
      <c r="O749" s="99">
        <f t="shared" si="47"/>
        <v>-1.1269316223781246E-3</v>
      </c>
    </row>
    <row r="750" spans="9:15">
      <c r="I750" s="178">
        <f>Prices!A750</f>
        <v>42692</v>
      </c>
      <c r="J750" s="3">
        <f>Prices!E750</f>
        <v>14.55</v>
      </c>
      <c r="K750" s="99">
        <f t="shared" si="44"/>
        <v>-2.0576131687242358E-3</v>
      </c>
      <c r="L750" s="99">
        <f t="shared" si="45"/>
        <v>-1.5727677060014614E-3</v>
      </c>
      <c r="M750" s="3">
        <f>Prices!M750</f>
        <v>22.15</v>
      </c>
      <c r="N750" s="99">
        <f t="shared" si="46"/>
        <v>-1.1160714285714286E-2</v>
      </c>
      <c r="O750" s="99">
        <f t="shared" si="47"/>
        <v>-1.1018667177294034E-3</v>
      </c>
    </row>
    <row r="751" spans="9:15">
      <c r="I751" s="178">
        <f>Prices!A751</f>
        <v>42695</v>
      </c>
      <c r="J751" s="3">
        <f>Prices!E751</f>
        <v>14.58</v>
      </c>
      <c r="K751" s="99">
        <f t="shared" si="44"/>
        <v>-3.187250996015939E-2</v>
      </c>
      <c r="L751" s="99">
        <f t="shared" si="45"/>
        <v>-2.2863468777416045E-3</v>
      </c>
      <c r="M751" s="3">
        <f>Prices!M751</f>
        <v>22.4</v>
      </c>
      <c r="N751" s="99">
        <f t="shared" si="46"/>
        <v>-3.5587188612100466E-3</v>
      </c>
      <c r="O751" s="99">
        <f t="shared" si="47"/>
        <v>-6.0996856958125771E-4</v>
      </c>
    </row>
    <row r="752" spans="9:15">
      <c r="I752" s="178">
        <f>Prices!A752</f>
        <v>42696</v>
      </c>
      <c r="J752" s="3">
        <f>Prices!E752</f>
        <v>15.06</v>
      </c>
      <c r="K752" s="99">
        <f t="shared" si="44"/>
        <v>-5.2840158520475605E-3</v>
      </c>
      <c r="L752" s="99">
        <f t="shared" si="45"/>
        <v>-2.1203863543529217E-3</v>
      </c>
      <c r="M752" s="3">
        <f>Prices!M752</f>
        <v>22.48</v>
      </c>
      <c r="N752" s="99">
        <f t="shared" si="46"/>
        <v>7.6199465540092211E-3</v>
      </c>
      <c r="O752" s="99">
        <f t="shared" si="47"/>
        <v>-4.7608769065930003E-4</v>
      </c>
    </row>
    <row r="753" spans="9:15">
      <c r="I753" s="178">
        <f>Prices!A753</f>
        <v>42697</v>
      </c>
      <c r="J753" s="3">
        <f>Prices!E753</f>
        <v>15.14</v>
      </c>
      <c r="K753" s="99">
        <f t="shared" si="44"/>
        <v>-3.9473684210525476E-3</v>
      </c>
      <c r="L753" s="99">
        <f t="shared" si="45"/>
        <v>-2.1087108142757967E-3</v>
      </c>
      <c r="M753" s="3">
        <f>Prices!M753</f>
        <v>22.309999000000001</v>
      </c>
      <c r="N753" s="99">
        <f t="shared" si="46"/>
        <v>-4.4807347670246586E-4</v>
      </c>
      <c r="O753" s="99">
        <f t="shared" si="47"/>
        <v>-8.3504888006254044E-4</v>
      </c>
    </row>
    <row r="754" spans="9:15">
      <c r="I754" s="178">
        <f>Prices!A754</f>
        <v>42698</v>
      </c>
      <c r="J754" s="3">
        <f>Prices!E754</f>
        <v>15.2</v>
      </c>
      <c r="K754" s="99">
        <f t="shared" si="44"/>
        <v>8.6264100862640351E-3</v>
      </c>
      <c r="L754" s="99">
        <f t="shared" si="45"/>
        <v>-3.4884239322316782E-4</v>
      </c>
      <c r="M754" s="3">
        <f>Prices!M754</f>
        <v>22.32</v>
      </c>
      <c r="N754" s="99">
        <f t="shared" si="46"/>
        <v>-4.4782803403484151E-4</v>
      </c>
      <c r="O754" s="99">
        <f t="shared" si="47"/>
        <v>-1.0101869008041641E-3</v>
      </c>
    </row>
    <row r="755" spans="9:15">
      <c r="I755" s="178">
        <f>Prices!A755</f>
        <v>42699</v>
      </c>
      <c r="J755" s="3">
        <f>Prices!E755</f>
        <v>15.07</v>
      </c>
      <c r="K755" s="99">
        <f t="shared" si="44"/>
        <v>2.1694915254237307E-2</v>
      </c>
      <c r="L755" s="99">
        <f t="shared" si="45"/>
        <v>-6.1687093150110156E-4</v>
      </c>
      <c r="M755" s="3">
        <f>Prices!M755</f>
        <v>22.33</v>
      </c>
      <c r="N755" s="99">
        <f t="shared" si="46"/>
        <v>5.4030169024320293E-3</v>
      </c>
      <c r="O755" s="99">
        <f t="shared" si="47"/>
        <v>-9.2185923536616116E-4</v>
      </c>
    </row>
    <row r="756" spans="9:15">
      <c r="I756" s="178">
        <f>Prices!A756</f>
        <v>42702</v>
      </c>
      <c r="J756" s="3">
        <f>Prices!E756</f>
        <v>14.75</v>
      </c>
      <c r="K756" s="99">
        <f t="shared" si="44"/>
        <v>-1.3540961408259698E-3</v>
      </c>
      <c r="L756" s="99">
        <f t="shared" si="45"/>
        <v>-1.799400266572809E-3</v>
      </c>
      <c r="M756" s="3">
        <f>Prices!M756</f>
        <v>22.209999</v>
      </c>
      <c r="N756" s="99">
        <f t="shared" si="46"/>
        <v>9.0121672369465286E-4</v>
      </c>
      <c r="O756" s="99">
        <f t="shared" si="47"/>
        <v>-1.2578595069210599E-3</v>
      </c>
    </row>
    <row r="757" spans="9:15">
      <c r="I757" s="178">
        <f>Prices!A757</f>
        <v>42703</v>
      </c>
      <c r="J757" s="3">
        <f>Prices!E757</f>
        <v>14.77</v>
      </c>
      <c r="K757" s="99">
        <f t="shared" si="44"/>
        <v>5.4458815520762472E-3</v>
      </c>
      <c r="L757" s="99">
        <f t="shared" si="45"/>
        <v>-1.3043450321810867E-3</v>
      </c>
      <c r="M757" s="3">
        <f>Prices!M757</f>
        <v>22.190000999999999</v>
      </c>
      <c r="N757" s="99">
        <f t="shared" si="46"/>
        <v>-2.6965842696629774E-3</v>
      </c>
      <c r="O757" s="99">
        <f t="shared" si="47"/>
        <v>-1.4342666653474766E-3</v>
      </c>
    </row>
    <row r="758" spans="9:15">
      <c r="I758" s="178">
        <f>Prices!A758</f>
        <v>42704</v>
      </c>
      <c r="J758" s="3">
        <f>Prices!E758</f>
        <v>14.69</v>
      </c>
      <c r="K758" s="99">
        <f t="shared" si="44"/>
        <v>-6.0893098782137927E-3</v>
      </c>
      <c r="L758" s="99">
        <f t="shared" si="45"/>
        <v>-1.7731027640088628E-3</v>
      </c>
      <c r="M758" s="3">
        <f>Prices!M758</f>
        <v>22.25</v>
      </c>
      <c r="N758" s="99">
        <f t="shared" si="46"/>
        <v>3.6084799278303242E-3</v>
      </c>
      <c r="O758" s="99">
        <f t="shared" si="47"/>
        <v>-8.5773911079991205E-4</v>
      </c>
    </row>
    <row r="759" spans="9:15">
      <c r="I759" s="178">
        <f>Prices!A759</f>
        <v>42705</v>
      </c>
      <c r="J759" s="3">
        <f>Prices!E759</f>
        <v>14.78</v>
      </c>
      <c r="K759" s="99">
        <f t="shared" si="44"/>
        <v>1.5109890109890032E-2</v>
      </c>
      <c r="L759" s="99">
        <f t="shared" si="45"/>
        <v>-6.0254799628071867E-4</v>
      </c>
      <c r="M759" s="3">
        <f>Prices!M759</f>
        <v>22.17</v>
      </c>
      <c r="N759" s="99">
        <f t="shared" si="46"/>
        <v>-1.8009456011230851E-3</v>
      </c>
      <c r="O759" s="99">
        <f t="shared" si="47"/>
        <v>-1.4108067009066271E-3</v>
      </c>
    </row>
    <row r="760" spans="9:15">
      <c r="I760" s="178">
        <f>Prices!A760</f>
        <v>42706</v>
      </c>
      <c r="J760" s="3">
        <f>Prices!E760</f>
        <v>14.56</v>
      </c>
      <c r="K760" s="99">
        <f t="shared" si="44"/>
        <v>-1.2211668928086819E-2</v>
      </c>
      <c r="L760" s="99">
        <f t="shared" si="45"/>
        <v>-2.17717749522214E-3</v>
      </c>
      <c r="M760" s="3">
        <f>Prices!M760</f>
        <v>22.209999</v>
      </c>
      <c r="N760" s="99">
        <f t="shared" si="46"/>
        <v>-1.7977977528089966E-3</v>
      </c>
      <c r="O760" s="99">
        <f t="shared" si="47"/>
        <v>-1.7122361498630805E-3</v>
      </c>
    </row>
    <row r="761" spans="9:15">
      <c r="I761" s="178">
        <f>Prices!A761</f>
        <v>42709</v>
      </c>
      <c r="J761" s="3">
        <f>Prices!E761</f>
        <v>14.74</v>
      </c>
      <c r="K761" s="99">
        <f t="shared" si="44"/>
        <v>6.7888662593345466E-4</v>
      </c>
      <c r="L761" s="99">
        <f t="shared" si="45"/>
        <v>-1.4022284998368693E-3</v>
      </c>
      <c r="M761" s="3">
        <f>Prices!M761</f>
        <v>22.25</v>
      </c>
      <c r="N761" s="99">
        <f t="shared" si="46"/>
        <v>-3.1362007168458908E-3</v>
      </c>
      <c r="O761" s="99">
        <f t="shared" si="47"/>
        <v>-1.7957316111606493E-3</v>
      </c>
    </row>
    <row r="762" spans="9:15">
      <c r="I762" s="178">
        <f>Prices!A762</f>
        <v>42710</v>
      </c>
      <c r="J762" s="3">
        <f>Prices!E762</f>
        <v>14.73</v>
      </c>
      <c r="K762" s="99">
        <f t="shared" si="44"/>
        <v>-4.536616979909263E-2</v>
      </c>
      <c r="L762" s="99">
        <f t="shared" si="45"/>
        <v>-6.3456962472071611E-4</v>
      </c>
      <c r="M762" s="3">
        <f>Prices!M762</f>
        <v>22.32</v>
      </c>
      <c r="N762" s="99">
        <f t="shared" si="46"/>
        <v>-8.8809946714031654E-3</v>
      </c>
      <c r="O762" s="99">
        <f t="shared" si="47"/>
        <v>-1.4430991210102617E-3</v>
      </c>
    </row>
    <row r="763" spans="9:15">
      <c r="I763" s="178">
        <f>Prices!A763</f>
        <v>42711</v>
      </c>
      <c r="J763" s="3">
        <f>Prices!E763</f>
        <v>15.43</v>
      </c>
      <c r="K763" s="99">
        <f t="shared" si="44"/>
        <v>-2.5268477574226175E-2</v>
      </c>
      <c r="L763" s="99">
        <f t="shared" si="45"/>
        <v>2.8657717194433656E-3</v>
      </c>
      <c r="M763" s="3">
        <f>Prices!M763</f>
        <v>22.52</v>
      </c>
      <c r="N763" s="99">
        <f t="shared" si="46"/>
        <v>-3.9805836364182768E-3</v>
      </c>
      <c r="O763" s="99">
        <f t="shared" si="47"/>
        <v>-6.9256952754518102E-4</v>
      </c>
    </row>
    <row r="764" spans="9:15">
      <c r="I764" s="178">
        <f>Prices!A764</f>
        <v>42712</v>
      </c>
      <c r="J764" s="3">
        <f>Prices!E764</f>
        <v>15.83</v>
      </c>
      <c r="K764" s="99">
        <f t="shared" si="44"/>
        <v>1.2795905310300658E-2</v>
      </c>
      <c r="L764" s="99">
        <f t="shared" si="45"/>
        <v>3.0575278151673997E-3</v>
      </c>
      <c r="M764" s="3">
        <f>Prices!M764</f>
        <v>22.610001</v>
      </c>
      <c r="N764" s="99">
        <f t="shared" si="46"/>
        <v>-1.7659602649005793E-3</v>
      </c>
      <c r="O764" s="99">
        <f t="shared" si="47"/>
        <v>-6.0275616526187328E-4</v>
      </c>
    </row>
    <row r="765" spans="9:15">
      <c r="I765" s="178">
        <f>Prices!A765</f>
        <v>42713</v>
      </c>
      <c r="J765" s="3">
        <f>Prices!E765</f>
        <v>15.63</v>
      </c>
      <c r="K765" s="99">
        <f t="shared" si="44"/>
        <v>6.4020486555707839E-4</v>
      </c>
      <c r="L765" s="99">
        <f t="shared" si="45"/>
        <v>1.4650387257364637E-3</v>
      </c>
      <c r="M765" s="3">
        <f>Prices!M765</f>
        <v>22.65</v>
      </c>
      <c r="N765" s="99">
        <f t="shared" si="46"/>
        <v>1.7690843976520885E-3</v>
      </c>
      <c r="O765" s="99">
        <f t="shared" si="47"/>
        <v>-7.9682348650859068E-4</v>
      </c>
    </row>
    <row r="766" spans="9:15">
      <c r="I766" s="178">
        <f>Prices!A766</f>
        <v>42716</v>
      </c>
      <c r="J766" s="3">
        <f>Prices!E766</f>
        <v>15.62</v>
      </c>
      <c r="K766" s="99">
        <f t="shared" si="44"/>
        <v>-6.9930069930070693E-3</v>
      </c>
      <c r="L766" s="99">
        <f t="shared" si="45"/>
        <v>1.8637773227501964E-3</v>
      </c>
      <c r="M766" s="3">
        <f>Prices!M766</f>
        <v>22.610001</v>
      </c>
      <c r="N766" s="99">
        <f t="shared" si="46"/>
        <v>-7.4626862395659318E-3</v>
      </c>
      <c r="O766" s="99">
        <f t="shared" si="47"/>
        <v>-7.109119772876944E-4</v>
      </c>
    </row>
    <row r="767" spans="9:15">
      <c r="I767" s="178">
        <f>Prices!A767</f>
        <v>42717</v>
      </c>
      <c r="J767" s="3">
        <f>Prices!E767</f>
        <v>15.73</v>
      </c>
      <c r="K767" s="99">
        <f t="shared" si="44"/>
        <v>2.7433050293925534E-2</v>
      </c>
      <c r="L767" s="99">
        <f t="shared" si="45"/>
        <v>1.8515855671373937E-3</v>
      </c>
      <c r="M767" s="3">
        <f>Prices!M767</f>
        <v>22.780000999999999</v>
      </c>
      <c r="N767" s="99">
        <f t="shared" si="46"/>
        <v>1.1545337477797471E-2</v>
      </c>
      <c r="O767" s="99">
        <f t="shared" si="47"/>
        <v>-5.7638505093227967E-4</v>
      </c>
    </row>
    <row r="768" spans="9:15">
      <c r="I768" s="178">
        <f>Prices!A768</f>
        <v>42718</v>
      </c>
      <c r="J768" s="3">
        <f>Prices!E768</f>
        <v>15.31</v>
      </c>
      <c r="K768" s="99">
        <f t="shared" si="44"/>
        <v>2.6195153896529746E-3</v>
      </c>
      <c r="L768" s="99">
        <f t="shared" si="45"/>
        <v>1.0118479460581389E-3</v>
      </c>
      <c r="M768" s="3">
        <f>Prices!M768</f>
        <v>22.52</v>
      </c>
      <c r="N768" s="99">
        <f t="shared" si="46"/>
        <v>-3.539823008849639E-3</v>
      </c>
      <c r="O768" s="99">
        <f t="shared" si="47"/>
        <v>-1.0667353668039046E-3</v>
      </c>
    </row>
    <row r="769" spans="9:15">
      <c r="I769" s="178">
        <f>Prices!A769</f>
        <v>42719</v>
      </c>
      <c r="J769" s="3">
        <f>Prices!E769</f>
        <v>15.27</v>
      </c>
      <c r="K769" s="99">
        <f t="shared" si="44"/>
        <v>1.394422310756966E-2</v>
      </c>
      <c r="L769" s="99">
        <f t="shared" si="45"/>
        <v>1.2492579769773633E-3</v>
      </c>
      <c r="M769" s="3">
        <f>Prices!M769</f>
        <v>22.6</v>
      </c>
      <c r="N769" s="99">
        <f t="shared" si="46"/>
        <v>-2.2075055187636716E-3</v>
      </c>
      <c r="O769" s="99">
        <f t="shared" si="47"/>
        <v>-7.8085701649699359E-4</v>
      </c>
    </row>
    <row r="770" spans="9:15">
      <c r="I770" s="178">
        <f>Prices!A770</f>
        <v>42720</v>
      </c>
      <c r="J770" s="3">
        <f>Prices!E770</f>
        <v>15.06</v>
      </c>
      <c r="K770" s="99">
        <f t="shared" si="44"/>
        <v>-1.6329196603527107E-2</v>
      </c>
      <c r="L770" s="99">
        <f t="shared" si="45"/>
        <v>8.5528132294658847E-4</v>
      </c>
      <c r="M770" s="3">
        <f>Prices!M770</f>
        <v>22.65</v>
      </c>
      <c r="N770" s="99">
        <f t="shared" si="46"/>
        <v>-1.322751322751373E-3</v>
      </c>
      <c r="O770" s="99">
        <f t="shared" si="47"/>
        <v>-5.6136126914894599E-4</v>
      </c>
    </row>
    <row r="771" spans="9:15">
      <c r="I771" s="178">
        <f>Prices!A771</f>
        <v>42723</v>
      </c>
      <c r="J771" s="3">
        <f>Prices!E771</f>
        <v>15.31</v>
      </c>
      <c r="K771" s="99">
        <f t="shared" si="44"/>
        <v>-2.8553299492385741E-2</v>
      </c>
      <c r="L771" s="99">
        <f t="shared" si="45"/>
        <v>3.3430503453235018E-3</v>
      </c>
      <c r="M771" s="3">
        <f>Prices!M771</f>
        <v>22.68</v>
      </c>
      <c r="N771" s="99">
        <f t="shared" si="46"/>
        <v>-8.8110128277089504E-4</v>
      </c>
      <c r="O771" s="99">
        <f t="shared" si="47"/>
        <v>-5.606138483736174E-4</v>
      </c>
    </row>
    <row r="772" spans="9:15">
      <c r="I772" s="178">
        <f>Prices!A772</f>
        <v>42724</v>
      </c>
      <c r="J772" s="3">
        <f>Prices!E772</f>
        <v>15.76</v>
      </c>
      <c r="K772" s="99">
        <f t="shared" si="44"/>
        <v>-5.0505050505050553E-3</v>
      </c>
      <c r="L772" s="99">
        <f t="shared" si="45"/>
        <v>5.5127647899074509E-3</v>
      </c>
      <c r="M772" s="3">
        <f>Prices!M772</f>
        <v>22.700001</v>
      </c>
      <c r="N772" s="99">
        <f t="shared" si="46"/>
        <v>4.4072276594441596E-4</v>
      </c>
      <c r="O772" s="99">
        <f t="shared" si="47"/>
        <v>-1.0128880893710307E-3</v>
      </c>
    </row>
    <row r="773" spans="9:15">
      <c r="I773" s="178">
        <f>Prices!A773</f>
        <v>42725</v>
      </c>
      <c r="J773" s="3">
        <f>Prices!E773</f>
        <v>15.84</v>
      </c>
      <c r="K773" s="99">
        <f t="shared" si="44"/>
        <v>3.1250000000000028E-2</v>
      </c>
      <c r="L773" s="99">
        <f t="shared" si="45"/>
        <v>7.0334059844616879E-3</v>
      </c>
      <c r="M773" s="3">
        <f>Prices!M773</f>
        <v>22.690000999999999</v>
      </c>
      <c r="N773" s="99">
        <f t="shared" si="46"/>
        <v>-3.9508338915349413E-3</v>
      </c>
      <c r="O773" s="99">
        <f t="shared" si="47"/>
        <v>-8.1819254149573012E-4</v>
      </c>
    </row>
    <row r="774" spans="9:15">
      <c r="I774" s="178">
        <f>Prices!A774</f>
        <v>42726</v>
      </c>
      <c r="J774" s="3">
        <f>Prices!E774</f>
        <v>15.36</v>
      </c>
      <c r="K774" s="99">
        <f t="shared" si="44"/>
        <v>3.2658393207053516E-3</v>
      </c>
      <c r="L774" s="99">
        <f t="shared" si="45"/>
        <v>5.3624461146135321E-3</v>
      </c>
      <c r="M774" s="3">
        <f>Prices!M774</f>
        <v>22.780000999999999</v>
      </c>
      <c r="N774" s="99">
        <f t="shared" si="46"/>
        <v>1.3187252747252137E-3</v>
      </c>
      <c r="O774" s="99">
        <f t="shared" si="47"/>
        <v>-1.050388706824439E-3</v>
      </c>
    </row>
    <row r="775" spans="9:15">
      <c r="I775" s="178">
        <f>Prices!A775</f>
        <v>42727</v>
      </c>
      <c r="J775" s="3">
        <f>Prices!E775</f>
        <v>15.31</v>
      </c>
      <c r="K775" s="99">
        <f t="shared" ref="K775:K838" si="48">(J775-J776)/J776</f>
        <v>-1.9556714471968295E-3</v>
      </c>
      <c r="L775" s="99">
        <f t="shared" ref="L775:L838" si="49">AVERAGE(K775:K794)</f>
        <v>3.1533843843618999E-3</v>
      </c>
      <c r="M775" s="3">
        <f>Prices!M775</f>
        <v>22.75</v>
      </c>
      <c r="N775" s="99">
        <f t="shared" ref="N775:N838" si="50">(M775-M776)/M776</f>
        <v>-1.3169885286659388E-3</v>
      </c>
      <c r="O775" s="99">
        <f t="shared" ref="O775:O838" si="51">AVERAGE(N775:N794)</f>
        <v>-1.1592639983434821E-3</v>
      </c>
    </row>
    <row r="776" spans="9:15">
      <c r="I776" s="178">
        <f>Prices!A776</f>
        <v>42732</v>
      </c>
      <c r="J776" s="3">
        <f>Prices!E776</f>
        <v>15.34</v>
      </c>
      <c r="K776" s="99">
        <f t="shared" si="48"/>
        <v>8.5470085470084819E-3</v>
      </c>
      <c r="L776" s="99">
        <f t="shared" si="49"/>
        <v>3.8476591847919164E-3</v>
      </c>
      <c r="M776" s="3">
        <f>Prices!M776</f>
        <v>22.780000999999999</v>
      </c>
      <c r="N776" s="99">
        <f t="shared" si="50"/>
        <v>-2.6269264448336798E-3</v>
      </c>
      <c r="O776" s="99">
        <f t="shared" si="51"/>
        <v>-1.0073909159962066E-3</v>
      </c>
    </row>
    <row r="777" spans="9:15">
      <c r="I777" s="178">
        <f>Prices!A777</f>
        <v>42733</v>
      </c>
      <c r="J777" s="3">
        <f>Prices!E777</f>
        <v>15.21</v>
      </c>
      <c r="K777" s="99">
        <f t="shared" si="48"/>
        <v>-3.9292730844792878E-3</v>
      </c>
      <c r="L777" s="99">
        <f t="shared" si="49"/>
        <v>2.7966081337408698E-3</v>
      </c>
      <c r="M777" s="3">
        <f>Prices!M777</f>
        <v>22.84</v>
      </c>
      <c r="N777" s="99">
        <f t="shared" si="50"/>
        <v>8.8339668212883016E-3</v>
      </c>
      <c r="O777" s="99">
        <f t="shared" si="51"/>
        <v>-7.2505235906944866E-4</v>
      </c>
    </row>
    <row r="778" spans="9:15">
      <c r="I778" s="178">
        <f>Prices!A778</f>
        <v>42734</v>
      </c>
      <c r="J778" s="3">
        <f>Prices!E778</f>
        <v>15.27</v>
      </c>
      <c r="K778" s="99">
        <f t="shared" si="48"/>
        <v>1.7321785476349088E-2</v>
      </c>
      <c r="L778" s="99">
        <f t="shared" si="49"/>
        <v>3.624650735333254E-3</v>
      </c>
      <c r="M778" s="3">
        <f>Prices!M778</f>
        <v>22.639999</v>
      </c>
      <c r="N778" s="99">
        <f t="shared" si="50"/>
        <v>-7.452871874303971E-3</v>
      </c>
      <c r="O778" s="99">
        <f t="shared" si="51"/>
        <v>-6.6566357599822767E-4</v>
      </c>
    </row>
    <row r="779" spans="9:15">
      <c r="I779" s="178">
        <f>Prices!A779</f>
        <v>42738</v>
      </c>
      <c r="J779" s="3">
        <f>Prices!E779</f>
        <v>15.01</v>
      </c>
      <c r="K779" s="99">
        <f t="shared" si="48"/>
        <v>-1.6382699868938401E-2</v>
      </c>
      <c r="L779" s="99">
        <f t="shared" si="49"/>
        <v>3.2546635167957452E-3</v>
      </c>
      <c r="M779" s="3">
        <f>Prices!M779</f>
        <v>22.809999000000001</v>
      </c>
      <c r="N779" s="99">
        <f t="shared" si="50"/>
        <v>-7.8295345802521614E-3</v>
      </c>
      <c r="O779" s="99">
        <f t="shared" si="51"/>
        <v>-1.8384749320005599E-4</v>
      </c>
    </row>
    <row r="780" spans="9:15">
      <c r="I780" s="178">
        <f>Prices!A780</f>
        <v>42739</v>
      </c>
      <c r="J780" s="3">
        <f>Prices!E780</f>
        <v>15.26</v>
      </c>
      <c r="K780" s="99">
        <f t="shared" si="48"/>
        <v>3.2873109796186018E-3</v>
      </c>
      <c r="L780" s="99">
        <f t="shared" si="49"/>
        <v>3.3749864906759256E-3</v>
      </c>
      <c r="M780" s="3">
        <f>Prices!M780</f>
        <v>22.99</v>
      </c>
      <c r="N780" s="99">
        <f t="shared" si="50"/>
        <v>-3.4677069787603749E-3</v>
      </c>
      <c r="O780" s="99">
        <f t="shared" si="51"/>
        <v>2.0762923581255246E-4</v>
      </c>
    </row>
    <row r="781" spans="9:15">
      <c r="I781" s="178">
        <f>Prices!A781</f>
        <v>42740</v>
      </c>
      <c r="J781" s="3">
        <f>Prices!E781</f>
        <v>15.21</v>
      </c>
      <c r="K781" s="99">
        <f t="shared" si="48"/>
        <v>1.6032064128256526E-2</v>
      </c>
      <c r="L781" s="99">
        <f t="shared" si="49"/>
        <v>3.7046223531276004E-3</v>
      </c>
      <c r="M781" s="3">
        <f>Prices!M781</f>
        <v>23.07</v>
      </c>
      <c r="N781" s="99">
        <f t="shared" si="50"/>
        <v>3.9164490861618734E-3</v>
      </c>
      <c r="O781" s="99">
        <f t="shared" si="51"/>
        <v>4.0286036989018402E-4</v>
      </c>
    </row>
    <row r="782" spans="9:15">
      <c r="I782" s="178">
        <f>Prices!A782</f>
        <v>42741</v>
      </c>
      <c r="J782" s="3">
        <f>Prices!E782</f>
        <v>14.97</v>
      </c>
      <c r="K782" s="99">
        <f t="shared" si="48"/>
        <v>2.4640657084188996E-2</v>
      </c>
      <c r="L782" s="99">
        <f t="shared" si="49"/>
        <v>2.9383298811780506E-3</v>
      </c>
      <c r="M782" s="3">
        <f>Prices!M782</f>
        <v>22.98</v>
      </c>
      <c r="N782" s="99">
        <f t="shared" si="50"/>
        <v>6.129597197898449E-3</v>
      </c>
      <c r="O782" s="99">
        <f t="shared" si="51"/>
        <v>-3.2094693113562856E-5</v>
      </c>
    </row>
    <row r="783" spans="9:15">
      <c r="I783" s="178">
        <f>Prices!A783</f>
        <v>42744</v>
      </c>
      <c r="J783" s="3">
        <f>Prices!E783</f>
        <v>14.61</v>
      </c>
      <c r="K783" s="99">
        <f t="shared" si="48"/>
        <v>-2.1433355659745499E-2</v>
      </c>
      <c r="L783" s="99">
        <f t="shared" si="49"/>
        <v>4.3306922242627706E-4</v>
      </c>
      <c r="M783" s="3">
        <f>Prices!M783</f>
        <v>22.84</v>
      </c>
      <c r="N783" s="99">
        <f t="shared" si="50"/>
        <v>-2.184316390752122E-3</v>
      </c>
      <c r="O783" s="99">
        <f t="shared" si="51"/>
        <v>-2.296442745305027E-4</v>
      </c>
    </row>
    <row r="784" spans="9:15">
      <c r="I784" s="178">
        <f>Prices!A784</f>
        <v>42745</v>
      </c>
      <c r="J784" s="3">
        <f>Prices!E784</f>
        <v>14.93</v>
      </c>
      <c r="K784" s="99">
        <f t="shared" si="48"/>
        <v>-1.9053876478318063E-2</v>
      </c>
      <c r="L784" s="99">
        <f t="shared" si="49"/>
        <v>1.0005473116606097E-4</v>
      </c>
      <c r="M784" s="3">
        <f>Prices!M784</f>
        <v>22.889999</v>
      </c>
      <c r="N784" s="99">
        <f t="shared" si="50"/>
        <v>-5.6473066898349274E-3</v>
      </c>
      <c r="O784" s="99">
        <f t="shared" si="51"/>
        <v>-3.1574094651579154E-4</v>
      </c>
    </row>
    <row r="785" spans="9:15">
      <c r="I785" s="178">
        <f>Prices!A785</f>
        <v>42746</v>
      </c>
      <c r="J785" s="3">
        <f>Prices!E785</f>
        <v>15.22</v>
      </c>
      <c r="K785" s="99">
        <f t="shared" si="48"/>
        <v>8.6149768058317276E-3</v>
      </c>
      <c r="L785" s="99">
        <f t="shared" si="49"/>
        <v>-1.7863681641609396E-3</v>
      </c>
      <c r="M785" s="3">
        <f>Prices!M785</f>
        <v>23.02</v>
      </c>
      <c r="N785" s="99">
        <f t="shared" si="50"/>
        <v>3.4873145820700194E-3</v>
      </c>
      <c r="O785" s="99">
        <f t="shared" si="51"/>
        <v>-1.6324357739201304E-4</v>
      </c>
    </row>
    <row r="786" spans="9:15">
      <c r="I786" s="178">
        <f>Prices!A786</f>
        <v>42747</v>
      </c>
      <c r="J786" s="3">
        <f>Prices!E786</f>
        <v>15.09</v>
      </c>
      <c r="K786" s="99">
        <f t="shared" si="48"/>
        <v>-7.2368421052631205E-3</v>
      </c>
      <c r="L786" s="99">
        <f t="shared" si="49"/>
        <v>-4.1285247714428191E-3</v>
      </c>
      <c r="M786" s="3">
        <f>Prices!M786</f>
        <v>22.940000999999999</v>
      </c>
      <c r="N786" s="99">
        <f t="shared" si="50"/>
        <v>-4.7721477124576415E-3</v>
      </c>
      <c r="O786" s="99">
        <f t="shared" si="51"/>
        <v>-5.7457398710579423E-4</v>
      </c>
    </row>
    <row r="787" spans="9:15">
      <c r="I787" s="178">
        <f>Prices!A787</f>
        <v>42748</v>
      </c>
      <c r="J787" s="3">
        <f>Prices!E787</f>
        <v>15.2</v>
      </c>
      <c r="K787" s="99">
        <f t="shared" si="48"/>
        <v>1.0638297872340436E-2</v>
      </c>
      <c r="L787" s="99">
        <f t="shared" si="49"/>
        <v>-4.425368255479927E-3</v>
      </c>
      <c r="M787" s="3">
        <f>Prices!M787</f>
        <v>23.049999</v>
      </c>
      <c r="N787" s="99">
        <f t="shared" si="50"/>
        <v>1.7383311603649768E-3</v>
      </c>
      <c r="O787" s="99">
        <f t="shared" si="51"/>
        <v>-6.357546100482259E-4</v>
      </c>
    </row>
    <row r="788" spans="9:15">
      <c r="I788" s="178">
        <f>Prices!A788</f>
        <v>42751</v>
      </c>
      <c r="J788" s="3">
        <f>Prices!E788</f>
        <v>15.04</v>
      </c>
      <c r="K788" s="99">
        <f t="shared" si="48"/>
        <v>7.3677160080374707E-3</v>
      </c>
      <c r="L788" s="99">
        <f t="shared" si="49"/>
        <v>-4.3512195127333123E-3</v>
      </c>
      <c r="M788" s="3">
        <f>Prices!M788</f>
        <v>23.01</v>
      </c>
      <c r="N788" s="99">
        <f t="shared" si="50"/>
        <v>2.1777439972885775E-3</v>
      </c>
      <c r="O788" s="99">
        <f t="shared" si="51"/>
        <v>-8.7211608693923384E-4</v>
      </c>
    </row>
    <row r="789" spans="9:15">
      <c r="I789" s="178">
        <f>Prices!A789</f>
        <v>42752</v>
      </c>
      <c r="J789" s="3">
        <f>Prices!E789</f>
        <v>14.93</v>
      </c>
      <c r="K789" s="99">
        <f t="shared" si="48"/>
        <v>6.0646900269541682E-3</v>
      </c>
      <c r="L789" s="99">
        <f t="shared" si="49"/>
        <v>-6.161630033558959E-3</v>
      </c>
      <c r="M789" s="3">
        <f>Prices!M789</f>
        <v>22.959999</v>
      </c>
      <c r="N789" s="99">
        <f t="shared" si="50"/>
        <v>2.1824094281972799E-3</v>
      </c>
      <c r="O789" s="99">
        <f t="shared" si="51"/>
        <v>-1.1300028610905864E-3</v>
      </c>
    </row>
    <row r="790" spans="9:15">
      <c r="I790" s="178">
        <f>Prices!A790</f>
        <v>42753</v>
      </c>
      <c r="J790" s="3">
        <f>Prices!E790</f>
        <v>14.84</v>
      </c>
      <c r="K790" s="99">
        <f t="shared" si="48"/>
        <v>3.3426183844011172E-2</v>
      </c>
      <c r="L790" s="99">
        <f t="shared" si="49"/>
        <v>-7.6430254544468971E-3</v>
      </c>
      <c r="M790" s="3">
        <f>Prices!M790</f>
        <v>22.91</v>
      </c>
      <c r="N790" s="99">
        <f t="shared" si="50"/>
        <v>-1.3078029072447997E-3</v>
      </c>
      <c r="O790" s="99">
        <f t="shared" si="51"/>
        <v>-1.3665097497992389E-3</v>
      </c>
    </row>
    <row r="791" spans="9:15">
      <c r="I791" s="178">
        <f>Prices!A791</f>
        <v>42754</v>
      </c>
      <c r="J791" s="3">
        <f>Prices!E791</f>
        <v>14.36</v>
      </c>
      <c r="K791" s="99">
        <f t="shared" si="48"/>
        <v>1.4840989399293221E-2</v>
      </c>
      <c r="L791" s="99">
        <f t="shared" si="49"/>
        <v>-8.7329422385888818E-3</v>
      </c>
      <c r="M791" s="3">
        <f>Prices!M791</f>
        <v>22.940000999999999</v>
      </c>
      <c r="N791" s="99">
        <f t="shared" si="50"/>
        <v>-9.9265861027191607E-3</v>
      </c>
      <c r="O791" s="99">
        <f t="shared" si="51"/>
        <v>-1.3223420162036584E-3</v>
      </c>
    </row>
    <row r="792" spans="9:15">
      <c r="I792" s="178">
        <f>Prices!A792</f>
        <v>42755</v>
      </c>
      <c r="J792" s="3">
        <f>Prices!E792</f>
        <v>14.15</v>
      </c>
      <c r="K792" s="99">
        <f t="shared" si="48"/>
        <v>2.5362318840579684E-2</v>
      </c>
      <c r="L792" s="99">
        <f t="shared" si="49"/>
        <v>-1.0247739320044535E-2</v>
      </c>
      <c r="M792" s="3">
        <f>Prices!M792</f>
        <v>23.17</v>
      </c>
      <c r="N792" s="99">
        <f t="shared" si="50"/>
        <v>4.3346337234504298E-3</v>
      </c>
      <c r="O792" s="99">
        <f t="shared" si="51"/>
        <v>-8.2601271106770026E-4</v>
      </c>
    </row>
    <row r="793" spans="9:15">
      <c r="I793" s="178">
        <f>Prices!A793</f>
        <v>42758</v>
      </c>
      <c r="J793" s="3">
        <f>Prices!E793</f>
        <v>13.8</v>
      </c>
      <c r="K793" s="99">
        <f t="shared" si="48"/>
        <v>-2.1691973969630773E-3</v>
      </c>
      <c r="L793" s="99">
        <f t="shared" si="49"/>
        <v>-1.2716975373805357E-2</v>
      </c>
      <c r="M793" s="3">
        <f>Prices!M793</f>
        <v>23.07</v>
      </c>
      <c r="N793" s="99">
        <f t="shared" si="50"/>
        <v>-8.5947571981091226E-3</v>
      </c>
      <c r="O793" s="99">
        <f t="shared" si="51"/>
        <v>-9.1508695043170855E-4</v>
      </c>
    </row>
    <row r="794" spans="9:15">
      <c r="I794" s="178">
        <f>Prices!A794</f>
        <v>42759</v>
      </c>
      <c r="J794" s="3">
        <f>Prices!E794</f>
        <v>13.83</v>
      </c>
      <c r="K794" s="99">
        <f t="shared" si="48"/>
        <v>-4.0915395284327312E-2</v>
      </c>
      <c r="L794" s="99">
        <f t="shared" si="49"/>
        <v>-1.1524040618112455E-2</v>
      </c>
      <c r="M794" s="3">
        <f>Prices!M794</f>
        <v>23.27</v>
      </c>
      <c r="N794" s="99">
        <f t="shared" si="50"/>
        <v>-8.5878055565564819E-4</v>
      </c>
      <c r="O794" s="99">
        <f t="shared" si="51"/>
        <v>-2.7167387685103574E-4</v>
      </c>
    </row>
    <row r="795" spans="9:15">
      <c r="I795" s="178">
        <f>Prices!A795</f>
        <v>42760</v>
      </c>
      <c r="J795" s="3">
        <f>Prices!E795</f>
        <v>14.42</v>
      </c>
      <c r="K795" s="99">
        <f t="shared" si="48"/>
        <v>1.1929824561403504E-2</v>
      </c>
      <c r="L795" s="99">
        <f t="shared" si="49"/>
        <v>-9.3351655222930416E-3</v>
      </c>
      <c r="M795" s="3">
        <f>Prices!M795</f>
        <v>23.290001</v>
      </c>
      <c r="N795" s="99">
        <f t="shared" si="50"/>
        <v>1.7204731182795775E-3</v>
      </c>
      <c r="O795" s="99">
        <f t="shared" si="51"/>
        <v>2.8994950857442548E-5</v>
      </c>
    </row>
    <row r="796" spans="9:15">
      <c r="I796" s="178">
        <f>Prices!A796</f>
        <v>42761</v>
      </c>
      <c r="J796" s="3">
        <f>Prices!E796</f>
        <v>14.25</v>
      </c>
      <c r="K796" s="99">
        <f t="shared" si="48"/>
        <v>-1.2474012474012454E-2</v>
      </c>
      <c r="L796" s="99">
        <f t="shared" si="49"/>
        <v>-8.6699256037511916E-3</v>
      </c>
      <c r="M796" s="3">
        <f>Prices!M796</f>
        <v>23.25</v>
      </c>
      <c r="N796" s="99">
        <f t="shared" si="50"/>
        <v>3.0198446937014789E-3</v>
      </c>
      <c r="O796" s="99">
        <f t="shared" si="51"/>
        <v>7.2831379058045512E-4</v>
      </c>
    </row>
    <row r="797" spans="9:15">
      <c r="I797" s="178">
        <f>Prices!A797</f>
        <v>42762</v>
      </c>
      <c r="J797" s="3">
        <f>Prices!E797</f>
        <v>14.43</v>
      </c>
      <c r="K797" s="99">
        <f t="shared" si="48"/>
        <v>1.2631578947368402E-2</v>
      </c>
      <c r="L797" s="99">
        <f t="shared" si="49"/>
        <v>-8.1633180713854576E-3</v>
      </c>
      <c r="M797" s="3">
        <f>Prices!M797</f>
        <v>23.18</v>
      </c>
      <c r="N797" s="99">
        <f t="shared" si="50"/>
        <v>1.0021742482712719E-2</v>
      </c>
      <c r="O797" s="99">
        <f t="shared" si="51"/>
        <v>4.2508145150217382E-4</v>
      </c>
    </row>
    <row r="798" spans="9:15">
      <c r="I798" s="178">
        <f>Prices!A798</f>
        <v>42765</v>
      </c>
      <c r="J798" s="3">
        <f>Prices!E798</f>
        <v>14.25</v>
      </c>
      <c r="K798" s="99">
        <f t="shared" si="48"/>
        <v>9.9220411055989076E-3</v>
      </c>
      <c r="L798" s="99">
        <f t="shared" si="49"/>
        <v>-8.9989786514069418E-3</v>
      </c>
      <c r="M798" s="3">
        <f>Prices!M798</f>
        <v>22.950001</v>
      </c>
      <c r="N798" s="99">
        <f t="shared" si="50"/>
        <v>2.1834497816594647E-3</v>
      </c>
      <c r="O798" s="99">
        <f t="shared" si="51"/>
        <v>4.0708611480614888E-4</v>
      </c>
    </row>
    <row r="799" spans="9:15">
      <c r="I799" s="178">
        <f>Prices!A799</f>
        <v>42766</v>
      </c>
      <c r="J799" s="3">
        <f>Prices!E799</f>
        <v>14.11</v>
      </c>
      <c r="K799" s="99">
        <f t="shared" si="48"/>
        <v>-1.3976240391334806E-2</v>
      </c>
      <c r="L799" s="99">
        <f t="shared" si="49"/>
        <v>-1.2119390098952085E-2</v>
      </c>
      <c r="M799" s="3">
        <f>Prices!M799</f>
        <v>22.9</v>
      </c>
      <c r="N799" s="99">
        <f t="shared" si="50"/>
        <v>0</v>
      </c>
      <c r="O799" s="99">
        <f t="shared" si="51"/>
        <v>-2.4509245594493895E-4</v>
      </c>
    </row>
    <row r="800" spans="9:15">
      <c r="I800" s="178">
        <f>Prices!A800</f>
        <v>42767</v>
      </c>
      <c r="J800" s="3">
        <f>Prices!E800</f>
        <v>14.31</v>
      </c>
      <c r="K800" s="99">
        <f t="shared" si="48"/>
        <v>9.8800282286521223E-3</v>
      </c>
      <c r="L800" s="99">
        <f t="shared" si="49"/>
        <v>-1.1722607200858661E-2</v>
      </c>
      <c r="M800" s="3">
        <f>Prices!M800</f>
        <v>22.9</v>
      </c>
      <c r="N800" s="99">
        <f t="shared" si="50"/>
        <v>4.3691570279225605E-4</v>
      </c>
      <c r="O800" s="99">
        <f t="shared" si="51"/>
        <v>-1.7984669691927316E-4</v>
      </c>
    </row>
    <row r="801" spans="9:15">
      <c r="I801" s="178">
        <f>Prices!A801</f>
        <v>42768</v>
      </c>
      <c r="J801" s="3">
        <f>Prices!E801</f>
        <v>14.17</v>
      </c>
      <c r="K801" s="99">
        <f t="shared" si="48"/>
        <v>7.0621468926552165E-4</v>
      </c>
      <c r="L801" s="99">
        <f t="shared" si="49"/>
        <v>-1.3026984085008722E-2</v>
      </c>
      <c r="M801" s="3">
        <f>Prices!M801</f>
        <v>22.889999</v>
      </c>
      <c r="N801" s="99">
        <f t="shared" si="50"/>
        <v>-4.7826521739130637E-3</v>
      </c>
      <c r="O801" s="99">
        <f t="shared" si="51"/>
        <v>-4.3978772015413058E-4</v>
      </c>
    </row>
    <row r="802" spans="9:15">
      <c r="I802" s="178">
        <f>Prices!A802</f>
        <v>42769</v>
      </c>
      <c r="J802" s="3">
        <f>Prices!E802</f>
        <v>14.16</v>
      </c>
      <c r="K802" s="99">
        <f t="shared" si="48"/>
        <v>-2.5464556090846472E-2</v>
      </c>
      <c r="L802" s="99">
        <f t="shared" si="49"/>
        <v>-1.2322163240524622E-2</v>
      </c>
      <c r="M802" s="3">
        <f>Prices!M802</f>
        <v>23</v>
      </c>
      <c r="N802" s="99">
        <f t="shared" si="50"/>
        <v>2.1786055695596565E-3</v>
      </c>
      <c r="O802" s="99">
        <f t="shared" si="51"/>
        <v>-3.517125132711669E-4</v>
      </c>
    </row>
    <row r="803" spans="9:15">
      <c r="I803" s="178">
        <f>Prices!A803</f>
        <v>42772</v>
      </c>
      <c r="J803" s="3">
        <f>Prices!E803</f>
        <v>14.53</v>
      </c>
      <c r="K803" s="99">
        <f t="shared" si="48"/>
        <v>-2.8093645484949831E-2</v>
      </c>
      <c r="L803" s="99">
        <f t="shared" si="49"/>
        <v>-1.1021508118373966E-2</v>
      </c>
      <c r="M803" s="3">
        <f>Prices!M803</f>
        <v>22.950001</v>
      </c>
      <c r="N803" s="99">
        <f t="shared" si="50"/>
        <v>-3.9062498304579005E-3</v>
      </c>
      <c r="O803" s="99">
        <f t="shared" si="51"/>
        <v>-3.9581781055532568E-4</v>
      </c>
    </row>
    <row r="804" spans="9:15">
      <c r="I804" s="178">
        <f>Prices!A804</f>
        <v>42773</v>
      </c>
      <c r="J804" s="3">
        <f>Prices!E804</f>
        <v>14.95</v>
      </c>
      <c r="K804" s="99">
        <f t="shared" si="48"/>
        <v>-5.6782334384858066E-2</v>
      </c>
      <c r="L804" s="99">
        <f t="shared" si="49"/>
        <v>-8.808578954954056E-3</v>
      </c>
      <c r="M804" s="3">
        <f>Prices!M804</f>
        <v>23.040001</v>
      </c>
      <c r="N804" s="99">
        <f t="shared" si="50"/>
        <v>-2.5973593073593611E-3</v>
      </c>
      <c r="O804" s="99">
        <f t="shared" si="51"/>
        <v>8.1978383705505215E-5</v>
      </c>
    </row>
    <row r="805" spans="9:15">
      <c r="I805" s="178">
        <f>Prices!A805</f>
        <v>42774</v>
      </c>
      <c r="J805" s="3">
        <f>Prices!E805</f>
        <v>15.85</v>
      </c>
      <c r="K805" s="99">
        <f t="shared" si="48"/>
        <v>-3.8228155339805871E-2</v>
      </c>
      <c r="L805" s="99">
        <f t="shared" si="49"/>
        <v>-5.969462235711152E-3</v>
      </c>
      <c r="M805" s="3">
        <f>Prices!M805</f>
        <v>23.1</v>
      </c>
      <c r="N805" s="99">
        <f t="shared" si="50"/>
        <v>-4.7392936122056016E-3</v>
      </c>
      <c r="O805" s="99">
        <f t="shared" si="51"/>
        <v>1.4674001509371645E-4</v>
      </c>
    </row>
    <row r="806" spans="9:15">
      <c r="I806" s="178">
        <f>Prices!A806</f>
        <v>42775</v>
      </c>
      <c r="J806" s="3">
        <f>Prices!E806</f>
        <v>16.48</v>
      </c>
      <c r="K806" s="99">
        <f t="shared" si="48"/>
        <v>-1.3173711786005276E-2</v>
      </c>
      <c r="L806" s="99">
        <f t="shared" si="49"/>
        <v>-4.8804201485454181E-3</v>
      </c>
      <c r="M806" s="3">
        <f>Prices!M806</f>
        <v>23.209999</v>
      </c>
      <c r="N806" s="99">
        <f t="shared" si="50"/>
        <v>-5.9957601713062775E-3</v>
      </c>
      <c r="O806" s="99">
        <f t="shared" si="51"/>
        <v>4.9244980227207348E-4</v>
      </c>
    </row>
    <row r="807" spans="9:15">
      <c r="I807" s="178">
        <f>Prices!A807</f>
        <v>42776</v>
      </c>
      <c r="J807" s="3">
        <f>Prices!E807</f>
        <v>16.700001</v>
      </c>
      <c r="K807" s="99">
        <f t="shared" si="48"/>
        <v>1.2121272727272746E-2</v>
      </c>
      <c r="L807" s="99">
        <f t="shared" si="49"/>
        <v>-3.3288774163880213E-3</v>
      </c>
      <c r="M807" s="3">
        <f>Prices!M807</f>
        <v>23.35</v>
      </c>
      <c r="N807" s="99">
        <f t="shared" si="50"/>
        <v>-2.9888983774551785E-3</v>
      </c>
      <c r="O807" s="99">
        <f t="shared" si="51"/>
        <v>6.6208813057058724E-4</v>
      </c>
    </row>
    <row r="808" spans="9:15">
      <c r="I808" s="178">
        <f>Prices!A808</f>
        <v>42779</v>
      </c>
      <c r="J808" s="3">
        <f>Prices!E808</f>
        <v>16.5</v>
      </c>
      <c r="K808" s="99">
        <f t="shared" si="48"/>
        <v>-2.8840494408475484E-2</v>
      </c>
      <c r="L808" s="99">
        <f t="shared" si="49"/>
        <v>-4.2399909526379554E-3</v>
      </c>
      <c r="M808" s="3">
        <f>Prices!M808</f>
        <v>23.42</v>
      </c>
      <c r="N808" s="99">
        <f t="shared" si="50"/>
        <v>-2.9799914857384733E-3</v>
      </c>
      <c r="O808" s="99">
        <f t="shared" si="51"/>
        <v>1.337618122923618E-3</v>
      </c>
    </row>
    <row r="809" spans="9:15">
      <c r="I809" s="178">
        <f>Prices!A809</f>
        <v>42780</v>
      </c>
      <c r="J809" s="3">
        <f>Prices!E809</f>
        <v>16.989999999999998</v>
      </c>
      <c r="K809" s="99">
        <f t="shared" si="48"/>
        <v>-2.3563218390804608E-2</v>
      </c>
      <c r="L809" s="99">
        <f t="shared" si="49"/>
        <v>-2.6310157499131051E-3</v>
      </c>
      <c r="M809" s="3">
        <f>Prices!M809</f>
        <v>23.49</v>
      </c>
      <c r="N809" s="99">
        <f t="shared" si="50"/>
        <v>-2.5477283459757788E-3</v>
      </c>
      <c r="O809" s="99">
        <f t="shared" si="51"/>
        <v>1.1599626307185992E-3</v>
      </c>
    </row>
    <row r="810" spans="9:15">
      <c r="I810" s="178">
        <f>Prices!A810</f>
        <v>42781</v>
      </c>
      <c r="J810" s="3">
        <f>Prices!E810</f>
        <v>17.399999999999999</v>
      </c>
      <c r="K810" s="99">
        <f t="shared" si="48"/>
        <v>1.1627848161171517E-2</v>
      </c>
      <c r="L810" s="99">
        <f t="shared" si="49"/>
        <v>-1.3692483690354352E-3</v>
      </c>
      <c r="M810" s="3">
        <f>Prices!M810</f>
        <v>23.549999</v>
      </c>
      <c r="N810" s="99">
        <f t="shared" si="50"/>
        <v>-4.2444823533318329E-4</v>
      </c>
      <c r="O810" s="99">
        <f t="shared" si="51"/>
        <v>1.1137336041638908E-3</v>
      </c>
    </row>
    <row r="811" spans="9:15">
      <c r="I811" s="178">
        <f>Prices!A811</f>
        <v>42782</v>
      </c>
      <c r="J811" s="3">
        <f>Prices!E811</f>
        <v>17.200001</v>
      </c>
      <c r="K811" s="99">
        <f t="shared" si="48"/>
        <v>-1.5454952229819879E-2</v>
      </c>
      <c r="L811" s="99">
        <f t="shared" si="49"/>
        <v>-1.8668858915552103E-3</v>
      </c>
      <c r="M811" s="3">
        <f>Prices!M811</f>
        <v>23.559999000000001</v>
      </c>
      <c r="N811" s="99">
        <f t="shared" si="50"/>
        <v>0</v>
      </c>
      <c r="O811" s="99">
        <f t="shared" si="51"/>
        <v>1.3967383021434613E-3</v>
      </c>
    </row>
    <row r="812" spans="9:15">
      <c r="I812" s="178">
        <f>Prices!A812</f>
        <v>42783</v>
      </c>
      <c r="J812" s="3">
        <f>Prices!E812</f>
        <v>17.469999000000001</v>
      </c>
      <c r="K812" s="99">
        <f t="shared" si="48"/>
        <v>-2.4022402234636718E-2</v>
      </c>
      <c r="L812" s="99">
        <f t="shared" si="49"/>
        <v>-9.5416348387019625E-4</v>
      </c>
      <c r="M812" s="3">
        <f>Prices!M812</f>
        <v>23.559999000000001</v>
      </c>
      <c r="N812" s="99">
        <f t="shared" si="50"/>
        <v>2.5531489361702658E-3</v>
      </c>
      <c r="O812" s="99">
        <f t="shared" si="51"/>
        <v>1.5499111686642496E-3</v>
      </c>
    </row>
    <row r="813" spans="9:15">
      <c r="I813" s="178">
        <f>Prices!A813</f>
        <v>42787</v>
      </c>
      <c r="J813" s="3">
        <f>Prices!E813</f>
        <v>17.899999999999999</v>
      </c>
      <c r="K813" s="99">
        <f t="shared" si="48"/>
        <v>2.168949771689492E-2</v>
      </c>
      <c r="L813" s="99">
        <f t="shared" si="49"/>
        <v>1.7463828100992423E-3</v>
      </c>
      <c r="M813" s="3">
        <f>Prices!M813</f>
        <v>23.5</v>
      </c>
      <c r="N813" s="99">
        <f t="shared" si="50"/>
        <v>4.2735042735043346E-3</v>
      </c>
      <c r="O813" s="99">
        <f t="shared" si="51"/>
        <v>1.8860368695493425E-3</v>
      </c>
    </row>
    <row r="814" spans="9:15">
      <c r="I814" s="178">
        <f>Prices!A814</f>
        <v>42788</v>
      </c>
      <c r="J814" s="3">
        <f>Prices!E814</f>
        <v>17.52</v>
      </c>
      <c r="K814" s="99">
        <f t="shared" si="48"/>
        <v>2.862106632060951E-3</v>
      </c>
      <c r="L814" s="99">
        <f t="shared" si="49"/>
        <v>4.6087403568470764E-4</v>
      </c>
      <c r="M814" s="3">
        <f>Prices!M814</f>
        <v>23.4</v>
      </c>
      <c r="N814" s="99">
        <f t="shared" si="50"/>
        <v>5.1545959985139162E-3</v>
      </c>
      <c r="O814" s="99">
        <f t="shared" si="51"/>
        <v>1.4963053100969939E-3</v>
      </c>
    </row>
    <row r="815" spans="9:15">
      <c r="I815" s="178">
        <f>Prices!A815</f>
        <v>42789</v>
      </c>
      <c r="J815" s="3">
        <f>Prices!E815</f>
        <v>17.469999000000001</v>
      </c>
      <c r="K815" s="99">
        <f t="shared" si="48"/>
        <v>2.5234622932240509E-2</v>
      </c>
      <c r="L815" s="99">
        <f t="shared" si="49"/>
        <v>-8.108886850281553E-5</v>
      </c>
      <c r="M815" s="3">
        <f>Prices!M815</f>
        <v>23.280000999999999</v>
      </c>
      <c r="N815" s="99">
        <f t="shared" si="50"/>
        <v>1.570684991273983E-2</v>
      </c>
      <c r="O815" s="99">
        <f t="shared" si="51"/>
        <v>9.5410942702031307E-4</v>
      </c>
    </row>
    <row r="816" spans="9:15">
      <c r="I816" s="178">
        <f>Prices!A816</f>
        <v>42790</v>
      </c>
      <c r="J816" s="3">
        <f>Prices!E816</f>
        <v>17.040001</v>
      </c>
      <c r="K816" s="99">
        <f t="shared" si="48"/>
        <v>-2.3418618266977825E-3</v>
      </c>
      <c r="L816" s="99">
        <f t="shared" si="49"/>
        <v>-1.4565238240972183E-3</v>
      </c>
      <c r="M816" s="3">
        <f>Prices!M816</f>
        <v>22.92</v>
      </c>
      <c r="N816" s="99">
        <f t="shared" si="50"/>
        <v>-3.044802087864147E-3</v>
      </c>
      <c r="O816" s="99">
        <f t="shared" si="51"/>
        <v>1.2503934256512023E-4</v>
      </c>
    </row>
    <row r="817" spans="9:15">
      <c r="I817" s="178">
        <f>Prices!A817</f>
        <v>42793</v>
      </c>
      <c r="J817" s="3">
        <f>Prices!E817</f>
        <v>17.079999999999998</v>
      </c>
      <c r="K817" s="99">
        <f t="shared" si="48"/>
        <v>-4.0816326530612413E-3</v>
      </c>
      <c r="L817" s="99">
        <f t="shared" si="49"/>
        <v>-1.9293155973626012E-3</v>
      </c>
      <c r="M817" s="3">
        <f>Prices!M817</f>
        <v>22.99</v>
      </c>
      <c r="N817" s="99">
        <f t="shared" si="50"/>
        <v>9.6618357487922215E-3</v>
      </c>
      <c r="O817" s="99">
        <f t="shared" si="51"/>
        <v>8.1290762464044216E-5</v>
      </c>
    </row>
    <row r="818" spans="9:15">
      <c r="I818" s="178">
        <f>Prices!A818</f>
        <v>42794</v>
      </c>
      <c r="J818" s="3">
        <f>Prices!E818</f>
        <v>17.149999999999999</v>
      </c>
      <c r="K818" s="99">
        <f t="shared" si="48"/>
        <v>-5.2486187845304018E-2</v>
      </c>
      <c r="L818" s="99">
        <f t="shared" si="49"/>
        <v>-2.2533078946706257E-3</v>
      </c>
      <c r="M818" s="3">
        <f>Prices!M818</f>
        <v>22.77</v>
      </c>
      <c r="N818" s="99">
        <f t="shared" si="50"/>
        <v>-1.0860121633362294E-2</v>
      </c>
      <c r="O818" s="99">
        <f t="shared" si="51"/>
        <v>-7.2634017146889823E-4</v>
      </c>
    </row>
    <row r="819" spans="9:15">
      <c r="I819" s="178">
        <f>Prices!A819</f>
        <v>42795</v>
      </c>
      <c r="J819" s="3">
        <f>Prices!E819</f>
        <v>18.100000000000001</v>
      </c>
      <c r="K819" s="99">
        <f t="shared" si="48"/>
        <v>-6.0405824294662734E-3</v>
      </c>
      <c r="L819" s="99">
        <f t="shared" si="49"/>
        <v>-2.0592429488203444E-4</v>
      </c>
      <c r="M819" s="3">
        <f>Prices!M819</f>
        <v>23.02</v>
      </c>
      <c r="N819" s="99">
        <f t="shared" si="50"/>
        <v>1.3049151805133161E-3</v>
      </c>
      <c r="O819" s="99">
        <f t="shared" si="51"/>
        <v>-3.7729959868158027E-4</v>
      </c>
    </row>
    <row r="820" spans="9:15">
      <c r="I820" s="178">
        <f>Prices!A820</f>
        <v>42796</v>
      </c>
      <c r="J820" s="3">
        <f>Prices!E820</f>
        <v>18.209999</v>
      </c>
      <c r="K820" s="99">
        <f t="shared" si="48"/>
        <v>-1.6207509454349091E-2</v>
      </c>
      <c r="L820" s="99">
        <f t="shared" si="49"/>
        <v>5.1162285515183648E-4</v>
      </c>
      <c r="M820" s="3">
        <f>Prices!M820</f>
        <v>22.99</v>
      </c>
      <c r="N820" s="99">
        <f t="shared" si="50"/>
        <v>-4.7619047619048907E-3</v>
      </c>
      <c r="O820" s="99">
        <f t="shared" si="51"/>
        <v>-1.3898506700645504E-4</v>
      </c>
    </row>
    <row r="821" spans="9:15">
      <c r="I821" s="178">
        <f>Prices!A821</f>
        <v>42797</v>
      </c>
      <c r="J821" s="3">
        <f>Prices!E821</f>
        <v>18.510000000000002</v>
      </c>
      <c r="K821" s="99">
        <f t="shared" si="48"/>
        <v>1.4802631578947541E-2</v>
      </c>
      <c r="L821" s="99">
        <f t="shared" si="49"/>
        <v>1.1013695236426553E-3</v>
      </c>
      <c r="M821" s="3">
        <f>Prices!M821</f>
        <v>23.1</v>
      </c>
      <c r="N821" s="99">
        <f t="shared" si="50"/>
        <v>-3.0211480362537886E-3</v>
      </c>
      <c r="O821" s="99">
        <f t="shared" si="51"/>
        <v>1.8598897213136499E-4</v>
      </c>
    </row>
    <row r="822" spans="9:15">
      <c r="I822" s="178">
        <f>Prices!A822</f>
        <v>42800</v>
      </c>
      <c r="J822" s="3">
        <f>Prices!E822</f>
        <v>18.239999999999998</v>
      </c>
      <c r="K822" s="99">
        <f t="shared" si="48"/>
        <v>5.4854635216664894E-4</v>
      </c>
      <c r="L822" s="99">
        <f t="shared" si="49"/>
        <v>-2.651291235853792E-4</v>
      </c>
      <c r="M822" s="3">
        <f>Prices!M822</f>
        <v>23.17</v>
      </c>
      <c r="N822" s="99">
        <f t="shared" si="50"/>
        <v>1.2964996238764817E-3</v>
      </c>
      <c r="O822" s="99">
        <f t="shared" si="51"/>
        <v>2.0706370496658739E-4</v>
      </c>
    </row>
    <row r="823" spans="9:15">
      <c r="I823" s="178">
        <f>Prices!A823</f>
        <v>42801</v>
      </c>
      <c r="J823" s="3">
        <f>Prices!E823</f>
        <v>18.23</v>
      </c>
      <c r="K823" s="99">
        <f t="shared" si="48"/>
        <v>1.616493778344838E-2</v>
      </c>
      <c r="L823" s="99">
        <f t="shared" si="49"/>
        <v>-7.2451918417427064E-4</v>
      </c>
      <c r="M823" s="3">
        <f>Prices!M823</f>
        <v>23.139999</v>
      </c>
      <c r="N823" s="99">
        <f t="shared" si="50"/>
        <v>5.6496740547587118E-3</v>
      </c>
      <c r="O823" s="99">
        <f t="shared" si="51"/>
        <v>-1.1638410990729112E-4</v>
      </c>
    </row>
    <row r="824" spans="9:15">
      <c r="I824" s="178">
        <f>Prices!A824</f>
        <v>42802</v>
      </c>
      <c r="J824" s="3">
        <f>Prices!E824</f>
        <v>17.940000999999999</v>
      </c>
      <c r="K824" s="99">
        <f t="shared" si="48"/>
        <v>0</v>
      </c>
      <c r="L824" s="99">
        <f t="shared" si="49"/>
        <v>-1.640522005876647E-3</v>
      </c>
      <c r="M824" s="3">
        <f>Prices!M824</f>
        <v>23.01</v>
      </c>
      <c r="N824" s="99">
        <f t="shared" si="50"/>
        <v>-1.302126679595136E-3</v>
      </c>
      <c r="O824" s="99">
        <f t="shared" si="51"/>
        <v>-3.1250986791292934E-4</v>
      </c>
    </row>
    <row r="825" spans="9:15">
      <c r="I825" s="178">
        <f>Prices!A825</f>
        <v>42803</v>
      </c>
      <c r="J825" s="3">
        <f>Prices!E825</f>
        <v>17.940000999999999</v>
      </c>
      <c r="K825" s="99">
        <f t="shared" si="48"/>
        <v>-1.6447313596491212E-2</v>
      </c>
      <c r="L825" s="99">
        <f t="shared" si="49"/>
        <v>-1.7748637504042242E-3</v>
      </c>
      <c r="M825" s="3">
        <f>Prices!M825</f>
        <v>23.040001</v>
      </c>
      <c r="N825" s="99">
        <f t="shared" si="50"/>
        <v>2.1749021313615374E-3</v>
      </c>
      <c r="O825" s="99">
        <f t="shared" si="51"/>
        <v>-4.8375935688117321E-4</v>
      </c>
    </row>
    <row r="826" spans="9:15">
      <c r="I826" s="178">
        <f>Prices!A826</f>
        <v>42804</v>
      </c>
      <c r="J826" s="3">
        <f>Prices!E826</f>
        <v>18.239999999999998</v>
      </c>
      <c r="K826" s="99">
        <f t="shared" si="48"/>
        <v>1.7857142857142672E-2</v>
      </c>
      <c r="L826" s="99">
        <f t="shared" si="49"/>
        <v>-2.2352179658676249E-3</v>
      </c>
      <c r="M826" s="3">
        <f>Prices!M826</f>
        <v>22.99</v>
      </c>
      <c r="N826" s="99">
        <f t="shared" si="50"/>
        <v>-2.6029936053360023E-3</v>
      </c>
      <c r="O826" s="99">
        <f t="shared" si="51"/>
        <v>-5.2796057360415295E-4</v>
      </c>
    </row>
    <row r="827" spans="9:15">
      <c r="I827" s="178">
        <f>Prices!A827</f>
        <v>42807</v>
      </c>
      <c r="J827" s="3">
        <f>Prices!E827</f>
        <v>17.920000000000002</v>
      </c>
      <c r="K827" s="99">
        <f t="shared" si="48"/>
        <v>-6.1009979977259526E-3</v>
      </c>
      <c r="L827" s="99">
        <f t="shared" si="49"/>
        <v>-3.2064833721020848E-3</v>
      </c>
      <c r="M827" s="3">
        <f>Prices!M827</f>
        <v>23.049999</v>
      </c>
      <c r="N827" s="99">
        <f t="shared" si="50"/>
        <v>1.0521701469605432E-2</v>
      </c>
      <c r="O827" s="99">
        <f t="shared" si="51"/>
        <v>-5.6933747995828281E-4</v>
      </c>
    </row>
    <row r="828" spans="9:15">
      <c r="I828" s="178">
        <f>Prices!A828</f>
        <v>42808</v>
      </c>
      <c r="J828" s="3">
        <f>Prices!E828</f>
        <v>18.030000999999999</v>
      </c>
      <c r="K828" s="99">
        <f t="shared" si="48"/>
        <v>3.3390096460215284E-3</v>
      </c>
      <c r="L828" s="99">
        <f t="shared" si="49"/>
        <v>-3.2131243813066923E-3</v>
      </c>
      <c r="M828" s="3">
        <f>Prices!M828</f>
        <v>22.809999000000001</v>
      </c>
      <c r="N828" s="99">
        <f t="shared" si="50"/>
        <v>-6.5331013298388458E-3</v>
      </c>
      <c r="O828" s="99">
        <f t="shared" si="51"/>
        <v>-9.8798808846218894E-4</v>
      </c>
    </row>
    <row r="829" spans="9:15">
      <c r="I829" s="178">
        <f>Prices!A829</f>
        <v>42809</v>
      </c>
      <c r="J829" s="3">
        <f>Prices!E829</f>
        <v>17.969999000000001</v>
      </c>
      <c r="K829" s="99">
        <f t="shared" si="48"/>
        <v>1.6721292267487965E-3</v>
      </c>
      <c r="L829" s="99">
        <f t="shared" si="49"/>
        <v>-3.3280727835245669E-3</v>
      </c>
      <c r="M829" s="3">
        <f>Prices!M829</f>
        <v>22.959999</v>
      </c>
      <c r="N829" s="99">
        <f t="shared" si="50"/>
        <v>-3.4723088770699422E-3</v>
      </c>
      <c r="O829" s="99">
        <f t="shared" si="51"/>
        <v>-4.0215375631149681E-4</v>
      </c>
    </row>
    <row r="830" spans="9:15">
      <c r="I830" s="178">
        <f>Prices!A830</f>
        <v>42810</v>
      </c>
      <c r="J830" s="3">
        <f>Prices!E830</f>
        <v>17.940000999999999</v>
      </c>
      <c r="K830" s="99">
        <f t="shared" si="48"/>
        <v>1.6750977107760252E-3</v>
      </c>
      <c r="L830" s="99">
        <f t="shared" si="49"/>
        <v>-2.376647397728247E-3</v>
      </c>
      <c r="M830" s="3">
        <f>Prices!M830</f>
        <v>23.040001</v>
      </c>
      <c r="N830" s="99">
        <f t="shared" si="50"/>
        <v>5.2356457242582225E-3</v>
      </c>
      <c r="O830" s="99">
        <f t="shared" si="51"/>
        <v>1.1943906901220515E-4</v>
      </c>
    </row>
    <row r="831" spans="9:15">
      <c r="I831" s="178">
        <f>Prices!A831</f>
        <v>42811</v>
      </c>
      <c r="J831" s="3">
        <f>Prices!E831</f>
        <v>17.91</v>
      </c>
      <c r="K831" s="99">
        <f t="shared" si="48"/>
        <v>2.7994959238803897E-3</v>
      </c>
      <c r="L831" s="99">
        <f t="shared" si="49"/>
        <v>-2.4072673204615239E-3</v>
      </c>
      <c r="M831" s="3">
        <f>Prices!M831</f>
        <v>22.92</v>
      </c>
      <c r="N831" s="99">
        <f t="shared" si="50"/>
        <v>3.0634573304157671E-3</v>
      </c>
      <c r="O831" s="99">
        <f t="shared" si="51"/>
        <v>-7.0148300214694596E-4</v>
      </c>
    </row>
    <row r="832" spans="9:15">
      <c r="I832" s="178">
        <f>Prices!A832</f>
        <v>42814</v>
      </c>
      <c r="J832" s="3">
        <f>Prices!E832</f>
        <v>17.860001</v>
      </c>
      <c r="K832" s="99">
        <f t="shared" si="48"/>
        <v>2.9988523644752053E-2</v>
      </c>
      <c r="L832" s="99">
        <f t="shared" si="49"/>
        <v>-2.3873274045020285E-3</v>
      </c>
      <c r="M832" s="3">
        <f>Prices!M832</f>
        <v>22.85</v>
      </c>
      <c r="N832" s="99">
        <f t="shared" si="50"/>
        <v>9.2756629538721224E-3</v>
      </c>
      <c r="O832" s="99">
        <f t="shared" si="51"/>
        <v>-5.9525032351401773E-4</v>
      </c>
    </row>
    <row r="833" spans="9:15">
      <c r="I833" s="178">
        <f>Prices!A833</f>
        <v>42815</v>
      </c>
      <c r="J833" s="3">
        <f>Prices!E833</f>
        <v>17.34</v>
      </c>
      <c r="K833" s="99">
        <f t="shared" si="48"/>
        <v>-4.0206777713957661E-3</v>
      </c>
      <c r="L833" s="99">
        <f t="shared" si="49"/>
        <v>-3.1016939881982333E-3</v>
      </c>
      <c r="M833" s="3">
        <f>Prices!M833</f>
        <v>22.639999</v>
      </c>
      <c r="N833" s="99">
        <f t="shared" si="50"/>
        <v>-3.521126915542639E-3</v>
      </c>
      <c r="O833" s="99">
        <f t="shared" si="51"/>
        <v>-8.4192970295333003E-4</v>
      </c>
    </row>
    <row r="834" spans="9:15">
      <c r="I834" s="178">
        <f>Prices!A834</f>
        <v>42816</v>
      </c>
      <c r="J834" s="3">
        <f>Prices!E834</f>
        <v>17.41</v>
      </c>
      <c r="K834" s="99">
        <f t="shared" si="48"/>
        <v>-7.9771514516895157E-3</v>
      </c>
      <c r="L834" s="99">
        <f t="shared" si="49"/>
        <v>-3.6473294329617753E-3</v>
      </c>
      <c r="M834" s="3">
        <f>Prices!M834</f>
        <v>22.719999000000001</v>
      </c>
      <c r="N834" s="99">
        <f t="shared" si="50"/>
        <v>-5.6893216630196945E-3</v>
      </c>
      <c r="O834" s="99">
        <f t="shared" si="51"/>
        <v>-9.465275022539219E-4</v>
      </c>
    </row>
    <row r="835" spans="9:15">
      <c r="I835" s="178">
        <f>Prices!A835</f>
        <v>42817</v>
      </c>
      <c r="J835" s="3">
        <f>Prices!E835</f>
        <v>17.549999</v>
      </c>
      <c r="K835" s="99">
        <f t="shared" si="48"/>
        <v>-2.2740761796475372E-3</v>
      </c>
      <c r="L835" s="99">
        <f t="shared" si="49"/>
        <v>-3.5400969774703494E-3</v>
      </c>
      <c r="M835" s="3">
        <f>Prices!M835</f>
        <v>22.85</v>
      </c>
      <c r="N835" s="99">
        <f t="shared" si="50"/>
        <v>-8.7455177636402601E-4</v>
      </c>
      <c r="O835" s="99">
        <f t="shared" si="51"/>
        <v>-6.8364104793332465E-4</v>
      </c>
    </row>
    <row r="836" spans="9:15">
      <c r="I836" s="178">
        <f>Prices!A836</f>
        <v>42818</v>
      </c>
      <c r="J836" s="3">
        <f>Prices!E836</f>
        <v>17.59</v>
      </c>
      <c r="K836" s="99">
        <f t="shared" si="48"/>
        <v>-1.1797697292005456E-2</v>
      </c>
      <c r="L836" s="99">
        <f t="shared" si="49"/>
        <v>-1.556203399511073E-3</v>
      </c>
      <c r="M836" s="3">
        <f>Prices!M836</f>
        <v>22.870000999999998</v>
      </c>
      <c r="N836" s="99">
        <f t="shared" si="50"/>
        <v>-3.9197736898856726E-3</v>
      </c>
      <c r="O836" s="99">
        <f t="shared" si="51"/>
        <v>-1.0890131361510371E-3</v>
      </c>
    </row>
    <row r="837" spans="9:15">
      <c r="I837" s="178">
        <f>Prices!A837</f>
        <v>42821</v>
      </c>
      <c r="J837" s="3">
        <f>Prices!E837</f>
        <v>17.799999</v>
      </c>
      <c r="K837" s="99">
        <f t="shared" si="48"/>
        <v>-1.0561478599221722E-2</v>
      </c>
      <c r="L837" s="99">
        <f t="shared" si="49"/>
        <v>-4.6124198278174149E-3</v>
      </c>
      <c r="M837" s="3">
        <f>Prices!M837</f>
        <v>22.959999</v>
      </c>
      <c r="N837" s="99">
        <f t="shared" si="50"/>
        <v>-6.4907829298666252E-3</v>
      </c>
      <c r="O837" s="99">
        <f t="shared" si="51"/>
        <v>-9.9972739659913131E-4</v>
      </c>
    </row>
    <row r="838" spans="9:15">
      <c r="I838" s="178">
        <f>Prices!A838</f>
        <v>42822</v>
      </c>
      <c r="J838" s="3">
        <f>Prices!E838</f>
        <v>17.989999999999998</v>
      </c>
      <c r="K838" s="99">
        <f t="shared" si="48"/>
        <v>-1.1538515849532199E-2</v>
      </c>
      <c r="L838" s="99">
        <f t="shared" si="49"/>
        <v>-3.8280645036994887E-3</v>
      </c>
      <c r="M838" s="3">
        <f>Prices!M838</f>
        <v>23.110001</v>
      </c>
      <c r="N838" s="99">
        <f t="shared" si="50"/>
        <v>-3.8793101776159345E-3</v>
      </c>
      <c r="O838" s="99">
        <f t="shared" si="51"/>
        <v>-3.746322303787088E-4</v>
      </c>
    </row>
    <row r="839" spans="9:15">
      <c r="I839" s="178">
        <f>Prices!A839</f>
        <v>42823</v>
      </c>
      <c r="J839" s="3">
        <f>Prices!E839</f>
        <v>18.200001</v>
      </c>
      <c r="K839" s="99">
        <f t="shared" ref="K839:K902" si="52">(J839-J840)/J840</f>
        <v>8.3103605712111471E-3</v>
      </c>
      <c r="L839" s="99">
        <f t="shared" ref="L839:L902" si="53">AVERAGE(K839:K858)</f>
        <v>-4.9351430854673315E-3</v>
      </c>
      <c r="M839" s="3">
        <f>Prices!M839</f>
        <v>23.200001</v>
      </c>
      <c r="N839" s="99">
        <f t="shared" ref="N839:N902" si="54">(M839-M840)/M840</f>
        <v>6.0712058140158232E-3</v>
      </c>
      <c r="O839" s="99">
        <f t="shared" ref="O839:O902" si="55">AVERAGE(N839:N858)</f>
        <v>3.6186797717679725E-4</v>
      </c>
    </row>
    <row r="840" spans="9:15">
      <c r="I840" s="178">
        <f>Prices!A840</f>
        <v>42824</v>
      </c>
      <c r="J840" s="3">
        <f>Prices!E840</f>
        <v>18.049999</v>
      </c>
      <c r="K840" s="99">
        <f t="shared" si="52"/>
        <v>-4.4125760845327043E-3</v>
      </c>
      <c r="L840" s="99">
        <f t="shared" si="53"/>
        <v>-6.1067562359791109E-3</v>
      </c>
      <c r="M840" s="3">
        <f>Prices!M840</f>
        <v>23.059999000000001</v>
      </c>
      <c r="N840" s="99">
        <f t="shared" si="54"/>
        <v>1.7375760208515063E-3</v>
      </c>
      <c r="O840" s="99">
        <f t="shared" si="55"/>
        <v>-2.007575121423012E-4</v>
      </c>
    </row>
    <row r="841" spans="9:15">
      <c r="I841" s="178">
        <f>Prices!A841</f>
        <v>42825</v>
      </c>
      <c r="J841" s="3">
        <f>Prices!E841</f>
        <v>18.129999000000002</v>
      </c>
      <c r="K841" s="99">
        <f t="shared" si="52"/>
        <v>-1.2527341365613157E-2</v>
      </c>
      <c r="L841" s="99">
        <f t="shared" si="53"/>
        <v>-5.8372993067524765E-3</v>
      </c>
      <c r="M841" s="3">
        <f>Prices!M841</f>
        <v>23.02</v>
      </c>
      <c r="N841" s="99">
        <f t="shared" si="54"/>
        <v>-2.5996533795493381E-3</v>
      </c>
      <c r="O841" s="99">
        <f t="shared" si="55"/>
        <v>-2.011332892446922E-4</v>
      </c>
    </row>
    <row r="842" spans="9:15">
      <c r="I842" s="178">
        <f>Prices!A842</f>
        <v>42828</v>
      </c>
      <c r="J842" s="3">
        <f>Prices!E842</f>
        <v>18.360001</v>
      </c>
      <c r="K842" s="99">
        <f t="shared" si="52"/>
        <v>-8.6392548596111833E-3</v>
      </c>
      <c r="L842" s="99">
        <f t="shared" si="53"/>
        <v>-4.442464216657247E-3</v>
      </c>
      <c r="M842" s="3">
        <f>Prices!M842</f>
        <v>23.08</v>
      </c>
      <c r="N842" s="99">
        <f t="shared" si="54"/>
        <v>-5.1724566736010922E-3</v>
      </c>
      <c r="O842" s="99">
        <f t="shared" si="55"/>
        <v>-2.2207773751918301E-4</v>
      </c>
    </row>
    <row r="843" spans="9:15">
      <c r="I843" s="178">
        <f>Prices!A843</f>
        <v>42829</v>
      </c>
      <c r="J843" s="3">
        <f>Prices!E843</f>
        <v>18.52</v>
      </c>
      <c r="K843" s="99">
        <f t="shared" si="52"/>
        <v>-2.155118650599155E-3</v>
      </c>
      <c r="L843" s="99">
        <f t="shared" si="53"/>
        <v>-3.2044561336263084E-3</v>
      </c>
      <c r="M843" s="3">
        <f>Prices!M843</f>
        <v>23.200001</v>
      </c>
      <c r="N843" s="99">
        <f t="shared" si="54"/>
        <v>1.7271588946459488E-3</v>
      </c>
      <c r="O843" s="99">
        <f t="shared" si="55"/>
        <v>2.3135245546822506E-4</v>
      </c>
    </row>
    <row r="844" spans="9:15">
      <c r="I844" s="178">
        <f>Prices!A844</f>
        <v>42830</v>
      </c>
      <c r="J844" s="3">
        <f>Prices!E844</f>
        <v>18.559999000000001</v>
      </c>
      <c r="K844" s="99">
        <f t="shared" si="52"/>
        <v>-2.6868348905515487E-3</v>
      </c>
      <c r="L844" s="99">
        <f t="shared" si="53"/>
        <v>-2.4330963215659753E-3</v>
      </c>
      <c r="M844" s="3">
        <f>Prices!M844</f>
        <v>23.16</v>
      </c>
      <c r="N844" s="99">
        <f t="shared" si="54"/>
        <v>-4.7271164589600097E-3</v>
      </c>
      <c r="O844" s="99">
        <f t="shared" si="55"/>
        <v>5.5966059541510981E-4</v>
      </c>
    </row>
    <row r="845" spans="9:15">
      <c r="I845" s="178">
        <f>Prices!A845</f>
        <v>42831</v>
      </c>
      <c r="J845" s="3">
        <f>Prices!E845</f>
        <v>18.610001</v>
      </c>
      <c r="K845" s="99">
        <f t="shared" si="52"/>
        <v>-2.565439790575921E-2</v>
      </c>
      <c r="L845" s="99">
        <f t="shared" si="53"/>
        <v>-1.069677758475466E-3</v>
      </c>
      <c r="M845" s="3">
        <f>Prices!M845</f>
        <v>23.27</v>
      </c>
      <c r="N845" s="99">
        <f t="shared" si="54"/>
        <v>1.2908777969019424E-3</v>
      </c>
      <c r="O845" s="99">
        <f t="shared" si="55"/>
        <v>1.7101429013044299E-4</v>
      </c>
    </row>
    <row r="846" spans="9:15">
      <c r="I846" s="178">
        <f>Prices!A846</f>
        <v>42832</v>
      </c>
      <c r="J846" s="3">
        <f>Prices!E846</f>
        <v>19.100000000000001</v>
      </c>
      <c r="K846" s="99">
        <f t="shared" si="52"/>
        <v>-1.5681652675465434E-3</v>
      </c>
      <c r="L846" s="99">
        <f t="shared" si="53"/>
        <v>1.6080075477271235E-4</v>
      </c>
      <c r="M846" s="3">
        <f>Prices!M846</f>
        <v>23.24</v>
      </c>
      <c r="N846" s="99">
        <f t="shared" si="54"/>
        <v>-3.4305317324186042E-3</v>
      </c>
      <c r="O846" s="99">
        <f t="shared" si="55"/>
        <v>-8.67455639389575E-5</v>
      </c>
    </row>
    <row r="847" spans="9:15">
      <c r="I847" s="178">
        <f>Prices!A847</f>
        <v>42835</v>
      </c>
      <c r="J847" s="3">
        <f>Prices!E847</f>
        <v>19.129999000000002</v>
      </c>
      <c r="K847" s="99">
        <f t="shared" si="52"/>
        <v>-6.2338181818181026E-3</v>
      </c>
      <c r="L847" s="99">
        <f t="shared" si="53"/>
        <v>5.1970576716184501E-6</v>
      </c>
      <c r="M847" s="3">
        <f>Prices!M847</f>
        <v>23.32</v>
      </c>
      <c r="N847" s="99">
        <f t="shared" si="54"/>
        <v>2.1486892995273188E-3</v>
      </c>
      <c r="O847" s="99">
        <f t="shared" si="55"/>
        <v>3.6543948554898476E-4</v>
      </c>
    </row>
    <row r="848" spans="9:15">
      <c r="I848" s="178">
        <f>Prices!A848</f>
        <v>42836</v>
      </c>
      <c r="J848" s="3">
        <f>Prices!E848</f>
        <v>19.25</v>
      </c>
      <c r="K848" s="99">
        <f t="shared" si="52"/>
        <v>1.0400416016640443E-3</v>
      </c>
      <c r="L848" s="99">
        <f t="shared" si="53"/>
        <v>3.1688796676252395E-4</v>
      </c>
      <c r="M848" s="3">
        <f>Prices!M848</f>
        <v>23.27</v>
      </c>
      <c r="N848" s="99">
        <f t="shared" si="54"/>
        <v>5.1835853131749895E-3</v>
      </c>
      <c r="O848" s="99">
        <f t="shared" si="55"/>
        <v>8.5887980985703381E-5</v>
      </c>
    </row>
    <row r="849" spans="9:15">
      <c r="I849" s="178">
        <f>Prices!A849</f>
        <v>42837</v>
      </c>
      <c r="J849" s="3">
        <f>Prices!E849</f>
        <v>19.23</v>
      </c>
      <c r="K849" s="99">
        <f t="shared" si="52"/>
        <v>2.0700636942675189E-2</v>
      </c>
      <c r="L849" s="99">
        <f t="shared" si="53"/>
        <v>1.4902455030884876E-3</v>
      </c>
      <c r="M849" s="3">
        <f>Prices!M849</f>
        <v>23.15</v>
      </c>
      <c r="N849" s="99">
        <f t="shared" si="54"/>
        <v>6.9595476294040956E-3</v>
      </c>
      <c r="O849" s="99">
        <f t="shared" si="55"/>
        <v>8.6222112406824207E-5</v>
      </c>
    </row>
    <row r="850" spans="9:15">
      <c r="I850" s="178">
        <f>Prices!A850</f>
        <v>42838</v>
      </c>
      <c r="J850" s="3">
        <f>Prices!E850</f>
        <v>18.84</v>
      </c>
      <c r="K850" s="99">
        <f t="shared" si="52"/>
        <v>1.0626992561104981E-3</v>
      </c>
      <c r="L850" s="99">
        <f t="shared" si="53"/>
        <v>6.4237674755028193E-4</v>
      </c>
      <c r="M850" s="3">
        <f>Prices!M850</f>
        <v>22.99</v>
      </c>
      <c r="N850" s="99">
        <f t="shared" si="54"/>
        <v>-1.1182795698924799E-2</v>
      </c>
      <c r="O850" s="99">
        <f t="shared" si="55"/>
        <v>-2.6175526906338043E-4</v>
      </c>
    </row>
    <row r="851" spans="9:15">
      <c r="I851" s="178">
        <f>Prices!A851</f>
        <v>42842</v>
      </c>
      <c r="J851" s="3">
        <f>Prices!E851</f>
        <v>18.82</v>
      </c>
      <c r="K851" s="99">
        <f t="shared" si="52"/>
        <v>3.1982942430702939E-3</v>
      </c>
      <c r="L851" s="99">
        <f t="shared" si="53"/>
        <v>3.3982662587169092E-5</v>
      </c>
      <c r="M851" s="3">
        <f>Prices!M851</f>
        <v>23.25</v>
      </c>
      <c r="N851" s="99">
        <f t="shared" si="54"/>
        <v>5.188110903074335E-3</v>
      </c>
      <c r="O851" s="99">
        <f t="shared" si="55"/>
        <v>-3.5591642547224809E-6</v>
      </c>
    </row>
    <row r="852" spans="9:15">
      <c r="I852" s="178">
        <f>Prices!A852</f>
        <v>42843</v>
      </c>
      <c r="J852" s="3">
        <f>Prices!E852</f>
        <v>18.760000000000002</v>
      </c>
      <c r="K852" s="99">
        <f t="shared" si="52"/>
        <v>1.5701191970827946E-2</v>
      </c>
      <c r="L852" s="99">
        <f t="shared" si="53"/>
        <v>-8.5548125594731158E-4</v>
      </c>
      <c r="M852" s="3">
        <f>Prices!M852</f>
        <v>23.129999000000002</v>
      </c>
      <c r="N852" s="99">
        <f t="shared" si="54"/>
        <v>4.3420753650858686E-3</v>
      </c>
      <c r="O852" s="99">
        <f t="shared" si="55"/>
        <v>8.3355636911907523E-5</v>
      </c>
    </row>
    <row r="853" spans="9:15">
      <c r="I853" s="178">
        <f>Prices!A853</f>
        <v>42844</v>
      </c>
      <c r="J853" s="3">
        <f>Prices!E853</f>
        <v>18.469999000000001</v>
      </c>
      <c r="K853" s="99">
        <f t="shared" si="52"/>
        <v>-1.4933386666666593E-2</v>
      </c>
      <c r="L853" s="99">
        <f t="shared" si="53"/>
        <v>-7.656734565495508E-4</v>
      </c>
      <c r="M853" s="3">
        <f>Prices!M853</f>
        <v>23.030000999999999</v>
      </c>
      <c r="N853" s="99">
        <f t="shared" si="54"/>
        <v>-5.6130829015544701E-3</v>
      </c>
      <c r="O853" s="99">
        <f t="shared" si="55"/>
        <v>8.1464181131310541E-4</v>
      </c>
    </row>
    <row r="854" spans="9:15">
      <c r="I854" s="178">
        <f>Prices!A854</f>
        <v>42845</v>
      </c>
      <c r="J854" s="3">
        <f>Prices!E854</f>
        <v>18.75</v>
      </c>
      <c r="K854" s="99">
        <f t="shared" si="52"/>
        <v>-5.8325023418609821E-3</v>
      </c>
      <c r="L854" s="99">
        <f t="shared" si="53"/>
        <v>1.9398841070324469E-4</v>
      </c>
      <c r="M854" s="3">
        <f>Prices!M854</f>
        <v>23.16</v>
      </c>
      <c r="N854" s="99">
        <f t="shared" si="54"/>
        <v>-4.3159257660774978E-4</v>
      </c>
      <c r="O854" s="99">
        <f t="shared" si="55"/>
        <v>1.0292144615045541E-3</v>
      </c>
    </row>
    <row r="855" spans="9:15">
      <c r="I855" s="178">
        <f>Prices!A855</f>
        <v>42846</v>
      </c>
      <c r="J855" s="3">
        <f>Prices!E855</f>
        <v>18.860001</v>
      </c>
      <c r="K855" s="99">
        <f t="shared" si="52"/>
        <v>3.7403795379537995E-2</v>
      </c>
      <c r="L855" s="99">
        <f t="shared" si="53"/>
        <v>-6.8443067397178092E-4</v>
      </c>
      <c r="M855" s="3">
        <f>Prices!M855</f>
        <v>23.17</v>
      </c>
      <c r="N855" s="99">
        <f t="shared" si="54"/>
        <v>-8.9819935407182781E-3</v>
      </c>
      <c r="O855" s="99">
        <f t="shared" si="55"/>
        <v>4.8459633048312373E-4</v>
      </c>
    </row>
    <row r="856" spans="9:15">
      <c r="I856" s="178">
        <f>Prices!A856</f>
        <v>42849</v>
      </c>
      <c r="J856" s="3">
        <f>Prices!E856</f>
        <v>18.18</v>
      </c>
      <c r="K856" s="99">
        <f t="shared" si="52"/>
        <v>-7.2922025858132317E-2</v>
      </c>
      <c r="L856" s="99">
        <f t="shared" si="53"/>
        <v>-2.0821768485946848E-3</v>
      </c>
      <c r="M856" s="3">
        <f>Prices!M856</f>
        <v>23.379999000000002</v>
      </c>
      <c r="N856" s="99">
        <f t="shared" si="54"/>
        <v>-2.134058898847554E-3</v>
      </c>
      <c r="O856" s="99">
        <f t="shared" si="55"/>
        <v>8.2504542081759979E-4</v>
      </c>
    </row>
    <row r="857" spans="9:15">
      <c r="I857" s="178">
        <f>Prices!A857</f>
        <v>42850</v>
      </c>
      <c r="J857" s="3">
        <f>Prices!E857</f>
        <v>19.610001</v>
      </c>
      <c r="K857" s="99">
        <f t="shared" si="52"/>
        <v>5.1256278831367961E-3</v>
      </c>
      <c r="L857" s="99">
        <f t="shared" si="53"/>
        <v>1.4591549314779862E-3</v>
      </c>
      <c r="M857" s="3">
        <f>Prices!M857</f>
        <v>23.43</v>
      </c>
      <c r="N857" s="99">
        <f t="shared" si="54"/>
        <v>6.0111203945418272E-3</v>
      </c>
      <c r="O857" s="99">
        <f t="shared" si="55"/>
        <v>1.5031769371885522E-3</v>
      </c>
    </row>
    <row r="858" spans="9:15">
      <c r="I858" s="178">
        <f>Prices!A858</f>
        <v>42851</v>
      </c>
      <c r="J858" s="3">
        <f>Prices!E858</f>
        <v>19.510000000000002</v>
      </c>
      <c r="K858" s="99">
        <f t="shared" si="52"/>
        <v>-3.3680087484889043E-2</v>
      </c>
      <c r="L858" s="99">
        <f t="shared" si="53"/>
        <v>1.6254831516898736E-3</v>
      </c>
      <c r="M858" s="3">
        <f>Prices!M858</f>
        <v>23.290001</v>
      </c>
      <c r="N858" s="99">
        <f t="shared" si="54"/>
        <v>1.0850693973494184E-2</v>
      </c>
      <c r="O858" s="99">
        <f t="shared" si="55"/>
        <v>1.1587034822396788E-3</v>
      </c>
    </row>
    <row r="859" spans="9:15">
      <c r="I859" s="178">
        <f>Prices!A859</f>
        <v>42852</v>
      </c>
      <c r="J859" s="3">
        <f>Prices!E859</f>
        <v>20.190000999999999</v>
      </c>
      <c r="K859" s="99">
        <f t="shared" si="52"/>
        <v>-1.5121902439024452E-2</v>
      </c>
      <c r="L859" s="99">
        <f t="shared" si="53"/>
        <v>2.6577669837028355E-3</v>
      </c>
      <c r="M859" s="3">
        <f>Prices!M859</f>
        <v>23.040001</v>
      </c>
      <c r="N859" s="99">
        <f t="shared" si="54"/>
        <v>-5.1813039723661468E-3</v>
      </c>
      <c r="O859" s="99">
        <f t="shared" si="55"/>
        <v>5.9421751148206001E-4</v>
      </c>
    </row>
    <row r="860" spans="9:15">
      <c r="I860" s="178">
        <f>Prices!A860</f>
        <v>42853</v>
      </c>
      <c r="J860" s="3">
        <f>Prices!E860</f>
        <v>20.5</v>
      </c>
      <c r="K860" s="99">
        <f t="shared" si="52"/>
        <v>9.7656249999997918E-4</v>
      </c>
      <c r="L860" s="99">
        <f t="shared" si="53"/>
        <v>3.051543265074346E-3</v>
      </c>
      <c r="M860" s="3">
        <f>Prices!M860</f>
        <v>23.16</v>
      </c>
      <c r="N860" s="99">
        <f t="shared" si="54"/>
        <v>1.7300604788036849E-3</v>
      </c>
      <c r="O860" s="99">
        <f t="shared" si="55"/>
        <v>8.0942744501899381E-4</v>
      </c>
    </row>
    <row r="861" spans="9:15">
      <c r="I861" s="178">
        <f>Prices!A861</f>
        <v>42856</v>
      </c>
      <c r="J861" s="3">
        <f>Prices!E861</f>
        <v>20.48</v>
      </c>
      <c r="K861" s="99">
        <f t="shared" si="52"/>
        <v>1.5369360436291458E-2</v>
      </c>
      <c r="L861" s="99">
        <f t="shared" si="53"/>
        <v>2.9768486113625043E-3</v>
      </c>
      <c r="M861" s="3">
        <f>Prices!M861</f>
        <v>23.120000999999998</v>
      </c>
      <c r="N861" s="99">
        <f t="shared" si="54"/>
        <v>-3.0185423450391526E-3</v>
      </c>
      <c r="O861" s="99">
        <f t="shared" si="55"/>
        <v>8.5484834368215452E-4</v>
      </c>
    </row>
    <row r="862" spans="9:15">
      <c r="I862" s="178">
        <f>Prices!A862</f>
        <v>42857</v>
      </c>
      <c r="J862" s="3">
        <f>Prices!E862</f>
        <v>20.170000000000002</v>
      </c>
      <c r="K862" s="99">
        <f t="shared" si="52"/>
        <v>1.612090680100757E-2</v>
      </c>
      <c r="L862" s="99">
        <f t="shared" si="53"/>
        <v>2.4422683234356663E-3</v>
      </c>
      <c r="M862" s="3">
        <f>Prices!M862</f>
        <v>23.190000999999999</v>
      </c>
      <c r="N862" s="99">
        <f t="shared" si="54"/>
        <v>3.8961471861470704E-3</v>
      </c>
      <c r="O862" s="99">
        <f t="shared" si="55"/>
        <v>1.0718278636664912E-3</v>
      </c>
    </row>
    <row r="863" spans="9:15">
      <c r="I863" s="178">
        <f>Prices!A863</f>
        <v>42858</v>
      </c>
      <c r="J863" s="3">
        <f>Prices!E863</f>
        <v>19.850000000000001</v>
      </c>
      <c r="K863" s="99">
        <f t="shared" si="52"/>
        <v>1.3272077590607532E-2</v>
      </c>
      <c r="L863" s="99">
        <f t="shared" si="53"/>
        <v>1.2750284343040327E-3</v>
      </c>
      <c r="M863" s="3">
        <f>Prices!M863</f>
        <v>23.1</v>
      </c>
      <c r="N863" s="99">
        <f t="shared" si="54"/>
        <v>8.293321693583643E-3</v>
      </c>
      <c r="O863" s="99">
        <f t="shared" si="55"/>
        <v>4.8383569032747358E-4</v>
      </c>
    </row>
    <row r="864" spans="9:15">
      <c r="I864" s="178">
        <f>Prices!A864</f>
        <v>42859</v>
      </c>
      <c r="J864" s="3">
        <f>Prices!E864</f>
        <v>19.59</v>
      </c>
      <c r="K864" s="99">
        <f t="shared" si="52"/>
        <v>2.4581536371258633E-2</v>
      </c>
      <c r="L864" s="99">
        <f t="shared" si="53"/>
        <v>7.148345857974454E-4</v>
      </c>
      <c r="M864" s="3">
        <f>Prices!M864</f>
        <v>22.91</v>
      </c>
      <c r="N864" s="99">
        <f t="shared" si="54"/>
        <v>-1.2500042564653344E-2</v>
      </c>
      <c r="O864" s="99">
        <f t="shared" si="55"/>
        <v>1.7862450932604879E-4</v>
      </c>
    </row>
    <row r="865" spans="9:15">
      <c r="I865" s="178">
        <f>Prices!A865</f>
        <v>42860</v>
      </c>
      <c r="J865" s="3">
        <f>Prices!E865</f>
        <v>19.120000999999998</v>
      </c>
      <c r="K865" s="99">
        <f t="shared" si="52"/>
        <v>-1.0448276407956484E-3</v>
      </c>
      <c r="L865" s="99">
        <f t="shared" si="53"/>
        <v>-2.5436697289022266E-4</v>
      </c>
      <c r="M865" s="3">
        <f>Prices!M865</f>
        <v>23.200001</v>
      </c>
      <c r="N865" s="99">
        <f t="shared" si="54"/>
        <v>-3.8643192844860703E-3</v>
      </c>
      <c r="O865" s="99">
        <f t="shared" si="55"/>
        <v>9.1332167443036803E-4</v>
      </c>
    </row>
    <row r="866" spans="9:15">
      <c r="I866" s="178">
        <f>Prices!A866</f>
        <v>42863</v>
      </c>
      <c r="J866" s="3">
        <f>Prices!E866</f>
        <v>19.139999</v>
      </c>
      <c r="K866" s="99">
        <f t="shared" si="52"/>
        <v>-4.6802392095684287E-3</v>
      </c>
      <c r="L866" s="99">
        <f t="shared" si="53"/>
        <v>-4.5712660714885566E-5</v>
      </c>
      <c r="M866" s="3">
        <f>Prices!M866</f>
        <v>23.290001</v>
      </c>
      <c r="N866" s="99">
        <f t="shared" si="54"/>
        <v>5.6131692573402432E-3</v>
      </c>
      <c r="O866" s="99">
        <f t="shared" si="55"/>
        <v>9.9708273497691379E-4</v>
      </c>
    </row>
    <row r="867" spans="9:15">
      <c r="I867" s="178">
        <f>Prices!A867</f>
        <v>42864</v>
      </c>
      <c r="J867" s="3">
        <f>Prices!E867</f>
        <v>19.23</v>
      </c>
      <c r="K867" s="99">
        <f t="shared" si="52"/>
        <v>0</v>
      </c>
      <c r="L867" s="99">
        <f t="shared" si="53"/>
        <v>5.295092914281023E-4</v>
      </c>
      <c r="M867" s="3">
        <f>Prices!M867</f>
        <v>23.16</v>
      </c>
      <c r="N867" s="99">
        <f t="shared" si="54"/>
        <v>-3.4423407917383089E-3</v>
      </c>
      <c r="O867" s="99">
        <f t="shared" si="55"/>
        <v>1.0026440117056631E-3</v>
      </c>
    </row>
    <row r="868" spans="9:15">
      <c r="I868" s="178">
        <f>Prices!A868</f>
        <v>42865</v>
      </c>
      <c r="J868" s="3">
        <f>Prices!E868</f>
        <v>19.23</v>
      </c>
      <c r="K868" s="99">
        <f t="shared" si="52"/>
        <v>2.4507192328183318E-2</v>
      </c>
      <c r="L868" s="99">
        <f t="shared" si="53"/>
        <v>5.295092914281023E-4</v>
      </c>
      <c r="M868" s="3">
        <f>Prices!M868</f>
        <v>23.24</v>
      </c>
      <c r="N868" s="99">
        <f t="shared" si="54"/>
        <v>5.1902679415974061E-3</v>
      </c>
      <c r="O868" s="99">
        <f t="shared" si="55"/>
        <v>9.992410940973149E-4</v>
      </c>
    </row>
    <row r="869" spans="9:15">
      <c r="I869" s="178">
        <f>Prices!A869</f>
        <v>42866</v>
      </c>
      <c r="J869" s="3">
        <f>Prices!E869</f>
        <v>18.77</v>
      </c>
      <c r="K869" s="99">
        <f t="shared" si="52"/>
        <v>3.743261831911092E-3</v>
      </c>
      <c r="L869" s="99">
        <f t="shared" si="53"/>
        <v>-5.3787507484941177E-4</v>
      </c>
      <c r="M869" s="3">
        <f>Prices!M869</f>
        <v>23.120000999999998</v>
      </c>
      <c r="N869" s="99">
        <f t="shared" si="54"/>
        <v>0</v>
      </c>
      <c r="O869" s="99">
        <f t="shared" si="55"/>
        <v>5.2129605794223248E-4</v>
      </c>
    </row>
    <row r="870" spans="9:15">
      <c r="I870" s="178">
        <f>Prices!A870</f>
        <v>42867</v>
      </c>
      <c r="J870" s="3">
        <f>Prices!E870</f>
        <v>18.700001</v>
      </c>
      <c r="K870" s="99">
        <f t="shared" si="52"/>
        <v>-1.1105182443151762E-2</v>
      </c>
      <c r="L870" s="99">
        <f t="shared" si="53"/>
        <v>-6.9869464695076751E-4</v>
      </c>
      <c r="M870" s="3">
        <f>Prices!M870</f>
        <v>23.120000999999998</v>
      </c>
      <c r="N870" s="99">
        <f t="shared" si="54"/>
        <v>-6.0188736027516369E-3</v>
      </c>
      <c r="O870" s="99">
        <f t="shared" si="55"/>
        <v>8.9541579271862522E-4</v>
      </c>
    </row>
    <row r="871" spans="9:15">
      <c r="I871" s="178">
        <f>Prices!A871</f>
        <v>42870</v>
      </c>
      <c r="J871" s="3">
        <f>Prices!E871</f>
        <v>18.91</v>
      </c>
      <c r="K871" s="99">
        <f t="shared" si="52"/>
        <v>-1.4590984127619307E-2</v>
      </c>
      <c r="L871" s="99">
        <f t="shared" si="53"/>
        <v>-2.2234136382527067E-4</v>
      </c>
      <c r="M871" s="3">
        <f>Prices!M871</f>
        <v>23.26</v>
      </c>
      <c r="N871" s="99">
        <f t="shared" si="54"/>
        <v>6.9264069264069325E-3</v>
      </c>
      <c r="O871" s="99">
        <f t="shared" si="55"/>
        <v>1.2183762065425482E-3</v>
      </c>
    </row>
    <row r="872" spans="9:15">
      <c r="I872" s="178">
        <f>Prices!A872</f>
        <v>42871</v>
      </c>
      <c r="J872" s="3">
        <f>Prices!E872</f>
        <v>19.190000999999999</v>
      </c>
      <c r="K872" s="99">
        <f t="shared" si="52"/>
        <v>1.7497347958783157E-2</v>
      </c>
      <c r="L872" s="99">
        <f t="shared" si="53"/>
        <v>1.2275920474649881E-3</v>
      </c>
      <c r="M872" s="3">
        <f>Prices!M872</f>
        <v>23.1</v>
      </c>
      <c r="N872" s="99">
        <f t="shared" si="54"/>
        <v>1.8967798853109823E-2</v>
      </c>
      <c r="O872" s="99">
        <f t="shared" si="55"/>
        <v>1.5187976086610915E-3</v>
      </c>
    </row>
    <row r="873" spans="9:15">
      <c r="I873" s="178">
        <f>Prices!A873</f>
        <v>42872</v>
      </c>
      <c r="J873" s="3">
        <f>Prices!E873</f>
        <v>18.860001</v>
      </c>
      <c r="K873" s="99">
        <f t="shared" si="52"/>
        <v>4.2598506783893065E-3</v>
      </c>
      <c r="L873" s="99">
        <f t="shared" si="53"/>
        <v>1.1374429902131643E-4</v>
      </c>
      <c r="M873" s="3">
        <f>Prices!M873</f>
        <v>22.67</v>
      </c>
      <c r="N873" s="99">
        <f t="shared" si="54"/>
        <v>-1.3216298977254939E-3</v>
      </c>
      <c r="O873" s="99">
        <f t="shared" si="55"/>
        <v>5.0359029704423865E-4</v>
      </c>
    </row>
    <row r="874" spans="9:15">
      <c r="I874" s="178">
        <f>Prices!A874</f>
        <v>42873</v>
      </c>
      <c r="J874" s="3">
        <f>Prices!E874</f>
        <v>18.780000999999999</v>
      </c>
      <c r="K874" s="99">
        <f t="shared" si="52"/>
        <v>-2.3400884035361509E-2</v>
      </c>
      <c r="L874" s="99">
        <f t="shared" si="53"/>
        <v>-1.0372393272383745E-3</v>
      </c>
      <c r="M874" s="3">
        <f>Prices!M874</f>
        <v>22.700001</v>
      </c>
      <c r="N874" s="99">
        <f t="shared" si="54"/>
        <v>-1.1323955197036354E-2</v>
      </c>
      <c r="O874" s="99">
        <f t="shared" si="55"/>
        <v>4.142566054296269E-4</v>
      </c>
    </row>
    <row r="875" spans="9:15">
      <c r="I875" s="178">
        <f>Prices!A875</f>
        <v>42874</v>
      </c>
      <c r="J875" s="3">
        <f>Prices!E875</f>
        <v>19.23</v>
      </c>
      <c r="K875" s="99">
        <f t="shared" si="52"/>
        <v>9.4488718870799279E-3</v>
      </c>
      <c r="L875" s="99">
        <f t="shared" si="53"/>
        <v>1.8497232366897342E-4</v>
      </c>
      <c r="M875" s="3">
        <f>Prices!M875</f>
        <v>22.959999</v>
      </c>
      <c r="N875" s="99">
        <f t="shared" si="54"/>
        <v>-2.1730117340287586E-3</v>
      </c>
      <c r="O875" s="99">
        <f t="shared" si="55"/>
        <v>8.034632148389623E-4</v>
      </c>
    </row>
    <row r="876" spans="9:15">
      <c r="I876" s="178">
        <f>Prices!A876</f>
        <v>42878</v>
      </c>
      <c r="J876" s="3">
        <f>Prices!E876</f>
        <v>19.049999</v>
      </c>
      <c r="K876" s="99">
        <f t="shared" si="52"/>
        <v>-2.0953902566788985E-3</v>
      </c>
      <c r="L876" s="99">
        <f t="shared" si="53"/>
        <v>-7.7937483361812486E-5</v>
      </c>
      <c r="M876" s="3">
        <f>Prices!M876</f>
        <v>23.01</v>
      </c>
      <c r="N876" s="99">
        <f t="shared" si="54"/>
        <v>1.1428571428571498E-2</v>
      </c>
      <c r="O876" s="99">
        <f t="shared" si="55"/>
        <v>1.3585423729689783E-3</v>
      </c>
    </row>
    <row r="877" spans="9:15">
      <c r="I877" s="178">
        <f>Prices!A877</f>
        <v>42879</v>
      </c>
      <c r="J877" s="3">
        <f>Prices!E877</f>
        <v>19.09</v>
      </c>
      <c r="K877" s="99">
        <f t="shared" si="52"/>
        <v>8.452192287374545E-3</v>
      </c>
      <c r="L877" s="99">
        <f t="shared" si="53"/>
        <v>-2.0778736573120392E-4</v>
      </c>
      <c r="M877" s="3">
        <f>Prices!M877</f>
        <v>22.75</v>
      </c>
      <c r="N877" s="99">
        <f t="shared" si="54"/>
        <v>-8.7834870443564224E-4</v>
      </c>
      <c r="O877" s="99">
        <f t="shared" si="55"/>
        <v>7.6480233344579948E-4</v>
      </c>
    </row>
    <row r="878" spans="9:15">
      <c r="I878" s="178">
        <f>Prices!A878</f>
        <v>42880</v>
      </c>
      <c r="J878" s="3">
        <f>Prices!E878</f>
        <v>18.93</v>
      </c>
      <c r="K878" s="99">
        <f t="shared" si="52"/>
        <v>-1.3034410844629822E-2</v>
      </c>
      <c r="L878" s="99">
        <f t="shared" si="53"/>
        <v>-8.1221516191811382E-4</v>
      </c>
      <c r="M878" s="3">
        <f>Prices!M878</f>
        <v>22.77</v>
      </c>
      <c r="N878" s="99">
        <f t="shared" si="54"/>
        <v>-4.3902544165819131E-4</v>
      </c>
      <c r="O878" s="99">
        <f t="shared" si="55"/>
        <v>5.8659626800120792E-4</v>
      </c>
    </row>
    <row r="879" spans="9:15">
      <c r="I879" s="178">
        <f>Prices!A879</f>
        <v>42881</v>
      </c>
      <c r="J879" s="3">
        <f>Prices!E879</f>
        <v>19.18</v>
      </c>
      <c r="K879" s="99">
        <f t="shared" si="52"/>
        <v>-7.2463768115942325E-3</v>
      </c>
      <c r="L879" s="99">
        <f t="shared" si="53"/>
        <v>-1.604946196866225E-4</v>
      </c>
      <c r="M879" s="3">
        <f>Prices!M879</f>
        <v>22.780000999999999</v>
      </c>
      <c r="N879" s="99">
        <f t="shared" si="54"/>
        <v>-8.7710530162747244E-4</v>
      </c>
      <c r="O879" s="99">
        <f t="shared" si="55"/>
        <v>3.434149609797173E-4</v>
      </c>
    </row>
    <row r="880" spans="9:15">
      <c r="I880" s="178">
        <f>Prices!A880</f>
        <v>42884</v>
      </c>
      <c r="J880" s="3">
        <f>Prices!E880</f>
        <v>19.32</v>
      </c>
      <c r="K880" s="99">
        <f t="shared" si="52"/>
        <v>-5.173305742368345E-4</v>
      </c>
      <c r="L880" s="99">
        <f t="shared" si="53"/>
        <v>4.1048358448202572E-4</v>
      </c>
      <c r="M880" s="3">
        <f>Prices!M880</f>
        <v>22.799999</v>
      </c>
      <c r="N880" s="99">
        <f t="shared" si="54"/>
        <v>2.6384784520668975E-3</v>
      </c>
      <c r="O880" s="99">
        <f t="shared" si="55"/>
        <v>3.4311790818030254E-4</v>
      </c>
    </row>
    <row r="881" spans="9:15">
      <c r="I881" s="178">
        <f>Prices!A881</f>
        <v>42885</v>
      </c>
      <c r="J881" s="3">
        <f>Prices!E881</f>
        <v>19.329999999999998</v>
      </c>
      <c r="K881" s="99">
        <f t="shared" si="52"/>
        <v>4.6777546777546711E-3</v>
      </c>
      <c r="L881" s="99">
        <f t="shared" si="53"/>
        <v>-2.5809686754444896E-4</v>
      </c>
      <c r="M881" s="3">
        <f>Prices!M881</f>
        <v>22.74</v>
      </c>
      <c r="N881" s="99">
        <f t="shared" si="54"/>
        <v>1.3210480546475855E-3</v>
      </c>
      <c r="O881" s="99">
        <f t="shared" si="55"/>
        <v>2.5538532646035117E-4</v>
      </c>
    </row>
    <row r="882" spans="9:15">
      <c r="I882" s="178">
        <f>Prices!A882</f>
        <v>42886</v>
      </c>
      <c r="J882" s="3">
        <f>Prices!E882</f>
        <v>19.239999999999998</v>
      </c>
      <c r="K882" s="99">
        <f t="shared" si="52"/>
        <v>-7.2238909816250809E-3</v>
      </c>
      <c r="L882" s="99">
        <f t="shared" si="53"/>
        <v>-1.7457458224070463E-3</v>
      </c>
      <c r="M882" s="3">
        <f>Prices!M882</f>
        <v>22.709999</v>
      </c>
      <c r="N882" s="99">
        <f t="shared" si="54"/>
        <v>-7.8636962806332891E-3</v>
      </c>
      <c r="O882" s="99">
        <f t="shared" si="55"/>
        <v>-8.7304652712967076E-6</v>
      </c>
    </row>
    <row r="883" spans="9:15">
      <c r="I883" s="178">
        <f>Prices!A883</f>
        <v>42887</v>
      </c>
      <c r="J883" s="3">
        <f>Prices!E883</f>
        <v>19.379999000000002</v>
      </c>
      <c r="K883" s="99">
        <f t="shared" si="52"/>
        <v>2.0682006204757845E-3</v>
      </c>
      <c r="L883" s="99">
        <f t="shared" si="53"/>
        <v>-7.4971128525265821E-4</v>
      </c>
      <c r="M883" s="3">
        <f>Prices!M883</f>
        <v>22.889999</v>
      </c>
      <c r="N883" s="99">
        <f t="shared" si="54"/>
        <v>2.1890980735551524E-3</v>
      </c>
      <c r="O883" s="99">
        <f t="shared" si="55"/>
        <v>8.0610990039572451E-4</v>
      </c>
    </row>
    <row r="884" spans="9:15">
      <c r="I884" s="178">
        <f>Prices!A884</f>
        <v>42888</v>
      </c>
      <c r="J884" s="3">
        <f>Prices!E884</f>
        <v>19.34</v>
      </c>
      <c r="K884" s="99">
        <f t="shared" si="52"/>
        <v>5.1975051975052715E-3</v>
      </c>
      <c r="L884" s="99">
        <f t="shared" si="53"/>
        <v>-5.9788650259600079E-4</v>
      </c>
      <c r="M884" s="3">
        <f>Prices!M884</f>
        <v>22.84</v>
      </c>
      <c r="N884" s="99">
        <f t="shared" si="54"/>
        <v>2.1939007374330382E-3</v>
      </c>
      <c r="O884" s="99">
        <f t="shared" si="55"/>
        <v>9.1957296372643525E-4</v>
      </c>
    </row>
    <row r="885" spans="9:15">
      <c r="I885" s="178">
        <f>Prices!A885</f>
        <v>42891</v>
      </c>
      <c r="J885" s="3">
        <f>Prices!E885</f>
        <v>19.239999999999998</v>
      </c>
      <c r="K885" s="99">
        <f t="shared" si="52"/>
        <v>3.1282586027110908E-3</v>
      </c>
      <c r="L885" s="99">
        <f t="shared" si="53"/>
        <v>-1.1369521036291165E-3</v>
      </c>
      <c r="M885" s="3">
        <f>Prices!M885</f>
        <v>22.790001</v>
      </c>
      <c r="N885" s="99">
        <f t="shared" si="54"/>
        <v>-2.1890980735551524E-3</v>
      </c>
      <c r="O885" s="99">
        <f t="shared" si="55"/>
        <v>8.9920575576625441E-4</v>
      </c>
    </row>
    <row r="886" spans="9:15">
      <c r="I886" s="178">
        <f>Prices!A886</f>
        <v>42892</v>
      </c>
      <c r="J886" s="3">
        <f>Prices!E886</f>
        <v>19.18</v>
      </c>
      <c r="K886" s="99">
        <f t="shared" si="52"/>
        <v>6.8241998332913313E-3</v>
      </c>
      <c r="L886" s="99">
        <f t="shared" si="53"/>
        <v>-9.3548669235985035E-4</v>
      </c>
      <c r="M886" s="3">
        <f>Prices!M886</f>
        <v>22.84</v>
      </c>
      <c r="N886" s="99">
        <f t="shared" si="54"/>
        <v>5.7243947919152277E-3</v>
      </c>
      <c r="O886" s="99">
        <f t="shared" si="55"/>
        <v>8.9724800843744726E-4</v>
      </c>
    </row>
    <row r="887" spans="9:15">
      <c r="I887" s="178">
        <f>Prices!A887</f>
        <v>42893</v>
      </c>
      <c r="J887" s="3">
        <f>Prices!E887</f>
        <v>19.049999</v>
      </c>
      <c r="K887" s="99">
        <f t="shared" si="52"/>
        <v>0</v>
      </c>
      <c r="L887" s="99">
        <f t="shared" si="53"/>
        <v>-3.9220132062715607E-4</v>
      </c>
      <c r="M887" s="3">
        <f>Prices!M887</f>
        <v>22.709999</v>
      </c>
      <c r="N887" s="99">
        <f t="shared" si="54"/>
        <v>-3.5103991439052744E-3</v>
      </c>
      <c r="O887" s="99">
        <f t="shared" si="55"/>
        <v>7.6748780587970484E-4</v>
      </c>
    </row>
    <row r="888" spans="9:15">
      <c r="I888" s="178">
        <f>Prices!A888</f>
        <v>42894</v>
      </c>
      <c r="J888" s="3">
        <f>Prices!E888</f>
        <v>19.049999</v>
      </c>
      <c r="K888" s="99">
        <f t="shared" si="52"/>
        <v>3.1595050026330305E-3</v>
      </c>
      <c r="L888" s="99">
        <f t="shared" si="53"/>
        <v>4.2746816641673935E-4</v>
      </c>
      <c r="M888" s="3">
        <f>Prices!M888</f>
        <v>22.790001</v>
      </c>
      <c r="N888" s="99">
        <f t="shared" si="54"/>
        <v>-4.368632781504244E-3</v>
      </c>
      <c r="O888" s="99">
        <f t="shared" si="55"/>
        <v>1.0999629270639867E-3</v>
      </c>
    </row>
    <row r="889" spans="9:15">
      <c r="I889" s="178">
        <f>Prices!A889</f>
        <v>42895</v>
      </c>
      <c r="J889" s="3">
        <f>Prices!E889</f>
        <v>18.989999999999998</v>
      </c>
      <c r="K889" s="99">
        <f t="shared" si="52"/>
        <v>5.2687038988398363E-4</v>
      </c>
      <c r="L889" s="99">
        <f t="shared" si="53"/>
        <v>-1.093678309889228E-3</v>
      </c>
      <c r="M889" s="3">
        <f>Prices!M889</f>
        <v>22.889999</v>
      </c>
      <c r="N889" s="99">
        <f t="shared" si="54"/>
        <v>7.4823946955278539E-3</v>
      </c>
      <c r="O889" s="99">
        <f t="shared" si="55"/>
        <v>1.0951780482820585E-3</v>
      </c>
    </row>
    <row r="890" spans="9:15">
      <c r="I890" s="178">
        <f>Prices!A890</f>
        <v>42898</v>
      </c>
      <c r="J890" s="3">
        <f>Prices!E890</f>
        <v>18.98</v>
      </c>
      <c r="K890" s="99">
        <f t="shared" si="52"/>
        <v>-1.5781167806418271E-3</v>
      </c>
      <c r="L890" s="99">
        <f t="shared" si="53"/>
        <v>-1.7046659574973138E-3</v>
      </c>
      <c r="M890" s="3">
        <f>Prices!M890</f>
        <v>22.719999000000001</v>
      </c>
      <c r="N890" s="99">
        <f t="shared" si="54"/>
        <v>4.4033467372682684E-4</v>
      </c>
      <c r="O890" s="99">
        <f t="shared" si="55"/>
        <v>5.874897412185495E-4</v>
      </c>
    </row>
    <row r="891" spans="9:15">
      <c r="I891" s="178">
        <f>Prices!A891</f>
        <v>42899</v>
      </c>
      <c r="J891" s="3">
        <f>Prices!E891</f>
        <v>19.010000000000002</v>
      </c>
      <c r="K891" s="99">
        <f t="shared" si="52"/>
        <v>1.4407684098185868E-2</v>
      </c>
      <c r="L891" s="99">
        <f t="shared" si="53"/>
        <v>-2.3027936853140829E-3</v>
      </c>
      <c r="M891" s="3">
        <f>Prices!M891</f>
        <v>22.709999</v>
      </c>
      <c r="N891" s="99">
        <f t="shared" si="54"/>
        <v>1.2934834968777792E-2</v>
      </c>
      <c r="O891" s="99">
        <f t="shared" si="55"/>
        <v>5.8774026711941145E-4</v>
      </c>
    </row>
    <row r="892" spans="9:15">
      <c r="I892" s="178">
        <f>Prices!A892</f>
        <v>42900</v>
      </c>
      <c r="J892" s="3">
        <f>Prices!E892</f>
        <v>18.739999999999998</v>
      </c>
      <c r="K892" s="99">
        <f t="shared" si="52"/>
        <v>-4.7796070100902741E-3</v>
      </c>
      <c r="L892" s="99">
        <f t="shared" si="53"/>
        <v>-3.4458531551326164E-3</v>
      </c>
      <c r="M892" s="3">
        <f>Prices!M892</f>
        <v>22.42</v>
      </c>
      <c r="N892" s="99">
        <f t="shared" si="54"/>
        <v>-1.3363473792272263E-3</v>
      </c>
      <c r="O892" s="99">
        <f t="shared" si="55"/>
        <v>-5.9001481319478387E-5</v>
      </c>
    </row>
    <row r="893" spans="9:15">
      <c r="I893" s="178">
        <f>Prices!A893</f>
        <v>42901</v>
      </c>
      <c r="J893" s="3">
        <f>Prices!E893</f>
        <v>18.829999999999998</v>
      </c>
      <c r="K893" s="99">
        <f t="shared" si="52"/>
        <v>-1.8759821846804515E-2</v>
      </c>
      <c r="L893" s="99">
        <f t="shared" si="53"/>
        <v>-3.6992361966696309E-3</v>
      </c>
      <c r="M893" s="3">
        <f>Prices!M893</f>
        <v>22.450001</v>
      </c>
      <c r="N893" s="99">
        <f t="shared" si="54"/>
        <v>-3.1083037300177292E-3</v>
      </c>
      <c r="O893" s="99">
        <f t="shared" si="55"/>
        <v>-1.2545599152293541E-4</v>
      </c>
    </row>
    <row r="894" spans="9:15">
      <c r="I894" s="178">
        <f>Prices!A894</f>
        <v>42902</v>
      </c>
      <c r="J894" s="3">
        <f>Prices!E894</f>
        <v>19.190000999999999</v>
      </c>
      <c r="K894" s="99">
        <f t="shared" si="52"/>
        <v>1.0433489827854484E-3</v>
      </c>
      <c r="L894" s="99">
        <f t="shared" si="53"/>
        <v>-2.6625795887891936E-3</v>
      </c>
      <c r="M894" s="3">
        <f>Prices!M894</f>
        <v>22.52</v>
      </c>
      <c r="N894" s="99">
        <f t="shared" si="54"/>
        <v>-3.539823008849639E-3</v>
      </c>
      <c r="O894" s="99">
        <f t="shared" si="55"/>
        <v>5.2181417200176669E-5</v>
      </c>
    </row>
    <row r="895" spans="9:15">
      <c r="I895" s="178">
        <f>Prices!A895</f>
        <v>42905</v>
      </c>
      <c r="J895" s="3">
        <f>Prices!E895</f>
        <v>19.170000000000002</v>
      </c>
      <c r="K895" s="99">
        <f t="shared" si="52"/>
        <v>4.1906757464642138E-3</v>
      </c>
      <c r="L895" s="99">
        <f t="shared" si="53"/>
        <v>-3.3479691210642612E-3</v>
      </c>
      <c r="M895" s="3">
        <f>Prices!M895</f>
        <v>22.6</v>
      </c>
      <c r="N895" s="99">
        <f t="shared" si="54"/>
        <v>8.9285714285715564E-3</v>
      </c>
      <c r="O895" s="99">
        <f t="shared" si="55"/>
        <v>3.182219928006925E-4</v>
      </c>
    </row>
    <row r="896" spans="9:15">
      <c r="I896" s="178">
        <f>Prices!A896</f>
        <v>42906</v>
      </c>
      <c r="J896" s="3">
        <f>Prices!E896</f>
        <v>19.09</v>
      </c>
      <c r="K896" s="99">
        <f t="shared" si="52"/>
        <v>-4.6923879040667287E-3</v>
      </c>
      <c r="L896" s="99">
        <f t="shared" si="53"/>
        <v>-3.775737621373179E-3</v>
      </c>
      <c r="M896" s="3">
        <f>Prices!M896</f>
        <v>22.4</v>
      </c>
      <c r="N896" s="99">
        <f t="shared" si="54"/>
        <v>-4.4622936189208225E-4</v>
      </c>
      <c r="O896" s="99">
        <f t="shared" si="55"/>
        <v>-4.5992261879966763E-4</v>
      </c>
    </row>
    <row r="897" spans="9:15">
      <c r="I897" s="178">
        <f>Prices!A897</f>
        <v>42907</v>
      </c>
      <c r="J897" s="3">
        <f>Prices!E897</f>
        <v>19.18</v>
      </c>
      <c r="K897" s="99">
        <f t="shared" si="52"/>
        <v>-3.6363636363636511E-3</v>
      </c>
      <c r="L897" s="99">
        <f t="shared" si="53"/>
        <v>-3.2974510721737438E-3</v>
      </c>
      <c r="M897" s="3">
        <f>Prices!M897</f>
        <v>22.41</v>
      </c>
      <c r="N897" s="99">
        <f t="shared" si="54"/>
        <v>-4.4424700133274733E-3</v>
      </c>
      <c r="O897" s="99">
        <f t="shared" si="55"/>
        <v>-5.4793551081097635E-4</v>
      </c>
    </row>
    <row r="898" spans="9:15">
      <c r="I898" s="178">
        <f>Prices!A898</f>
        <v>42908</v>
      </c>
      <c r="J898" s="3">
        <f>Prices!E898</f>
        <v>19.25</v>
      </c>
      <c r="K898" s="99">
        <f t="shared" si="52"/>
        <v>0</v>
      </c>
      <c r="L898" s="99">
        <f t="shared" si="53"/>
        <v>-2.969002873413723E-3</v>
      </c>
      <c r="M898" s="3">
        <f>Prices!M898</f>
        <v>22.51</v>
      </c>
      <c r="N898" s="99">
        <f t="shared" si="54"/>
        <v>-5.3026515820880048E-3</v>
      </c>
      <c r="O898" s="99">
        <f t="shared" si="55"/>
        <v>-5.9620806337646245E-5</v>
      </c>
    </row>
    <row r="899" spans="9:15">
      <c r="I899" s="178">
        <f>Prices!A899</f>
        <v>42909</v>
      </c>
      <c r="J899" s="3">
        <f>Prices!E899</f>
        <v>19.25</v>
      </c>
      <c r="K899" s="99">
        <f t="shared" si="52"/>
        <v>4.1731872717787315E-3</v>
      </c>
      <c r="L899" s="99">
        <f t="shared" si="53"/>
        <v>-2.9445578868340172E-3</v>
      </c>
      <c r="M899" s="3">
        <f>Prices!M899</f>
        <v>22.629999000000002</v>
      </c>
      <c r="N899" s="99">
        <f t="shared" si="54"/>
        <v>-8.8304635761576379E-4</v>
      </c>
      <c r="O899" s="99">
        <f t="shared" si="55"/>
        <v>3.3896595426141537E-4</v>
      </c>
    </row>
    <row r="900" spans="9:15">
      <c r="I900" s="178">
        <f>Prices!A900</f>
        <v>42912</v>
      </c>
      <c r="J900" s="3">
        <f>Prices!E900</f>
        <v>19.170000000000002</v>
      </c>
      <c r="K900" s="99">
        <f t="shared" si="52"/>
        <v>-1.3888939614766329E-2</v>
      </c>
      <c r="L900" s="99">
        <f t="shared" si="53"/>
        <v>-3.0797574071320657E-3</v>
      </c>
      <c r="M900" s="3">
        <f>Prices!M900</f>
        <v>22.65</v>
      </c>
      <c r="N900" s="99">
        <f t="shared" si="54"/>
        <v>8.8382681766786852E-4</v>
      </c>
      <c r="O900" s="99">
        <f t="shared" si="55"/>
        <v>2.0581551605608684E-4</v>
      </c>
    </row>
    <row r="901" spans="9:15">
      <c r="I901" s="178">
        <f>Prices!A901</f>
        <v>42913</v>
      </c>
      <c r="J901" s="3">
        <f>Prices!E901</f>
        <v>19.440000999999999</v>
      </c>
      <c r="K901" s="99">
        <f t="shared" si="52"/>
        <v>-2.5075224419497274E-2</v>
      </c>
      <c r="L901" s="99">
        <f t="shared" si="53"/>
        <v>-6.6291934230052895E-4</v>
      </c>
      <c r="M901" s="3">
        <f>Prices!M901</f>
        <v>22.629999000000002</v>
      </c>
      <c r="N901" s="99">
        <f t="shared" si="54"/>
        <v>-3.9612677799853715E-3</v>
      </c>
      <c r="O901" s="99">
        <f t="shared" si="55"/>
        <v>3.3955789403390495E-4</v>
      </c>
    </row>
    <row r="902" spans="9:15">
      <c r="I902" s="178">
        <f>Prices!A902</f>
        <v>42914</v>
      </c>
      <c r="J902" s="3">
        <f>Prices!E902</f>
        <v>19.940000999999999</v>
      </c>
      <c r="K902" s="99">
        <f t="shared" si="52"/>
        <v>1.2696799761462685E-2</v>
      </c>
      <c r="L902" s="99">
        <f t="shared" si="53"/>
        <v>-1.2628166579110351E-3</v>
      </c>
      <c r="M902" s="3">
        <f>Prices!M902</f>
        <v>22.719999000000001</v>
      </c>
      <c r="N902" s="99">
        <f t="shared" si="54"/>
        <v>8.4331110327071357E-3</v>
      </c>
      <c r="O902" s="99">
        <f t="shared" si="55"/>
        <v>4.4881133631914362E-4</v>
      </c>
    </row>
    <row r="903" spans="9:15">
      <c r="I903" s="178">
        <f>Prices!A903</f>
        <v>42915</v>
      </c>
      <c r="J903" s="3">
        <f>Prices!E903</f>
        <v>19.690000999999999</v>
      </c>
      <c r="K903" s="99">
        <f t="shared" ref="K903:K966" si="56">(J903-J904)/J904</f>
        <v>5.1046962736089278E-3</v>
      </c>
      <c r="L903" s="99">
        <f t="shared" ref="L903:L966" si="57">AVERAGE(K903:K922)</f>
        <v>-2.4046557047480064E-3</v>
      </c>
      <c r="M903" s="3">
        <f>Prices!M903</f>
        <v>22.530000999999999</v>
      </c>
      <c r="N903" s="99">
        <f t="shared" ref="N903:N966" si="58">(M903-M904)/M904</f>
        <v>4.4583593401693669E-3</v>
      </c>
      <c r="O903" s="99">
        <f t="shared" ref="O903:O966" si="59">AVERAGE(N903:N922)</f>
        <v>2.5017094971500404E-4</v>
      </c>
    </row>
    <row r="904" spans="9:15">
      <c r="I904" s="178">
        <f>Prices!A904</f>
        <v>42916</v>
      </c>
      <c r="J904" s="3">
        <f>Prices!E904</f>
        <v>19.59</v>
      </c>
      <c r="K904" s="99">
        <f t="shared" si="56"/>
        <v>-5.5838068231570375E-3</v>
      </c>
      <c r="L904" s="99">
        <f t="shared" si="57"/>
        <v>-3.1618049543749192E-3</v>
      </c>
      <c r="M904" s="3">
        <f>Prices!M904</f>
        <v>22.43</v>
      </c>
      <c r="N904" s="99">
        <f t="shared" si="58"/>
        <v>1.7865565782294217E-3</v>
      </c>
      <c r="O904" s="99">
        <f t="shared" si="59"/>
        <v>-3.956438625482568E-5</v>
      </c>
    </row>
    <row r="905" spans="9:15">
      <c r="I905" s="178">
        <f>Prices!A905</f>
        <v>42920</v>
      </c>
      <c r="J905" s="3">
        <f>Prices!E905</f>
        <v>19.700001</v>
      </c>
      <c r="K905" s="99">
        <f t="shared" si="56"/>
        <v>7.1575668280964158E-3</v>
      </c>
      <c r="L905" s="99">
        <f t="shared" si="57"/>
        <v>-3.4730728087768218E-3</v>
      </c>
      <c r="M905" s="3">
        <f>Prices!M905</f>
        <v>22.389999</v>
      </c>
      <c r="N905" s="99">
        <f t="shared" si="58"/>
        <v>-2.2282530201312924E-3</v>
      </c>
      <c r="O905" s="99">
        <f t="shared" si="59"/>
        <v>-3.0643326365537211E-4</v>
      </c>
    </row>
    <row r="906" spans="9:15">
      <c r="I906" s="178">
        <f>Prices!A906</f>
        <v>42921</v>
      </c>
      <c r="J906" s="3">
        <f>Prices!E906</f>
        <v>19.559999000000001</v>
      </c>
      <c r="K906" s="99">
        <f t="shared" si="56"/>
        <v>1.7689907267945219E-2</v>
      </c>
      <c r="L906" s="99">
        <f t="shared" si="57"/>
        <v>-3.8309511501816427E-3</v>
      </c>
      <c r="M906" s="3">
        <f>Prices!M906</f>
        <v>22.440000999999999</v>
      </c>
      <c r="N906" s="99">
        <f t="shared" si="58"/>
        <v>3.1291907407603732E-3</v>
      </c>
      <c r="O906" s="99">
        <f t="shared" si="59"/>
        <v>-5.0379652795538691E-4</v>
      </c>
    </row>
    <row r="907" spans="9:15">
      <c r="I907" s="178">
        <f>Prices!A907</f>
        <v>42922</v>
      </c>
      <c r="J907" s="3">
        <f>Prices!E907</f>
        <v>19.219999000000001</v>
      </c>
      <c r="K907" s="99">
        <f t="shared" si="56"/>
        <v>1.6393389740877909E-2</v>
      </c>
      <c r="L907" s="99">
        <f t="shared" si="57"/>
        <v>-4.9972713007172386E-3</v>
      </c>
      <c r="M907" s="3">
        <f>Prices!M907</f>
        <v>22.370000999999998</v>
      </c>
      <c r="N907" s="99">
        <f t="shared" si="58"/>
        <v>3.1391032797803619E-3</v>
      </c>
      <c r="O907" s="99">
        <f t="shared" si="59"/>
        <v>-4.6096465666744575E-4</v>
      </c>
    </row>
    <row r="908" spans="9:15">
      <c r="I908" s="178">
        <f>Prices!A908</f>
        <v>42923</v>
      </c>
      <c r="J908" s="3">
        <f>Prices!E908</f>
        <v>18.91</v>
      </c>
      <c r="K908" s="99">
        <f t="shared" si="56"/>
        <v>-2.7263424523486322E-2</v>
      </c>
      <c r="L908" s="99">
        <f t="shared" si="57"/>
        <v>-6.3513250814414297E-3</v>
      </c>
      <c r="M908" s="3">
        <f>Prices!M908</f>
        <v>22.299999</v>
      </c>
      <c r="N908" s="99">
        <f t="shared" si="58"/>
        <v>-4.4643303571428082E-3</v>
      </c>
      <c r="O908" s="99">
        <f t="shared" si="59"/>
        <v>-8.6031954553968549E-4</v>
      </c>
    </row>
    <row r="909" spans="9:15">
      <c r="I909" s="178">
        <f>Prices!A909</f>
        <v>42926</v>
      </c>
      <c r="J909" s="3">
        <f>Prices!E909</f>
        <v>19.440000999999999</v>
      </c>
      <c r="K909" s="99">
        <f t="shared" si="56"/>
        <v>-1.169288256227773E-2</v>
      </c>
      <c r="L909" s="99">
        <f t="shared" si="57"/>
        <v>-4.9416422273601381E-3</v>
      </c>
      <c r="M909" s="3">
        <f>Prices!M909</f>
        <v>22.4</v>
      </c>
      <c r="N909" s="99">
        <f t="shared" si="58"/>
        <v>-2.6713714457423281E-3</v>
      </c>
      <c r="O909" s="99">
        <f t="shared" si="59"/>
        <v>-6.1505496771782056E-4</v>
      </c>
    </row>
    <row r="910" spans="9:15">
      <c r="I910" s="178">
        <f>Prices!A910</f>
        <v>42927</v>
      </c>
      <c r="J910" s="3">
        <f>Prices!E910</f>
        <v>19.670000000000002</v>
      </c>
      <c r="K910" s="99">
        <f t="shared" si="56"/>
        <v>-1.3540671336977218E-2</v>
      </c>
      <c r="L910" s="99">
        <f t="shared" si="57"/>
        <v>-4.2637991200664294E-3</v>
      </c>
      <c r="M910" s="3">
        <f>Prices!M910</f>
        <v>22.459999</v>
      </c>
      <c r="N910" s="99">
        <f t="shared" si="58"/>
        <v>4.453451917440675E-4</v>
      </c>
      <c r="O910" s="99">
        <f t="shared" si="59"/>
        <v>-3.710113574070654E-4</v>
      </c>
    </row>
    <row r="911" spans="9:15">
      <c r="I911" s="178">
        <f>Prices!A911</f>
        <v>42928</v>
      </c>
      <c r="J911" s="3">
        <f>Prices!E911</f>
        <v>19.940000999999999</v>
      </c>
      <c r="K911" s="99">
        <f t="shared" si="56"/>
        <v>-8.4535052981848033E-3</v>
      </c>
      <c r="L911" s="99">
        <f t="shared" si="57"/>
        <v>-2.7336873541654394E-3</v>
      </c>
      <c r="M911" s="3">
        <f>Prices!M911</f>
        <v>22.450001</v>
      </c>
      <c r="N911" s="99">
        <f t="shared" si="58"/>
        <v>0</v>
      </c>
      <c r="O911" s="99">
        <f t="shared" si="59"/>
        <v>1.2011200800573799E-4</v>
      </c>
    </row>
    <row r="912" spans="9:15">
      <c r="I912" s="178">
        <f>Prices!A912</f>
        <v>42929</v>
      </c>
      <c r="J912" s="3">
        <f>Prices!E912</f>
        <v>20.110001</v>
      </c>
      <c r="K912" s="99">
        <f t="shared" si="56"/>
        <v>-9.8472678408305578E-3</v>
      </c>
      <c r="L912" s="99">
        <f t="shared" si="57"/>
        <v>-2.5468634932254695E-3</v>
      </c>
      <c r="M912" s="3">
        <f>Prices!M912</f>
        <v>22.450001</v>
      </c>
      <c r="N912" s="99">
        <f t="shared" si="58"/>
        <v>-2.6654375832963679E-3</v>
      </c>
      <c r="O912" s="99">
        <f t="shared" si="59"/>
        <v>2.5440028016330006E-4</v>
      </c>
    </row>
    <row r="913" spans="9:15">
      <c r="I913" s="178">
        <f>Prices!A913</f>
        <v>42930</v>
      </c>
      <c r="J913" s="3">
        <f>Prices!E913</f>
        <v>20.309999000000001</v>
      </c>
      <c r="K913" s="99">
        <f t="shared" si="56"/>
        <v>1.9733103108042268E-3</v>
      </c>
      <c r="L913" s="99">
        <f t="shared" si="57"/>
        <v>-6.4809861749826644E-4</v>
      </c>
      <c r="M913" s="3">
        <f>Prices!M913</f>
        <v>22.51</v>
      </c>
      <c r="N913" s="99">
        <f t="shared" si="58"/>
        <v>4.4444444444451391E-4</v>
      </c>
      <c r="O913" s="99">
        <f t="shared" si="59"/>
        <v>-1.1972600885024921E-5</v>
      </c>
    </row>
    <row r="914" spans="9:15">
      <c r="I914" s="178">
        <f>Prices!A914</f>
        <v>42933</v>
      </c>
      <c r="J914" s="3">
        <f>Prices!E914</f>
        <v>20.27</v>
      </c>
      <c r="K914" s="99">
        <f t="shared" si="56"/>
        <v>-1.2664441662715898E-2</v>
      </c>
      <c r="L914" s="99">
        <f t="shared" si="57"/>
        <v>-8.1940093691256996E-4</v>
      </c>
      <c r="M914" s="3">
        <f>Prices!M914</f>
        <v>22.5</v>
      </c>
      <c r="N914" s="99">
        <f t="shared" si="58"/>
        <v>1.7809885031606714E-3</v>
      </c>
      <c r="O914" s="99">
        <f t="shared" si="59"/>
        <v>7.7066864087302087E-5</v>
      </c>
    </row>
    <row r="915" spans="9:15">
      <c r="I915" s="178">
        <f>Prices!A915</f>
        <v>42934</v>
      </c>
      <c r="J915" s="3">
        <f>Prices!E915</f>
        <v>20.530000999999999</v>
      </c>
      <c r="K915" s="99">
        <f t="shared" si="56"/>
        <v>-4.3646942597141422E-3</v>
      </c>
      <c r="L915" s="99">
        <f t="shared" si="57"/>
        <v>-1.3451169407653341E-3</v>
      </c>
      <c r="M915" s="3">
        <f>Prices!M915</f>
        <v>22.459999</v>
      </c>
      <c r="N915" s="99">
        <f t="shared" si="58"/>
        <v>-6.63432080343564E-3</v>
      </c>
      <c r="O915" s="99">
        <f t="shared" si="59"/>
        <v>7.7181504912330538E-5</v>
      </c>
    </row>
    <row r="916" spans="9:15">
      <c r="I916" s="178">
        <f>Prices!A916</f>
        <v>42935</v>
      </c>
      <c r="J916" s="3">
        <f>Prices!E916</f>
        <v>20.620000999999998</v>
      </c>
      <c r="K916" s="99">
        <f t="shared" si="56"/>
        <v>4.873343079921974E-3</v>
      </c>
      <c r="L916" s="99">
        <f t="shared" si="57"/>
        <v>3.5874361315433348E-4</v>
      </c>
      <c r="M916" s="3">
        <f>Prices!M916</f>
        <v>22.610001</v>
      </c>
      <c r="N916" s="99">
        <f t="shared" si="58"/>
        <v>-2.2064872021182562E-3</v>
      </c>
      <c r="O916" s="99">
        <f t="shared" si="59"/>
        <v>6.1032995332045963E-4</v>
      </c>
    </row>
    <row r="917" spans="9:15">
      <c r="I917" s="178">
        <f>Prices!A917</f>
        <v>42936</v>
      </c>
      <c r="J917" s="3">
        <f>Prices!E917</f>
        <v>20.52</v>
      </c>
      <c r="K917" s="99">
        <f t="shared" si="56"/>
        <v>2.932600338836759E-3</v>
      </c>
      <c r="L917" s="99">
        <f t="shared" si="57"/>
        <v>-1.2728419243462986E-4</v>
      </c>
      <c r="M917" s="3">
        <f>Prices!M917</f>
        <v>22.66</v>
      </c>
      <c r="N917" s="99">
        <f t="shared" si="58"/>
        <v>5.3238240761391258E-3</v>
      </c>
      <c r="O917" s="99">
        <f t="shared" si="59"/>
        <v>9.9068357850419378E-4</v>
      </c>
    </row>
    <row r="918" spans="9:15">
      <c r="I918" s="178">
        <f>Prices!A918</f>
        <v>42937</v>
      </c>
      <c r="J918" s="3">
        <f>Prices!E918</f>
        <v>20.459999</v>
      </c>
      <c r="K918" s="99">
        <f t="shared" si="56"/>
        <v>4.88899731594121E-4</v>
      </c>
      <c r="L918" s="99">
        <f t="shared" si="57"/>
        <v>2.8980882983922545E-4</v>
      </c>
      <c r="M918" s="3">
        <f>Prices!M918</f>
        <v>22.540001</v>
      </c>
      <c r="N918" s="99">
        <f t="shared" si="58"/>
        <v>2.669083629893227E-3</v>
      </c>
      <c r="O918" s="99">
        <f t="shared" si="59"/>
        <v>7.244923746972373E-4</v>
      </c>
    </row>
    <row r="919" spans="9:15">
      <c r="I919" s="178">
        <f>Prices!A919</f>
        <v>42940</v>
      </c>
      <c r="J919" s="3">
        <f>Prices!E919</f>
        <v>20.450001</v>
      </c>
      <c r="K919" s="99">
        <f t="shared" si="56"/>
        <v>1.4691968658177576E-3</v>
      </c>
      <c r="L919" s="99">
        <f t="shared" si="57"/>
        <v>-1.07051169757424E-3</v>
      </c>
      <c r="M919" s="3">
        <f>Prices!M919</f>
        <v>22.48</v>
      </c>
      <c r="N919" s="99">
        <f t="shared" si="58"/>
        <v>-3.5460551217223377E-3</v>
      </c>
      <c r="O919" s="99">
        <f t="shared" si="59"/>
        <v>4.7877730411412039E-4</v>
      </c>
    </row>
    <row r="920" spans="9:15">
      <c r="I920" s="178">
        <f>Prices!A920</f>
        <v>42941</v>
      </c>
      <c r="J920" s="3">
        <f>Prices!E920</f>
        <v>20.420000000000002</v>
      </c>
      <c r="K920" s="99">
        <f t="shared" si="56"/>
        <v>3.4447821681864402E-2</v>
      </c>
      <c r="L920" s="99">
        <f t="shared" si="57"/>
        <v>-1.9189879441053165E-3</v>
      </c>
      <c r="M920" s="3">
        <f>Prices!M920</f>
        <v>22.559999000000001</v>
      </c>
      <c r="N920" s="99">
        <f t="shared" si="58"/>
        <v>3.5586743772242357E-3</v>
      </c>
      <c r="O920" s="99">
        <f t="shared" si="59"/>
        <v>3.8810550602540232E-4</v>
      </c>
    </row>
    <row r="921" spans="9:15">
      <c r="I921" s="178">
        <f>Prices!A921</f>
        <v>42942</v>
      </c>
      <c r="J921" s="3">
        <f>Prices!E921</f>
        <v>19.739999999999998</v>
      </c>
      <c r="K921" s="99">
        <f t="shared" si="56"/>
        <v>-3.7073170731707392E-2</v>
      </c>
      <c r="L921" s="99">
        <f t="shared" si="57"/>
        <v>-3.7585275755274957E-3</v>
      </c>
      <c r="M921" s="3">
        <f>Prices!M921</f>
        <v>22.48</v>
      </c>
      <c r="N921" s="99">
        <f t="shared" si="58"/>
        <v>-1.7761989342806016E-3</v>
      </c>
      <c r="O921" s="99">
        <f t="shared" si="59"/>
        <v>5.4739975479009225E-4</v>
      </c>
    </row>
    <row r="922" spans="9:15">
      <c r="I922" s="178">
        <f>Prices!A922</f>
        <v>42943</v>
      </c>
      <c r="J922" s="3">
        <f>Prices!E922</f>
        <v>20.5</v>
      </c>
      <c r="K922" s="99">
        <f t="shared" si="56"/>
        <v>-1.0139981175276726E-2</v>
      </c>
      <c r="L922" s="99">
        <f t="shared" si="57"/>
        <v>-2.0217437522135001E-3</v>
      </c>
      <c r="M922" s="3">
        <f>Prices!M922</f>
        <v>22.52</v>
      </c>
      <c r="N922" s="99">
        <f t="shared" si="58"/>
        <v>4.4603033006243471E-3</v>
      </c>
      <c r="O922" s="99">
        <f t="shared" si="59"/>
        <v>7.262975352839453E-4</v>
      </c>
    </row>
    <row r="923" spans="9:15">
      <c r="I923" s="178">
        <f>Prices!A923</f>
        <v>42944</v>
      </c>
      <c r="J923" s="3">
        <f>Prices!E923</f>
        <v>20.709999</v>
      </c>
      <c r="K923" s="99">
        <f t="shared" si="56"/>
        <v>-1.0038288718929343E-2</v>
      </c>
      <c r="L923" s="99">
        <f t="shared" si="57"/>
        <v>-1.185335281684959E-3</v>
      </c>
      <c r="M923" s="3">
        <f>Prices!M923</f>
        <v>22.42</v>
      </c>
      <c r="N923" s="99">
        <f t="shared" si="58"/>
        <v>-1.3363473792272263E-3</v>
      </c>
      <c r="O923" s="99">
        <f t="shared" si="59"/>
        <v>5.0328237025272819E-4</v>
      </c>
    </row>
    <row r="924" spans="9:15">
      <c r="I924" s="178">
        <f>Prices!A924</f>
        <v>42947</v>
      </c>
      <c r="J924" s="3">
        <f>Prices!E924</f>
        <v>20.92</v>
      </c>
      <c r="K924" s="99">
        <f t="shared" si="56"/>
        <v>-1.1809163911195086E-2</v>
      </c>
      <c r="L924" s="99">
        <f t="shared" si="57"/>
        <v>-1.9448864999341633E-3</v>
      </c>
      <c r="M924" s="3">
        <f>Prices!M924</f>
        <v>22.450001</v>
      </c>
      <c r="N924" s="99">
        <f t="shared" si="58"/>
        <v>-3.5508209697815061E-3</v>
      </c>
      <c r="O924" s="99">
        <f t="shared" si="59"/>
        <v>5.2509973718888438E-4</v>
      </c>
    </row>
    <row r="925" spans="9:15">
      <c r="I925" s="178">
        <f>Prices!A925</f>
        <v>42948</v>
      </c>
      <c r="J925" s="3">
        <f>Prices!E925</f>
        <v>21.17</v>
      </c>
      <c r="K925" s="99">
        <f t="shared" si="56"/>
        <v>0</v>
      </c>
      <c r="L925" s="99">
        <f t="shared" si="57"/>
        <v>-1.0776778431197966E-3</v>
      </c>
      <c r="M925" s="3">
        <f>Prices!M925</f>
        <v>22.530000999999999</v>
      </c>
      <c r="N925" s="99">
        <f t="shared" si="58"/>
        <v>-6.1755183061315876E-3</v>
      </c>
      <c r="O925" s="99">
        <f t="shared" si="59"/>
        <v>5.6798639315796553E-4</v>
      </c>
    </row>
    <row r="926" spans="9:15">
      <c r="I926" s="178">
        <f>Prices!A926</f>
        <v>42949</v>
      </c>
      <c r="J926" s="3">
        <f>Prices!E926</f>
        <v>21.17</v>
      </c>
      <c r="K926" s="99">
        <f t="shared" si="56"/>
        <v>-5.636495742766685E-3</v>
      </c>
      <c r="L926" s="99">
        <f t="shared" si="57"/>
        <v>-1.5120651117806413E-3</v>
      </c>
      <c r="M926" s="3">
        <f>Prices!M926</f>
        <v>22.67</v>
      </c>
      <c r="N926" s="99">
        <f t="shared" si="58"/>
        <v>3.9858281665191946E-3</v>
      </c>
      <c r="O926" s="99">
        <f t="shared" si="59"/>
        <v>7.201649930282971E-4</v>
      </c>
    </row>
    <row r="927" spans="9:15">
      <c r="I927" s="178">
        <f>Prices!A927</f>
        <v>42950</v>
      </c>
      <c r="J927" s="3">
        <f>Prices!E927</f>
        <v>21.290001</v>
      </c>
      <c r="K927" s="99">
        <f t="shared" si="56"/>
        <v>-1.0687685873605921E-2</v>
      </c>
      <c r="L927" s="99">
        <f t="shared" si="57"/>
        <v>-1.5933814792886466E-3</v>
      </c>
      <c r="M927" s="3">
        <f>Prices!M927</f>
        <v>22.58</v>
      </c>
      <c r="N927" s="99">
        <f t="shared" si="58"/>
        <v>-4.8479944976644327E-3</v>
      </c>
      <c r="O927" s="99">
        <f t="shared" si="59"/>
        <v>5.2087358470233737E-4</v>
      </c>
    </row>
    <row r="928" spans="9:15">
      <c r="I928" s="178">
        <f>Prices!A928</f>
        <v>42951</v>
      </c>
      <c r="J928" s="3">
        <f>Prices!E928</f>
        <v>21.52</v>
      </c>
      <c r="K928" s="99">
        <f t="shared" si="56"/>
        <v>9.3023255813951509E-4</v>
      </c>
      <c r="L928" s="99">
        <f t="shared" si="57"/>
        <v>-1.6362801919749328E-5</v>
      </c>
      <c r="M928" s="3">
        <f>Prices!M928</f>
        <v>22.690000999999999</v>
      </c>
      <c r="N928" s="99">
        <f t="shared" si="58"/>
        <v>4.4096119929449022E-4</v>
      </c>
      <c r="O928" s="99">
        <f t="shared" si="59"/>
        <v>1.1919736705963923E-3</v>
      </c>
    </row>
    <row r="929" spans="9:15">
      <c r="I929" s="178">
        <f>Prices!A929</f>
        <v>42955</v>
      </c>
      <c r="J929" s="3">
        <f>Prices!E929</f>
        <v>21.5</v>
      </c>
      <c r="K929" s="99">
        <f t="shared" si="56"/>
        <v>1.8639795835964474E-3</v>
      </c>
      <c r="L929" s="99">
        <f t="shared" si="57"/>
        <v>-8.6086804587779948E-4</v>
      </c>
      <c r="M929" s="3">
        <f>Prices!M929</f>
        <v>22.68</v>
      </c>
      <c r="N929" s="99">
        <f t="shared" si="58"/>
        <v>2.2095007604727769E-3</v>
      </c>
      <c r="O929" s="99">
        <f t="shared" si="59"/>
        <v>1.2603392593471484E-3</v>
      </c>
    </row>
    <row r="930" spans="9:15">
      <c r="I930" s="178">
        <f>Prices!A930</f>
        <v>42956</v>
      </c>
      <c r="J930" s="3">
        <f>Prices!E930</f>
        <v>21.459999</v>
      </c>
      <c r="K930" s="99">
        <f t="shared" si="56"/>
        <v>1.7061563981042579E-2</v>
      </c>
      <c r="L930" s="99">
        <f t="shared" si="57"/>
        <v>-1.2487157238177662E-3</v>
      </c>
      <c r="M930" s="3">
        <f>Prices!M930</f>
        <v>22.629999000000002</v>
      </c>
      <c r="N930" s="99">
        <f t="shared" si="58"/>
        <v>1.0267812500000133E-2</v>
      </c>
      <c r="O930" s="99">
        <f t="shared" si="59"/>
        <v>1.2631424270326129E-3</v>
      </c>
    </row>
    <row r="931" spans="9:15">
      <c r="I931" s="178">
        <f>Prices!A931</f>
        <v>42957</v>
      </c>
      <c r="J931" s="3">
        <f>Prices!E931</f>
        <v>21.1</v>
      </c>
      <c r="K931" s="99">
        <f t="shared" si="56"/>
        <v>-4.7170280793854156E-3</v>
      </c>
      <c r="L931" s="99">
        <f t="shared" si="57"/>
        <v>-2.1697002153099102E-3</v>
      </c>
      <c r="M931" s="3">
        <f>Prices!M931</f>
        <v>22.4</v>
      </c>
      <c r="N931" s="99">
        <f t="shared" si="58"/>
        <v>2.6857654431512411E-3</v>
      </c>
      <c r="O931" s="99">
        <f t="shared" si="59"/>
        <v>7.9510554558606531E-4</v>
      </c>
    </row>
    <row r="932" spans="9:15">
      <c r="I932" s="178">
        <f>Prices!A932</f>
        <v>42958</v>
      </c>
      <c r="J932" s="3">
        <f>Prices!E932</f>
        <v>21.200001</v>
      </c>
      <c r="K932" s="99">
        <f t="shared" si="56"/>
        <v>2.8128029673713494E-2</v>
      </c>
      <c r="L932" s="99">
        <f t="shared" si="57"/>
        <v>-3.0837846295655052E-3</v>
      </c>
      <c r="M932" s="3">
        <f>Prices!M932</f>
        <v>22.34</v>
      </c>
      <c r="N932" s="99">
        <f t="shared" si="58"/>
        <v>-7.9928952042628652E-3</v>
      </c>
      <c r="O932" s="99">
        <f t="shared" si="59"/>
        <v>4.3508138178065031E-4</v>
      </c>
    </row>
    <row r="933" spans="9:15">
      <c r="I933" s="178">
        <f>Prices!A933</f>
        <v>42961</v>
      </c>
      <c r="J933" s="3">
        <f>Prices!E933</f>
        <v>20.620000999999998</v>
      </c>
      <c r="K933" s="99">
        <f t="shared" si="56"/>
        <v>-1.4527360774818456E-3</v>
      </c>
      <c r="L933" s="99">
        <f t="shared" si="57"/>
        <v>-4.4901861132511786E-3</v>
      </c>
      <c r="M933" s="3">
        <f>Prices!M933</f>
        <v>22.52</v>
      </c>
      <c r="N933" s="99">
        <f t="shared" si="58"/>
        <v>2.2252337438910513E-3</v>
      </c>
      <c r="O933" s="99">
        <f t="shared" si="59"/>
        <v>5.2068174154715002E-4</v>
      </c>
    </row>
    <row r="934" spans="9:15">
      <c r="I934" s="178">
        <f>Prices!A934</f>
        <v>42962</v>
      </c>
      <c r="J934" s="3">
        <f>Prices!E934</f>
        <v>20.65</v>
      </c>
      <c r="K934" s="99">
        <f t="shared" si="56"/>
        <v>-2.3178761739771177E-2</v>
      </c>
      <c r="L934" s="99">
        <f t="shared" si="57"/>
        <v>-4.4617340218907741E-3</v>
      </c>
      <c r="M934" s="3">
        <f>Prices!M934</f>
        <v>22.469999000000001</v>
      </c>
      <c r="N934" s="99">
        <f t="shared" si="58"/>
        <v>1.7832813196612426E-3</v>
      </c>
      <c r="O934" s="99">
        <f t="shared" si="59"/>
        <v>4.7680774527802136E-4</v>
      </c>
    </row>
    <row r="935" spans="9:15">
      <c r="I935" s="178">
        <f>Prices!A935</f>
        <v>42963</v>
      </c>
      <c r="J935" s="3">
        <f>Prices!E935</f>
        <v>21.139999</v>
      </c>
      <c r="K935" s="99">
        <f t="shared" si="56"/>
        <v>2.9712516818679209E-2</v>
      </c>
      <c r="L935" s="99">
        <f t="shared" si="57"/>
        <v>-3.7190996158838092E-3</v>
      </c>
      <c r="M935" s="3">
        <f>Prices!M935</f>
        <v>22.43</v>
      </c>
      <c r="N935" s="99">
        <f t="shared" si="58"/>
        <v>4.0286481647269405E-3</v>
      </c>
      <c r="O935" s="99">
        <f t="shared" si="59"/>
        <v>1.417764573846945E-4</v>
      </c>
    </row>
    <row r="936" spans="9:15">
      <c r="I936" s="178">
        <f>Prices!A936</f>
        <v>42964</v>
      </c>
      <c r="J936" s="3">
        <f>Prices!E936</f>
        <v>20.530000999999999</v>
      </c>
      <c r="K936" s="99">
        <f t="shared" si="56"/>
        <v>-4.8472130318572924E-3</v>
      </c>
      <c r="L936" s="99">
        <f t="shared" si="57"/>
        <v>-4.7403314039382487E-3</v>
      </c>
      <c r="M936" s="3">
        <f>Prices!M936</f>
        <v>22.34</v>
      </c>
      <c r="N936" s="99">
        <f t="shared" si="58"/>
        <v>5.4005853015564251E-3</v>
      </c>
      <c r="O936" s="99">
        <f t="shared" si="59"/>
        <v>-3.7294592281055884E-5</v>
      </c>
    </row>
    <row r="937" spans="9:15">
      <c r="I937" s="178">
        <f>Prices!A937</f>
        <v>42965</v>
      </c>
      <c r="J937" s="3">
        <f>Prices!E937</f>
        <v>20.629999000000002</v>
      </c>
      <c r="K937" s="99">
        <f t="shared" si="56"/>
        <v>1.1274460784313871E-2</v>
      </c>
      <c r="L937" s="99">
        <f t="shared" si="57"/>
        <v>-4.5862687655904132E-3</v>
      </c>
      <c r="M937" s="3">
        <f>Prices!M937</f>
        <v>22.219999000000001</v>
      </c>
      <c r="N937" s="99">
        <f t="shared" si="58"/>
        <v>0</v>
      </c>
      <c r="O937" s="99">
        <f t="shared" si="59"/>
        <v>-5.7422554775033612E-4</v>
      </c>
    </row>
    <row r="938" spans="9:15">
      <c r="I938" s="178">
        <f>Prices!A938</f>
        <v>42968</v>
      </c>
      <c r="J938" s="3">
        <f>Prices!E938</f>
        <v>20.399999999999999</v>
      </c>
      <c r="K938" s="99">
        <f t="shared" si="56"/>
        <v>-2.6717510816675193E-2</v>
      </c>
      <c r="L938" s="99">
        <f t="shared" si="57"/>
        <v>-6.1452340810829488E-3</v>
      </c>
      <c r="M938" s="3">
        <f>Prices!M938</f>
        <v>22.219999000000001</v>
      </c>
      <c r="N938" s="99">
        <f t="shared" si="58"/>
        <v>-2.2452177817691146E-3</v>
      </c>
      <c r="O938" s="99">
        <f t="shared" si="59"/>
        <v>-7.7360525532676474E-4</v>
      </c>
    </row>
    <row r="939" spans="9:15">
      <c r="I939" s="178">
        <f>Prices!A939</f>
        <v>42969</v>
      </c>
      <c r="J939" s="3">
        <f>Prices!E939</f>
        <v>20.959999</v>
      </c>
      <c r="K939" s="99">
        <f t="shared" si="56"/>
        <v>-1.5500328064803771E-2</v>
      </c>
      <c r="L939" s="99">
        <f t="shared" si="57"/>
        <v>-5.4922415961604146E-3</v>
      </c>
      <c r="M939" s="3">
        <f>Prices!M939</f>
        <v>22.27</v>
      </c>
      <c r="N939" s="99">
        <f t="shared" si="58"/>
        <v>-5.3594910834966975E-3</v>
      </c>
      <c r="O939" s="99">
        <f t="shared" si="59"/>
        <v>-9.6957643617366987E-4</v>
      </c>
    </row>
    <row r="940" spans="9:15">
      <c r="I940" s="178">
        <f>Prices!A940</f>
        <v>42970</v>
      </c>
      <c r="J940" s="3">
        <f>Prices!E940</f>
        <v>21.290001</v>
      </c>
      <c r="K940" s="99">
        <f t="shared" si="56"/>
        <v>-2.342970946579179E-3</v>
      </c>
      <c r="L940" s="99">
        <f t="shared" si="57"/>
        <v>-5.3701316798620922E-3</v>
      </c>
      <c r="M940" s="3">
        <f>Prices!M940</f>
        <v>22.389999</v>
      </c>
      <c r="N940" s="99">
        <f t="shared" si="58"/>
        <v>6.7445593525180354E-3</v>
      </c>
      <c r="O940" s="99">
        <f t="shared" si="59"/>
        <v>-9.6441616145568677E-4</v>
      </c>
    </row>
    <row r="941" spans="9:15">
      <c r="I941" s="178">
        <f>Prices!A941</f>
        <v>42971</v>
      </c>
      <c r="J941" s="3">
        <f>Prices!E941</f>
        <v>21.34</v>
      </c>
      <c r="K941" s="99">
        <f t="shared" si="56"/>
        <v>-2.3374942654274871E-3</v>
      </c>
      <c r="L941" s="99">
        <f t="shared" si="57"/>
        <v>-5.2740357641120842E-3</v>
      </c>
      <c r="M941" s="3">
        <f>Prices!M941</f>
        <v>22.24</v>
      </c>
      <c r="N941" s="99">
        <f t="shared" si="58"/>
        <v>1.8017566755964614E-3</v>
      </c>
      <c r="O941" s="99">
        <f t="shared" si="59"/>
        <v>-1.2578015142704325E-3</v>
      </c>
    </row>
    <row r="942" spans="9:15">
      <c r="I942" s="178">
        <f>Prices!A942</f>
        <v>42972</v>
      </c>
      <c r="J942" s="3">
        <f>Prices!E942</f>
        <v>21.389999</v>
      </c>
      <c r="K942" s="99">
        <f t="shared" si="56"/>
        <v>6.5881882352940959E-3</v>
      </c>
      <c r="L942" s="99">
        <f t="shared" si="57"/>
        <v>-4.0818922336364081E-3</v>
      </c>
      <c r="M942" s="3">
        <f>Prices!M942</f>
        <v>22.200001</v>
      </c>
      <c r="N942" s="99">
        <f t="shared" si="58"/>
        <v>0</v>
      </c>
      <c r="O942" s="99">
        <f t="shared" si="59"/>
        <v>-1.566136838229214E-3</v>
      </c>
    </row>
    <row r="943" spans="9:15">
      <c r="I943" s="178">
        <f>Prices!A943</f>
        <v>42975</v>
      </c>
      <c r="J943" s="3">
        <f>Prices!E943</f>
        <v>21.25</v>
      </c>
      <c r="K943" s="99">
        <f t="shared" si="56"/>
        <v>-2.5229313083913431E-2</v>
      </c>
      <c r="L943" s="99">
        <f t="shared" si="57"/>
        <v>-4.3035451845285485E-3</v>
      </c>
      <c r="M943" s="3">
        <f>Prices!M943</f>
        <v>22.200001</v>
      </c>
      <c r="N943" s="99">
        <f t="shared" si="58"/>
        <v>-9.0000004050410037E-4</v>
      </c>
      <c r="O943" s="99">
        <f t="shared" si="59"/>
        <v>-1.3909287786584698E-3</v>
      </c>
    </row>
    <row r="944" spans="9:15">
      <c r="I944" s="178">
        <f>Prices!A944</f>
        <v>42976</v>
      </c>
      <c r="J944" s="3">
        <f>Prices!E944</f>
        <v>21.799999</v>
      </c>
      <c r="K944" s="99">
        <f t="shared" si="56"/>
        <v>5.5350092250922491E-3</v>
      </c>
      <c r="L944" s="99">
        <f t="shared" si="57"/>
        <v>-3.6172776801069785E-3</v>
      </c>
      <c r="M944" s="3">
        <f>Prices!M944</f>
        <v>22.219999000000001</v>
      </c>
      <c r="N944" s="99">
        <f t="shared" si="58"/>
        <v>-2.6930878503998823E-3</v>
      </c>
      <c r="O944" s="99">
        <f t="shared" si="59"/>
        <v>-1.9089430685345244E-3</v>
      </c>
    </row>
    <row r="945" spans="9:15">
      <c r="I945" s="178">
        <f>Prices!A945</f>
        <v>42977</v>
      </c>
      <c r="J945" s="3">
        <f>Prices!E945</f>
        <v>21.68</v>
      </c>
      <c r="K945" s="99">
        <f t="shared" si="56"/>
        <v>-8.6877453732168899E-3</v>
      </c>
      <c r="L945" s="99">
        <f t="shared" si="57"/>
        <v>-3.9366015768660546E-3</v>
      </c>
      <c r="M945" s="3">
        <f>Prices!M945</f>
        <v>22.280000999999999</v>
      </c>
      <c r="N945" s="99">
        <f t="shared" si="58"/>
        <v>-3.1319463087249575E-3</v>
      </c>
      <c r="O945" s="99">
        <f t="shared" si="59"/>
        <v>-1.8175621488283147E-3</v>
      </c>
    </row>
    <row r="946" spans="9:15">
      <c r="I946" s="178">
        <f>Prices!A946</f>
        <v>42978</v>
      </c>
      <c r="J946" s="3">
        <f>Prices!E946</f>
        <v>21.870000999999998</v>
      </c>
      <c r="K946" s="99">
        <f t="shared" si="56"/>
        <v>-7.2628230929267842E-3</v>
      </c>
      <c r="L946" s="99">
        <f t="shared" si="57"/>
        <v>-3.395561155758673E-3</v>
      </c>
      <c r="M946" s="3">
        <f>Prices!M946</f>
        <v>22.35</v>
      </c>
      <c r="N946" s="99">
        <f t="shared" si="58"/>
        <v>0</v>
      </c>
      <c r="O946" s="99">
        <f t="shared" si="59"/>
        <v>-1.7473557621177644E-3</v>
      </c>
    </row>
    <row r="947" spans="9:15">
      <c r="I947" s="178">
        <f>Prices!A947</f>
        <v>42979</v>
      </c>
      <c r="J947" s="3">
        <f>Prices!E947</f>
        <v>22.030000999999999</v>
      </c>
      <c r="K947" s="99">
        <f t="shared" si="56"/>
        <v>2.0852687673772026E-2</v>
      </c>
      <c r="L947" s="99">
        <f t="shared" si="57"/>
        <v>-3.5182649525276341E-3</v>
      </c>
      <c r="M947" s="3">
        <f>Prices!M947</f>
        <v>22.35</v>
      </c>
      <c r="N947" s="99">
        <f t="shared" si="58"/>
        <v>8.5740072202166642E-3</v>
      </c>
      <c r="O947" s="99">
        <f t="shared" si="59"/>
        <v>-2.005198478061041E-3</v>
      </c>
    </row>
    <row r="948" spans="9:15">
      <c r="I948" s="178">
        <f>Prices!A948</f>
        <v>42983</v>
      </c>
      <c r="J948" s="3">
        <f>Prices!E948</f>
        <v>21.58</v>
      </c>
      <c r="K948" s="99">
        <f t="shared" si="56"/>
        <v>-1.5959872321021498E-2</v>
      </c>
      <c r="L948" s="99">
        <f t="shared" si="57"/>
        <v>-4.9382578267822734E-3</v>
      </c>
      <c r="M948" s="3">
        <f>Prices!M948</f>
        <v>22.16</v>
      </c>
      <c r="N948" s="99">
        <f t="shared" si="58"/>
        <v>1.8082729743096157E-3</v>
      </c>
      <c r="O948" s="99">
        <f t="shared" si="59"/>
        <v>-2.5411029557099547E-3</v>
      </c>
    </row>
    <row r="949" spans="9:15">
      <c r="I949" s="178">
        <f>Prices!A949</f>
        <v>42984</v>
      </c>
      <c r="J949" s="3">
        <f>Prices!E949</f>
        <v>21.93</v>
      </c>
      <c r="K949" s="99">
        <f t="shared" si="56"/>
        <v>-5.8929739752028787E-3</v>
      </c>
      <c r="L949" s="99">
        <f t="shared" si="57"/>
        <v>-3.9085877153647221E-3</v>
      </c>
      <c r="M949" s="3">
        <f>Prices!M949</f>
        <v>22.120000999999998</v>
      </c>
      <c r="N949" s="99">
        <f t="shared" si="58"/>
        <v>2.2655641141820656E-3</v>
      </c>
      <c r="O949" s="99">
        <f t="shared" si="59"/>
        <v>-2.631516604425435E-3</v>
      </c>
    </row>
    <row r="950" spans="9:15">
      <c r="I950" s="178">
        <f>Prices!A950</f>
        <v>42985</v>
      </c>
      <c r="J950" s="3">
        <f>Prices!E950</f>
        <v>22.059999000000001</v>
      </c>
      <c r="K950" s="99">
        <f t="shared" si="56"/>
        <v>-1.3581258488002993E-3</v>
      </c>
      <c r="L950" s="99">
        <f t="shared" si="57"/>
        <v>-4.1349894542869452E-3</v>
      </c>
      <c r="M950" s="3">
        <f>Prices!M950</f>
        <v>22.07</v>
      </c>
      <c r="N950" s="99">
        <f t="shared" si="58"/>
        <v>9.070748710691824E-4</v>
      </c>
      <c r="O950" s="99">
        <f t="shared" si="59"/>
        <v>-2.8944292757024925E-3</v>
      </c>
    </row>
    <row r="951" spans="9:15">
      <c r="I951" s="178">
        <f>Prices!A951</f>
        <v>42986</v>
      </c>
      <c r="J951" s="3">
        <f>Prices!E951</f>
        <v>22.09</v>
      </c>
      <c r="K951" s="99">
        <f t="shared" si="56"/>
        <v>-2.2998716364497313E-2</v>
      </c>
      <c r="L951" s="99">
        <f t="shared" si="57"/>
        <v>-4.5009695075541086E-3</v>
      </c>
      <c r="M951" s="3">
        <f>Prices!M951</f>
        <v>22.049999</v>
      </c>
      <c r="N951" s="99">
        <f t="shared" si="58"/>
        <v>-4.5147178329570607E-3</v>
      </c>
      <c r="O951" s="99">
        <f t="shared" si="59"/>
        <v>-2.7681828402941278E-3</v>
      </c>
    </row>
    <row r="952" spans="9:15">
      <c r="I952" s="178">
        <f>Prices!A952</f>
        <v>42989</v>
      </c>
      <c r="J952" s="3">
        <f>Prices!E952</f>
        <v>22.610001</v>
      </c>
      <c r="K952" s="99">
        <f t="shared" si="56"/>
        <v>0</v>
      </c>
      <c r="L952" s="99">
        <f t="shared" si="57"/>
        <v>-4.8540396411125728E-3</v>
      </c>
      <c r="M952" s="3">
        <f>Prices!M952</f>
        <v>22.15</v>
      </c>
      <c r="N952" s="99">
        <f t="shared" si="58"/>
        <v>-6.2808880089328658E-3</v>
      </c>
      <c r="O952" s="99">
        <f t="shared" si="59"/>
        <v>-2.7134602094848036E-3</v>
      </c>
    </row>
    <row r="953" spans="9:15">
      <c r="I953" s="178">
        <f>Prices!A953</f>
        <v>42990</v>
      </c>
      <c r="J953" s="3">
        <f>Prices!E953</f>
        <v>22.610001</v>
      </c>
      <c r="K953" s="99">
        <f t="shared" si="56"/>
        <v>-8.8369425027376577E-4</v>
      </c>
      <c r="L953" s="99">
        <f t="shared" si="57"/>
        <v>-4.7536360266547378E-3</v>
      </c>
      <c r="M953" s="3">
        <f>Prices!M953</f>
        <v>22.290001</v>
      </c>
      <c r="N953" s="99">
        <f t="shared" si="58"/>
        <v>1.347753818508473E-3</v>
      </c>
      <c r="O953" s="99">
        <f t="shared" si="59"/>
        <v>-2.4847785917953098E-3</v>
      </c>
    </row>
    <row r="954" spans="9:15">
      <c r="I954" s="178">
        <f>Prices!A954</f>
        <v>42991</v>
      </c>
      <c r="J954" s="3">
        <f>Prices!E954</f>
        <v>22.629999000000002</v>
      </c>
      <c r="K954" s="99">
        <f t="shared" si="56"/>
        <v>-8.3260736196318474E-3</v>
      </c>
      <c r="L954" s="99">
        <f t="shared" si="57"/>
        <v>-3.7892079979955861E-3</v>
      </c>
      <c r="M954" s="3">
        <f>Prices!M954</f>
        <v>22.26</v>
      </c>
      <c r="N954" s="99">
        <f t="shared" si="58"/>
        <v>-4.9173444382052964E-3</v>
      </c>
      <c r="O954" s="99">
        <f t="shared" si="59"/>
        <v>-2.4023396624222168E-3</v>
      </c>
    </row>
    <row r="955" spans="9:15">
      <c r="I955" s="178">
        <f>Prices!A955</f>
        <v>42992</v>
      </c>
      <c r="J955" s="3">
        <f>Prices!E955</f>
        <v>22.82</v>
      </c>
      <c r="K955" s="99">
        <f t="shared" si="56"/>
        <v>9.2878810575903921E-3</v>
      </c>
      <c r="L955" s="99">
        <f t="shared" si="57"/>
        <v>-3.1881752605578801E-3</v>
      </c>
      <c r="M955" s="3">
        <f>Prices!M955</f>
        <v>22.370000999999998</v>
      </c>
      <c r="N955" s="99">
        <f t="shared" si="58"/>
        <v>4.4722717141193377E-4</v>
      </c>
      <c r="O955" s="99">
        <f t="shared" si="59"/>
        <v>-2.3483700869129051E-3</v>
      </c>
    </row>
    <row r="956" spans="9:15">
      <c r="I956" s="178">
        <f>Prices!A956</f>
        <v>42993</v>
      </c>
      <c r="J956" s="3">
        <f>Prices!E956</f>
        <v>22.610001</v>
      </c>
      <c r="K956" s="99">
        <f t="shared" si="56"/>
        <v>-1.7659602649005793E-3</v>
      </c>
      <c r="L956" s="99">
        <f t="shared" si="57"/>
        <v>-2.9870119367966901E-3</v>
      </c>
      <c r="M956" s="3">
        <f>Prices!M956</f>
        <v>22.360001</v>
      </c>
      <c r="N956" s="99">
        <f t="shared" si="58"/>
        <v>-5.3380338078291801E-3</v>
      </c>
      <c r="O956" s="99">
        <f t="shared" si="59"/>
        <v>-2.3707314454835017E-3</v>
      </c>
    </row>
    <row r="957" spans="9:15">
      <c r="I957" s="178">
        <f>Prices!A957</f>
        <v>42996</v>
      </c>
      <c r="J957" s="3">
        <f>Prices!E957</f>
        <v>22.65</v>
      </c>
      <c r="K957" s="99">
        <f t="shared" si="56"/>
        <v>-1.9904845525536837E-2</v>
      </c>
      <c r="L957" s="99">
        <f t="shared" si="57"/>
        <v>-3.4133289702945576E-3</v>
      </c>
      <c r="M957" s="3">
        <f>Prices!M957</f>
        <v>22.48</v>
      </c>
      <c r="N957" s="99">
        <f t="shared" si="58"/>
        <v>-3.9875941515285715E-3</v>
      </c>
      <c r="O957" s="99">
        <f t="shared" si="59"/>
        <v>-2.1889702404049374E-3</v>
      </c>
    </row>
    <row r="958" spans="9:15">
      <c r="I958" s="178">
        <f>Prices!A958</f>
        <v>42997</v>
      </c>
      <c r="J958" s="3">
        <f>Prices!E958</f>
        <v>23.110001</v>
      </c>
      <c r="K958" s="99">
        <f t="shared" si="56"/>
        <v>-1.3657661118224466E-2</v>
      </c>
      <c r="L958" s="99">
        <f t="shared" si="57"/>
        <v>-2.1490448893819536E-3</v>
      </c>
      <c r="M958" s="3">
        <f>Prices!M958</f>
        <v>22.57</v>
      </c>
      <c r="N958" s="99">
        <f t="shared" si="58"/>
        <v>-6.1646413987072185E-3</v>
      </c>
      <c r="O958" s="99">
        <f t="shared" si="59"/>
        <v>-1.9043048221797163E-3</v>
      </c>
    </row>
    <row r="959" spans="9:15">
      <c r="I959" s="178">
        <f>Prices!A959</f>
        <v>42998</v>
      </c>
      <c r="J959" s="3">
        <f>Prices!E959</f>
        <v>23.43</v>
      </c>
      <c r="K959" s="99">
        <f t="shared" si="56"/>
        <v>-1.3058129738837352E-2</v>
      </c>
      <c r="L959" s="99">
        <f t="shared" si="57"/>
        <v>-1.486848635291173E-3</v>
      </c>
      <c r="M959" s="3">
        <f>Prices!M959</f>
        <v>22.709999</v>
      </c>
      <c r="N959" s="99">
        <f t="shared" si="58"/>
        <v>-5.2562855891370337E-3</v>
      </c>
      <c r="O959" s="99">
        <f t="shared" si="59"/>
        <v>-1.7236758998411255E-3</v>
      </c>
    </row>
    <row r="960" spans="9:15">
      <c r="I960" s="178">
        <f>Prices!A960</f>
        <v>42999</v>
      </c>
      <c r="J960" s="3">
        <f>Prices!E960</f>
        <v>23.74</v>
      </c>
      <c r="K960" s="99">
        <f t="shared" si="56"/>
        <v>-4.210526315790132E-4</v>
      </c>
      <c r="L960" s="99">
        <f t="shared" si="57"/>
        <v>-7.7180254345536484E-4</v>
      </c>
      <c r="M960" s="3">
        <f>Prices!M960</f>
        <v>22.83</v>
      </c>
      <c r="N960" s="99">
        <f t="shared" si="58"/>
        <v>8.7685229622311896E-4</v>
      </c>
      <c r="O960" s="99">
        <f t="shared" si="59"/>
        <v>-1.6092924940059807E-3</v>
      </c>
    </row>
    <row r="961" spans="9:15">
      <c r="I961" s="178">
        <f>Prices!A961</f>
        <v>43000</v>
      </c>
      <c r="J961" s="3">
        <f>Prices!E961</f>
        <v>23.75</v>
      </c>
      <c r="K961" s="99">
        <f t="shared" si="56"/>
        <v>2.1505376344086023E-2</v>
      </c>
      <c r="L961" s="99">
        <f t="shared" si="57"/>
        <v>-3.6942216467692004E-3</v>
      </c>
      <c r="M961" s="3">
        <f>Prices!M961</f>
        <v>22.809999000000001</v>
      </c>
      <c r="N961" s="99">
        <f t="shared" si="58"/>
        <v>-4.3649498035791745E-3</v>
      </c>
      <c r="O961" s="99">
        <f t="shared" si="59"/>
        <v>-1.6531351088171363E-3</v>
      </c>
    </row>
    <row r="962" spans="9:15">
      <c r="I962" s="178">
        <f>Prices!A962</f>
        <v>43003</v>
      </c>
      <c r="J962" s="3">
        <f>Prices!E962</f>
        <v>23.25</v>
      </c>
      <c r="K962" s="99">
        <f t="shared" si="56"/>
        <v>2.155129217451313E-3</v>
      </c>
      <c r="L962" s="99">
        <f t="shared" si="57"/>
        <v>-4.8473437112349551E-3</v>
      </c>
      <c r="M962" s="3">
        <f>Prices!M962</f>
        <v>22.91</v>
      </c>
      <c r="N962" s="99">
        <f t="shared" si="58"/>
        <v>3.5041611914148861E-3</v>
      </c>
      <c r="O962" s="99">
        <f t="shared" si="59"/>
        <v>-1.6039493261614276E-3</v>
      </c>
    </row>
    <row r="963" spans="9:15">
      <c r="I963" s="178">
        <f>Prices!A963</f>
        <v>43004</v>
      </c>
      <c r="J963" s="3">
        <f>Prices!E963</f>
        <v>23.200001</v>
      </c>
      <c r="K963" s="99">
        <f t="shared" si="56"/>
        <v>-1.1503962995482064E-2</v>
      </c>
      <c r="L963" s="99">
        <f t="shared" si="57"/>
        <v>-4.8184881555818383E-3</v>
      </c>
      <c r="M963" s="3">
        <f>Prices!M963</f>
        <v>22.83</v>
      </c>
      <c r="N963" s="99">
        <f t="shared" si="58"/>
        <v>-1.1260285838025188E-2</v>
      </c>
      <c r="O963" s="99">
        <f t="shared" si="59"/>
        <v>-1.7156766382298155E-3</v>
      </c>
    </row>
    <row r="964" spans="9:15">
      <c r="I964" s="178">
        <f>Prices!A964</f>
        <v>43005</v>
      </c>
      <c r="J964" s="3">
        <f>Prices!E964</f>
        <v>23.469999000000001</v>
      </c>
      <c r="K964" s="99">
        <f t="shared" si="56"/>
        <v>-8.5146871008927414E-4</v>
      </c>
      <c r="L964" s="99">
        <f t="shared" si="57"/>
        <v>-4.2042255526827405E-3</v>
      </c>
      <c r="M964" s="3">
        <f>Prices!M964</f>
        <v>23.09</v>
      </c>
      <c r="N964" s="99">
        <f t="shared" si="58"/>
        <v>-8.6546945627568781E-4</v>
      </c>
      <c r="O964" s="99">
        <f t="shared" si="59"/>
        <v>-1.2793022734437919E-3</v>
      </c>
    </row>
    <row r="965" spans="9:15">
      <c r="I965" s="178">
        <f>Prices!A965</f>
        <v>43006</v>
      </c>
      <c r="J965" s="3">
        <f>Prices!E965</f>
        <v>23.49</v>
      </c>
      <c r="K965" s="99">
        <f t="shared" si="56"/>
        <v>2.1330630489307437E-3</v>
      </c>
      <c r="L965" s="99">
        <f t="shared" si="57"/>
        <v>-3.368003339148465E-3</v>
      </c>
      <c r="M965" s="3">
        <f>Prices!M965</f>
        <v>23.110001</v>
      </c>
      <c r="N965" s="99">
        <f t="shared" si="58"/>
        <v>-1.7278185745139578E-3</v>
      </c>
      <c r="O965" s="99">
        <f t="shared" si="59"/>
        <v>-1.3833330935593062E-3</v>
      </c>
    </row>
    <row r="966" spans="9:15">
      <c r="I966" s="178">
        <f>Prices!A966</f>
        <v>43007</v>
      </c>
      <c r="J966" s="3">
        <f>Prices!E966</f>
        <v>23.440000999999999</v>
      </c>
      <c r="K966" s="99">
        <f t="shared" si="56"/>
        <v>-9.7168990283059958E-3</v>
      </c>
      <c r="L966" s="99">
        <f t="shared" si="57"/>
        <v>-3.8292624945345639E-3</v>
      </c>
      <c r="M966" s="3">
        <f>Prices!M966</f>
        <v>23.15</v>
      </c>
      <c r="N966" s="99">
        <f t="shared" si="58"/>
        <v>-5.1568543188655353E-3</v>
      </c>
      <c r="O966" s="99">
        <f t="shared" si="59"/>
        <v>-1.4228867492164774E-3</v>
      </c>
    </row>
    <row r="967" spans="9:15">
      <c r="I967" s="178">
        <f>Prices!A967</f>
        <v>43010</v>
      </c>
      <c r="J967" s="3">
        <f>Prices!E967</f>
        <v>23.67</v>
      </c>
      <c r="K967" s="99">
        <f t="shared" ref="K967:K1030" si="60">(J967-J968)/J968</f>
        <v>-7.5471698113207426E-3</v>
      </c>
      <c r="L967" s="99">
        <f t="shared" ref="L967:L1030" si="61">AVERAGE(K967:K986)</f>
        <v>-3.88901575044584E-3</v>
      </c>
      <c r="M967" s="3">
        <f>Prices!M967</f>
        <v>23.27</v>
      </c>
      <c r="N967" s="99">
        <f t="shared" ref="N967:N1030" si="62">(M967-M968)/M968</f>
        <v>-2.1440823327616085E-3</v>
      </c>
      <c r="O967" s="99">
        <f t="shared" ref="O967:O1030" si="63">AVERAGE(N967:N986)</f>
        <v>-1.2697800992666586E-3</v>
      </c>
    </row>
    <row r="968" spans="9:15">
      <c r="I968" s="178">
        <f>Prices!A968</f>
        <v>43011</v>
      </c>
      <c r="J968" s="3">
        <f>Prices!E968</f>
        <v>23.85</v>
      </c>
      <c r="K968" s="99">
        <f t="shared" si="60"/>
        <v>4.6335299073295283E-3</v>
      </c>
      <c r="L968" s="99">
        <f t="shared" si="61"/>
        <v>-3.4726537482181971E-3</v>
      </c>
      <c r="M968" s="3">
        <f>Prices!M968</f>
        <v>23.32</v>
      </c>
      <c r="N968" s="99">
        <f t="shared" si="62"/>
        <v>0</v>
      </c>
      <c r="O968" s="99">
        <f t="shared" si="63"/>
        <v>-1.1206451650185214E-3</v>
      </c>
    </row>
    <row r="969" spans="9:15">
      <c r="I969" s="178">
        <f>Prices!A969</f>
        <v>43012</v>
      </c>
      <c r="J969" s="3">
        <f>Prices!E969</f>
        <v>23.74</v>
      </c>
      <c r="K969" s="99">
        <f t="shared" si="60"/>
        <v>-1.0421008753647354E-2</v>
      </c>
      <c r="L969" s="99">
        <f t="shared" si="61"/>
        <v>-4.1488644359103698E-3</v>
      </c>
      <c r="M969" s="3">
        <f>Prices!M969</f>
        <v>23.32</v>
      </c>
      <c r="N969" s="99">
        <f t="shared" si="62"/>
        <v>-2.9926893113590668E-3</v>
      </c>
      <c r="O969" s="99">
        <f t="shared" si="63"/>
        <v>-1.0786812539820062E-3</v>
      </c>
    </row>
    <row r="970" spans="9:15">
      <c r="I970" s="178">
        <f>Prices!A970</f>
        <v>43013</v>
      </c>
      <c r="J970" s="3">
        <f>Prices!E970</f>
        <v>23.99</v>
      </c>
      <c r="K970" s="99">
        <f t="shared" si="60"/>
        <v>-8.6777269141435943E-3</v>
      </c>
      <c r="L970" s="99">
        <f t="shared" si="61"/>
        <v>-3.4532600872331969E-3</v>
      </c>
      <c r="M970" s="3">
        <f>Prices!M970</f>
        <v>23.389999</v>
      </c>
      <c r="N970" s="99">
        <f t="shared" si="62"/>
        <v>3.4320035792364595E-3</v>
      </c>
      <c r="O970" s="99">
        <f t="shared" si="63"/>
        <v>-9.7097550958806359E-4</v>
      </c>
    </row>
    <row r="971" spans="9:15">
      <c r="I971" s="178">
        <f>Prices!A971</f>
        <v>43014</v>
      </c>
      <c r="J971" s="3">
        <f>Prices!E971</f>
        <v>24.200001</v>
      </c>
      <c r="K971" s="99">
        <f t="shared" si="60"/>
        <v>-3.006011903566657E-2</v>
      </c>
      <c r="L971" s="99">
        <f t="shared" si="61"/>
        <v>-2.6087343203293049E-3</v>
      </c>
      <c r="M971" s="3">
        <f>Prices!M971</f>
        <v>23.309999000000001</v>
      </c>
      <c r="N971" s="99">
        <f t="shared" si="62"/>
        <v>-3.4202652167705651E-3</v>
      </c>
      <c r="O971" s="99">
        <f t="shared" si="63"/>
        <v>-1.330547694064835E-3</v>
      </c>
    </row>
    <row r="972" spans="9:15">
      <c r="I972" s="178">
        <f>Prices!A972</f>
        <v>43018</v>
      </c>
      <c r="J972" s="3">
        <f>Prices!E972</f>
        <v>24.950001</v>
      </c>
      <c r="K972" s="99">
        <f t="shared" si="60"/>
        <v>2.0080722891566965E-3</v>
      </c>
      <c r="L972" s="99">
        <f t="shared" si="61"/>
        <v>-1.9326514454690532E-3</v>
      </c>
      <c r="M972" s="3">
        <f>Prices!M972</f>
        <v>23.389999</v>
      </c>
      <c r="N972" s="99">
        <f t="shared" si="62"/>
        <v>-1.7072556551429865E-3</v>
      </c>
      <c r="O972" s="99">
        <f t="shared" si="63"/>
        <v>-1.3053049455128596E-3</v>
      </c>
    </row>
    <row r="973" spans="9:15">
      <c r="I973" s="178">
        <f>Prices!A973</f>
        <v>43019</v>
      </c>
      <c r="J973" s="3">
        <f>Prices!E973</f>
        <v>24.9</v>
      </c>
      <c r="K973" s="99">
        <f t="shared" si="60"/>
        <v>1.8404866322909282E-2</v>
      </c>
      <c r="L973" s="99">
        <f t="shared" si="61"/>
        <v>-2.2246259411529438E-3</v>
      </c>
      <c r="M973" s="3">
        <f>Prices!M973</f>
        <v>23.43</v>
      </c>
      <c r="N973" s="99">
        <f t="shared" si="62"/>
        <v>2.9965324059703273E-3</v>
      </c>
      <c r="O973" s="99">
        <f t="shared" si="63"/>
        <v>-1.1573900359833976E-3</v>
      </c>
    </row>
    <row r="974" spans="9:15">
      <c r="I974" s="178">
        <f>Prices!A974</f>
        <v>43020</v>
      </c>
      <c r="J974" s="3">
        <f>Prices!E974</f>
        <v>24.450001</v>
      </c>
      <c r="K974" s="99">
        <f t="shared" si="60"/>
        <v>3.6945811291222794E-3</v>
      </c>
      <c r="L974" s="99">
        <f t="shared" si="61"/>
        <v>-2.9332494035084829E-3</v>
      </c>
      <c r="M974" s="3">
        <f>Prices!M974</f>
        <v>23.360001</v>
      </c>
      <c r="N974" s="99">
        <f t="shared" si="62"/>
        <v>-3.8379529280190587E-3</v>
      </c>
      <c r="O974" s="99">
        <f t="shared" si="63"/>
        <v>-1.2445882664125353E-3</v>
      </c>
    </row>
    <row r="975" spans="9:15">
      <c r="I975" s="178">
        <f>Prices!A975</f>
        <v>43021</v>
      </c>
      <c r="J975" s="3">
        <f>Prices!E975</f>
        <v>24.360001</v>
      </c>
      <c r="K975" s="99">
        <f t="shared" si="60"/>
        <v>1.3311147532814174E-2</v>
      </c>
      <c r="L975" s="99">
        <f t="shared" si="61"/>
        <v>-3.3477773787773573E-3</v>
      </c>
      <c r="M975" s="3">
        <f>Prices!M975</f>
        <v>23.450001</v>
      </c>
      <c r="N975" s="99">
        <f t="shared" si="62"/>
        <v>0</v>
      </c>
      <c r="O975" s="99">
        <f t="shared" si="63"/>
        <v>-9.690415192169352E-4</v>
      </c>
    </row>
    <row r="976" spans="9:15">
      <c r="I976" s="178">
        <f>Prices!A976</f>
        <v>43024</v>
      </c>
      <c r="J976" s="3">
        <f>Prices!E976</f>
        <v>24.040001</v>
      </c>
      <c r="K976" s="99">
        <f t="shared" si="60"/>
        <v>-1.0292300934857928E-2</v>
      </c>
      <c r="L976" s="99">
        <f t="shared" si="61"/>
        <v>-3.7244248829639095E-3</v>
      </c>
      <c r="M976" s="3">
        <f>Prices!M976</f>
        <v>23.450001</v>
      </c>
      <c r="N976" s="99">
        <f t="shared" si="62"/>
        <v>-1.7028097062579022E-3</v>
      </c>
      <c r="O976" s="99">
        <f t="shared" si="63"/>
        <v>-9.690415192169352E-4</v>
      </c>
    </row>
    <row r="977" spans="9:15">
      <c r="I977" s="178">
        <f>Prices!A977</f>
        <v>43025</v>
      </c>
      <c r="J977" s="3">
        <f>Prices!E977</f>
        <v>24.290001</v>
      </c>
      <c r="K977" s="99">
        <f t="shared" si="60"/>
        <v>5.380836092715233E-3</v>
      </c>
      <c r="L977" s="99">
        <f t="shared" si="61"/>
        <v>-3.2867348362210129E-3</v>
      </c>
      <c r="M977" s="3">
        <f>Prices!M977</f>
        <v>23.49</v>
      </c>
      <c r="N977" s="99">
        <f t="shared" si="62"/>
        <v>1.7057142129758595E-3</v>
      </c>
      <c r="O977" s="99">
        <f t="shared" si="63"/>
        <v>-6.1056420771971552E-4</v>
      </c>
    </row>
    <row r="978" spans="9:15">
      <c r="I978" s="178">
        <f>Prices!A978</f>
        <v>43026</v>
      </c>
      <c r="J978" s="3">
        <f>Prices!E978</f>
        <v>24.16</v>
      </c>
      <c r="K978" s="99">
        <f t="shared" si="60"/>
        <v>-4.1373603640883585E-4</v>
      </c>
      <c r="L978" s="99">
        <f t="shared" si="61"/>
        <v>-3.4787331093836032E-3</v>
      </c>
      <c r="M978" s="3">
        <f>Prices!M978</f>
        <v>23.450001</v>
      </c>
      <c r="N978" s="99">
        <f t="shared" si="62"/>
        <v>-2.5520629519353993E-3</v>
      </c>
      <c r="O978" s="99">
        <f t="shared" si="63"/>
        <v>-6.3268991836851088E-4</v>
      </c>
    </row>
    <row r="979" spans="9:15">
      <c r="I979" s="178">
        <f>Prices!A979</f>
        <v>43027</v>
      </c>
      <c r="J979" s="3">
        <f>Prices!E979</f>
        <v>24.17</v>
      </c>
      <c r="K979" s="99">
        <f t="shared" si="60"/>
        <v>1.2427920978788014E-3</v>
      </c>
      <c r="L979" s="99">
        <f t="shared" si="61"/>
        <v>-4.010429164706019E-3</v>
      </c>
      <c r="M979" s="3">
        <f>Prices!M979</f>
        <v>23.51</v>
      </c>
      <c r="N979" s="99">
        <f t="shared" si="62"/>
        <v>-2.9686174724341281E-3</v>
      </c>
      <c r="O979" s="99">
        <f t="shared" si="63"/>
        <v>-6.5202211921842532E-4</v>
      </c>
    </row>
    <row r="980" spans="9:15">
      <c r="I980" s="178">
        <f>Prices!A980</f>
        <v>43028</v>
      </c>
      <c r="J980" s="3">
        <f>Prices!E980</f>
        <v>24.139999</v>
      </c>
      <c r="K980" s="99">
        <f t="shared" si="60"/>
        <v>-5.8869434697855716E-2</v>
      </c>
      <c r="L980" s="99">
        <f t="shared" si="61"/>
        <v>-4.6189157723751286E-3</v>
      </c>
      <c r="M980" s="3">
        <f>Prices!M980</f>
        <v>23.58</v>
      </c>
      <c r="N980" s="99">
        <f t="shared" si="62"/>
        <v>0</v>
      </c>
      <c r="O980" s="99">
        <f t="shared" si="63"/>
        <v>-6.7095526233311724E-4</v>
      </c>
    </row>
    <row r="981" spans="9:15">
      <c r="I981" s="178">
        <f>Prices!A981</f>
        <v>43031</v>
      </c>
      <c r="J981" s="3">
        <f>Prices!E981</f>
        <v>25.65</v>
      </c>
      <c r="K981" s="99">
        <f t="shared" si="60"/>
        <v>-1.5570649452290866E-3</v>
      </c>
      <c r="L981" s="99">
        <f t="shared" si="61"/>
        <v>-1.8257069920179167E-3</v>
      </c>
      <c r="M981" s="3">
        <f>Prices!M981</f>
        <v>23.58</v>
      </c>
      <c r="N981" s="99">
        <f t="shared" si="62"/>
        <v>-3.3812341504649976E-3</v>
      </c>
      <c r="O981" s="99">
        <f t="shared" si="63"/>
        <v>-7.3363808723909539E-4</v>
      </c>
    </row>
    <row r="982" spans="9:15">
      <c r="I982" s="178">
        <f>Prices!A982</f>
        <v>43032</v>
      </c>
      <c r="J982" s="3">
        <f>Prices!E982</f>
        <v>25.690000999999999</v>
      </c>
      <c r="K982" s="99">
        <f t="shared" si="60"/>
        <v>2.7322403305136598E-3</v>
      </c>
      <c r="L982" s="99">
        <f t="shared" si="61"/>
        <v>-2.2130565558765658E-3</v>
      </c>
      <c r="M982" s="3">
        <f>Prices!M982</f>
        <v>23.66</v>
      </c>
      <c r="N982" s="99">
        <f t="shared" si="62"/>
        <v>1.2696149500471248E-3</v>
      </c>
      <c r="O982" s="99">
        <f t="shared" si="63"/>
        <v>-7.7265169357038695E-4</v>
      </c>
    </row>
    <row r="983" spans="9:15">
      <c r="I983" s="178">
        <f>Prices!A983</f>
        <v>43033</v>
      </c>
      <c r="J983" s="3">
        <f>Prices!E983</f>
        <v>25.620000999999998</v>
      </c>
      <c r="K983" s="99">
        <f t="shared" si="60"/>
        <v>7.8128906249988472E-4</v>
      </c>
      <c r="L983" s="99">
        <f t="shared" si="61"/>
        <v>-2.0501515263701645E-3</v>
      </c>
      <c r="M983" s="3">
        <f>Prices!M983</f>
        <v>23.629999000000002</v>
      </c>
      <c r="N983" s="99">
        <f t="shared" si="62"/>
        <v>-2.5327985423047143E-3</v>
      </c>
      <c r="O983" s="99">
        <f t="shared" si="63"/>
        <v>-4.7988769489691922E-4</v>
      </c>
    </row>
    <row r="984" spans="9:15">
      <c r="I984" s="178">
        <f>Prices!A984</f>
        <v>43034</v>
      </c>
      <c r="J984" s="3">
        <f>Prices!E984</f>
        <v>25.6</v>
      </c>
      <c r="K984" s="99">
        <f t="shared" si="60"/>
        <v>1.5872975560596251E-2</v>
      </c>
      <c r="L984" s="99">
        <f t="shared" si="61"/>
        <v>-2.3128481077098412E-3</v>
      </c>
      <c r="M984" s="3">
        <f>Prices!M984</f>
        <v>23.690000999999999</v>
      </c>
      <c r="N984" s="99">
        <f t="shared" si="62"/>
        <v>-2.9460858585859768E-3</v>
      </c>
      <c r="O984" s="99">
        <f t="shared" si="63"/>
        <v>-3.5324776778168334E-4</v>
      </c>
    </row>
    <row r="985" spans="9:15">
      <c r="I985" s="178">
        <f>Prices!A985</f>
        <v>43035</v>
      </c>
      <c r="J985" s="3">
        <f>Prices!E985</f>
        <v>25.200001</v>
      </c>
      <c r="K985" s="99">
        <f t="shared" si="60"/>
        <v>-7.092120058791224E-3</v>
      </c>
      <c r="L985" s="99">
        <f t="shared" si="61"/>
        <v>-3.273658847106673E-3</v>
      </c>
      <c r="M985" s="3">
        <f>Prices!M985</f>
        <v>23.76</v>
      </c>
      <c r="N985" s="99">
        <f t="shared" si="62"/>
        <v>-2.5188916876573769E-3</v>
      </c>
      <c r="O985" s="99">
        <f t="shared" si="63"/>
        <v>-2.8962339117037227E-4</v>
      </c>
    </row>
    <row r="986" spans="9:15">
      <c r="I986" s="178">
        <f>Prices!A986</f>
        <v>43038</v>
      </c>
      <c r="J986" s="3">
        <f>Prices!E986</f>
        <v>25.379999000000002</v>
      </c>
      <c r="K986" s="99">
        <f t="shared" si="60"/>
        <v>-1.0911964146531512E-2</v>
      </c>
      <c r="L986" s="99">
        <f t="shared" si="61"/>
        <v>-2.2413400927472032E-3</v>
      </c>
      <c r="M986" s="3">
        <f>Prices!M986</f>
        <v>23.82</v>
      </c>
      <c r="N986" s="99">
        <f t="shared" si="62"/>
        <v>-2.094721319869161E-3</v>
      </c>
      <c r="O986" s="99">
        <f t="shared" si="63"/>
        <v>4.2473057229883496E-6</v>
      </c>
    </row>
    <row r="987" spans="9:15">
      <c r="I987" s="178">
        <f>Prices!A987</f>
        <v>43039</v>
      </c>
      <c r="J987" s="3">
        <f>Prices!E987</f>
        <v>25.66</v>
      </c>
      <c r="K987" s="99">
        <f t="shared" si="60"/>
        <v>7.8007023323209185E-4</v>
      </c>
      <c r="L987" s="99">
        <f t="shared" si="61"/>
        <v>-1.8458920412070417E-3</v>
      </c>
      <c r="M987" s="3">
        <f>Prices!M987</f>
        <v>23.870000999999998</v>
      </c>
      <c r="N987" s="99">
        <f t="shared" si="62"/>
        <v>8.3861635220113407E-4</v>
      </c>
      <c r="O987" s="99">
        <f t="shared" si="63"/>
        <v>1.0898337171644642E-4</v>
      </c>
    </row>
    <row r="988" spans="9:15">
      <c r="I988" s="178">
        <f>Prices!A988</f>
        <v>43040</v>
      </c>
      <c r="J988" s="3">
        <f>Prices!E988</f>
        <v>25.639999</v>
      </c>
      <c r="K988" s="99">
        <f t="shared" si="60"/>
        <v>-8.8906838465139196E-3</v>
      </c>
      <c r="L988" s="99">
        <f t="shared" si="61"/>
        <v>-8.1127783814471748E-4</v>
      </c>
      <c r="M988" s="3">
        <f>Prices!M988</f>
        <v>23.85</v>
      </c>
      <c r="N988" s="99">
        <f t="shared" si="62"/>
        <v>8.3927822073030334E-4</v>
      </c>
      <c r="O988" s="99">
        <f t="shared" si="63"/>
        <v>2.1442097515902183E-4</v>
      </c>
    </row>
    <row r="989" spans="9:15">
      <c r="I989" s="178">
        <f>Prices!A989</f>
        <v>43041</v>
      </c>
      <c r="J989" s="3">
        <f>Prices!E989</f>
        <v>25.870000999999998</v>
      </c>
      <c r="K989" s="99">
        <f t="shared" si="60"/>
        <v>3.4910782198961073E-3</v>
      </c>
      <c r="L989" s="99">
        <f t="shared" si="61"/>
        <v>-1.2888362314419084E-3</v>
      </c>
      <c r="M989" s="3">
        <f>Prices!M989</f>
        <v>23.83</v>
      </c>
      <c r="N989" s="99">
        <f t="shared" si="62"/>
        <v>-8.385744234802149E-4</v>
      </c>
      <c r="O989" s="99">
        <f t="shared" si="63"/>
        <v>-7.890656171060169E-5</v>
      </c>
    </row>
    <row r="990" spans="9:15">
      <c r="I990" s="178">
        <f>Prices!A990</f>
        <v>43042</v>
      </c>
      <c r="J990" s="3">
        <f>Prices!E990</f>
        <v>25.780000999999999</v>
      </c>
      <c r="K990" s="99">
        <f t="shared" si="60"/>
        <v>8.2127884239342318E-3</v>
      </c>
      <c r="L990" s="99">
        <f t="shared" si="61"/>
        <v>-5.825035427004672E-4</v>
      </c>
      <c r="M990" s="3">
        <f>Prices!M990</f>
        <v>23.85</v>
      </c>
      <c r="N990" s="99">
        <f t="shared" si="62"/>
        <v>-3.759440110298965E-3</v>
      </c>
      <c r="O990" s="99">
        <f t="shared" si="63"/>
        <v>-1.6022267232134702E-5</v>
      </c>
    </row>
    <row r="991" spans="9:15">
      <c r="I991" s="178">
        <f>Prices!A991</f>
        <v>43045</v>
      </c>
      <c r="J991" s="3">
        <f>Prices!E991</f>
        <v>25.57</v>
      </c>
      <c r="K991" s="99">
        <f t="shared" si="60"/>
        <v>-1.6538461538461526E-2</v>
      </c>
      <c r="L991" s="99">
        <f t="shared" si="61"/>
        <v>-4.3156085700329802E-4</v>
      </c>
      <c r="M991" s="3">
        <f>Prices!M991</f>
        <v>23.940000999999999</v>
      </c>
      <c r="N991" s="99">
        <f t="shared" si="62"/>
        <v>-2.9154102457310625E-3</v>
      </c>
      <c r="O991" s="99">
        <f t="shared" si="63"/>
        <v>3.612661034489914E-4</v>
      </c>
    </row>
    <row r="992" spans="9:15">
      <c r="I992" s="178">
        <f>Prices!A992</f>
        <v>43046</v>
      </c>
      <c r="J992" s="3">
        <f>Prices!E992</f>
        <v>26</v>
      </c>
      <c r="K992" s="99">
        <f t="shared" si="60"/>
        <v>-3.8314176245211272E-3</v>
      </c>
      <c r="L992" s="99">
        <f t="shared" si="61"/>
        <v>9.0397139474799118E-4</v>
      </c>
      <c r="M992" s="3">
        <f>Prices!M992</f>
        <v>24.01</v>
      </c>
      <c r="N992" s="99">
        <f t="shared" si="62"/>
        <v>1.2510425354462526E-3</v>
      </c>
      <c r="O992" s="99">
        <f t="shared" si="63"/>
        <v>6.5471382469431047E-4</v>
      </c>
    </row>
    <row r="993" spans="9:15">
      <c r="I993" s="178">
        <f>Prices!A993</f>
        <v>43047</v>
      </c>
      <c r="J993" s="3">
        <f>Prices!E993</f>
        <v>26.1</v>
      </c>
      <c r="K993" s="99">
        <f t="shared" si="60"/>
        <v>4.2323970757984991E-3</v>
      </c>
      <c r="L993" s="99">
        <f t="shared" si="61"/>
        <v>3.0890308845989518E-3</v>
      </c>
      <c r="M993" s="3">
        <f>Prices!M993</f>
        <v>23.98</v>
      </c>
      <c r="N993" s="99">
        <f t="shared" si="62"/>
        <v>1.2525677973875705E-3</v>
      </c>
      <c r="O993" s="99">
        <f t="shared" si="63"/>
        <v>5.0791780575687971E-4</v>
      </c>
    </row>
    <row r="994" spans="9:15">
      <c r="I994" s="178">
        <f>Prices!A994</f>
        <v>43048</v>
      </c>
      <c r="J994" s="3">
        <f>Prices!E994</f>
        <v>25.99</v>
      </c>
      <c r="K994" s="99">
        <f t="shared" si="60"/>
        <v>-4.5959783762552142E-3</v>
      </c>
      <c r="L994" s="99">
        <f t="shared" si="61"/>
        <v>1.8025683188202812E-3</v>
      </c>
      <c r="M994" s="3">
        <f>Prices!M994</f>
        <v>23.950001</v>
      </c>
      <c r="N994" s="99">
        <f t="shared" si="62"/>
        <v>1.6729820158929392E-3</v>
      </c>
      <c r="O994" s="99">
        <f t="shared" si="63"/>
        <v>4.8298191482985288E-5</v>
      </c>
    </row>
    <row r="995" spans="9:15">
      <c r="I995" s="178">
        <f>Prices!A995</f>
        <v>43049</v>
      </c>
      <c r="J995" s="3">
        <f>Prices!E995</f>
        <v>26.110001</v>
      </c>
      <c r="K995" s="99">
        <f t="shared" si="60"/>
        <v>5.7781974490831315E-3</v>
      </c>
      <c r="L995" s="99">
        <f t="shared" si="61"/>
        <v>2.1921116401991568E-3</v>
      </c>
      <c r="M995" s="3">
        <f>Prices!M995</f>
        <v>23.91</v>
      </c>
      <c r="N995" s="99">
        <f t="shared" si="62"/>
        <v>0</v>
      </c>
      <c r="O995" s="99">
        <f t="shared" si="63"/>
        <v>-2.6413833739870801E-4</v>
      </c>
    </row>
    <row r="996" spans="9:15">
      <c r="I996" s="178">
        <f>Prices!A996</f>
        <v>43052</v>
      </c>
      <c r="J996" s="3">
        <f>Prices!E996</f>
        <v>25.959999</v>
      </c>
      <c r="K996" s="99">
        <f t="shared" si="60"/>
        <v>-1.5385000000000067E-3</v>
      </c>
      <c r="L996" s="99">
        <f t="shared" si="61"/>
        <v>2.285497542392885E-3</v>
      </c>
      <c r="M996" s="3">
        <f>Prices!M996</f>
        <v>23.91</v>
      </c>
      <c r="N996" s="99">
        <f t="shared" si="62"/>
        <v>5.466736523686502E-3</v>
      </c>
      <c r="O996" s="99">
        <f t="shared" si="63"/>
        <v>-2.6413833739870801E-4</v>
      </c>
    </row>
    <row r="997" spans="9:15">
      <c r="I997" s="178">
        <f>Prices!A997</f>
        <v>43053</v>
      </c>
      <c r="J997" s="3">
        <f>Prices!E997</f>
        <v>26</v>
      </c>
      <c r="K997" s="99">
        <f t="shared" si="60"/>
        <v>1.5408706294634362E-3</v>
      </c>
      <c r="L997" s="99">
        <f t="shared" si="61"/>
        <v>2.483437059495973E-3</v>
      </c>
      <c r="M997" s="3">
        <f>Prices!M997</f>
        <v>23.780000999999999</v>
      </c>
      <c r="N997" s="99">
        <f t="shared" si="62"/>
        <v>1.2631999999999416E-3</v>
      </c>
      <c r="O997" s="99">
        <f t="shared" si="63"/>
        <v>-6.2052956557638475E-4</v>
      </c>
    </row>
    <row r="998" spans="9:15">
      <c r="I998" s="178">
        <f>Prices!A998</f>
        <v>43054</v>
      </c>
      <c r="J998" s="3">
        <f>Prices!E998</f>
        <v>25.959999</v>
      </c>
      <c r="K998" s="99">
        <f t="shared" si="60"/>
        <v>-1.104765714285715E-2</v>
      </c>
      <c r="L998" s="99">
        <f t="shared" si="61"/>
        <v>2.5682753637930097E-3</v>
      </c>
      <c r="M998" s="3">
        <f>Prices!M998</f>
        <v>23.75</v>
      </c>
      <c r="N998" s="99">
        <f t="shared" si="62"/>
        <v>-2.9387069689336812E-3</v>
      </c>
      <c r="O998" s="99">
        <f t="shared" si="63"/>
        <v>-6.6291681941934384E-4</v>
      </c>
    </row>
    <row r="999" spans="9:15">
      <c r="I999" s="178">
        <f>Prices!A999</f>
        <v>43055</v>
      </c>
      <c r="J999" s="3">
        <f>Prices!E999</f>
        <v>26.25</v>
      </c>
      <c r="K999" s="99">
        <f t="shared" si="60"/>
        <v>-1.0926940055503395E-2</v>
      </c>
      <c r="L999" s="99">
        <f t="shared" si="61"/>
        <v>2.4814213307735398E-3</v>
      </c>
      <c r="M999" s="3">
        <f>Prices!M999</f>
        <v>23.82</v>
      </c>
      <c r="N999" s="99">
        <f t="shared" si="62"/>
        <v>-3.3472803347279621E-3</v>
      </c>
      <c r="O999" s="99">
        <f t="shared" si="63"/>
        <v>-1.6033293540780274E-4</v>
      </c>
    </row>
    <row r="1000" spans="9:15">
      <c r="I1000" s="178">
        <f>Prices!A1000</f>
        <v>43056</v>
      </c>
      <c r="J1000" s="3">
        <f>Prices!E1000</f>
        <v>26.540001</v>
      </c>
      <c r="K1000" s="99">
        <f t="shared" si="60"/>
        <v>-3.0052590907114654E-3</v>
      </c>
      <c r="L1000" s="99">
        <f t="shared" si="61"/>
        <v>3.2082013656083317E-3</v>
      </c>
      <c r="M1000" s="3">
        <f>Prices!M1000</f>
        <v>23.9</v>
      </c>
      <c r="N1000" s="99">
        <f t="shared" si="62"/>
        <v>-1.2536564981195629E-3</v>
      </c>
      <c r="O1000" s="99">
        <f t="shared" si="63"/>
        <v>-9.7355135607265616E-5</v>
      </c>
    </row>
    <row r="1001" spans="9:15">
      <c r="I1001" s="178">
        <f>Prices!A1001</f>
        <v>43059</v>
      </c>
      <c r="J1001" s="3">
        <f>Prices!E1001</f>
        <v>26.620000999999998</v>
      </c>
      <c r="K1001" s="99">
        <f t="shared" si="60"/>
        <v>-9.3040562224020757E-3</v>
      </c>
      <c r="L1001" s="99">
        <f t="shared" si="61"/>
        <v>2.2988116513840903E-3</v>
      </c>
      <c r="M1001" s="3">
        <f>Prices!M1001</f>
        <v>23.93</v>
      </c>
      <c r="N1001" s="99">
        <f t="shared" si="62"/>
        <v>-4.1615062770908292E-3</v>
      </c>
      <c r="O1001" s="99">
        <f t="shared" si="63"/>
        <v>-2.6326334264605385E-4</v>
      </c>
    </row>
    <row r="1002" spans="9:15">
      <c r="I1002" s="178">
        <f>Prices!A1002</f>
        <v>43060</v>
      </c>
      <c r="J1002" s="3">
        <f>Prices!E1002</f>
        <v>26.870000999999998</v>
      </c>
      <c r="K1002" s="99">
        <f t="shared" si="60"/>
        <v>5.9903409206416907E-3</v>
      </c>
      <c r="L1002" s="99">
        <f t="shared" si="61"/>
        <v>2.7640144625041942E-3</v>
      </c>
      <c r="M1002" s="3">
        <f>Prices!M1002</f>
        <v>24.030000999999999</v>
      </c>
      <c r="N1002" s="99">
        <f t="shared" si="62"/>
        <v>7.1248949235164808E-3</v>
      </c>
      <c r="O1002" s="99">
        <f t="shared" si="63"/>
        <v>-3.4398007137038422E-5</v>
      </c>
    </row>
    <row r="1003" spans="9:15">
      <c r="I1003" s="178">
        <f>Prices!A1003</f>
        <v>43061</v>
      </c>
      <c r="J1003" s="3">
        <f>Prices!E1003</f>
        <v>26.709999</v>
      </c>
      <c r="K1003" s="99">
        <f t="shared" si="60"/>
        <v>-4.4726425642936446E-3</v>
      </c>
      <c r="L1003" s="99">
        <f t="shared" si="61"/>
        <v>2.800335043332543E-3</v>
      </c>
      <c r="M1003" s="3">
        <f>Prices!M1003</f>
        <v>23.860001</v>
      </c>
      <c r="N1003" s="99">
        <f t="shared" si="62"/>
        <v>0</v>
      </c>
      <c r="O1003" s="99">
        <f t="shared" si="63"/>
        <v>-4.3219032290156328E-4</v>
      </c>
    </row>
    <row r="1004" spans="9:15">
      <c r="I1004" s="178">
        <f>Prices!A1004</f>
        <v>43062</v>
      </c>
      <c r="J1004" s="3">
        <f>Prices!E1004</f>
        <v>26.83</v>
      </c>
      <c r="K1004" s="99">
        <f t="shared" si="60"/>
        <v>-3.3432392273403939E-3</v>
      </c>
      <c r="L1004" s="99">
        <f t="shared" si="61"/>
        <v>3.6035015440492269E-3</v>
      </c>
      <c r="M1004" s="3">
        <f>Prices!M1004</f>
        <v>23.860001</v>
      </c>
      <c r="N1004" s="99">
        <f t="shared" si="62"/>
        <v>-1.673598326359754E-3</v>
      </c>
      <c r="O1004" s="99">
        <f t="shared" si="63"/>
        <v>-5.1514552476986716E-4</v>
      </c>
    </row>
    <row r="1005" spans="9:15">
      <c r="I1005" s="178">
        <f>Prices!A1005</f>
        <v>43063</v>
      </c>
      <c r="J1005" s="3">
        <f>Prices!E1005</f>
        <v>26.92</v>
      </c>
      <c r="K1005" s="99">
        <f t="shared" si="60"/>
        <v>1.3554255028398172E-2</v>
      </c>
      <c r="L1005" s="99">
        <f t="shared" si="61"/>
        <v>4.2957038931383754E-3</v>
      </c>
      <c r="M1005" s="3">
        <f>Prices!M1005</f>
        <v>23.9</v>
      </c>
      <c r="N1005" s="99">
        <f t="shared" si="62"/>
        <v>3.358522250209836E-3</v>
      </c>
      <c r="O1005" s="99">
        <f t="shared" si="63"/>
        <v>-3.691711732359281E-4</v>
      </c>
    </row>
    <row r="1006" spans="9:15">
      <c r="I1006" s="178">
        <f>Prices!A1006</f>
        <v>43066</v>
      </c>
      <c r="J1006" s="3">
        <f>Prices!E1006</f>
        <v>26.559999000000001</v>
      </c>
      <c r="K1006" s="99">
        <f t="shared" si="60"/>
        <v>-3.0030031157282813E-3</v>
      </c>
      <c r="L1006" s="99">
        <f t="shared" si="61"/>
        <v>3.0194296653193666E-3</v>
      </c>
      <c r="M1006" s="3">
        <f>Prices!M1006</f>
        <v>23.82</v>
      </c>
      <c r="N1006" s="99">
        <f t="shared" si="62"/>
        <v>0</v>
      </c>
      <c r="O1006" s="99">
        <f t="shared" si="63"/>
        <v>-5.7859106168003623E-4</v>
      </c>
    </row>
    <row r="1007" spans="9:15">
      <c r="I1007" s="178">
        <f>Prices!A1007</f>
        <v>43067</v>
      </c>
      <c r="J1007" s="3">
        <f>Prices!E1007</f>
        <v>26.639999</v>
      </c>
      <c r="K1007" s="99">
        <f t="shared" si="60"/>
        <v>2.1472354294478576E-2</v>
      </c>
      <c r="L1007" s="99">
        <f t="shared" si="61"/>
        <v>3.5110824463168181E-3</v>
      </c>
      <c r="M1007" s="3">
        <f>Prices!M1007</f>
        <v>23.82</v>
      </c>
      <c r="N1007" s="99">
        <f t="shared" si="62"/>
        <v>2.9473684210526434E-3</v>
      </c>
      <c r="O1007" s="99">
        <f t="shared" si="63"/>
        <v>-6.6143903528599645E-4</v>
      </c>
    </row>
    <row r="1008" spans="9:15">
      <c r="I1008" s="178">
        <f>Prices!A1008</f>
        <v>43068</v>
      </c>
      <c r="J1008" s="3">
        <f>Prices!E1008</f>
        <v>26.08</v>
      </c>
      <c r="K1008" s="99">
        <f t="shared" si="60"/>
        <v>-1.8441851712457734E-2</v>
      </c>
      <c r="L1008" s="99">
        <f t="shared" si="61"/>
        <v>2.6594138751784777E-3</v>
      </c>
      <c r="M1008" s="3">
        <f>Prices!M1008</f>
        <v>23.75</v>
      </c>
      <c r="N1008" s="99">
        <f t="shared" si="62"/>
        <v>-5.0272725166621681E-3</v>
      </c>
      <c r="O1008" s="99">
        <f t="shared" si="63"/>
        <v>-8.2951346047941343E-4</v>
      </c>
    </row>
    <row r="1009" spans="9:15">
      <c r="I1009" s="178">
        <f>Prices!A1009</f>
        <v>43069</v>
      </c>
      <c r="J1009" s="3">
        <f>Prices!E1009</f>
        <v>26.57</v>
      </c>
      <c r="K1009" s="99">
        <f t="shared" si="60"/>
        <v>1.7617731994724925E-2</v>
      </c>
      <c r="L1009" s="99">
        <f t="shared" si="61"/>
        <v>1.9988589422394237E-3</v>
      </c>
      <c r="M1009" s="3">
        <f>Prices!M1009</f>
        <v>23.870000999999998</v>
      </c>
      <c r="N1009" s="99">
        <f t="shared" si="62"/>
        <v>4.1911146608912591E-4</v>
      </c>
      <c r="O1009" s="99">
        <f t="shared" si="63"/>
        <v>-8.0486046943608854E-4</v>
      </c>
    </row>
    <row r="1010" spans="9:15">
      <c r="I1010" s="178">
        <f>Prices!A1010</f>
        <v>43070</v>
      </c>
      <c r="J1010" s="3">
        <f>Prices!E1010</f>
        <v>26.110001</v>
      </c>
      <c r="K1010" s="99">
        <f t="shared" si="60"/>
        <v>1.1231642137877621E-2</v>
      </c>
      <c r="L1010" s="99">
        <f t="shared" si="61"/>
        <v>1.0204703886224462E-3</v>
      </c>
      <c r="M1010" s="3">
        <f>Prices!M1010</f>
        <v>23.860001</v>
      </c>
      <c r="N1010" s="99">
        <f t="shared" si="62"/>
        <v>3.7863273033235546E-3</v>
      </c>
      <c r="O1010" s="99">
        <f t="shared" si="63"/>
        <v>-1.0923166686733258E-3</v>
      </c>
    </row>
    <row r="1011" spans="9:15">
      <c r="I1011" s="178">
        <f>Prices!A1011</f>
        <v>43073</v>
      </c>
      <c r="J1011" s="3">
        <f>Prices!E1011</f>
        <v>25.82</v>
      </c>
      <c r="K1011" s="99">
        <f t="shared" si="60"/>
        <v>1.0172183496564262E-2</v>
      </c>
      <c r="L1011" s="99">
        <f t="shared" si="61"/>
        <v>5.2696792366859014E-5</v>
      </c>
      <c r="M1011" s="3">
        <f>Prices!M1011</f>
        <v>23.77</v>
      </c>
      <c r="N1011" s="99">
        <f t="shared" si="62"/>
        <v>2.9535441791753198E-3</v>
      </c>
      <c r="O1011" s="99">
        <f t="shared" si="63"/>
        <v>-1.4858000407811101E-3</v>
      </c>
    </row>
    <row r="1012" spans="9:15">
      <c r="I1012" s="178">
        <f>Prices!A1012</f>
        <v>43074</v>
      </c>
      <c r="J1012" s="3">
        <f>Prices!E1012</f>
        <v>25.559999000000001</v>
      </c>
      <c r="K1012" s="99">
        <f t="shared" si="60"/>
        <v>3.986977217249809E-2</v>
      </c>
      <c r="L1012" s="99">
        <f t="shared" si="61"/>
        <v>-8.7785331073139369E-4</v>
      </c>
      <c r="M1012" s="3">
        <f>Prices!M1012</f>
        <v>23.700001</v>
      </c>
      <c r="N1012" s="99">
        <f t="shared" si="62"/>
        <v>-1.6848778433023641E-3</v>
      </c>
      <c r="O1012" s="99">
        <f t="shared" si="63"/>
        <v>-1.4696099822265655E-3</v>
      </c>
    </row>
    <row r="1013" spans="9:15">
      <c r="I1013" s="178">
        <f>Prices!A1013</f>
        <v>43075</v>
      </c>
      <c r="J1013" s="3">
        <f>Prices!E1013</f>
        <v>24.58</v>
      </c>
      <c r="K1013" s="99">
        <f t="shared" si="60"/>
        <v>-2.1496854239774918E-2</v>
      </c>
      <c r="L1013" s="99">
        <f t="shared" si="61"/>
        <v>-3.214199062213441E-3</v>
      </c>
      <c r="M1013" s="3">
        <f>Prices!M1013</f>
        <v>23.74</v>
      </c>
      <c r="N1013" s="99">
        <f t="shared" si="62"/>
        <v>-7.9398244880903163E-3</v>
      </c>
      <c r="O1013" s="99">
        <f t="shared" si="63"/>
        <v>-1.2621628046405053E-3</v>
      </c>
    </row>
    <row r="1014" spans="9:15">
      <c r="I1014" s="178">
        <f>Prices!A1014</f>
        <v>43076</v>
      </c>
      <c r="J1014" s="3">
        <f>Prices!E1014</f>
        <v>25.120000999999998</v>
      </c>
      <c r="K1014" s="99">
        <f t="shared" si="60"/>
        <v>3.194888051322294E-3</v>
      </c>
      <c r="L1014" s="99">
        <f t="shared" si="61"/>
        <v>-2.3857532511495231E-3</v>
      </c>
      <c r="M1014" s="3">
        <f>Prices!M1014</f>
        <v>23.93</v>
      </c>
      <c r="N1014" s="99">
        <f t="shared" si="62"/>
        <v>-4.5757485617409274E-3</v>
      </c>
      <c r="O1014" s="99">
        <f t="shared" si="63"/>
        <v>-9.0620768852338156E-4</v>
      </c>
    </row>
    <row r="1015" spans="9:15">
      <c r="I1015" s="178">
        <f>Prices!A1015</f>
        <v>43077</v>
      </c>
      <c r="J1015" s="3">
        <f>Prices!E1015</f>
        <v>25.040001</v>
      </c>
      <c r="K1015" s="99">
        <f t="shared" si="60"/>
        <v>7.645915492957696E-3</v>
      </c>
      <c r="L1015" s="99">
        <f t="shared" si="61"/>
        <v>-1.8342346779370911E-3</v>
      </c>
      <c r="M1015" s="3">
        <f>Prices!M1015</f>
        <v>24.040001</v>
      </c>
      <c r="N1015" s="99">
        <f t="shared" si="62"/>
        <v>0</v>
      </c>
      <c r="O1015" s="99">
        <f t="shared" si="63"/>
        <v>-4.2999551816829703E-4</v>
      </c>
    </row>
    <row r="1016" spans="9:15">
      <c r="I1016" s="178">
        <f>Prices!A1016</f>
        <v>43080</v>
      </c>
      <c r="J1016" s="3">
        <f>Prices!E1016</f>
        <v>24.85</v>
      </c>
      <c r="K1016" s="99">
        <f t="shared" si="60"/>
        <v>2.4202903420617551E-3</v>
      </c>
      <c r="L1016" s="99">
        <f t="shared" si="61"/>
        <v>-1.7312820053800074E-3</v>
      </c>
      <c r="M1016" s="3">
        <f>Prices!M1016</f>
        <v>24.040001</v>
      </c>
      <c r="N1016" s="99">
        <f t="shared" si="62"/>
        <v>-1.6610880398670316E-3</v>
      </c>
      <c r="O1016" s="99">
        <f t="shared" si="63"/>
        <v>-5.7390999185250816E-4</v>
      </c>
    </row>
    <row r="1017" spans="9:15">
      <c r="I1017" s="178">
        <f>Prices!A1017</f>
        <v>43081</v>
      </c>
      <c r="J1017" s="3">
        <f>Prices!E1017</f>
        <v>24.790001</v>
      </c>
      <c r="K1017" s="99">
        <f t="shared" si="60"/>
        <v>3.2376367154041711E-3</v>
      </c>
      <c r="L1017" s="99">
        <f t="shared" si="61"/>
        <v>-4.4819415158760655E-3</v>
      </c>
      <c r="M1017" s="3">
        <f>Prices!M1017</f>
        <v>24.08</v>
      </c>
      <c r="N1017" s="99">
        <f t="shared" si="62"/>
        <v>4.1545492314075654E-4</v>
      </c>
      <c r="O1017" s="99">
        <f t="shared" si="63"/>
        <v>-5.3194022420590997E-4</v>
      </c>
    </row>
    <row r="1018" spans="9:15">
      <c r="I1018" s="178">
        <f>Prices!A1018</f>
        <v>43082</v>
      </c>
      <c r="J1018" s="3">
        <f>Prices!E1018</f>
        <v>24.709999</v>
      </c>
      <c r="K1018" s="99">
        <f t="shared" si="60"/>
        <v>-1.2784737803246545E-2</v>
      </c>
      <c r="L1018" s="99">
        <f t="shared" si="61"/>
        <v>-4.4592515539349439E-3</v>
      </c>
      <c r="M1018" s="3">
        <f>Prices!M1018</f>
        <v>24.07</v>
      </c>
      <c r="N1018" s="99">
        <f t="shared" si="62"/>
        <v>7.1129707112971433E-3</v>
      </c>
      <c r="O1018" s="99">
        <f t="shared" si="63"/>
        <v>-6.7566379003507638E-4</v>
      </c>
    </row>
    <row r="1019" spans="9:15">
      <c r="I1019" s="178">
        <f>Prices!A1019</f>
        <v>43083</v>
      </c>
      <c r="J1019" s="3">
        <f>Prices!E1019</f>
        <v>25.030000999999999</v>
      </c>
      <c r="K1019" s="99">
        <f t="shared" si="60"/>
        <v>3.6086606411924308E-3</v>
      </c>
      <c r="L1019" s="99">
        <f t="shared" si="61"/>
        <v>-3.4668548124714982E-3</v>
      </c>
      <c r="M1019" s="3">
        <f>Prices!M1019</f>
        <v>23.9</v>
      </c>
      <c r="N1019" s="99">
        <f t="shared" si="62"/>
        <v>-2.0877243387172192E-3</v>
      </c>
      <c r="O1019" s="99">
        <f t="shared" si="63"/>
        <v>-8.4620125258014992E-4</v>
      </c>
    </row>
    <row r="1020" spans="9:15">
      <c r="I1020" s="178">
        <f>Prices!A1020</f>
        <v>43084</v>
      </c>
      <c r="J1020" s="3">
        <f>Prices!E1020</f>
        <v>24.940000999999999</v>
      </c>
      <c r="K1020" s="99">
        <f t="shared" si="60"/>
        <v>-2.1193053375196298E-2</v>
      </c>
      <c r="L1020" s="99">
        <f t="shared" si="61"/>
        <v>-4.5238382782984889E-3</v>
      </c>
      <c r="M1020" s="3">
        <f>Prices!M1020</f>
        <v>23.950001</v>
      </c>
      <c r="N1020" s="99">
        <f t="shared" si="62"/>
        <v>-4.5718206388953271E-3</v>
      </c>
      <c r="O1020" s="99">
        <f t="shared" si="63"/>
        <v>-8.2395261264634303E-4</v>
      </c>
    </row>
    <row r="1021" spans="9:15">
      <c r="I1021" s="178">
        <f>Prices!A1021</f>
        <v>43087</v>
      </c>
      <c r="J1021" s="3">
        <f>Prices!E1021</f>
        <v>25.48</v>
      </c>
      <c r="K1021" s="99">
        <f t="shared" si="60"/>
        <v>0</v>
      </c>
      <c r="L1021" s="99">
        <f t="shared" si="61"/>
        <v>-3.8267690033022654E-3</v>
      </c>
      <c r="M1021" s="3">
        <f>Prices!M1021</f>
        <v>24.059999000000001</v>
      </c>
      <c r="N1021" s="99">
        <f t="shared" si="62"/>
        <v>4.158004330894801E-4</v>
      </c>
      <c r="O1021" s="99">
        <f t="shared" si="63"/>
        <v>-5.1308885004453246E-4</v>
      </c>
    </row>
    <row r="1022" spans="9:15">
      <c r="I1022" s="178">
        <f>Prices!A1022</f>
        <v>43088</v>
      </c>
      <c r="J1022" s="3">
        <f>Prices!E1022</f>
        <v>25.48</v>
      </c>
      <c r="K1022" s="99">
        <f t="shared" si="60"/>
        <v>6.7167525372086806E-3</v>
      </c>
      <c r="L1022" s="99">
        <f t="shared" si="61"/>
        <v>-5.1676299771907649E-3</v>
      </c>
      <c r="M1022" s="3">
        <f>Prices!M1022</f>
        <v>24.049999</v>
      </c>
      <c r="N1022" s="99">
        <f t="shared" si="62"/>
        <v>-8.3095139177401754E-4</v>
      </c>
      <c r="O1022" s="99">
        <f t="shared" si="63"/>
        <v>-7.1830715038752552E-4</v>
      </c>
    </row>
    <row r="1023" spans="9:15">
      <c r="I1023" s="178">
        <f>Prices!A1023</f>
        <v>43089</v>
      </c>
      <c r="J1023" s="3">
        <f>Prices!E1023</f>
        <v>25.309999000000001</v>
      </c>
      <c r="K1023" s="99">
        <f t="shared" si="60"/>
        <v>1.1590687450040035E-2</v>
      </c>
      <c r="L1023" s="99">
        <f t="shared" si="61"/>
        <v>-5.2552424355485471E-3</v>
      </c>
      <c r="M1023" s="3">
        <f>Prices!M1023</f>
        <v>24.07</v>
      </c>
      <c r="N1023" s="99">
        <f t="shared" si="62"/>
        <v>-1.6591040373660779E-3</v>
      </c>
      <c r="O1023" s="99">
        <f t="shared" si="63"/>
        <v>-5.9465983047451618E-4</v>
      </c>
    </row>
    <row r="1024" spans="9:15">
      <c r="I1024" s="178">
        <f>Prices!A1024</f>
        <v>43090</v>
      </c>
      <c r="J1024" s="3">
        <f>Prices!E1024</f>
        <v>25.02</v>
      </c>
      <c r="K1024" s="99">
        <f t="shared" si="60"/>
        <v>1.0500807754442568E-2</v>
      </c>
      <c r="L1024" s="99">
        <f t="shared" si="61"/>
        <v>-6.0993253089323841E-3</v>
      </c>
      <c r="M1024" s="3">
        <f>Prices!M1024</f>
        <v>24.110001</v>
      </c>
      <c r="N1024" s="99">
        <f t="shared" si="62"/>
        <v>1.2458887043190268E-3</v>
      </c>
      <c r="O1024" s="99">
        <f t="shared" si="63"/>
        <v>-4.9116869431463318E-4</v>
      </c>
    </row>
    <row r="1025" spans="9:15">
      <c r="I1025" s="178">
        <f>Prices!A1025</f>
        <v>43091</v>
      </c>
      <c r="J1025" s="3">
        <f>Prices!E1025</f>
        <v>24.76</v>
      </c>
      <c r="K1025" s="99">
        <f t="shared" si="60"/>
        <v>-1.197122952798201E-2</v>
      </c>
      <c r="L1025" s="99">
        <f t="shared" si="61"/>
        <v>-6.7650621440692128E-3</v>
      </c>
      <c r="M1025" s="3">
        <f>Prices!M1025</f>
        <v>24.08</v>
      </c>
      <c r="N1025" s="99">
        <f t="shared" si="62"/>
        <v>-8.2987551867232882E-4</v>
      </c>
      <c r="O1025" s="99">
        <f t="shared" si="63"/>
        <v>-3.4727756252027239E-4</v>
      </c>
    </row>
    <row r="1026" spans="9:15">
      <c r="I1026" s="178">
        <f>Prices!A1026</f>
        <v>43096</v>
      </c>
      <c r="J1026" s="3">
        <f>Prices!E1026</f>
        <v>25.059999000000001</v>
      </c>
      <c r="K1026" s="99">
        <f t="shared" si="60"/>
        <v>6.8300525042207395E-3</v>
      </c>
      <c r="L1026" s="99">
        <f t="shared" si="61"/>
        <v>-5.9368169139710396E-3</v>
      </c>
      <c r="M1026" s="3">
        <f>Prices!M1026</f>
        <v>24.1</v>
      </c>
      <c r="N1026" s="99">
        <f t="shared" si="62"/>
        <v>-1.6569594721192044E-3</v>
      </c>
      <c r="O1026" s="99">
        <f t="shared" si="63"/>
        <v>-9.8744449112532755E-5</v>
      </c>
    </row>
    <row r="1027" spans="9:15">
      <c r="I1027" s="178">
        <f>Prices!A1027</f>
        <v>43097</v>
      </c>
      <c r="J1027" s="3">
        <f>Prices!E1027</f>
        <v>24.889999</v>
      </c>
      <c r="K1027" s="99">
        <f t="shared" si="60"/>
        <v>4.4389828717117863E-3</v>
      </c>
      <c r="L1027" s="99">
        <f t="shared" si="61"/>
        <v>-7.502037222739474E-3</v>
      </c>
      <c r="M1027" s="3">
        <f>Prices!M1027</f>
        <v>24.139999</v>
      </c>
      <c r="N1027" s="99">
        <f t="shared" si="62"/>
        <v>-4.1412008281569519E-4</v>
      </c>
      <c r="O1027" s="99">
        <f t="shared" si="63"/>
        <v>-5.7270079147456125E-5</v>
      </c>
    </row>
    <row r="1028" spans="9:15">
      <c r="I1028" s="178">
        <f>Prices!A1028</f>
        <v>43098</v>
      </c>
      <c r="J1028" s="3">
        <f>Prices!E1028</f>
        <v>24.780000999999999</v>
      </c>
      <c r="K1028" s="99">
        <f t="shared" si="60"/>
        <v>-3.1652950371238817E-2</v>
      </c>
      <c r="L1028" s="99">
        <f t="shared" si="61"/>
        <v>-8.4207912609545674E-3</v>
      </c>
      <c r="M1028" s="3">
        <f>Prices!M1028</f>
        <v>24.15</v>
      </c>
      <c r="N1028" s="99">
        <f t="shared" si="62"/>
        <v>-4.5342126957956712E-3</v>
      </c>
      <c r="O1028" s="99">
        <f t="shared" si="63"/>
        <v>3.5959939455129636E-4</v>
      </c>
    </row>
    <row r="1029" spans="9:15">
      <c r="I1029" s="178">
        <f>Prices!A1029</f>
        <v>43102</v>
      </c>
      <c r="J1029" s="3">
        <f>Prices!E1029</f>
        <v>25.59</v>
      </c>
      <c r="K1029" s="99">
        <f t="shared" si="60"/>
        <v>-1.9500390776146163E-3</v>
      </c>
      <c r="L1029" s="99">
        <f t="shared" si="61"/>
        <v>-5.8149040615046565E-3</v>
      </c>
      <c r="M1029" s="3">
        <f>Prices!M1029</f>
        <v>24.26</v>
      </c>
      <c r="N1029" s="99">
        <f t="shared" si="62"/>
        <v>-5.330012518655617E-3</v>
      </c>
      <c r="O1029" s="99">
        <f t="shared" si="63"/>
        <v>9.4330500443536513E-4</v>
      </c>
    </row>
    <row r="1030" spans="9:15">
      <c r="I1030" s="178">
        <f>Prices!A1030</f>
        <v>43103</v>
      </c>
      <c r="J1030" s="3">
        <f>Prices!E1030</f>
        <v>25.639999</v>
      </c>
      <c r="K1030" s="99">
        <f t="shared" si="60"/>
        <v>-8.1238297872341155E-3</v>
      </c>
      <c r="L1030" s="99">
        <f t="shared" si="61"/>
        <v>-5.7520641526845892E-3</v>
      </c>
      <c r="M1030" s="3">
        <f>Prices!M1030</f>
        <v>24.389999</v>
      </c>
      <c r="N1030" s="99">
        <f t="shared" si="62"/>
        <v>-4.083340138832132E-3</v>
      </c>
      <c r="O1030" s="99">
        <f t="shared" si="63"/>
        <v>1.2518358934185787E-3</v>
      </c>
    </row>
    <row r="1031" spans="9:15">
      <c r="I1031" s="178">
        <f>Prices!A1031</f>
        <v>43104</v>
      </c>
      <c r="J1031" s="3">
        <f>Prices!E1031</f>
        <v>25.85</v>
      </c>
      <c r="K1031" s="99">
        <f t="shared" ref="K1031:K1094" si="64">(J1031-J1032)/J1032</f>
        <v>-8.4388185654007998E-3</v>
      </c>
      <c r="L1031" s="99">
        <f t="shared" ref="L1031:L1094" si="65">AVERAGE(K1031:K1050)</f>
        <v>-5.5529817488288924E-3</v>
      </c>
      <c r="M1031" s="3">
        <f>Prices!M1031</f>
        <v>24.49</v>
      </c>
      <c r="N1031" s="99">
        <f t="shared" ref="N1031:N1094" si="66">(M1031-M1032)/M1032</f>
        <v>3.2773453502662146E-3</v>
      </c>
      <c r="O1031" s="99">
        <f t="shared" ref="O1031:O1094" si="67">AVERAGE(N1031:N1050)</f>
        <v>1.7307302883568041E-3</v>
      </c>
    </row>
    <row r="1032" spans="9:15">
      <c r="I1032" s="178">
        <f>Prices!A1032</f>
        <v>43105</v>
      </c>
      <c r="J1032" s="3">
        <f>Prices!E1032</f>
        <v>26.07</v>
      </c>
      <c r="K1032" s="99">
        <f t="shared" si="64"/>
        <v>-6.8571428571428464E-3</v>
      </c>
      <c r="L1032" s="99">
        <f t="shared" si="65"/>
        <v>-4.4841894219574538E-3</v>
      </c>
      <c r="M1032" s="3">
        <f>Prices!M1032</f>
        <v>24.41</v>
      </c>
      <c r="N1032" s="99">
        <f t="shared" si="66"/>
        <v>2.4640657084188384E-3</v>
      </c>
      <c r="O1032" s="99">
        <f t="shared" si="67"/>
        <v>2.3393973887634242E-3</v>
      </c>
    </row>
    <row r="1033" spans="9:15">
      <c r="I1033" s="178">
        <f>Prices!A1033</f>
        <v>43108</v>
      </c>
      <c r="J1033" s="3">
        <f>Prices!E1033</f>
        <v>26.25</v>
      </c>
      <c r="K1033" s="99">
        <f t="shared" si="64"/>
        <v>-4.9279380184965712E-3</v>
      </c>
      <c r="L1033" s="99">
        <f t="shared" si="65"/>
        <v>-3.5934372825607184E-3</v>
      </c>
      <c r="M1033" s="3">
        <f>Prices!M1033</f>
        <v>24.35</v>
      </c>
      <c r="N1033" s="99">
        <f t="shared" si="66"/>
        <v>-8.2072216574784098E-4</v>
      </c>
      <c r="O1033" s="99">
        <f t="shared" si="67"/>
        <v>3.2679009394511577E-3</v>
      </c>
    </row>
    <row r="1034" spans="9:15">
      <c r="I1034" s="178">
        <f>Prices!A1034</f>
        <v>43109</v>
      </c>
      <c r="J1034" s="3">
        <f>Prices!E1034</f>
        <v>26.379999000000002</v>
      </c>
      <c r="K1034" s="99">
        <f t="shared" si="64"/>
        <v>1.4225259515570932E-2</v>
      </c>
      <c r="L1034" s="99">
        <f t="shared" si="65"/>
        <v>-4.7387912407424225E-3</v>
      </c>
      <c r="M1034" s="3">
        <f>Prices!M1034</f>
        <v>24.370000999999998</v>
      </c>
      <c r="N1034" s="99">
        <f t="shared" si="66"/>
        <v>4.9484948453607618E-3</v>
      </c>
      <c r="O1034" s="99">
        <f t="shared" si="67"/>
        <v>3.1342645586555835E-3</v>
      </c>
    </row>
    <row r="1035" spans="9:15">
      <c r="I1035" s="178">
        <f>Prices!A1035</f>
        <v>43110</v>
      </c>
      <c r="J1035" s="3">
        <f>Prices!E1035</f>
        <v>26.01</v>
      </c>
      <c r="K1035" s="99">
        <f t="shared" si="64"/>
        <v>9.7049689440993781E-3</v>
      </c>
      <c r="L1035" s="99">
        <f t="shared" si="65"/>
        <v>-5.977085838418281E-3</v>
      </c>
      <c r="M1035" s="3">
        <f>Prices!M1035</f>
        <v>24.25</v>
      </c>
      <c r="N1035" s="99">
        <f t="shared" si="66"/>
        <v>-2.8782894736842221E-3</v>
      </c>
      <c r="O1035" s="99">
        <f t="shared" si="67"/>
        <v>3.0181883277710805E-3</v>
      </c>
    </row>
    <row r="1036" spans="9:15">
      <c r="I1036" s="178">
        <f>Prices!A1036</f>
        <v>43111</v>
      </c>
      <c r="J1036" s="3">
        <f>Prices!E1036</f>
        <v>25.76</v>
      </c>
      <c r="K1036" s="99">
        <f t="shared" si="64"/>
        <v>-5.2592899867859408E-2</v>
      </c>
      <c r="L1036" s="99">
        <f t="shared" si="65"/>
        <v>-5.0821823422323286E-3</v>
      </c>
      <c r="M1036" s="3">
        <f>Prices!M1036</f>
        <v>24.32</v>
      </c>
      <c r="N1036" s="99">
        <f t="shared" si="66"/>
        <v>-8.2169268693506878E-4</v>
      </c>
      <c r="O1036" s="99">
        <f t="shared" si="67"/>
        <v>4.0987664945864206E-3</v>
      </c>
    </row>
    <row r="1037" spans="9:15">
      <c r="I1037" s="178">
        <f>Prices!A1037</f>
        <v>43112</v>
      </c>
      <c r="J1037" s="3">
        <f>Prices!E1037</f>
        <v>27.190000999999999</v>
      </c>
      <c r="K1037" s="99">
        <f t="shared" si="64"/>
        <v>3.6914359542266112E-3</v>
      </c>
      <c r="L1037" s="99">
        <f t="shared" si="65"/>
        <v>-2.2420092786639223E-3</v>
      </c>
      <c r="M1037" s="3">
        <f>Prices!M1037</f>
        <v>24.34</v>
      </c>
      <c r="N1037" s="99">
        <f t="shared" si="66"/>
        <v>-2.4590163934425707E-3</v>
      </c>
      <c r="O1037" s="99">
        <f t="shared" si="67"/>
        <v>4.1844939860760377E-3</v>
      </c>
    </row>
    <row r="1038" spans="9:15">
      <c r="I1038" s="178">
        <f>Prices!A1038</f>
        <v>43115</v>
      </c>
      <c r="J1038" s="3">
        <f>Prices!E1038</f>
        <v>27.09</v>
      </c>
      <c r="K1038" s="99">
        <f t="shared" si="64"/>
        <v>7.0631970260223529E-3</v>
      </c>
      <c r="L1038" s="99">
        <f t="shared" si="65"/>
        <v>-2.6883611810872938E-3</v>
      </c>
      <c r="M1038" s="3">
        <f>Prices!M1038</f>
        <v>24.4</v>
      </c>
      <c r="N1038" s="99">
        <f t="shared" si="66"/>
        <v>3.702221460395672E-3</v>
      </c>
      <c r="O1038" s="99">
        <f t="shared" si="67"/>
        <v>3.6901608551308794E-3</v>
      </c>
    </row>
    <row r="1039" spans="9:15">
      <c r="I1039" s="178">
        <f>Prices!A1039</f>
        <v>43116</v>
      </c>
      <c r="J1039" s="3">
        <f>Prices!E1039</f>
        <v>26.9</v>
      </c>
      <c r="K1039" s="99">
        <f t="shared" si="64"/>
        <v>-1.7531008675347393E-2</v>
      </c>
      <c r="L1039" s="99">
        <f t="shared" si="65"/>
        <v>-3.6279301389768896E-3</v>
      </c>
      <c r="M1039" s="3">
        <f>Prices!M1039</f>
        <v>24.309999000000001</v>
      </c>
      <c r="N1039" s="99">
        <f t="shared" si="66"/>
        <v>-1.6427515400410748E-3</v>
      </c>
      <c r="O1039" s="99">
        <f t="shared" si="67"/>
        <v>3.5271053621728477E-3</v>
      </c>
    </row>
    <row r="1040" spans="9:15">
      <c r="I1040" s="178">
        <f>Prices!A1040</f>
        <v>43117</v>
      </c>
      <c r="J1040" s="3">
        <f>Prices!E1040</f>
        <v>27.379999000000002</v>
      </c>
      <c r="K1040" s="99">
        <f t="shared" si="64"/>
        <v>-7.2516678752718193E-3</v>
      </c>
      <c r="L1040" s="99">
        <f t="shared" si="65"/>
        <v>-4.6272113162376862E-3</v>
      </c>
      <c r="M1040" s="3">
        <f>Prices!M1040</f>
        <v>24.35</v>
      </c>
      <c r="N1040" s="99">
        <f t="shared" si="66"/>
        <v>1.6454546131408798E-3</v>
      </c>
      <c r="O1040" s="99">
        <f t="shared" si="67"/>
        <v>3.2588268200334281E-3</v>
      </c>
    </row>
    <row r="1041" spans="9:15">
      <c r="I1041" s="178">
        <f>Prices!A1041</f>
        <v>43118</v>
      </c>
      <c r="J1041" s="3">
        <f>Prices!E1041</f>
        <v>27.58</v>
      </c>
      <c r="K1041" s="99">
        <f t="shared" si="64"/>
        <v>-2.6817219477769993E-2</v>
      </c>
      <c r="L1041" s="99">
        <f t="shared" si="65"/>
        <v>-4.2978031060565526E-3</v>
      </c>
      <c r="M1041" s="3">
        <f>Prices!M1041</f>
        <v>24.309999000000001</v>
      </c>
      <c r="N1041" s="99">
        <f t="shared" si="66"/>
        <v>-3.6885655737703828E-3</v>
      </c>
      <c r="O1041" s="99">
        <f t="shared" si="67"/>
        <v>2.9367960353117823E-3</v>
      </c>
    </row>
    <row r="1042" spans="9:15">
      <c r="I1042" s="178">
        <f>Prices!A1042</f>
        <v>43119</v>
      </c>
      <c r="J1042" s="3">
        <f>Prices!E1042</f>
        <v>28.34</v>
      </c>
      <c r="K1042" s="99">
        <f t="shared" si="64"/>
        <v>4.9645033700530554E-3</v>
      </c>
      <c r="L1042" s="99">
        <f t="shared" si="65"/>
        <v>-2.7905007262573138E-3</v>
      </c>
      <c r="M1042" s="3">
        <f>Prices!M1042</f>
        <v>24.4</v>
      </c>
      <c r="N1042" s="99">
        <f t="shared" si="66"/>
        <v>1.6419950064861704E-3</v>
      </c>
      <c r="O1042" s="99">
        <f t="shared" si="67"/>
        <v>2.9474645398908294E-3</v>
      </c>
    </row>
    <row r="1043" spans="9:15">
      <c r="I1043" s="178">
        <f>Prices!A1043</f>
        <v>43122</v>
      </c>
      <c r="J1043" s="3">
        <f>Prices!E1043</f>
        <v>28.200001</v>
      </c>
      <c r="K1043" s="99">
        <f t="shared" si="64"/>
        <v>-5.2909700176367227E-3</v>
      </c>
      <c r="L1043" s="99">
        <f t="shared" si="65"/>
        <v>-3.7928226160714425E-3</v>
      </c>
      <c r="M1043" s="3">
        <f>Prices!M1043</f>
        <v>24.360001</v>
      </c>
      <c r="N1043" s="99">
        <f t="shared" si="66"/>
        <v>4.1071868583158268E-4</v>
      </c>
      <c r="O1043" s="99">
        <f t="shared" si="67"/>
        <v>2.9088430504360849E-3</v>
      </c>
    </row>
    <row r="1044" spans="9:15">
      <c r="I1044" s="178">
        <f>Prices!A1044</f>
        <v>43123</v>
      </c>
      <c r="J1044" s="3">
        <f>Prices!E1044</f>
        <v>28.35</v>
      </c>
      <c r="K1044" s="99">
        <f t="shared" si="64"/>
        <v>-2.8139289482939957E-3</v>
      </c>
      <c r="L1044" s="99">
        <f t="shared" si="65"/>
        <v>-4.1755233061281146E-3</v>
      </c>
      <c r="M1044" s="3">
        <f>Prices!M1044</f>
        <v>24.35</v>
      </c>
      <c r="N1044" s="99">
        <f t="shared" si="66"/>
        <v>4.1237113402062438E-3</v>
      </c>
      <c r="O1044" s="99">
        <f t="shared" si="67"/>
        <v>2.5000413698114611E-3</v>
      </c>
    </row>
    <row r="1045" spans="9:15">
      <c r="I1045" s="178">
        <f>Prices!A1045</f>
        <v>43124</v>
      </c>
      <c r="J1045" s="3">
        <f>Prices!E1045</f>
        <v>28.43</v>
      </c>
      <c r="K1045" s="99">
        <f t="shared" si="64"/>
        <v>4.5936750739814522E-3</v>
      </c>
      <c r="L1045" s="99">
        <f t="shared" si="65"/>
        <v>-3.39569214878225E-3</v>
      </c>
      <c r="M1045" s="3">
        <f>Prices!M1045</f>
        <v>24.25</v>
      </c>
      <c r="N1045" s="99">
        <f t="shared" si="66"/>
        <v>4.1407867494824609E-3</v>
      </c>
      <c r="O1045" s="99">
        <f t="shared" si="67"/>
        <v>2.6851601506272353E-3</v>
      </c>
    </row>
    <row r="1046" spans="9:15">
      <c r="I1046" s="178">
        <f>Prices!A1046</f>
        <v>43125</v>
      </c>
      <c r="J1046" s="3">
        <f>Prices!E1046</f>
        <v>28.299999</v>
      </c>
      <c r="K1046" s="99">
        <f t="shared" si="64"/>
        <v>-2.4474353671147944E-2</v>
      </c>
      <c r="L1046" s="99">
        <f t="shared" si="65"/>
        <v>-4.160395357734238E-3</v>
      </c>
      <c r="M1046" s="3">
        <f>Prices!M1046</f>
        <v>24.15</v>
      </c>
      <c r="N1046" s="99">
        <f t="shared" si="66"/>
        <v>-8.274720728176717E-4</v>
      </c>
      <c r="O1046" s="99">
        <f t="shared" si="67"/>
        <v>2.0470841938012422E-3</v>
      </c>
    </row>
    <row r="1047" spans="9:15">
      <c r="I1047" s="178">
        <f>Prices!A1047</f>
        <v>43126</v>
      </c>
      <c r="J1047" s="3">
        <f>Prices!E1047</f>
        <v>29.01</v>
      </c>
      <c r="K1047" s="99">
        <f t="shared" si="64"/>
        <v>-1.3936097892590078E-2</v>
      </c>
      <c r="L1047" s="99">
        <f t="shared" si="65"/>
        <v>-2.8879905580234148E-3</v>
      </c>
      <c r="M1047" s="3">
        <f>Prices!M1047</f>
        <v>24.17</v>
      </c>
      <c r="N1047" s="99">
        <f t="shared" si="66"/>
        <v>7.9232693911593533E-3</v>
      </c>
      <c r="O1047" s="99">
        <f t="shared" si="67"/>
        <v>1.8098487104296994E-3</v>
      </c>
    </row>
    <row r="1048" spans="9:15">
      <c r="I1048" s="178">
        <f>Prices!A1048</f>
        <v>43129</v>
      </c>
      <c r="J1048" s="3">
        <f>Prices!E1048</f>
        <v>29.42</v>
      </c>
      <c r="K1048" s="99">
        <f t="shared" si="64"/>
        <v>2.0464793617759398E-2</v>
      </c>
      <c r="L1048" s="99">
        <f t="shared" si="65"/>
        <v>-2.7369336569733607E-3</v>
      </c>
      <c r="M1048" s="3">
        <f>Prices!M1048</f>
        <v>23.98</v>
      </c>
      <c r="N1048" s="99">
        <f t="shared" si="66"/>
        <v>7.1398995018857065E-3</v>
      </c>
      <c r="O1048" s="99">
        <f t="shared" si="67"/>
        <v>1.5426065988433666E-3</v>
      </c>
    </row>
    <row r="1049" spans="9:15">
      <c r="I1049" s="178">
        <f>Prices!A1049</f>
        <v>43130</v>
      </c>
      <c r="J1049" s="3">
        <f>Prices!E1049</f>
        <v>28.83</v>
      </c>
      <c r="K1049" s="99">
        <f t="shared" si="64"/>
        <v>-6.9324090121327992E-4</v>
      </c>
      <c r="L1049" s="99">
        <f t="shared" si="65"/>
        <v>-2.3914398286265055E-3</v>
      </c>
      <c r="M1049" s="3">
        <f>Prices!M1049</f>
        <v>23.809999000000001</v>
      </c>
      <c r="N1049" s="99">
        <f t="shared" si="66"/>
        <v>8.4060526100865113E-4</v>
      </c>
      <c r="O1049" s="99">
        <f t="shared" si="67"/>
        <v>1.9491369291591992E-3</v>
      </c>
    </row>
    <row r="1050" spans="9:15">
      <c r="I1050" s="178">
        <f>Prices!A1050</f>
        <v>43131</v>
      </c>
      <c r="J1050" s="3">
        <f>Prices!E1050</f>
        <v>28.85</v>
      </c>
      <c r="K1050" s="99">
        <f t="shared" si="64"/>
        <v>-4.1421817101201823E-3</v>
      </c>
      <c r="L1050" s="99">
        <f t="shared" si="65"/>
        <v>-1.9745910105515505E-3</v>
      </c>
      <c r="M1050" s="3">
        <f>Prices!M1050</f>
        <v>23.790001</v>
      </c>
      <c r="N1050" s="99">
        <f t="shared" si="66"/>
        <v>5.4945477599323764E-3</v>
      </c>
      <c r="O1050" s="99">
        <f t="shared" si="67"/>
        <v>2.1262127134356757E-3</v>
      </c>
    </row>
    <row r="1051" spans="9:15">
      <c r="I1051" s="178">
        <f>Prices!A1051</f>
        <v>43132</v>
      </c>
      <c r="J1051" s="3">
        <f>Prices!E1051</f>
        <v>28.969999000000001</v>
      </c>
      <c r="K1051" s="99">
        <f t="shared" si="64"/>
        <v>1.2937027972027971E-2</v>
      </c>
      <c r="L1051" s="99">
        <f t="shared" si="65"/>
        <v>-1.3485811207559974E-3</v>
      </c>
      <c r="M1051" s="3">
        <f>Prices!M1051</f>
        <v>23.66</v>
      </c>
      <c r="N1051" s="99">
        <f t="shared" si="66"/>
        <v>1.5450687358398619E-2</v>
      </c>
      <c r="O1051" s="99">
        <f t="shared" si="67"/>
        <v>1.8953471694680862E-3</v>
      </c>
    </row>
    <row r="1052" spans="9:15">
      <c r="I1052" s="178">
        <f>Prices!A1052</f>
        <v>43133</v>
      </c>
      <c r="J1052" s="3">
        <f>Prices!E1052</f>
        <v>28.6</v>
      </c>
      <c r="K1052" s="99">
        <f t="shared" si="64"/>
        <v>1.0957899930791846E-2</v>
      </c>
      <c r="L1052" s="99">
        <f t="shared" si="65"/>
        <v>-4.9387741057054587E-4</v>
      </c>
      <c r="M1052" s="3">
        <f>Prices!M1052</f>
        <v>23.299999</v>
      </c>
      <c r="N1052" s="99">
        <f t="shared" si="66"/>
        <v>2.1034136722173507E-2</v>
      </c>
      <c r="O1052" s="99">
        <f t="shared" si="67"/>
        <v>5.8051342878028705E-4</v>
      </c>
    </row>
    <row r="1053" spans="9:15">
      <c r="I1053" s="178">
        <f>Prices!A1053</f>
        <v>43136</v>
      </c>
      <c r="J1053" s="3">
        <f>Prices!E1053</f>
        <v>28.290001</v>
      </c>
      <c r="K1053" s="99">
        <f t="shared" si="64"/>
        <v>-2.7835017182130627E-2</v>
      </c>
      <c r="L1053" s="99">
        <f t="shared" si="65"/>
        <v>-2.1720018649451374E-3</v>
      </c>
      <c r="M1053" s="3">
        <f>Prices!M1053</f>
        <v>22.82</v>
      </c>
      <c r="N1053" s="99">
        <f t="shared" si="66"/>
        <v>-3.4934497816593146E-3</v>
      </c>
      <c r="O1053" s="99">
        <f t="shared" si="67"/>
        <v>-4.4949635965899103E-4</v>
      </c>
    </row>
    <row r="1054" spans="9:15">
      <c r="I1054" s="178">
        <f>Prices!A1054</f>
        <v>43137</v>
      </c>
      <c r="J1054" s="3">
        <f>Prices!E1054</f>
        <v>29.1</v>
      </c>
      <c r="K1054" s="99">
        <f t="shared" si="64"/>
        <v>-1.0540632437946233E-2</v>
      </c>
      <c r="L1054" s="99">
        <f t="shared" si="65"/>
        <v>-5.5998838299889375E-4</v>
      </c>
      <c r="M1054" s="3">
        <f>Prices!M1054</f>
        <v>22.9</v>
      </c>
      <c r="N1054" s="99">
        <f t="shared" si="66"/>
        <v>2.6269702276706971E-3</v>
      </c>
      <c r="O1054" s="99">
        <f t="shared" si="67"/>
        <v>-1.006034797127669E-4</v>
      </c>
    </row>
    <row r="1055" spans="9:15">
      <c r="I1055" s="178">
        <f>Prices!A1055</f>
        <v>43138</v>
      </c>
      <c r="J1055" s="3">
        <f>Prices!E1055</f>
        <v>29.41</v>
      </c>
      <c r="K1055" s="99">
        <f t="shared" si="64"/>
        <v>2.7603038867818407E-2</v>
      </c>
      <c r="L1055" s="99">
        <f t="shared" si="65"/>
        <v>-1.8498378812860909E-4</v>
      </c>
      <c r="M1055" s="3">
        <f>Prices!M1055</f>
        <v>22.84</v>
      </c>
      <c r="N1055" s="99">
        <f t="shared" si="66"/>
        <v>1.8733273862622576E-2</v>
      </c>
      <c r="O1055" s="99">
        <f t="shared" si="67"/>
        <v>-4.2717976529273421E-4</v>
      </c>
    </row>
    <row r="1056" spans="9:15">
      <c r="I1056" s="178">
        <f>Prices!A1056</f>
        <v>43139</v>
      </c>
      <c r="J1056" s="3">
        <f>Prices!E1056</f>
        <v>28.620000999999998</v>
      </c>
      <c r="K1056" s="99">
        <f t="shared" si="64"/>
        <v>4.2105614035087184E-3</v>
      </c>
      <c r="L1056" s="99">
        <f t="shared" si="65"/>
        <v>-3.3409600464160945E-3</v>
      </c>
      <c r="M1056" s="3">
        <f>Prices!M1056</f>
        <v>22.42</v>
      </c>
      <c r="N1056" s="99">
        <f t="shared" si="66"/>
        <v>8.9285714285728247E-4</v>
      </c>
      <c r="O1056" s="99">
        <f t="shared" si="67"/>
        <v>-1.5152318601804168E-3</v>
      </c>
    </row>
    <row r="1057" spans="9:15">
      <c r="I1057" s="178">
        <f>Prices!A1057</f>
        <v>43140</v>
      </c>
      <c r="J1057" s="3">
        <f>Prices!E1057</f>
        <v>28.5</v>
      </c>
      <c r="K1057" s="99">
        <f t="shared" si="64"/>
        <v>-5.2356020942407886E-3</v>
      </c>
      <c r="L1057" s="99">
        <f t="shared" si="65"/>
        <v>-2.6559640701570345E-3</v>
      </c>
      <c r="M1057" s="3">
        <f>Prices!M1057</f>
        <v>22.4</v>
      </c>
      <c r="N1057" s="99">
        <f t="shared" si="66"/>
        <v>-1.2345679012345729E-2</v>
      </c>
      <c r="O1057" s="99">
        <f t="shared" si="67"/>
        <v>-1.6677707035123259E-3</v>
      </c>
    </row>
    <row r="1058" spans="9:15">
      <c r="I1058" s="178">
        <f>Prices!A1058</f>
        <v>43143</v>
      </c>
      <c r="J1058" s="3">
        <f>Prices!E1058</f>
        <v>28.65</v>
      </c>
      <c r="K1058" s="99">
        <f t="shared" si="64"/>
        <v>-1.1728182131769571E-2</v>
      </c>
      <c r="L1058" s="99">
        <f t="shared" si="65"/>
        <v>-2.3111274870396843E-3</v>
      </c>
      <c r="M1058" s="3">
        <f>Prices!M1058</f>
        <v>22.68</v>
      </c>
      <c r="N1058" s="99">
        <f t="shared" si="66"/>
        <v>4.4111160123502471E-4</v>
      </c>
      <c r="O1058" s="99">
        <f t="shared" si="67"/>
        <v>-1.2010891625335871E-3</v>
      </c>
    </row>
    <row r="1059" spans="9:15">
      <c r="I1059" s="178">
        <f>Prices!A1059</f>
        <v>43144</v>
      </c>
      <c r="J1059" s="3">
        <f>Prices!E1059</f>
        <v>28.99</v>
      </c>
      <c r="K1059" s="99">
        <f t="shared" si="64"/>
        <v>-3.751663222056334E-2</v>
      </c>
      <c r="L1059" s="99">
        <f t="shared" si="65"/>
        <v>-1.9067756522836185E-3</v>
      </c>
      <c r="M1059" s="3">
        <f>Prices!M1059</f>
        <v>22.67</v>
      </c>
      <c r="N1059" s="99">
        <f t="shared" si="66"/>
        <v>-7.0083223828294617E-3</v>
      </c>
      <c r="O1059" s="99">
        <f t="shared" si="67"/>
        <v>-1.3090575395922114E-3</v>
      </c>
    </row>
    <row r="1060" spans="9:15">
      <c r="I1060" s="178">
        <f>Prices!A1060</f>
        <v>43145</v>
      </c>
      <c r="J1060" s="3">
        <f>Prices!E1060</f>
        <v>30.120000999999998</v>
      </c>
      <c r="K1060" s="99">
        <f t="shared" si="64"/>
        <v>-6.6350367164912886E-4</v>
      </c>
      <c r="L1060" s="99">
        <f t="shared" si="65"/>
        <v>-2.615881928205289E-4</v>
      </c>
      <c r="M1060" s="3">
        <f>Prices!M1060</f>
        <v>22.83</v>
      </c>
      <c r="N1060" s="99">
        <f t="shared" si="66"/>
        <v>-4.7951610812920391E-3</v>
      </c>
      <c r="O1060" s="99">
        <f t="shared" si="67"/>
        <v>-1.065797442739636E-3</v>
      </c>
    </row>
    <row r="1061" spans="9:15">
      <c r="I1061" s="178">
        <f>Prices!A1061</f>
        <v>43146</v>
      </c>
      <c r="J1061" s="3">
        <f>Prices!E1061</f>
        <v>30.139999</v>
      </c>
      <c r="K1061" s="99">
        <f t="shared" si="64"/>
        <v>3.3288281182147551E-3</v>
      </c>
      <c r="L1061" s="99">
        <f t="shared" si="65"/>
        <v>-2.9934676456066589E-5</v>
      </c>
      <c r="M1061" s="3">
        <f>Prices!M1061</f>
        <v>22.940000999999999</v>
      </c>
      <c r="N1061" s="99">
        <f t="shared" si="66"/>
        <v>-3.4751954821894363E-3</v>
      </c>
      <c r="O1061" s="99">
        <f t="shared" si="67"/>
        <v>-9.1162132767452363E-4</v>
      </c>
    </row>
    <row r="1062" spans="9:15">
      <c r="I1062" s="178">
        <f>Prices!A1062</f>
        <v>43147</v>
      </c>
      <c r="J1062" s="3">
        <f>Prices!E1062</f>
        <v>30.040001</v>
      </c>
      <c r="K1062" s="99">
        <f t="shared" si="64"/>
        <v>-1.5081934426229503E-2</v>
      </c>
      <c r="L1062" s="99">
        <f t="shared" si="65"/>
        <v>3.8930164807756253E-4</v>
      </c>
      <c r="M1062" s="3">
        <f>Prices!M1062</f>
        <v>23.02</v>
      </c>
      <c r="N1062" s="99">
        <f t="shared" si="66"/>
        <v>8.6956521739128584E-4</v>
      </c>
      <c r="O1062" s="99">
        <f t="shared" si="67"/>
        <v>-2.8449151902274074E-4</v>
      </c>
    </row>
    <row r="1063" spans="9:15">
      <c r="I1063" s="178">
        <f>Prices!A1063</f>
        <v>43151</v>
      </c>
      <c r="J1063" s="3">
        <f>Prices!E1063</f>
        <v>30.5</v>
      </c>
      <c r="K1063" s="99">
        <f t="shared" si="64"/>
        <v>-1.294498381877018E-2</v>
      </c>
      <c r="L1063" s="99">
        <f t="shared" si="65"/>
        <v>-1.1272071707099009E-4</v>
      </c>
      <c r="M1063" s="3">
        <f>Prices!M1063</f>
        <v>23</v>
      </c>
      <c r="N1063" s="99">
        <f t="shared" si="66"/>
        <v>-7.7653149266609022E-3</v>
      </c>
      <c r="O1063" s="99">
        <f t="shared" si="67"/>
        <v>-4.1417882790053628E-4</v>
      </c>
    </row>
    <row r="1064" spans="9:15">
      <c r="I1064" s="178">
        <f>Prices!A1064</f>
        <v>43152</v>
      </c>
      <c r="J1064" s="3">
        <f>Prices!E1064</f>
        <v>30.9</v>
      </c>
      <c r="K1064" s="99">
        <f t="shared" si="64"/>
        <v>1.2782694198623304E-2</v>
      </c>
      <c r="L1064" s="99">
        <f t="shared" si="65"/>
        <v>1.942805911795012E-4</v>
      </c>
      <c r="M1064" s="3">
        <f>Prices!M1064</f>
        <v>23.18</v>
      </c>
      <c r="N1064" s="99">
        <f t="shared" si="66"/>
        <v>7.8260869565217276E-3</v>
      </c>
      <c r="O1064" s="99">
        <f t="shared" si="67"/>
        <v>-1.5488771613327208E-4</v>
      </c>
    </row>
    <row r="1065" spans="9:15">
      <c r="I1065" s="178">
        <f>Prices!A1065</f>
        <v>43153</v>
      </c>
      <c r="J1065" s="3">
        <f>Prices!E1065</f>
        <v>30.51</v>
      </c>
      <c r="K1065" s="99">
        <f t="shared" si="64"/>
        <v>-1.070038910505831E-2</v>
      </c>
      <c r="L1065" s="99">
        <f t="shared" si="65"/>
        <v>8.6874914031052496E-4</v>
      </c>
      <c r="M1065" s="3">
        <f>Prices!M1065</f>
        <v>23</v>
      </c>
      <c r="N1065" s="99">
        <f t="shared" si="66"/>
        <v>-8.6207323870374098E-3</v>
      </c>
      <c r="O1065" s="99">
        <f t="shared" si="67"/>
        <v>4.4021964083729756E-4</v>
      </c>
    </row>
    <row r="1066" spans="9:15">
      <c r="I1066" s="178">
        <f>Prices!A1066</f>
        <v>43154</v>
      </c>
      <c r="J1066" s="3">
        <f>Prices!E1066</f>
        <v>30.84</v>
      </c>
      <c r="K1066" s="99">
        <f t="shared" si="64"/>
        <v>9.7374232306851453E-4</v>
      </c>
      <c r="L1066" s="99">
        <f t="shared" si="65"/>
        <v>3.4099948148647195E-3</v>
      </c>
      <c r="M1066" s="3">
        <f>Prices!M1066</f>
        <v>23.200001</v>
      </c>
      <c r="N1066" s="99">
        <f t="shared" si="66"/>
        <v>-5.5721817402485203E-3</v>
      </c>
      <c r="O1066" s="99">
        <f t="shared" si="67"/>
        <v>1.4926454913747381E-3</v>
      </c>
    </row>
    <row r="1067" spans="9:15">
      <c r="I1067" s="178">
        <f>Prices!A1067</f>
        <v>43157</v>
      </c>
      <c r="J1067" s="3">
        <f>Prices!E1067</f>
        <v>30.809999000000001</v>
      </c>
      <c r="K1067" s="99">
        <f t="shared" si="64"/>
        <v>-1.0914959871589001E-2</v>
      </c>
      <c r="L1067" s="99">
        <f t="shared" si="65"/>
        <v>3.55228166367567E-3</v>
      </c>
      <c r="M1067" s="3">
        <f>Prices!M1067</f>
        <v>23.33</v>
      </c>
      <c r="N1067" s="99">
        <f t="shared" si="66"/>
        <v>2.5784271594326909E-3</v>
      </c>
      <c r="O1067" s="99">
        <f t="shared" si="67"/>
        <v>1.4405689522848689E-3</v>
      </c>
    </row>
    <row r="1068" spans="9:15">
      <c r="I1068" s="178">
        <f>Prices!A1068</f>
        <v>43158</v>
      </c>
      <c r="J1068" s="3">
        <f>Prices!E1068</f>
        <v>31.15</v>
      </c>
      <c r="K1068" s="99">
        <f t="shared" si="64"/>
        <v>2.7374670184696512E-2</v>
      </c>
      <c r="L1068" s="99">
        <f t="shared" si="65"/>
        <v>4.8379874000302305E-3</v>
      </c>
      <c r="M1068" s="3">
        <f>Prices!M1068</f>
        <v>23.27</v>
      </c>
      <c r="N1068" s="99">
        <f t="shared" si="66"/>
        <v>1.527050610820235E-2</v>
      </c>
      <c r="O1068" s="99">
        <f t="shared" si="67"/>
        <v>1.4886387447557087E-3</v>
      </c>
    </row>
    <row r="1069" spans="9:15">
      <c r="I1069" s="178">
        <f>Prices!A1069</f>
        <v>43159</v>
      </c>
      <c r="J1069" s="3">
        <f>Prices!E1069</f>
        <v>30.32</v>
      </c>
      <c r="K1069" s="99">
        <f t="shared" si="64"/>
        <v>7.6437354602858238E-3</v>
      </c>
      <c r="L1069" s="99">
        <f t="shared" si="65"/>
        <v>3.9674727520053691E-3</v>
      </c>
      <c r="M1069" s="3">
        <f>Prices!M1069</f>
        <v>22.92</v>
      </c>
      <c r="N1069" s="99">
        <f t="shared" si="66"/>
        <v>4.382120946538187E-3</v>
      </c>
      <c r="O1069" s="99">
        <f t="shared" si="67"/>
        <v>8.3598040656807679E-4</v>
      </c>
    </row>
    <row r="1070" spans="9:15">
      <c r="I1070" s="178">
        <f>Prices!A1070</f>
        <v>43160</v>
      </c>
      <c r="J1070" s="3">
        <f>Prices!E1070</f>
        <v>30.09</v>
      </c>
      <c r="K1070" s="99">
        <f t="shared" si="64"/>
        <v>8.3780160857908851E-3</v>
      </c>
      <c r="L1070" s="99">
        <f t="shared" si="65"/>
        <v>1.4558140880200385E-3</v>
      </c>
      <c r="M1070" s="3">
        <f>Prices!M1070</f>
        <v>22.82</v>
      </c>
      <c r="N1070" s="99">
        <f t="shared" si="66"/>
        <v>8.7723688058059129E-4</v>
      </c>
      <c r="O1070" s="99">
        <f t="shared" si="67"/>
        <v>-8.2736454068369983E-5</v>
      </c>
    </row>
    <row r="1071" spans="9:15">
      <c r="I1071" s="178">
        <f>Prices!A1071</f>
        <v>43161</v>
      </c>
      <c r="J1071" s="3">
        <f>Prices!E1071</f>
        <v>29.84</v>
      </c>
      <c r="K1071" s="99">
        <f t="shared" si="64"/>
        <v>3.0031102175736991E-2</v>
      </c>
      <c r="L1071" s="99">
        <f t="shared" si="65"/>
        <v>2.4019815371431673E-3</v>
      </c>
      <c r="M1071" s="3">
        <f>Prices!M1071</f>
        <v>22.799999</v>
      </c>
      <c r="N1071" s="99">
        <f t="shared" si="66"/>
        <v>-1.0845987455357373E-2</v>
      </c>
      <c r="O1071" s="99">
        <f t="shared" si="67"/>
        <v>4.7074904703533723E-4</v>
      </c>
    </row>
    <row r="1072" spans="9:15">
      <c r="I1072" s="178">
        <f>Prices!A1072</f>
        <v>43164</v>
      </c>
      <c r="J1072" s="3">
        <f>Prices!E1072</f>
        <v>28.969999000000001</v>
      </c>
      <c r="K1072" s="99">
        <f t="shared" si="64"/>
        <v>-2.2604589156699977E-2</v>
      </c>
      <c r="L1072" s="99">
        <f t="shared" si="65"/>
        <v>-3.619397013729953E-4</v>
      </c>
      <c r="M1072" s="3">
        <f>Prices!M1072</f>
        <v>23.049999</v>
      </c>
      <c r="N1072" s="99">
        <f t="shared" si="66"/>
        <v>4.3394095338795805E-4</v>
      </c>
      <c r="O1072" s="99">
        <f t="shared" si="67"/>
        <v>1.1017031223144963E-3</v>
      </c>
    </row>
    <row r="1073" spans="9:15">
      <c r="I1073" s="178">
        <f>Prices!A1073</f>
        <v>43165</v>
      </c>
      <c r="J1073" s="3">
        <f>Prices!E1073</f>
        <v>29.639999</v>
      </c>
      <c r="K1073" s="99">
        <f t="shared" si="64"/>
        <v>4.405252456794238E-3</v>
      </c>
      <c r="L1073" s="99">
        <f t="shared" si="65"/>
        <v>-2.6746199763087714E-4</v>
      </c>
      <c r="M1073" s="3">
        <f>Prices!M1073</f>
        <v>23.040001</v>
      </c>
      <c r="N1073" s="99">
        <f t="shared" si="66"/>
        <v>3.4844078172651641E-3</v>
      </c>
      <c r="O1073" s="99">
        <f t="shared" si="67"/>
        <v>1.1243672084356449E-3</v>
      </c>
    </row>
    <row r="1074" spans="9:15">
      <c r="I1074" s="178">
        <f>Prices!A1074</f>
        <v>43166</v>
      </c>
      <c r="J1074" s="3">
        <f>Prices!E1074</f>
        <v>29.51</v>
      </c>
      <c r="K1074" s="99">
        <f t="shared" si="64"/>
        <v>-3.0405405405405355E-3</v>
      </c>
      <c r="L1074" s="99">
        <f t="shared" si="65"/>
        <v>-1.0002907580367246E-3</v>
      </c>
      <c r="M1074" s="3">
        <f>Prices!M1074</f>
        <v>22.959999</v>
      </c>
      <c r="N1074" s="99">
        <f t="shared" si="66"/>
        <v>-3.9045554839286481E-3</v>
      </c>
      <c r="O1074" s="99">
        <f t="shared" si="67"/>
        <v>2.9340644979655532E-4</v>
      </c>
    </row>
    <row r="1075" spans="9:15">
      <c r="I1075" s="178">
        <f>Prices!A1075</f>
        <v>43167</v>
      </c>
      <c r="J1075" s="3">
        <f>Prices!E1075</f>
        <v>29.6</v>
      </c>
      <c r="K1075" s="99">
        <f t="shared" si="64"/>
        <v>-3.5516486297931284E-2</v>
      </c>
      <c r="L1075" s="99">
        <f t="shared" si="65"/>
        <v>-9.966316835319526E-4</v>
      </c>
      <c r="M1075" s="3">
        <f>Prices!M1075</f>
        <v>23.049999</v>
      </c>
      <c r="N1075" s="99">
        <f t="shared" si="66"/>
        <v>-3.0277680351310883E-3</v>
      </c>
      <c r="O1075" s="99">
        <f t="shared" si="67"/>
        <v>1.0419764108013101E-3</v>
      </c>
    </row>
    <row r="1076" spans="9:15">
      <c r="I1076" s="178">
        <f>Prices!A1076</f>
        <v>43168</v>
      </c>
      <c r="J1076" s="3">
        <f>Prices!E1076</f>
        <v>30.690000999999999</v>
      </c>
      <c r="K1076" s="99">
        <f t="shared" si="64"/>
        <v>1.7910480928689892E-2</v>
      </c>
      <c r="L1076" s="99">
        <f t="shared" si="65"/>
        <v>6.1488109669487591E-4</v>
      </c>
      <c r="M1076" s="3">
        <f>Prices!M1076</f>
        <v>23.120000999999998</v>
      </c>
      <c r="N1076" s="99">
        <f t="shared" si="66"/>
        <v>-2.1579197237808906E-3</v>
      </c>
      <c r="O1076" s="99">
        <f t="shared" si="67"/>
        <v>1.0389076192657194E-3</v>
      </c>
    </row>
    <row r="1077" spans="9:15">
      <c r="I1077" s="178">
        <f>Prices!A1077</f>
        <v>43171</v>
      </c>
      <c r="J1077" s="3">
        <f>Prices!E1077</f>
        <v>30.15</v>
      </c>
      <c r="K1077" s="99">
        <f t="shared" si="64"/>
        <v>1.6611295681062178E-3</v>
      </c>
      <c r="L1077" s="99">
        <f t="shared" si="65"/>
        <v>-1.8186290689404763E-4</v>
      </c>
      <c r="M1077" s="3">
        <f>Prices!M1077</f>
        <v>23.17</v>
      </c>
      <c r="N1077" s="99">
        <f t="shared" si="66"/>
        <v>-3.012048192770944E-3</v>
      </c>
      <c r="O1077" s="99">
        <f t="shared" si="67"/>
        <v>1.124748025393005E-3</v>
      </c>
    </row>
    <row r="1078" spans="9:15">
      <c r="I1078" s="178">
        <f>Prices!A1078</f>
        <v>43172</v>
      </c>
      <c r="J1078" s="3">
        <f>Prices!E1078</f>
        <v>30.1</v>
      </c>
      <c r="K1078" s="99">
        <f t="shared" si="64"/>
        <v>-3.6411454366482568E-3</v>
      </c>
      <c r="L1078" s="99">
        <f t="shared" si="65"/>
        <v>-4.1265084123276365E-4</v>
      </c>
      <c r="M1078" s="3">
        <f>Prices!M1078</f>
        <v>23.24</v>
      </c>
      <c r="N1078" s="99">
        <f t="shared" si="66"/>
        <v>-1.7182559399374672E-3</v>
      </c>
      <c r="O1078" s="99">
        <f t="shared" si="67"/>
        <v>1.3416070633997827E-3</v>
      </c>
    </row>
    <row r="1079" spans="9:15">
      <c r="I1079" s="178">
        <f>Prices!A1079</f>
        <v>43173</v>
      </c>
      <c r="J1079" s="3">
        <f>Prices!E1079</f>
        <v>30.209999</v>
      </c>
      <c r="K1079" s="99">
        <f t="shared" si="64"/>
        <v>-4.6128830313015351E-3</v>
      </c>
      <c r="L1079" s="99">
        <f t="shared" si="65"/>
        <v>-3.2889140688396678E-4</v>
      </c>
      <c r="M1079" s="3">
        <f>Prices!M1079</f>
        <v>23.280000999999999</v>
      </c>
      <c r="N1079" s="99">
        <f t="shared" si="66"/>
        <v>-2.143120445777955E-3</v>
      </c>
      <c r="O1079" s="99">
        <f t="shared" si="67"/>
        <v>1.383387027210423E-3</v>
      </c>
    </row>
    <row r="1080" spans="9:15">
      <c r="I1080" s="178">
        <f>Prices!A1080</f>
        <v>43174</v>
      </c>
      <c r="J1080" s="3">
        <f>Prices!E1080</f>
        <v>30.35</v>
      </c>
      <c r="K1080" s="99">
        <f t="shared" si="64"/>
        <v>3.9695666556401254E-3</v>
      </c>
      <c r="L1080" s="99">
        <f t="shared" si="65"/>
        <v>3.6471570764407381E-4</v>
      </c>
      <c r="M1080" s="3">
        <f>Prices!M1080</f>
        <v>23.33</v>
      </c>
      <c r="N1080" s="99">
        <f t="shared" si="66"/>
        <v>-1.7116387799897903E-3</v>
      </c>
      <c r="O1080" s="99">
        <f t="shared" si="67"/>
        <v>1.5126181046869625E-3</v>
      </c>
    </row>
    <row r="1081" spans="9:15">
      <c r="I1081" s="178">
        <f>Prices!A1081</f>
        <v>43175</v>
      </c>
      <c r="J1081" s="3">
        <f>Prices!E1081</f>
        <v>30.23</v>
      </c>
      <c r="K1081" s="99">
        <f t="shared" si="64"/>
        <v>1.1713554608887332E-2</v>
      </c>
      <c r="L1081" s="99">
        <f t="shared" si="65"/>
        <v>6.1668950867761621E-4</v>
      </c>
      <c r="M1081" s="3">
        <f>Prices!M1081</f>
        <v>23.370000999999998</v>
      </c>
      <c r="N1081" s="99">
        <f t="shared" si="66"/>
        <v>9.0674006908462151E-3</v>
      </c>
      <c r="O1081" s="99">
        <f t="shared" si="67"/>
        <v>1.4880656873047017E-3</v>
      </c>
    </row>
    <row r="1082" spans="9:15">
      <c r="I1082" s="178">
        <f>Prices!A1082</f>
        <v>43178</v>
      </c>
      <c r="J1082" s="3">
        <f>Prices!E1082</f>
        <v>29.879999000000002</v>
      </c>
      <c r="K1082" s="99">
        <f t="shared" si="64"/>
        <v>-2.5122381729200557E-2</v>
      </c>
      <c r="L1082" s="99">
        <f t="shared" si="65"/>
        <v>-2.7126023101809423E-3</v>
      </c>
      <c r="M1082" s="3">
        <f>Prices!M1082</f>
        <v>23.16</v>
      </c>
      <c r="N1082" s="99">
        <f t="shared" si="66"/>
        <v>-1.7241809601646213E-3</v>
      </c>
      <c r="O1082" s="99">
        <f t="shared" si="67"/>
        <v>9.0288765627732687E-4</v>
      </c>
    </row>
    <row r="1083" spans="9:15">
      <c r="I1083" s="178">
        <f>Prices!A1083</f>
        <v>43179</v>
      </c>
      <c r="J1083" s="3">
        <f>Prices!E1083</f>
        <v>30.65</v>
      </c>
      <c r="K1083" s="99">
        <f t="shared" si="64"/>
        <v>-6.804957653760344E-3</v>
      </c>
      <c r="L1083" s="99">
        <f t="shared" si="65"/>
        <v>1.0449076001892328E-4</v>
      </c>
      <c r="M1083" s="3">
        <f>Prices!M1083</f>
        <v>23.200001</v>
      </c>
      <c r="N1083" s="99">
        <f t="shared" si="66"/>
        <v>-2.5794926913156168E-3</v>
      </c>
      <c r="O1083" s="99">
        <f t="shared" si="67"/>
        <v>4.0290263507992264E-4</v>
      </c>
    </row>
    <row r="1084" spans="9:15">
      <c r="I1084" s="178">
        <f>Prices!A1084</f>
        <v>43180</v>
      </c>
      <c r="J1084" s="3">
        <f>Prices!E1084</f>
        <v>30.860001</v>
      </c>
      <c r="K1084" s="99">
        <f t="shared" si="64"/>
        <v>2.6272065181243771E-2</v>
      </c>
      <c r="L1084" s="99">
        <f t="shared" si="65"/>
        <v>1.1538415450816106E-3</v>
      </c>
      <c r="M1084" s="3">
        <f>Prices!M1084</f>
        <v>23.26</v>
      </c>
      <c r="N1084" s="99">
        <f t="shared" si="66"/>
        <v>1.9728234095933116E-2</v>
      </c>
      <c r="O1084" s="99">
        <f t="shared" si="67"/>
        <v>8.3769204927937465E-4</v>
      </c>
    </row>
    <row r="1085" spans="9:15">
      <c r="I1085" s="178">
        <f>Prices!A1085</f>
        <v>43181</v>
      </c>
      <c r="J1085" s="3">
        <f>Prices!E1085</f>
        <v>30.07</v>
      </c>
      <c r="K1085" s="99">
        <f t="shared" si="64"/>
        <v>4.0124524386025602E-2</v>
      </c>
      <c r="L1085" s="99">
        <f t="shared" si="65"/>
        <v>5.425794231431702E-4</v>
      </c>
      <c r="M1085" s="3">
        <f>Prices!M1085</f>
        <v>22.809999000000001</v>
      </c>
      <c r="N1085" s="99">
        <f t="shared" si="66"/>
        <v>1.2427784623711408E-2</v>
      </c>
      <c r="O1085" s="99">
        <f t="shared" si="67"/>
        <v>-2.7944296136811963E-4</v>
      </c>
    </row>
    <row r="1086" spans="9:15">
      <c r="I1086" s="178">
        <f>Prices!A1086</f>
        <v>43182</v>
      </c>
      <c r="J1086" s="3">
        <f>Prices!E1086</f>
        <v>28.91</v>
      </c>
      <c r="K1086" s="99">
        <f t="shared" si="64"/>
        <v>3.8194792992874917E-3</v>
      </c>
      <c r="L1086" s="99">
        <f t="shared" si="65"/>
        <v>-1.1099940630376235E-3</v>
      </c>
      <c r="M1086" s="3">
        <f>Prices!M1086</f>
        <v>22.530000999999999</v>
      </c>
      <c r="N1086" s="99">
        <f t="shared" si="66"/>
        <v>-6.6137125220459038E-3</v>
      </c>
      <c r="O1086" s="99">
        <f t="shared" si="67"/>
        <v>-1.1609080486438504E-3</v>
      </c>
    </row>
    <row r="1087" spans="9:15">
      <c r="I1087" s="178">
        <f>Prices!A1087</f>
        <v>43185</v>
      </c>
      <c r="J1087" s="3">
        <f>Prices!E1087</f>
        <v>28.799999</v>
      </c>
      <c r="K1087" s="99">
        <f t="shared" si="64"/>
        <v>1.479915485550222E-2</v>
      </c>
      <c r="L1087" s="99">
        <f t="shared" si="65"/>
        <v>-2.1941188715349147E-3</v>
      </c>
      <c r="M1087" s="3">
        <f>Prices!M1087</f>
        <v>22.68</v>
      </c>
      <c r="N1087" s="99">
        <f t="shared" si="66"/>
        <v>3.539823008849482E-3</v>
      </c>
      <c r="O1087" s="99">
        <f t="shared" si="67"/>
        <v>-6.1254500775368597E-4</v>
      </c>
    </row>
    <row r="1088" spans="9:15">
      <c r="I1088" s="178">
        <f>Prices!A1088</f>
        <v>43186</v>
      </c>
      <c r="J1088" s="3">
        <f>Prices!E1088</f>
        <v>28.379999000000002</v>
      </c>
      <c r="K1088" s="99">
        <f t="shared" si="64"/>
        <v>9.964377224199291E-3</v>
      </c>
      <c r="L1088" s="99">
        <f t="shared" si="65"/>
        <v>-3.0824935008535604E-3</v>
      </c>
      <c r="M1088" s="3">
        <f>Prices!M1088</f>
        <v>22.6</v>
      </c>
      <c r="N1088" s="99">
        <f t="shared" si="66"/>
        <v>2.2173393444497153E-3</v>
      </c>
      <c r="O1088" s="99">
        <f t="shared" si="67"/>
        <v>-9.8467927160219237E-4</v>
      </c>
    </row>
    <row r="1089" spans="9:15">
      <c r="I1089" s="178">
        <f>Prices!A1089</f>
        <v>43187</v>
      </c>
      <c r="J1089" s="3">
        <f>Prices!E1089</f>
        <v>28.1</v>
      </c>
      <c r="K1089" s="99">
        <f t="shared" si="64"/>
        <v>-4.2589437819420782E-2</v>
      </c>
      <c r="L1089" s="99">
        <f t="shared" si="65"/>
        <v>-2.9461115148558025E-3</v>
      </c>
      <c r="M1089" s="3">
        <f>Prices!M1089</f>
        <v>22.549999</v>
      </c>
      <c r="N1089" s="99">
        <f t="shared" si="66"/>
        <v>-1.3992216266190753E-2</v>
      </c>
      <c r="O1089" s="99">
        <f t="shared" si="67"/>
        <v>-1.525471002367241E-3</v>
      </c>
    </row>
    <row r="1090" spans="9:15">
      <c r="I1090" s="178">
        <f>Prices!A1090</f>
        <v>43188</v>
      </c>
      <c r="J1090" s="3">
        <f>Prices!E1090</f>
        <v>29.35</v>
      </c>
      <c r="K1090" s="99">
        <f t="shared" si="64"/>
        <v>2.7301365068253453E-2</v>
      </c>
      <c r="L1090" s="99">
        <f t="shared" si="65"/>
        <v>3.2787865421567922E-4</v>
      </c>
      <c r="M1090" s="3">
        <f>Prices!M1090</f>
        <v>22.870000999999998</v>
      </c>
      <c r="N1090" s="99">
        <f t="shared" si="66"/>
        <v>1.1946946902654736E-2</v>
      </c>
      <c r="O1090" s="99">
        <f t="shared" si="67"/>
        <v>-9.5450512902339518E-4</v>
      </c>
    </row>
    <row r="1091" spans="9:15">
      <c r="I1091" s="178">
        <f>Prices!A1091</f>
        <v>43192</v>
      </c>
      <c r="J1091" s="3">
        <f>Prices!E1091</f>
        <v>28.57</v>
      </c>
      <c r="K1091" s="99">
        <f t="shared" si="64"/>
        <v>-2.5247322594586268E-2</v>
      </c>
      <c r="L1091" s="99">
        <f t="shared" si="65"/>
        <v>-1.4101973984509755E-3</v>
      </c>
      <c r="M1091" s="3">
        <f>Prices!M1091</f>
        <v>22.6</v>
      </c>
      <c r="N1091" s="99">
        <f t="shared" si="66"/>
        <v>1.7730940502258077E-3</v>
      </c>
      <c r="O1091" s="99">
        <f t="shared" si="67"/>
        <v>-1.3581374504798517E-3</v>
      </c>
    </row>
    <row r="1092" spans="9:15">
      <c r="I1092" s="178">
        <f>Prices!A1092</f>
        <v>43193</v>
      </c>
      <c r="J1092" s="3">
        <f>Prices!E1092</f>
        <v>29.309999000000001</v>
      </c>
      <c r="K1092" s="99">
        <f t="shared" si="64"/>
        <v>-2.0715035081857618E-2</v>
      </c>
      <c r="L1092" s="99">
        <f t="shared" si="65"/>
        <v>-4.8464668344664046E-4</v>
      </c>
      <c r="M1092" s="3">
        <f>Prices!M1092</f>
        <v>22.559999000000001</v>
      </c>
      <c r="N1092" s="99">
        <f t="shared" si="66"/>
        <v>8.8722267581093142E-4</v>
      </c>
      <c r="O1092" s="99">
        <f t="shared" si="67"/>
        <v>-1.532739724972232E-3</v>
      </c>
    </row>
    <row r="1093" spans="9:15">
      <c r="I1093" s="178">
        <f>Prices!A1093</f>
        <v>43194</v>
      </c>
      <c r="J1093" s="3">
        <f>Prices!E1093</f>
        <v>29.93</v>
      </c>
      <c r="K1093" s="99">
        <f t="shared" si="64"/>
        <v>-1.0251322751322709E-2</v>
      </c>
      <c r="L1093" s="99">
        <f t="shared" si="65"/>
        <v>-9.5167175056327523E-4</v>
      </c>
      <c r="M1093" s="3">
        <f>Prices!M1093</f>
        <v>22.540001</v>
      </c>
      <c r="N1093" s="99">
        <f t="shared" si="66"/>
        <v>-1.3134807355516623E-2</v>
      </c>
      <c r="O1093" s="99">
        <f t="shared" si="67"/>
        <v>-1.5340901060746075E-3</v>
      </c>
    </row>
    <row r="1094" spans="9:15">
      <c r="I1094" s="178">
        <f>Prices!A1094</f>
        <v>43195</v>
      </c>
      <c r="J1094" s="3">
        <f>Prices!E1094</f>
        <v>30.24</v>
      </c>
      <c r="K1094" s="99">
        <f t="shared" si="64"/>
        <v>-2.9673590504450992E-3</v>
      </c>
      <c r="L1094" s="99">
        <f t="shared" si="65"/>
        <v>7.3107325694602397E-4</v>
      </c>
      <c r="M1094" s="3">
        <f>Prices!M1094</f>
        <v>22.84</v>
      </c>
      <c r="N1094" s="99">
        <f t="shared" si="66"/>
        <v>1.1066843736166445E-2</v>
      </c>
      <c r="O1094" s="99">
        <f t="shared" si="67"/>
        <v>-8.5583510835040796E-4</v>
      </c>
    </row>
    <row r="1095" spans="9:15">
      <c r="I1095" s="178">
        <f>Prices!A1095</f>
        <v>43196</v>
      </c>
      <c r="J1095" s="3">
        <f>Prices!E1095</f>
        <v>30.33</v>
      </c>
      <c r="K1095" s="99">
        <f t="shared" ref="K1095:K1158" si="68">(J1095-J1096)/J1096</f>
        <v>-3.2862306933947229E-3</v>
      </c>
      <c r="L1095" s="99">
        <f t="shared" ref="L1095:L1158" si="69">AVERAGE(K1095:K1114)</f>
        <v>7.9599828278460359E-4</v>
      </c>
      <c r="M1095" s="3">
        <f>Prices!M1095</f>
        <v>22.59</v>
      </c>
      <c r="N1095" s="99">
        <f t="shared" ref="N1095:N1158" si="70">(M1095-M1096)/M1096</f>
        <v>-3.0891438658429073E-3</v>
      </c>
      <c r="O1095" s="99">
        <f t="shared" ref="O1095:O1158" si="71">AVERAGE(N1095:N1114)</f>
        <v>-1.8146403766781526E-3</v>
      </c>
    </row>
    <row r="1096" spans="9:15">
      <c r="I1096" s="178">
        <f>Prices!A1096</f>
        <v>43199</v>
      </c>
      <c r="J1096" s="3">
        <f>Prices!E1096</f>
        <v>30.43</v>
      </c>
      <c r="K1096" s="99">
        <f t="shared" si="68"/>
        <v>1.9756008569114386E-3</v>
      </c>
      <c r="L1096" s="99">
        <f t="shared" si="69"/>
        <v>9.9370660992605781E-4</v>
      </c>
      <c r="M1096" s="3">
        <f>Prices!M1096</f>
        <v>22.66</v>
      </c>
      <c r="N1096" s="99">
        <f t="shared" si="70"/>
        <v>-4.4111160123518143E-4</v>
      </c>
      <c r="O1096" s="99">
        <f t="shared" si="71"/>
        <v>-1.9360724141113596E-3</v>
      </c>
    </row>
    <row r="1097" spans="9:15">
      <c r="I1097" s="178">
        <f>Prices!A1097</f>
        <v>43200</v>
      </c>
      <c r="J1097" s="3">
        <f>Prices!E1097</f>
        <v>30.370000999999998</v>
      </c>
      <c r="K1097" s="99">
        <f t="shared" si="68"/>
        <v>-2.9546291186681047E-3</v>
      </c>
      <c r="L1097" s="99">
        <f t="shared" si="69"/>
        <v>-1.2010718329195159E-3</v>
      </c>
      <c r="M1097" s="3">
        <f>Prices!M1097</f>
        <v>22.67</v>
      </c>
      <c r="N1097" s="99">
        <f t="shared" si="70"/>
        <v>1.3251325673646083E-3</v>
      </c>
      <c r="O1097" s="99">
        <f t="shared" si="71"/>
        <v>-2.0621336409948746E-3</v>
      </c>
    </row>
    <row r="1098" spans="9:15">
      <c r="I1098" s="178">
        <f>Prices!A1098</f>
        <v>43201</v>
      </c>
      <c r="J1098" s="3">
        <f>Prices!E1098</f>
        <v>30.459999</v>
      </c>
      <c r="K1098" s="99">
        <f t="shared" si="68"/>
        <v>-1.9659567496723377E-3</v>
      </c>
      <c r="L1098" s="99">
        <f t="shared" si="69"/>
        <v>-1.2763397469446754E-3</v>
      </c>
      <c r="M1098" s="3">
        <f>Prices!M1098</f>
        <v>22.639999</v>
      </c>
      <c r="N1098" s="99">
        <f t="shared" si="70"/>
        <v>-8.8265666372465141E-4</v>
      </c>
      <c r="O1098" s="99">
        <f t="shared" si="71"/>
        <v>-2.3181035994521994E-3</v>
      </c>
    </row>
    <row r="1099" spans="9:15">
      <c r="I1099" s="178">
        <f>Prices!A1099</f>
        <v>43202</v>
      </c>
      <c r="J1099" s="3">
        <f>Prices!E1099</f>
        <v>30.52</v>
      </c>
      <c r="K1099" s="99">
        <f t="shared" si="68"/>
        <v>9.2592592592592969E-3</v>
      </c>
      <c r="L1099" s="99">
        <f t="shared" si="69"/>
        <v>-8.7355794486118664E-4</v>
      </c>
      <c r="M1099" s="3">
        <f>Prices!M1099</f>
        <v>22.66</v>
      </c>
      <c r="N1099" s="99">
        <f t="shared" si="70"/>
        <v>4.4150110375282845E-4</v>
      </c>
      <c r="O1099" s="99">
        <f t="shared" si="71"/>
        <v>-2.5256507159303939E-3</v>
      </c>
    </row>
    <row r="1100" spans="9:15">
      <c r="I1100" s="178">
        <f>Prices!A1100</f>
        <v>43203</v>
      </c>
      <c r="J1100" s="3">
        <f>Prices!E1100</f>
        <v>30.24</v>
      </c>
      <c r="K1100" s="99">
        <f t="shared" si="68"/>
        <v>9.0090426763109674E-3</v>
      </c>
      <c r="L1100" s="99">
        <f t="shared" si="69"/>
        <v>-1.2562624808578565E-3</v>
      </c>
      <c r="M1100" s="3">
        <f>Prices!M1100</f>
        <v>22.65</v>
      </c>
      <c r="N1100" s="99">
        <f t="shared" si="70"/>
        <v>-2.202687127635005E-3</v>
      </c>
      <c r="O1100" s="99">
        <f t="shared" si="71"/>
        <v>-2.6523699780935141E-3</v>
      </c>
    </row>
    <row r="1101" spans="9:15">
      <c r="I1101" s="178">
        <f>Prices!A1101</f>
        <v>43206</v>
      </c>
      <c r="J1101" s="3">
        <f>Prices!E1101</f>
        <v>29.969999000000001</v>
      </c>
      <c r="K1101" s="99">
        <f t="shared" si="68"/>
        <v>-5.4872281768283827E-2</v>
      </c>
      <c r="L1101" s="99">
        <f t="shared" si="69"/>
        <v>-1.7868444197974519E-3</v>
      </c>
      <c r="M1101" s="3">
        <f>Prices!M1101</f>
        <v>22.700001</v>
      </c>
      <c r="N1101" s="99">
        <f t="shared" si="70"/>
        <v>-2.6361599297012846E-3</v>
      </c>
      <c r="O1101" s="99">
        <f t="shared" si="71"/>
        <v>-2.9161471298131359E-3</v>
      </c>
    </row>
    <row r="1102" spans="9:15">
      <c r="I1102" s="178">
        <f>Prices!A1102</f>
        <v>43207</v>
      </c>
      <c r="J1102" s="3">
        <f>Prices!E1102</f>
        <v>31.709999</v>
      </c>
      <c r="K1102" s="99">
        <f t="shared" si="68"/>
        <v>3.1219479674796741E-2</v>
      </c>
      <c r="L1102" s="99">
        <f t="shared" si="69"/>
        <v>-6.3636924789855533E-5</v>
      </c>
      <c r="M1102" s="3">
        <f>Prices!M1102</f>
        <v>22.76</v>
      </c>
      <c r="N1102" s="99">
        <f t="shared" si="70"/>
        <v>-1.1723881384112709E-2</v>
      </c>
      <c r="O1102" s="99">
        <f t="shared" si="71"/>
        <v>-2.8879896265432215E-3</v>
      </c>
    </row>
    <row r="1103" spans="9:15">
      <c r="I1103" s="178">
        <f>Prices!A1103</f>
        <v>43208</v>
      </c>
      <c r="J1103" s="3">
        <f>Prices!E1103</f>
        <v>30.75</v>
      </c>
      <c r="K1103" s="99">
        <f t="shared" si="68"/>
        <v>1.4182058047493394E-2</v>
      </c>
      <c r="L1103" s="99">
        <f t="shared" si="69"/>
        <v>-3.1023683734900812E-3</v>
      </c>
      <c r="M1103" s="3">
        <f>Prices!M1103</f>
        <v>23.030000999999999</v>
      </c>
      <c r="N1103" s="99">
        <f t="shared" si="70"/>
        <v>6.1162955926734233E-3</v>
      </c>
      <c r="O1103" s="99">
        <f t="shared" si="71"/>
        <v>-2.3432164372638883E-3</v>
      </c>
    </row>
    <row r="1104" spans="9:15">
      <c r="I1104" s="178">
        <f>Prices!A1104</f>
        <v>43209</v>
      </c>
      <c r="J1104" s="3">
        <f>Prices!E1104</f>
        <v>30.32</v>
      </c>
      <c r="K1104" s="99">
        <f t="shared" si="68"/>
        <v>1.4046822742474974E-2</v>
      </c>
      <c r="L1104" s="99">
        <f t="shared" si="69"/>
        <v>-2.911970711317634E-3</v>
      </c>
      <c r="M1104" s="3">
        <f>Prices!M1104</f>
        <v>22.889999</v>
      </c>
      <c r="N1104" s="99">
        <f t="shared" si="70"/>
        <v>-2.6144661170167606E-3</v>
      </c>
      <c r="O1104" s="99">
        <f t="shared" si="71"/>
        <v>-2.7110936910390614E-3</v>
      </c>
    </row>
    <row r="1105" spans="9:15">
      <c r="I1105" s="178">
        <f>Prices!A1105</f>
        <v>43210</v>
      </c>
      <c r="J1105" s="3">
        <f>Prices!E1105</f>
        <v>29.9</v>
      </c>
      <c r="K1105" s="99">
        <f t="shared" si="68"/>
        <v>7.0730546624097395E-3</v>
      </c>
      <c r="L1105" s="99">
        <f t="shared" si="69"/>
        <v>-3.9225686396946804E-3</v>
      </c>
      <c r="M1105" s="3">
        <f>Prices!M1105</f>
        <v>22.950001</v>
      </c>
      <c r="N1105" s="99">
        <f t="shared" si="70"/>
        <v>-5.2015171218032065E-3</v>
      </c>
      <c r="O1105" s="99">
        <f t="shared" si="71"/>
        <v>-2.55967502094981E-3</v>
      </c>
    </row>
    <row r="1106" spans="9:15">
      <c r="I1106" s="178">
        <f>Prices!A1106</f>
        <v>43213</v>
      </c>
      <c r="J1106" s="3">
        <f>Prices!E1106</f>
        <v>29.690000999999999</v>
      </c>
      <c r="K1106" s="99">
        <f t="shared" si="68"/>
        <v>-1.7863016870658343E-2</v>
      </c>
      <c r="L1106" s="99">
        <f t="shared" si="69"/>
        <v>-4.0750483675899441E-3</v>
      </c>
      <c r="M1106" s="3">
        <f>Prices!M1106</f>
        <v>23.07</v>
      </c>
      <c r="N1106" s="99">
        <f t="shared" si="70"/>
        <v>4.353548295757387E-3</v>
      </c>
      <c r="O1106" s="99">
        <f t="shared" si="71"/>
        <v>-2.2581720711799839E-3</v>
      </c>
    </row>
    <row r="1107" spans="9:15">
      <c r="I1107" s="178">
        <f>Prices!A1107</f>
        <v>43214</v>
      </c>
      <c r="J1107" s="3">
        <f>Prices!E1107</f>
        <v>30.23</v>
      </c>
      <c r="K1107" s="99">
        <f t="shared" si="68"/>
        <v>-2.9683377308707079E-3</v>
      </c>
      <c r="L1107" s="99">
        <f t="shared" si="69"/>
        <v>-2.6659484934128735E-3</v>
      </c>
      <c r="M1107" s="3">
        <f>Prices!M1107</f>
        <v>22.969999000000001</v>
      </c>
      <c r="N1107" s="99">
        <f t="shared" si="70"/>
        <v>-3.9028622681206472E-3</v>
      </c>
      <c r="O1107" s="99">
        <f t="shared" si="71"/>
        <v>-2.4136387875941809E-3</v>
      </c>
    </row>
    <row r="1108" spans="9:15">
      <c r="I1108" s="178">
        <f>Prices!A1108</f>
        <v>43215</v>
      </c>
      <c r="J1108" s="3">
        <f>Prices!E1108</f>
        <v>30.32</v>
      </c>
      <c r="K1108" s="99">
        <f t="shared" si="68"/>
        <v>1.2692016944154462E-2</v>
      </c>
      <c r="L1108" s="99">
        <f t="shared" si="69"/>
        <v>-3.8861462246122013E-3</v>
      </c>
      <c r="M1108" s="3">
        <f>Prices!M1108</f>
        <v>23.059999000000001</v>
      </c>
      <c r="N1108" s="99">
        <f t="shared" si="70"/>
        <v>-8.5984952708512592E-3</v>
      </c>
      <c r="O1108" s="99">
        <f t="shared" si="71"/>
        <v>-2.1562012389721966E-3</v>
      </c>
    </row>
    <row r="1109" spans="9:15">
      <c r="I1109" s="178">
        <f>Prices!A1109</f>
        <v>43216</v>
      </c>
      <c r="J1109" s="3">
        <f>Prices!E1109</f>
        <v>29.940000999999999</v>
      </c>
      <c r="K1109" s="99">
        <f t="shared" si="68"/>
        <v>2.2890365562008855E-2</v>
      </c>
      <c r="L1109" s="99">
        <f t="shared" si="69"/>
        <v>-4.5663244039378173E-3</v>
      </c>
      <c r="M1109" s="3">
        <f>Prices!M1109</f>
        <v>23.26</v>
      </c>
      <c r="N1109" s="99">
        <f t="shared" si="70"/>
        <v>-2.5728987993138388E-3</v>
      </c>
      <c r="O1109" s="99">
        <f t="shared" si="71"/>
        <v>-1.2863958905901108E-3</v>
      </c>
    </row>
    <row r="1110" spans="9:15">
      <c r="I1110" s="178">
        <f>Prices!A1110</f>
        <v>43217</v>
      </c>
      <c r="J1110" s="3">
        <f>Prices!E1110</f>
        <v>29.27</v>
      </c>
      <c r="K1110" s="99">
        <f t="shared" si="68"/>
        <v>-7.4601559850796502E-3</v>
      </c>
      <c r="L1110" s="99">
        <f t="shared" si="69"/>
        <v>-5.2972381963273495E-3</v>
      </c>
      <c r="M1110" s="3">
        <f>Prices!M1110</f>
        <v>23.32</v>
      </c>
      <c r="N1110" s="99">
        <f t="shared" si="70"/>
        <v>3.8743004735256074E-3</v>
      </c>
      <c r="O1110" s="99">
        <f t="shared" si="71"/>
        <v>-9.4739966749442532E-4</v>
      </c>
    </row>
    <row r="1111" spans="9:15">
      <c r="I1111" s="178">
        <f>Prices!A1111</f>
        <v>43220</v>
      </c>
      <c r="J1111" s="3">
        <f>Prices!E1111</f>
        <v>29.49</v>
      </c>
      <c r="K1111" s="99">
        <f t="shared" si="68"/>
        <v>-6.7363082944995635E-3</v>
      </c>
      <c r="L1111" s="99">
        <f t="shared" si="69"/>
        <v>-5.1225840742170955E-3</v>
      </c>
      <c r="M1111" s="3">
        <f>Prices!M1111</f>
        <v>23.23</v>
      </c>
      <c r="N1111" s="99">
        <f t="shared" si="70"/>
        <v>-1.7189514396217941E-3</v>
      </c>
      <c r="O1111" s="99">
        <f t="shared" si="71"/>
        <v>-7.8094519964528653E-4</v>
      </c>
    </row>
    <row r="1112" spans="9:15">
      <c r="I1112" s="178">
        <f>Prices!A1112</f>
        <v>43221</v>
      </c>
      <c r="J1112" s="3">
        <f>Prices!E1112</f>
        <v>29.690000999999999</v>
      </c>
      <c r="K1112" s="99">
        <f t="shared" si="68"/>
        <v>-3.0055536424190305E-2</v>
      </c>
      <c r="L1112" s="99">
        <f t="shared" si="69"/>
        <v>-5.7582372993765316E-3</v>
      </c>
      <c r="M1112" s="3">
        <f>Prices!M1112</f>
        <v>23.27</v>
      </c>
      <c r="N1112" s="99">
        <f t="shared" si="70"/>
        <v>8.6021505376342254E-4</v>
      </c>
      <c r="O1112" s="99">
        <f t="shared" si="71"/>
        <v>-1.0734690162902891E-3</v>
      </c>
    </row>
    <row r="1113" spans="9:15">
      <c r="I1113" s="178">
        <f>Prices!A1113</f>
        <v>43222</v>
      </c>
      <c r="J1113" s="3">
        <f>Prices!E1113</f>
        <v>30.610001</v>
      </c>
      <c r="K1113" s="99">
        <f t="shared" si="68"/>
        <v>2.3403577398863267E-2</v>
      </c>
      <c r="L1113" s="99">
        <f t="shared" si="69"/>
        <v>-2.7925763224196888E-3</v>
      </c>
      <c r="M1113" s="3">
        <f>Prices!M1113</f>
        <v>23.25</v>
      </c>
      <c r="N1113" s="99">
        <f t="shared" si="70"/>
        <v>4.3029259896736505E-4</v>
      </c>
      <c r="O1113" s="99">
        <f t="shared" si="71"/>
        <v>-1.2213874483741794E-3</v>
      </c>
    </row>
    <row r="1114" spans="9:15">
      <c r="I1114" s="178">
        <f>Prices!A1114</f>
        <v>43223</v>
      </c>
      <c r="J1114" s="3">
        <f>Prices!E1114</f>
        <v>29.91</v>
      </c>
      <c r="K1114" s="99">
        <f t="shared" si="68"/>
        <v>-1.6688585336735052E-3</v>
      </c>
      <c r="L1114" s="99">
        <f t="shared" si="69"/>
        <v>-3.9165128974725186E-3</v>
      </c>
      <c r="M1114" s="3">
        <f>Prices!M1114</f>
        <v>23.24</v>
      </c>
      <c r="N1114" s="99">
        <f t="shared" si="70"/>
        <v>-8.1092616303884459E-3</v>
      </c>
      <c r="O1114" s="99">
        <f t="shared" si="71"/>
        <v>-1.1588352470517161E-3</v>
      </c>
    </row>
    <row r="1115" spans="9:15">
      <c r="I1115" s="178">
        <f>Prices!A1115</f>
        <v>43224</v>
      </c>
      <c r="J1115" s="3">
        <f>Prices!E1115</f>
        <v>29.959999</v>
      </c>
      <c r="K1115" s="99">
        <f t="shared" si="68"/>
        <v>6.6793584943437617E-4</v>
      </c>
      <c r="L1115" s="99">
        <f t="shared" si="69"/>
        <v>-4.2760901357750906E-3</v>
      </c>
      <c r="M1115" s="3">
        <f>Prices!M1115</f>
        <v>23.43</v>
      </c>
      <c r="N1115" s="99">
        <f t="shared" si="70"/>
        <v>-5.5177846145070516E-3</v>
      </c>
      <c r="O1115" s="99">
        <f t="shared" si="71"/>
        <v>-7.5337216553229304E-4</v>
      </c>
    </row>
    <row r="1116" spans="9:15">
      <c r="I1116" s="178">
        <f>Prices!A1116</f>
        <v>43227</v>
      </c>
      <c r="J1116" s="3">
        <f>Prices!E1116</f>
        <v>29.940000999999999</v>
      </c>
      <c r="K1116" s="99">
        <f t="shared" si="68"/>
        <v>-4.1919968000000037E-2</v>
      </c>
      <c r="L1116" s="99">
        <f t="shared" si="69"/>
        <v>-4.9131708822557491E-3</v>
      </c>
      <c r="M1116" s="3">
        <f>Prices!M1116</f>
        <v>23.559999000000001</v>
      </c>
      <c r="N1116" s="99">
        <f t="shared" si="70"/>
        <v>-2.9623361389054768E-3</v>
      </c>
      <c r="O1116" s="99">
        <f t="shared" si="71"/>
        <v>-6.4505728890939423E-4</v>
      </c>
    </row>
    <row r="1117" spans="9:15">
      <c r="I1117" s="178">
        <f>Prices!A1117</f>
        <v>43228</v>
      </c>
      <c r="J1117" s="3">
        <f>Prices!E1117</f>
        <v>31.25</v>
      </c>
      <c r="K1117" s="99">
        <f t="shared" si="68"/>
        <v>-4.4599873991712944E-3</v>
      </c>
      <c r="L1117" s="99">
        <f t="shared" si="69"/>
        <v>-3.8806836233790032E-3</v>
      </c>
      <c r="M1117" s="3">
        <f>Prices!M1117</f>
        <v>23.629999000000002</v>
      </c>
      <c r="N1117" s="99">
        <f t="shared" si="70"/>
        <v>-3.7942666017818909E-3</v>
      </c>
      <c r="O1117" s="99">
        <f t="shared" si="71"/>
        <v>-7.0553039471297541E-4</v>
      </c>
    </row>
    <row r="1118" spans="9:15">
      <c r="I1118" s="178">
        <f>Prices!A1118</f>
        <v>43229</v>
      </c>
      <c r="J1118" s="3">
        <f>Prices!E1118</f>
        <v>31.389999</v>
      </c>
      <c r="K1118" s="99">
        <f t="shared" si="68"/>
        <v>6.0896792919974338E-3</v>
      </c>
      <c r="L1118" s="99">
        <f t="shared" si="69"/>
        <v>-3.8343150989714942E-3</v>
      </c>
      <c r="M1118" s="3">
        <f>Prices!M1118</f>
        <v>23.719999000000001</v>
      </c>
      <c r="N1118" s="99">
        <f t="shared" si="70"/>
        <v>-5.0335989932885263E-3</v>
      </c>
      <c r="O1118" s="99">
        <f t="shared" si="71"/>
        <v>-5.7831914795721136E-4</v>
      </c>
    </row>
    <row r="1119" spans="9:15">
      <c r="I1119" s="178">
        <f>Prices!A1119</f>
        <v>43230</v>
      </c>
      <c r="J1119" s="3">
        <f>Prices!E1119</f>
        <v>31.200001</v>
      </c>
      <c r="K1119" s="99">
        <f t="shared" si="68"/>
        <v>1.6051685393258985E-3</v>
      </c>
      <c r="L1119" s="99">
        <f t="shared" si="69"/>
        <v>-3.618272575750823E-3</v>
      </c>
      <c r="M1119" s="3">
        <f>Prices!M1119</f>
        <v>23.84</v>
      </c>
      <c r="N1119" s="99">
        <f t="shared" si="70"/>
        <v>-2.0928841395095781E-3</v>
      </c>
      <c r="O1119" s="99">
        <f t="shared" si="71"/>
        <v>-3.4746385468595775E-4</v>
      </c>
    </row>
    <row r="1120" spans="9:15">
      <c r="I1120" s="178">
        <f>Prices!A1120</f>
        <v>43231</v>
      </c>
      <c r="J1120" s="3">
        <f>Prices!E1120</f>
        <v>31.15</v>
      </c>
      <c r="K1120" s="99">
        <f t="shared" si="68"/>
        <v>-1.6025961024809499E-3</v>
      </c>
      <c r="L1120" s="99">
        <f t="shared" si="69"/>
        <v>-1.7837719512890464E-3</v>
      </c>
      <c r="M1120" s="3">
        <f>Prices!M1120</f>
        <v>23.889999</v>
      </c>
      <c r="N1120" s="99">
        <f t="shared" si="70"/>
        <v>-7.4782301620274511E-3</v>
      </c>
      <c r="O1120" s="99">
        <f t="shared" si="71"/>
        <v>-4.9147071479092082E-4</v>
      </c>
    </row>
    <row r="1121" spans="9:15">
      <c r="I1121" s="178">
        <f>Prices!A1121</f>
        <v>43234</v>
      </c>
      <c r="J1121" s="3">
        <f>Prices!E1121</f>
        <v>31.200001</v>
      </c>
      <c r="K1121" s="99">
        <f t="shared" si="68"/>
        <v>-2.0408131868131903E-2</v>
      </c>
      <c r="L1121" s="99">
        <f t="shared" si="69"/>
        <v>-1.0148506836976036E-3</v>
      </c>
      <c r="M1121" s="3">
        <f>Prices!M1121</f>
        <v>24.07</v>
      </c>
      <c r="N1121" s="99">
        <f t="shared" si="70"/>
        <v>-2.0730098643029983E-3</v>
      </c>
      <c r="O1121" s="99">
        <f t="shared" si="71"/>
        <v>-1.7964736894120117E-4</v>
      </c>
    </row>
    <row r="1122" spans="9:15">
      <c r="I1122" s="178">
        <f>Prices!A1122</f>
        <v>43235</v>
      </c>
      <c r="J1122" s="3">
        <f>Prices!E1122</f>
        <v>31.85</v>
      </c>
      <c r="K1122" s="99">
        <f t="shared" si="68"/>
        <v>-2.9555149299207766E-2</v>
      </c>
      <c r="L1122" s="99">
        <f t="shared" si="69"/>
        <v>2.3490514849302249E-3</v>
      </c>
      <c r="M1122" s="3">
        <f>Prices!M1122</f>
        <v>24.120000999999998</v>
      </c>
      <c r="N1122" s="99">
        <f t="shared" si="70"/>
        <v>-8.2841759852604266E-4</v>
      </c>
      <c r="O1122" s="99">
        <f t="shared" si="71"/>
        <v>-1.3831518819077066E-5</v>
      </c>
    </row>
    <row r="1123" spans="9:15">
      <c r="I1123" s="178">
        <f>Prices!A1123</f>
        <v>43236</v>
      </c>
      <c r="J1123" s="3">
        <f>Prices!E1123</f>
        <v>32.82</v>
      </c>
      <c r="K1123" s="99">
        <f t="shared" si="68"/>
        <v>1.7990011290942333E-2</v>
      </c>
      <c r="L1123" s="99">
        <f t="shared" si="69"/>
        <v>4.3735286317991649E-3</v>
      </c>
      <c r="M1123" s="3">
        <f>Prices!M1123</f>
        <v>24.139999</v>
      </c>
      <c r="N1123" s="99">
        <f t="shared" si="70"/>
        <v>-1.241249482830044E-3</v>
      </c>
      <c r="O1123" s="99">
        <f t="shared" si="71"/>
        <v>-2.1983538116081302E-4</v>
      </c>
    </row>
    <row r="1124" spans="9:15">
      <c r="I1124" s="178">
        <f>Prices!A1124</f>
        <v>43237</v>
      </c>
      <c r="J1124" s="3">
        <f>Prices!E1124</f>
        <v>32.240001999999997</v>
      </c>
      <c r="K1124" s="99">
        <f t="shared" si="68"/>
        <v>-6.1651358250659413E-3</v>
      </c>
      <c r="L1124" s="99">
        <f t="shared" si="69"/>
        <v>2.4516343307251476E-3</v>
      </c>
      <c r="M1124" s="3">
        <f>Prices!M1124</f>
        <v>24.17</v>
      </c>
      <c r="N1124" s="99">
        <f t="shared" si="70"/>
        <v>4.1390728476827659E-4</v>
      </c>
      <c r="O1124" s="99">
        <f t="shared" si="71"/>
        <v>-3.3756789781446032E-5</v>
      </c>
    </row>
    <row r="1125" spans="9:15">
      <c r="I1125" s="178">
        <f>Prices!A1125</f>
        <v>43238</v>
      </c>
      <c r="J1125" s="3">
        <f>Prices!E1125</f>
        <v>32.439999</v>
      </c>
      <c r="K1125" s="99">
        <f t="shared" si="68"/>
        <v>4.0234601045045001E-3</v>
      </c>
      <c r="L1125" s="99">
        <f t="shared" si="69"/>
        <v>2.6142584358943071E-3</v>
      </c>
      <c r="M1125" s="3">
        <f>Prices!M1125</f>
        <v>24.16</v>
      </c>
      <c r="N1125" s="99">
        <f t="shared" si="70"/>
        <v>8.2854187359330882E-4</v>
      </c>
      <c r="O1125" s="99">
        <f t="shared" si="71"/>
        <v>-3.0126006215675958E-4</v>
      </c>
    </row>
    <row r="1126" spans="9:15">
      <c r="I1126" s="178">
        <f>Prices!A1126</f>
        <v>43242</v>
      </c>
      <c r="J1126" s="3">
        <f>Prices!E1126</f>
        <v>32.310001</v>
      </c>
      <c r="K1126" s="99">
        <f t="shared" si="68"/>
        <v>1.0318980612883031E-2</v>
      </c>
      <c r="L1126" s="99">
        <f t="shared" si="69"/>
        <v>2.8373690607044464E-3</v>
      </c>
      <c r="M1126" s="3">
        <f>Prices!M1126</f>
        <v>24.139999</v>
      </c>
      <c r="N1126" s="99">
        <f t="shared" si="70"/>
        <v>1.2442139674734597E-3</v>
      </c>
      <c r="O1126" s="99">
        <f t="shared" si="71"/>
        <v>-1.1541857018636482E-4</v>
      </c>
    </row>
    <row r="1127" spans="9:15">
      <c r="I1127" s="178">
        <f>Prices!A1127</f>
        <v>43243</v>
      </c>
      <c r="J1127" s="3">
        <f>Prices!E1127</f>
        <v>31.98</v>
      </c>
      <c r="K1127" s="99">
        <f t="shared" si="68"/>
        <v>-2.7372292354857275E-2</v>
      </c>
      <c r="L1127" s="99">
        <f t="shared" si="69"/>
        <v>2.4359097258404702E-3</v>
      </c>
      <c r="M1127" s="3">
        <f>Prices!M1127</f>
        <v>24.110001</v>
      </c>
      <c r="N1127" s="99">
        <f t="shared" si="70"/>
        <v>1.2458887043190268E-3</v>
      </c>
      <c r="O1127" s="99">
        <f t="shared" si="71"/>
        <v>-5.6712907952763815E-4</v>
      </c>
    </row>
    <row r="1128" spans="9:15">
      <c r="I1128" s="178">
        <f>Prices!A1128</f>
        <v>43244</v>
      </c>
      <c r="J1128" s="3">
        <f>Prices!E1128</f>
        <v>32.880001</v>
      </c>
      <c r="K1128" s="99">
        <f t="shared" si="68"/>
        <v>-9.1154664235784135E-4</v>
      </c>
      <c r="L1128" s="99">
        <f t="shared" si="69"/>
        <v>4.4003552140179881E-3</v>
      </c>
      <c r="M1128" s="3">
        <f>Prices!M1128</f>
        <v>24.08</v>
      </c>
      <c r="N1128" s="99">
        <f t="shared" si="70"/>
        <v>8.7976116967904538E-3</v>
      </c>
      <c r="O1128" s="99">
        <f t="shared" si="71"/>
        <v>-3.4076578278482761E-4</v>
      </c>
    </row>
    <row r="1129" spans="9:15">
      <c r="I1129" s="178">
        <f>Prices!A1129</f>
        <v>43245</v>
      </c>
      <c r="J1129" s="3">
        <f>Prices!E1129</f>
        <v>32.909999999999997</v>
      </c>
      <c r="K1129" s="99">
        <f t="shared" si="68"/>
        <v>8.2720897142182347E-3</v>
      </c>
      <c r="L1129" s="99">
        <f t="shared" si="69"/>
        <v>3.6960124287573315E-3</v>
      </c>
      <c r="M1129" s="3">
        <f>Prices!M1129</f>
        <v>23.870000999999998</v>
      </c>
      <c r="N1129" s="99">
        <f t="shared" si="70"/>
        <v>4.2070256625998696E-3</v>
      </c>
      <c r="O1129" s="99">
        <f t="shared" si="71"/>
        <v>-1.1896463508963351E-3</v>
      </c>
    </row>
    <row r="1130" spans="9:15">
      <c r="I1130" s="178">
        <f>Prices!A1130</f>
        <v>43248</v>
      </c>
      <c r="J1130" s="3">
        <f>Prices!E1130</f>
        <v>32.639999000000003</v>
      </c>
      <c r="K1130" s="99">
        <f t="shared" si="68"/>
        <v>-3.967073542874581E-3</v>
      </c>
      <c r="L1130" s="99">
        <f t="shared" si="69"/>
        <v>4.7248786388689856E-3</v>
      </c>
      <c r="M1130" s="3">
        <f>Prices!M1130</f>
        <v>23.77</v>
      </c>
      <c r="N1130" s="99">
        <f t="shared" si="70"/>
        <v>7.2033898305083957E-3</v>
      </c>
      <c r="O1130" s="99">
        <f t="shared" si="71"/>
        <v>-5.6839260984316612E-4</v>
      </c>
    </row>
    <row r="1131" spans="9:15">
      <c r="I1131" s="178">
        <f>Prices!A1131</f>
        <v>43249</v>
      </c>
      <c r="J1131" s="3">
        <f>Prices!E1131</f>
        <v>32.770000000000003</v>
      </c>
      <c r="K1131" s="99">
        <f t="shared" si="68"/>
        <v>-1.9449372797688273E-2</v>
      </c>
      <c r="L1131" s="99">
        <f t="shared" si="69"/>
        <v>4.0822016431894979E-3</v>
      </c>
      <c r="M1131" s="3">
        <f>Prices!M1131</f>
        <v>23.6</v>
      </c>
      <c r="N1131" s="99">
        <f t="shared" si="70"/>
        <v>-7.5694277725218435E-3</v>
      </c>
      <c r="O1131" s="99">
        <f t="shared" si="71"/>
        <v>-1.3409352972448753E-3</v>
      </c>
    </row>
    <row r="1132" spans="9:15">
      <c r="I1132" s="178">
        <f>Prices!A1132</f>
        <v>43250</v>
      </c>
      <c r="J1132" s="3">
        <f>Prices!E1132</f>
        <v>33.419998</v>
      </c>
      <c r="K1132" s="99">
        <f t="shared" si="68"/>
        <v>2.9257683114946503E-2</v>
      </c>
      <c r="L1132" s="99">
        <f t="shared" si="69"/>
        <v>4.5163342308716303E-3</v>
      </c>
      <c r="M1132" s="3">
        <f>Prices!M1132</f>
        <v>23.780000999999999</v>
      </c>
      <c r="N1132" s="99">
        <f t="shared" si="70"/>
        <v>-2.0981535879143805E-3</v>
      </c>
      <c r="O1132" s="99">
        <f t="shared" si="71"/>
        <v>-8.1771618322589584E-4</v>
      </c>
    </row>
    <row r="1133" spans="9:15">
      <c r="I1133" s="178">
        <f>Prices!A1133</f>
        <v>43251</v>
      </c>
      <c r="J1133" s="3">
        <f>Prices!E1133</f>
        <v>32.470001000000003</v>
      </c>
      <c r="K1133" s="99">
        <f t="shared" si="68"/>
        <v>9.2484589780669204E-4</v>
      </c>
      <c r="L1133" s="99">
        <f t="shared" si="69"/>
        <v>2.7132021924362879E-3</v>
      </c>
      <c r="M1133" s="3">
        <f>Prices!M1133</f>
        <v>23.83</v>
      </c>
      <c r="N1133" s="99">
        <f t="shared" si="70"/>
        <v>1.6813366254166244E-3</v>
      </c>
      <c r="O1133" s="99">
        <f t="shared" si="71"/>
        <v>-5.4683340009574054E-4</v>
      </c>
    </row>
    <row r="1134" spans="9:15">
      <c r="I1134" s="178">
        <f>Prices!A1134</f>
        <v>43252</v>
      </c>
      <c r="J1134" s="3">
        <f>Prices!E1134</f>
        <v>32.439999</v>
      </c>
      <c r="K1134" s="99">
        <f t="shared" si="68"/>
        <v>-8.8604032997249213E-3</v>
      </c>
      <c r="L1134" s="99">
        <f t="shared" si="69"/>
        <v>1.4343460785632169E-3</v>
      </c>
      <c r="M1134" s="3">
        <f>Prices!M1134</f>
        <v>23.790001</v>
      </c>
      <c r="N1134" s="99">
        <f t="shared" si="70"/>
        <v>0</v>
      </c>
      <c r="O1134" s="99">
        <f t="shared" si="71"/>
        <v>-1.0015777284556313E-3</v>
      </c>
    </row>
    <row r="1135" spans="9:15">
      <c r="I1135" s="178">
        <f>Prices!A1135</f>
        <v>43255</v>
      </c>
      <c r="J1135" s="3">
        <f>Prices!E1135</f>
        <v>32.729999999999997</v>
      </c>
      <c r="K1135" s="99">
        <f t="shared" si="68"/>
        <v>-1.2073679080178814E-2</v>
      </c>
      <c r="L1135" s="99">
        <f t="shared" si="69"/>
        <v>1.9406558005114858E-3</v>
      </c>
      <c r="M1135" s="3">
        <f>Prices!M1135</f>
        <v>23.790001</v>
      </c>
      <c r="N1135" s="99">
        <f t="shared" si="70"/>
        <v>-3.3514870820490665E-3</v>
      </c>
      <c r="O1135" s="99">
        <f t="shared" si="71"/>
        <v>-8.7770901979053754E-4</v>
      </c>
    </row>
    <row r="1136" spans="9:15">
      <c r="I1136" s="178">
        <f>Prices!A1136</f>
        <v>43256</v>
      </c>
      <c r="J1136" s="3">
        <f>Prices!E1136</f>
        <v>33.130001</v>
      </c>
      <c r="K1136" s="99">
        <f t="shared" si="68"/>
        <v>-2.1270222822465139E-2</v>
      </c>
      <c r="L1136" s="99">
        <f t="shared" si="69"/>
        <v>2.9109304345781078E-3</v>
      </c>
      <c r="M1136" s="3">
        <f>Prices!M1136</f>
        <v>23.870000999999998</v>
      </c>
      <c r="N1136" s="99">
        <f t="shared" si="70"/>
        <v>-4.1717982549771037E-3</v>
      </c>
      <c r="O1136" s="99">
        <f t="shared" si="71"/>
        <v>-8.3369726356441291E-4</v>
      </c>
    </row>
    <row r="1137" spans="9:15">
      <c r="I1137" s="178">
        <f>Prices!A1137</f>
        <v>43257</v>
      </c>
      <c r="J1137" s="3">
        <f>Prices!E1137</f>
        <v>33.849997999999999</v>
      </c>
      <c r="K1137" s="99">
        <f t="shared" si="68"/>
        <v>-3.5326169110211116E-3</v>
      </c>
      <c r="L1137" s="99">
        <f t="shared" si="69"/>
        <v>4.5712173821529766E-3</v>
      </c>
      <c r="M1137" s="3">
        <f>Prices!M1137</f>
        <v>23.969999000000001</v>
      </c>
      <c r="N1137" s="99">
        <f t="shared" si="70"/>
        <v>-1.2500416666666088E-3</v>
      </c>
      <c r="O1137" s="99">
        <f t="shared" si="71"/>
        <v>-4.5981810144734848E-4</v>
      </c>
    </row>
    <row r="1138" spans="9:15">
      <c r="I1138" s="178">
        <f>Prices!A1138</f>
        <v>43258</v>
      </c>
      <c r="J1138" s="3">
        <f>Prices!E1138</f>
        <v>33.970001000000003</v>
      </c>
      <c r="K1138" s="99">
        <f t="shared" si="68"/>
        <v>1.0410529756410863E-2</v>
      </c>
      <c r="L1138" s="99">
        <f t="shared" si="69"/>
        <v>4.5230585608835548E-3</v>
      </c>
      <c r="M1138" s="3">
        <f>Prices!M1138</f>
        <v>24</v>
      </c>
      <c r="N1138" s="99">
        <f t="shared" si="70"/>
        <v>-4.1649312786345532E-4</v>
      </c>
      <c r="O1138" s="99">
        <f t="shared" si="71"/>
        <v>-7.8681582908161842E-4</v>
      </c>
    </row>
    <row r="1139" spans="9:15">
      <c r="I1139" s="178">
        <f>Prices!A1139</f>
        <v>43259</v>
      </c>
      <c r="J1139" s="3">
        <f>Prices!E1139</f>
        <v>33.619999</v>
      </c>
      <c r="K1139" s="99">
        <f t="shared" si="68"/>
        <v>3.8295181028561422E-2</v>
      </c>
      <c r="L1139" s="99">
        <f t="shared" si="69"/>
        <v>3.1347473102919408E-3</v>
      </c>
      <c r="M1139" s="3">
        <f>Prices!M1139</f>
        <v>24.01</v>
      </c>
      <c r="N1139" s="99">
        <f t="shared" si="70"/>
        <v>-4.9730213416088395E-3</v>
      </c>
      <c r="O1139" s="99">
        <f t="shared" si="71"/>
        <v>-1.0513600970517164E-3</v>
      </c>
    </row>
    <row r="1140" spans="9:15">
      <c r="I1140" s="178">
        <f>Prices!A1140</f>
        <v>43262</v>
      </c>
      <c r="J1140" s="3">
        <f>Prices!E1140</f>
        <v>32.380001</v>
      </c>
      <c r="K1140" s="99">
        <f t="shared" si="68"/>
        <v>1.3775829249347903E-2</v>
      </c>
      <c r="L1140" s="99">
        <f t="shared" si="69"/>
        <v>1.2357726654295255E-3</v>
      </c>
      <c r="M1140" s="3">
        <f>Prices!M1140</f>
        <v>24.129999000000002</v>
      </c>
      <c r="N1140" s="99">
        <f t="shared" si="70"/>
        <v>-1.2417632450330552E-3</v>
      </c>
      <c r="O1140" s="99">
        <f t="shared" si="71"/>
        <v>-1.1468385706947782E-3</v>
      </c>
    </row>
    <row r="1141" spans="9:15">
      <c r="I1141" s="178">
        <f>Prices!A1141</f>
        <v>43263</v>
      </c>
      <c r="J1141" s="3">
        <f>Prices!E1141</f>
        <v>31.940000999999999</v>
      </c>
      <c r="K1141" s="99">
        <f t="shared" si="68"/>
        <v>4.6869911504424683E-2</v>
      </c>
      <c r="L1141" s="99">
        <f t="shared" si="69"/>
        <v>2.0759337078417677E-3</v>
      </c>
      <c r="M1141" s="3">
        <f>Prices!M1141</f>
        <v>24.16</v>
      </c>
      <c r="N1141" s="99">
        <f t="shared" si="70"/>
        <v>1.2433071381394839E-3</v>
      </c>
      <c r="O1141" s="99">
        <f t="shared" si="71"/>
        <v>-7.5875205171934182E-4</v>
      </c>
    </row>
    <row r="1142" spans="9:15">
      <c r="I1142" s="178">
        <f>Prices!A1142</f>
        <v>43264</v>
      </c>
      <c r="J1142" s="3">
        <f>Prices!E1142</f>
        <v>30.51</v>
      </c>
      <c r="K1142" s="99">
        <f t="shared" si="68"/>
        <v>1.0934393638171036E-2</v>
      </c>
      <c r="L1142" s="99">
        <f t="shared" si="69"/>
        <v>-1.2404486297399168E-3</v>
      </c>
      <c r="M1142" s="3">
        <f>Prices!M1142</f>
        <v>24.129999000000002</v>
      </c>
      <c r="N1142" s="99">
        <f t="shared" si="70"/>
        <v>-4.9484948453607618E-3</v>
      </c>
      <c r="O1142" s="99">
        <f t="shared" si="71"/>
        <v>-1.2651803326974014E-3</v>
      </c>
    </row>
    <row r="1143" spans="9:15">
      <c r="I1143" s="178">
        <f>Prices!A1143</f>
        <v>43265</v>
      </c>
      <c r="J1143" s="3">
        <f>Prices!E1143</f>
        <v>30.18</v>
      </c>
      <c r="K1143" s="99">
        <f t="shared" si="68"/>
        <v>-2.0447874730538013E-2</v>
      </c>
      <c r="L1143" s="99">
        <f t="shared" si="69"/>
        <v>-2.5566406734575118E-3</v>
      </c>
      <c r="M1143" s="3">
        <f>Prices!M1143</f>
        <v>24.25</v>
      </c>
      <c r="N1143" s="99">
        <f t="shared" si="70"/>
        <v>2.4803223447572922E-3</v>
      </c>
      <c r="O1143" s="99">
        <f t="shared" si="71"/>
        <v>-9.7733521856193566E-4</v>
      </c>
    </row>
    <row r="1144" spans="9:15">
      <c r="I1144" s="178">
        <f>Prices!A1144</f>
        <v>43266</v>
      </c>
      <c r="J1144" s="3">
        <f>Prices!E1144</f>
        <v>30.809999000000001</v>
      </c>
      <c r="K1144" s="99">
        <f t="shared" si="68"/>
        <v>-2.9126537216827616E-3</v>
      </c>
      <c r="L1144" s="99">
        <f t="shared" si="69"/>
        <v>-2.2310586217614615E-3</v>
      </c>
      <c r="M1144" s="3">
        <f>Prices!M1144</f>
        <v>24.190000999999999</v>
      </c>
      <c r="N1144" s="99">
        <f t="shared" si="70"/>
        <v>-4.9361581627379945E-3</v>
      </c>
      <c r="O1144" s="99">
        <f t="shared" si="71"/>
        <v>-9.391453341777437E-4</v>
      </c>
    </row>
    <row r="1145" spans="9:15">
      <c r="I1145" s="178">
        <f>Prices!A1145</f>
        <v>43269</v>
      </c>
      <c r="J1145" s="3">
        <f>Prices!E1145</f>
        <v>30.9</v>
      </c>
      <c r="K1145" s="99">
        <f t="shared" si="68"/>
        <v>8.4856726007072995E-3</v>
      </c>
      <c r="L1145" s="99">
        <f t="shared" si="69"/>
        <v>-3.4265938078895039E-3</v>
      </c>
      <c r="M1145" s="3">
        <f>Prices!M1145</f>
        <v>24.309999000000001</v>
      </c>
      <c r="N1145" s="99">
        <f t="shared" si="70"/>
        <v>4.545371713001207E-3</v>
      </c>
      <c r="O1145" s="99">
        <f t="shared" si="71"/>
        <v>-7.1260495745552083E-4</v>
      </c>
    </row>
    <row r="1146" spans="9:15">
      <c r="I1146" s="178">
        <f>Prices!A1146</f>
        <v>43270</v>
      </c>
      <c r="J1146" s="3">
        <f>Prices!E1146</f>
        <v>30.639999</v>
      </c>
      <c r="K1146" s="99">
        <f t="shared" si="68"/>
        <v>2.2897939156035084E-3</v>
      </c>
      <c r="L1146" s="99">
        <f t="shared" si="69"/>
        <v>-1.8446078454483783E-3</v>
      </c>
      <c r="M1146" s="3">
        <f>Prices!M1146</f>
        <v>24.200001</v>
      </c>
      <c r="N1146" s="99">
        <f t="shared" si="70"/>
        <v>-7.7899962193520066E-3</v>
      </c>
      <c r="O1146" s="99">
        <f t="shared" si="71"/>
        <v>-8.1797391376383266E-4</v>
      </c>
    </row>
    <row r="1147" spans="9:15">
      <c r="I1147" s="178">
        <f>Prices!A1147</f>
        <v>43271</v>
      </c>
      <c r="J1147" s="3">
        <f>Prices!E1147</f>
        <v>30.57</v>
      </c>
      <c r="K1147" s="99">
        <f t="shared" si="68"/>
        <v>1.1916617408693077E-2</v>
      </c>
      <c r="L1147" s="99">
        <f t="shared" si="69"/>
        <v>-3.2426259027889675E-4</v>
      </c>
      <c r="M1147" s="3">
        <f>Prices!M1147</f>
        <v>24.389999</v>
      </c>
      <c r="N1147" s="99">
        <f t="shared" si="70"/>
        <v>5.7731546391752387E-3</v>
      </c>
      <c r="O1147" s="99">
        <f t="shared" si="71"/>
        <v>-6.9120449891587232E-4</v>
      </c>
    </row>
    <row r="1148" spans="9:15">
      <c r="I1148" s="178">
        <f>Prices!A1148</f>
        <v>43272</v>
      </c>
      <c r="J1148" s="3">
        <f>Prices!E1148</f>
        <v>30.209999</v>
      </c>
      <c r="K1148" s="99">
        <f t="shared" si="68"/>
        <v>-1.4998402347570976E-2</v>
      </c>
      <c r="L1148" s="99">
        <f t="shared" si="69"/>
        <v>1.6496819841392524E-3</v>
      </c>
      <c r="M1148" s="3">
        <f>Prices!M1148</f>
        <v>24.25</v>
      </c>
      <c r="N1148" s="99">
        <f t="shared" si="70"/>
        <v>-8.1799996654397002E-3</v>
      </c>
      <c r="O1148" s="99">
        <f t="shared" si="71"/>
        <v>-6.5439437082581394E-4</v>
      </c>
    </row>
    <row r="1149" spans="9:15">
      <c r="I1149" s="178">
        <f>Prices!A1149</f>
        <v>43273</v>
      </c>
      <c r="J1149" s="3">
        <f>Prices!E1149</f>
        <v>30.67</v>
      </c>
      <c r="K1149" s="99">
        <f t="shared" si="68"/>
        <v>2.8849413916451336E-2</v>
      </c>
      <c r="L1149" s="99">
        <f t="shared" si="69"/>
        <v>3.6915015879668083E-3</v>
      </c>
      <c r="M1149" s="3">
        <f>Prices!M1149</f>
        <v>24.450001</v>
      </c>
      <c r="N1149" s="99">
        <f t="shared" si="70"/>
        <v>1.6632100483663249E-2</v>
      </c>
      <c r="O1149" s="99">
        <f t="shared" si="71"/>
        <v>-1.8429255207106846E-4</v>
      </c>
    </row>
    <row r="1150" spans="9:15">
      <c r="I1150" s="178">
        <f>Prices!A1150</f>
        <v>43276</v>
      </c>
      <c r="J1150" s="3">
        <f>Prices!E1150</f>
        <v>29.809999000000001</v>
      </c>
      <c r="K1150" s="99">
        <f t="shared" si="68"/>
        <v>-1.6820613456464347E-2</v>
      </c>
      <c r="L1150" s="99">
        <f t="shared" si="69"/>
        <v>2.1097551212780914E-3</v>
      </c>
      <c r="M1150" s="3">
        <f>Prices!M1150</f>
        <v>24.049999</v>
      </c>
      <c r="N1150" s="99">
        <f t="shared" si="70"/>
        <v>-8.2474639175257863E-3</v>
      </c>
      <c r="O1150" s="99">
        <f t="shared" si="71"/>
        <v>-9.7513524607739774E-4</v>
      </c>
    </row>
    <row r="1151" spans="9:15">
      <c r="I1151" s="178">
        <f>Prices!A1151</f>
        <v>43277</v>
      </c>
      <c r="J1151" s="3">
        <f>Prices!E1151</f>
        <v>30.32</v>
      </c>
      <c r="K1151" s="99">
        <f t="shared" si="68"/>
        <v>-1.0766721044045621E-2</v>
      </c>
      <c r="L1151" s="99">
        <f t="shared" si="69"/>
        <v>3.7826424312694526E-3</v>
      </c>
      <c r="M1151" s="3">
        <f>Prices!M1151</f>
        <v>24.25</v>
      </c>
      <c r="N1151" s="99">
        <f t="shared" si="70"/>
        <v>2.8949545078577454E-3</v>
      </c>
      <c r="O1151" s="99">
        <f t="shared" si="71"/>
        <v>-6.6446872229223848E-4</v>
      </c>
    </row>
    <row r="1152" spans="9:15">
      <c r="I1152" s="178">
        <f>Prices!A1152</f>
        <v>43278</v>
      </c>
      <c r="J1152" s="3">
        <f>Prices!E1152</f>
        <v>30.65</v>
      </c>
      <c r="K1152" s="99">
        <f t="shared" si="68"/>
        <v>-6.804957653760344E-3</v>
      </c>
      <c r="L1152" s="99">
        <f t="shared" si="69"/>
        <v>2.1861089477211377E-3</v>
      </c>
      <c r="M1152" s="3">
        <f>Prices!M1152</f>
        <v>24.18</v>
      </c>
      <c r="N1152" s="99">
        <f t="shared" si="70"/>
        <v>3.3195020746887259E-3</v>
      </c>
      <c r="O1152" s="99">
        <f t="shared" si="71"/>
        <v>-9.3096767015879813E-4</v>
      </c>
    </row>
    <row r="1153" spans="9:15">
      <c r="I1153" s="178">
        <f>Prices!A1153</f>
        <v>43279</v>
      </c>
      <c r="J1153" s="3">
        <f>Prices!E1153</f>
        <v>30.860001</v>
      </c>
      <c r="K1153" s="99">
        <f t="shared" si="68"/>
        <v>-2.4652276379654725E-2</v>
      </c>
      <c r="L1153" s="99">
        <f t="shared" si="69"/>
        <v>2.9363329151375493E-3</v>
      </c>
      <c r="M1153" s="3">
        <f>Prices!M1153</f>
        <v>24.1</v>
      </c>
      <c r="N1153" s="99">
        <f t="shared" si="70"/>
        <v>-7.4135499417811888E-3</v>
      </c>
      <c r="O1153" s="99">
        <f t="shared" si="71"/>
        <v>-9.3407631775046694E-4</v>
      </c>
    </row>
    <row r="1154" spans="9:15">
      <c r="I1154" s="178">
        <f>Prices!A1154</f>
        <v>43280</v>
      </c>
      <c r="J1154" s="3">
        <f>Prices!E1154</f>
        <v>31.639999</v>
      </c>
      <c r="K1154" s="99">
        <f t="shared" si="68"/>
        <v>1.2657911392404467E-3</v>
      </c>
      <c r="L1154" s="99">
        <f t="shared" si="69"/>
        <v>7.1559107823837191E-3</v>
      </c>
      <c r="M1154" s="3">
        <f>Prices!M1154</f>
        <v>24.280000999999999</v>
      </c>
      <c r="N1154" s="99">
        <f t="shared" si="70"/>
        <v>2.4773741733018742E-3</v>
      </c>
      <c r="O1154" s="99">
        <f t="shared" si="71"/>
        <v>-4.8183479129761933E-4</v>
      </c>
    </row>
    <row r="1155" spans="9:15">
      <c r="I1155" s="178">
        <f>Prices!A1155</f>
        <v>43284</v>
      </c>
      <c r="J1155" s="3">
        <f>Prices!E1155</f>
        <v>31.6</v>
      </c>
      <c r="K1155" s="99">
        <f t="shared" si="68"/>
        <v>7.3318136011536299E-3</v>
      </c>
      <c r="L1155" s="99">
        <f t="shared" si="69"/>
        <v>5.5147828663754117E-3</v>
      </c>
      <c r="M1155" s="3">
        <f>Prices!M1155</f>
        <v>24.219999000000001</v>
      </c>
      <c r="N1155" s="99">
        <f t="shared" si="70"/>
        <v>-2.4712519575265761E-3</v>
      </c>
      <c r="O1155" s="99">
        <f t="shared" si="71"/>
        <v>-8.2900639169243237E-4</v>
      </c>
    </row>
    <row r="1156" spans="9:15">
      <c r="I1156" s="178">
        <f>Prices!A1156</f>
        <v>43285</v>
      </c>
      <c r="J1156" s="3">
        <f>Prices!E1156</f>
        <v>31.370000999999998</v>
      </c>
      <c r="K1156" s="99">
        <f t="shared" si="68"/>
        <v>1.1935516129032209E-2</v>
      </c>
      <c r="L1156" s="99">
        <f t="shared" si="69"/>
        <v>6.2044041447853263E-3</v>
      </c>
      <c r="M1156" s="3">
        <f>Prices!M1156</f>
        <v>24.280000999999999</v>
      </c>
      <c r="N1156" s="99">
        <f t="shared" si="70"/>
        <v>3.3057849873641861E-3</v>
      </c>
      <c r="O1156" s="99">
        <f t="shared" si="71"/>
        <v>-5.6293564469117846E-4</v>
      </c>
    </row>
    <row r="1157" spans="9:15">
      <c r="I1157" s="178">
        <f>Prices!A1157</f>
        <v>43286</v>
      </c>
      <c r="J1157" s="3">
        <f>Prices!E1157</f>
        <v>31</v>
      </c>
      <c r="K1157" s="99">
        <f t="shared" si="68"/>
        <v>-4.4957933364095336E-3</v>
      </c>
      <c r="L1157" s="99">
        <f t="shared" si="69"/>
        <v>5.0412566569177867E-3</v>
      </c>
      <c r="M1157" s="3">
        <f>Prices!M1157</f>
        <v>24.200001</v>
      </c>
      <c r="N1157" s="99">
        <f t="shared" si="70"/>
        <v>-7.7899962193520066E-3</v>
      </c>
      <c r="O1157" s="99">
        <f t="shared" si="71"/>
        <v>-8.5008110356969029E-4</v>
      </c>
    </row>
    <row r="1158" spans="9:15">
      <c r="I1158" s="178">
        <f>Prices!A1158</f>
        <v>43287</v>
      </c>
      <c r="J1158" s="3">
        <f>Prices!E1158</f>
        <v>31.139999</v>
      </c>
      <c r="K1158" s="99">
        <f t="shared" si="68"/>
        <v>-1.7355695255421393E-2</v>
      </c>
      <c r="L1158" s="99">
        <f t="shared" si="69"/>
        <v>6.2036590175716553E-3</v>
      </c>
      <c r="M1158" s="3">
        <f>Prices!M1158</f>
        <v>24.389999</v>
      </c>
      <c r="N1158" s="99">
        <f t="shared" si="70"/>
        <v>-5.7073784872654137E-3</v>
      </c>
      <c r="O1158" s="99">
        <f t="shared" si="71"/>
        <v>-4.4026434909607811E-4</v>
      </c>
    </row>
    <row r="1159" spans="9:15">
      <c r="I1159" s="178">
        <f>Prices!A1159</f>
        <v>43290</v>
      </c>
      <c r="J1159" s="3">
        <f>Prices!E1159</f>
        <v>31.690000999999999</v>
      </c>
      <c r="K1159" s="99">
        <f t="shared" ref="K1159:K1222" si="72">(J1159-J1160)/J1160</f>
        <v>3.1568813131310097E-4</v>
      </c>
      <c r="L1159" s="99">
        <f t="shared" ref="L1159:L1222" si="73">AVERAGE(K1159:K1178)</f>
        <v>8.1584021844310992E-3</v>
      </c>
      <c r="M1159" s="3">
        <f>Prices!M1159</f>
        <v>24.530000999999999</v>
      </c>
      <c r="N1159" s="99">
        <f t="shared" ref="N1159:N1222" si="74">(M1159-M1160)/M1160</f>
        <v>-6.8825908144700765E-3</v>
      </c>
      <c r="O1159" s="99">
        <f t="shared" ref="O1159:O1222" si="75">AVERAGE(N1159:N1178)</f>
        <v>2.3413201179462657E-4</v>
      </c>
    </row>
    <row r="1160" spans="9:15">
      <c r="I1160" s="178">
        <f>Prices!A1160</f>
        <v>43291</v>
      </c>
      <c r="J1160" s="3">
        <f>Prices!E1160</f>
        <v>31.68</v>
      </c>
      <c r="K1160" s="99">
        <f t="shared" si="72"/>
        <v>3.0579050097592757E-2</v>
      </c>
      <c r="L1160" s="99">
        <f t="shared" si="73"/>
        <v>7.4880705051381695E-3</v>
      </c>
      <c r="M1160" s="3">
        <f>Prices!M1160</f>
        <v>24.700001</v>
      </c>
      <c r="N1160" s="99">
        <f t="shared" si="74"/>
        <v>6.5199671344756726E-3</v>
      </c>
      <c r="O1160" s="99">
        <f t="shared" si="75"/>
        <v>4.7609767421147482E-4</v>
      </c>
    </row>
    <row r="1161" spans="9:15">
      <c r="I1161" s="178">
        <f>Prices!A1161</f>
        <v>43292</v>
      </c>
      <c r="J1161" s="3">
        <f>Prices!E1161</f>
        <v>30.74</v>
      </c>
      <c r="K1161" s="99">
        <f t="shared" si="72"/>
        <v>-1.9457735247209024E-2</v>
      </c>
      <c r="L1161" s="99">
        <f t="shared" si="73"/>
        <v>5.9591180002585313E-3</v>
      </c>
      <c r="M1161" s="3">
        <f>Prices!M1161</f>
        <v>24.540001</v>
      </c>
      <c r="N1161" s="99">
        <f t="shared" si="74"/>
        <v>-8.8852584814217029E-3</v>
      </c>
      <c r="O1161" s="99">
        <f t="shared" si="75"/>
        <v>-1.948682289801438E-4</v>
      </c>
    </row>
    <row r="1162" spans="9:15">
      <c r="I1162" s="178">
        <f>Prices!A1162</f>
        <v>43293</v>
      </c>
      <c r="J1162" s="3">
        <f>Prices!E1162</f>
        <v>31.35</v>
      </c>
      <c r="K1162" s="99">
        <f t="shared" si="72"/>
        <v>-1.5389447236180855E-2</v>
      </c>
      <c r="L1162" s="99">
        <f t="shared" si="73"/>
        <v>5.6908682818082191E-3</v>
      </c>
      <c r="M1162" s="3">
        <f>Prices!M1162</f>
        <v>24.76</v>
      </c>
      <c r="N1162" s="99">
        <f t="shared" si="74"/>
        <v>8.0840743734854998E-4</v>
      </c>
      <c r="O1162" s="99">
        <f t="shared" si="75"/>
        <v>5.5564010137922472E-4</v>
      </c>
    </row>
    <row r="1163" spans="9:15">
      <c r="I1163" s="178">
        <f>Prices!A1163</f>
        <v>43294</v>
      </c>
      <c r="J1163" s="3">
        <f>Prices!E1163</f>
        <v>31.84</v>
      </c>
      <c r="K1163" s="99">
        <f t="shared" si="72"/>
        <v>-1.3936233696617006E-2</v>
      </c>
      <c r="L1163" s="99">
        <f t="shared" si="73"/>
        <v>6.0035626936250659E-3</v>
      </c>
      <c r="M1163" s="3">
        <f>Prices!M1163</f>
        <v>24.74</v>
      </c>
      <c r="N1163" s="99">
        <f t="shared" si="74"/>
        <v>3.244120032441131E-3</v>
      </c>
      <c r="O1163" s="99">
        <f t="shared" si="75"/>
        <v>6.5854487283693386E-4</v>
      </c>
    </row>
    <row r="1164" spans="9:15">
      <c r="I1164" s="178">
        <f>Prices!A1164</f>
        <v>43297</v>
      </c>
      <c r="J1164" s="3">
        <f>Prices!E1164</f>
        <v>32.290000999999997</v>
      </c>
      <c r="K1164" s="99">
        <f t="shared" si="72"/>
        <v>-2.6823357444243613E-2</v>
      </c>
      <c r="L1164" s="99">
        <f t="shared" si="73"/>
        <v>5.8032021907402477E-3</v>
      </c>
      <c r="M1164" s="3">
        <f>Prices!M1164</f>
        <v>24.66</v>
      </c>
      <c r="N1164" s="99">
        <f t="shared" si="74"/>
        <v>-4.0535062829353717E-4</v>
      </c>
      <c r="O1164" s="99">
        <f t="shared" si="75"/>
        <v>1.5066990008840672E-4</v>
      </c>
    </row>
    <row r="1165" spans="9:15">
      <c r="I1165" s="178">
        <f>Prices!A1165</f>
        <v>43298</v>
      </c>
      <c r="J1165" s="3">
        <f>Prices!E1165</f>
        <v>33.18</v>
      </c>
      <c r="K1165" s="99">
        <f t="shared" si="72"/>
        <v>4.0125391849529818E-2</v>
      </c>
      <c r="L1165" s="99">
        <f t="shared" si="73"/>
        <v>6.2630141307490391E-3</v>
      </c>
      <c r="M1165" s="3">
        <f>Prices!M1165</f>
        <v>24.67</v>
      </c>
      <c r="N1165" s="99">
        <f t="shared" si="74"/>
        <v>2.437992586834972E-3</v>
      </c>
      <c r="O1165" s="99">
        <f t="shared" si="75"/>
        <v>8.5106933587241233E-4</v>
      </c>
    </row>
    <row r="1166" spans="9:15">
      <c r="I1166" s="178">
        <f>Prices!A1166</f>
        <v>43299</v>
      </c>
      <c r="J1166" s="3">
        <f>Prices!E1166</f>
        <v>31.9</v>
      </c>
      <c r="K1166" s="99">
        <f t="shared" si="72"/>
        <v>3.2696699018993136E-2</v>
      </c>
      <c r="L1166" s="99">
        <f t="shared" si="73"/>
        <v>1.9913723699877617E-3</v>
      </c>
      <c r="M1166" s="3">
        <f>Prices!M1166</f>
        <v>24.610001</v>
      </c>
      <c r="N1166" s="99">
        <f t="shared" si="74"/>
        <v>-5.2546079223928042E-3</v>
      </c>
      <c r="O1166" s="99">
        <f t="shared" si="75"/>
        <v>4.2191857994320242E-4</v>
      </c>
    </row>
    <row r="1167" spans="9:15">
      <c r="I1167" s="178">
        <f>Prices!A1167</f>
        <v>43300</v>
      </c>
      <c r="J1167" s="3">
        <f>Prices!E1167</f>
        <v>30.889999</v>
      </c>
      <c r="K1167" s="99">
        <f t="shared" si="72"/>
        <v>5.1395508897056054E-2</v>
      </c>
      <c r="L1167" s="99">
        <f t="shared" si="73"/>
        <v>-3.6116593024419612E-4</v>
      </c>
      <c r="M1167" s="3">
        <f>Prices!M1167</f>
        <v>24.74</v>
      </c>
      <c r="N1167" s="99">
        <f t="shared" si="74"/>
        <v>6.5093572009764095E-3</v>
      </c>
      <c r="O1167" s="99">
        <f t="shared" si="75"/>
        <v>3.5904865046251685E-4</v>
      </c>
    </row>
    <row r="1168" spans="9:15">
      <c r="I1168" s="178">
        <f>Prices!A1168</f>
        <v>43301</v>
      </c>
      <c r="J1168" s="3">
        <f>Prices!E1168</f>
        <v>29.379999000000002</v>
      </c>
      <c r="K1168" s="99">
        <f t="shared" si="72"/>
        <v>2.583798972898016E-2</v>
      </c>
      <c r="L1168" s="99">
        <f t="shared" si="73"/>
        <v>-3.4361513529940629E-3</v>
      </c>
      <c r="M1168" s="3">
        <f>Prices!M1168</f>
        <v>24.58</v>
      </c>
      <c r="N1168" s="99">
        <f t="shared" si="74"/>
        <v>1.2220367096552067E-3</v>
      </c>
      <c r="O1168" s="99">
        <f t="shared" si="75"/>
        <v>7.4316026288859949E-5</v>
      </c>
    </row>
    <row r="1169" spans="9:15">
      <c r="I1169" s="178">
        <f>Prices!A1169</f>
        <v>43304</v>
      </c>
      <c r="J1169" s="3">
        <f>Prices!E1169</f>
        <v>28.639999</v>
      </c>
      <c r="K1169" s="99">
        <f t="shared" si="72"/>
        <v>-2.7855154173230244E-3</v>
      </c>
      <c r="L1169" s="99">
        <f t="shared" si="73"/>
        <v>-4.2337922455099866E-3</v>
      </c>
      <c r="M1169" s="3">
        <f>Prices!M1169</f>
        <v>24.549999</v>
      </c>
      <c r="N1169" s="99">
        <f t="shared" si="74"/>
        <v>8.1524660353666806E-4</v>
      </c>
      <c r="O1169" s="99">
        <f t="shared" si="75"/>
        <v>2.1770906996786192E-4</v>
      </c>
    </row>
    <row r="1170" spans="9:15">
      <c r="I1170" s="178">
        <f>Prices!A1170</f>
        <v>43305</v>
      </c>
      <c r="J1170" s="3">
        <f>Prices!E1170</f>
        <v>28.719999000000001</v>
      </c>
      <c r="K1170" s="99">
        <f t="shared" si="72"/>
        <v>1.6637132743362881E-2</v>
      </c>
      <c r="L1170" s="99">
        <f t="shared" si="73"/>
        <v>-3.4321578530722235E-3</v>
      </c>
      <c r="M1170" s="3">
        <f>Prices!M1170</f>
        <v>24.530000999999999</v>
      </c>
      <c r="N1170" s="99">
        <f t="shared" si="74"/>
        <v>-2.0341334418226072E-3</v>
      </c>
      <c r="O1170" s="99">
        <f t="shared" si="75"/>
        <v>3.4208159040622165E-5</v>
      </c>
    </row>
    <row r="1171" spans="9:15">
      <c r="I1171" s="178">
        <f>Prices!A1171</f>
        <v>43306</v>
      </c>
      <c r="J1171" s="3">
        <f>Prices!E1171</f>
        <v>28.25</v>
      </c>
      <c r="K1171" s="99">
        <f t="shared" si="72"/>
        <v>-4.2697390715011913E-2</v>
      </c>
      <c r="L1171" s="99">
        <f t="shared" si="73"/>
        <v>-3.5429377940751788E-3</v>
      </c>
      <c r="M1171" s="3">
        <f>Prices!M1171</f>
        <v>24.58</v>
      </c>
      <c r="N1171" s="99">
        <f t="shared" si="74"/>
        <v>-2.4350244494734455E-3</v>
      </c>
      <c r="O1171" s="99">
        <f t="shared" si="75"/>
        <v>1.5631466793305403E-4</v>
      </c>
    </row>
    <row r="1172" spans="9:15">
      <c r="I1172" s="178">
        <f>Prices!A1172</f>
        <v>43307</v>
      </c>
      <c r="J1172" s="3">
        <f>Prices!E1172</f>
        <v>29.51</v>
      </c>
      <c r="K1172" s="99">
        <f t="shared" si="72"/>
        <v>8.1995216945678854E-3</v>
      </c>
      <c r="L1172" s="99">
        <f t="shared" si="73"/>
        <v>-1.1610343402426962E-3</v>
      </c>
      <c r="M1172" s="3">
        <f>Prices!M1172</f>
        <v>24.639999</v>
      </c>
      <c r="N1172" s="99">
        <f t="shared" si="74"/>
        <v>3.2573291228553507E-3</v>
      </c>
      <c r="O1172" s="99">
        <f t="shared" si="75"/>
        <v>2.780658904067263E-4</v>
      </c>
    </row>
    <row r="1173" spans="9:15">
      <c r="I1173" s="178">
        <f>Prices!A1173</f>
        <v>43308</v>
      </c>
      <c r="J1173" s="3">
        <f>Prices!E1173</f>
        <v>29.27</v>
      </c>
      <c r="K1173" s="99">
        <f t="shared" si="72"/>
        <v>5.9739280965268655E-2</v>
      </c>
      <c r="L1173" s="99">
        <f t="shared" si="73"/>
        <v>-2.1730263703013853E-3</v>
      </c>
      <c r="M1173" s="3">
        <f>Prices!M1173</f>
        <v>24.559999000000001</v>
      </c>
      <c r="N1173" s="99">
        <f t="shared" si="74"/>
        <v>1.6312805872757616E-3</v>
      </c>
      <c r="O1173" s="99">
        <f t="shared" si="75"/>
        <v>2.1740916861431948E-4</v>
      </c>
    </row>
    <row r="1174" spans="9:15">
      <c r="I1174" s="178">
        <f>Prices!A1174</f>
        <v>43311</v>
      </c>
      <c r="J1174" s="3">
        <f>Prices!E1174</f>
        <v>27.620000999999998</v>
      </c>
      <c r="K1174" s="99">
        <f t="shared" si="72"/>
        <v>-3.1556767180925704E-2</v>
      </c>
      <c r="L1174" s="99">
        <f t="shared" si="73"/>
        <v>-5.4672349205053114E-3</v>
      </c>
      <c r="M1174" s="3">
        <f>Prices!M1174</f>
        <v>24.52</v>
      </c>
      <c r="N1174" s="99">
        <f t="shared" si="74"/>
        <v>-4.4660578345943882E-3</v>
      </c>
      <c r="O1174" s="99">
        <f t="shared" si="75"/>
        <v>4.0300296909023857E-4</v>
      </c>
    </row>
    <row r="1175" spans="9:15">
      <c r="I1175" s="178">
        <f>Prices!A1175</f>
        <v>43312</v>
      </c>
      <c r="J1175" s="3">
        <f>Prices!E1175</f>
        <v>28.52</v>
      </c>
      <c r="K1175" s="99">
        <f t="shared" si="72"/>
        <v>2.1124239169351945E-2</v>
      </c>
      <c r="L1175" s="99">
        <f t="shared" si="73"/>
        <v>-3.2174857125570264E-3</v>
      </c>
      <c r="M1175" s="3">
        <f>Prices!M1175</f>
        <v>24.629999000000002</v>
      </c>
      <c r="N1175" s="99">
        <f t="shared" si="74"/>
        <v>2.8501629824985043E-3</v>
      </c>
      <c r="O1175" s="99">
        <f t="shared" si="75"/>
        <v>5.0330667578513837E-4</v>
      </c>
    </row>
    <row r="1176" spans="9:15">
      <c r="I1176" s="178">
        <f>Prices!A1176</f>
        <v>43313</v>
      </c>
      <c r="J1176" s="3">
        <f>Prices!E1176</f>
        <v>27.93</v>
      </c>
      <c r="K1176" s="99">
        <f t="shared" si="72"/>
        <v>-1.1327433628318595E-2</v>
      </c>
      <c r="L1176" s="99">
        <f t="shared" si="73"/>
        <v>-3.9271613559574156E-3</v>
      </c>
      <c r="M1176" s="3">
        <f>Prices!M1176</f>
        <v>24.559999000000001</v>
      </c>
      <c r="N1176" s="99">
        <f t="shared" si="74"/>
        <v>-2.4371241902060533E-3</v>
      </c>
      <c r="O1176" s="99">
        <f t="shared" si="75"/>
        <v>3.4030467420119887E-4</v>
      </c>
    </row>
    <row r="1177" spans="9:15">
      <c r="I1177" s="178">
        <f>Prices!A1177</f>
        <v>43314</v>
      </c>
      <c r="J1177" s="3">
        <f>Prices!E1177</f>
        <v>28.25</v>
      </c>
      <c r="K1177" s="99">
        <f t="shared" si="72"/>
        <v>1.8752253876667853E-2</v>
      </c>
      <c r="L1177" s="99">
        <f t="shared" si="73"/>
        <v>-3.0118381956448425E-3</v>
      </c>
      <c r="M1177" s="3">
        <f>Prices!M1177</f>
        <v>24.620000999999998</v>
      </c>
      <c r="N1177" s="99">
        <f t="shared" si="74"/>
        <v>4.0633887012024139E-4</v>
      </c>
      <c r="O1177" s="99">
        <f t="shared" si="75"/>
        <v>7.7143923422696244E-4</v>
      </c>
    </row>
    <row r="1178" spans="9:15">
      <c r="I1178" s="178">
        <f>Prices!A1178</f>
        <v>43315</v>
      </c>
      <c r="J1178" s="3">
        <f>Prices!E1178</f>
        <v>27.73</v>
      </c>
      <c r="K1178" s="99">
        <f t="shared" si="72"/>
        <v>2.1739168081767464E-2</v>
      </c>
      <c r="L1178" s="99">
        <f t="shared" si="73"/>
        <v>-3.8995490248773766E-3</v>
      </c>
      <c r="M1178" s="3">
        <f>Prices!M1178</f>
        <v>24.610001</v>
      </c>
      <c r="N1178" s="99">
        <f t="shared" si="74"/>
        <v>7.7805487305486788E-3</v>
      </c>
      <c r="O1178" s="99">
        <f t="shared" si="75"/>
        <v>1.1250317215477051E-3</v>
      </c>
    </row>
    <row r="1179" spans="9:15">
      <c r="I1179" s="178">
        <f>Prices!A1179</f>
        <v>43319</v>
      </c>
      <c r="J1179" s="3">
        <f>Prices!E1179</f>
        <v>27.139999</v>
      </c>
      <c r="K1179" s="99">
        <f t="shared" si="72"/>
        <v>-1.3090945454545472E-2</v>
      </c>
      <c r="L1179" s="99">
        <f t="shared" si="73"/>
        <v>-5.3497868093065875E-3</v>
      </c>
      <c r="M1179" s="3">
        <f>Prices!M1179</f>
        <v>24.42</v>
      </c>
      <c r="N1179" s="99">
        <f t="shared" si="74"/>
        <v>-2.0432775661331118E-3</v>
      </c>
      <c r="O1179" s="99">
        <f t="shared" si="75"/>
        <v>6.7376362111985387E-4</v>
      </c>
    </row>
    <row r="1180" spans="9:15">
      <c r="I1180" s="178">
        <f>Prices!A1180</f>
        <v>43320</v>
      </c>
      <c r="J1180" s="3">
        <f>Prices!E1180</f>
        <v>27.5</v>
      </c>
      <c r="K1180" s="99">
        <f t="shared" si="72"/>
        <v>0</v>
      </c>
      <c r="L1180" s="99">
        <f t="shared" si="73"/>
        <v>-3.75310962600967E-3</v>
      </c>
      <c r="M1180" s="3">
        <f>Prices!M1180</f>
        <v>24.469999000000001</v>
      </c>
      <c r="N1180" s="99">
        <f t="shared" si="74"/>
        <v>-6.8993509293566995E-3</v>
      </c>
      <c r="O1180" s="99">
        <f t="shared" si="75"/>
        <v>9.0071742767984292E-4</v>
      </c>
    </row>
    <row r="1181" spans="9:15">
      <c r="I1181" s="178">
        <f>Prices!A1181</f>
        <v>43321</v>
      </c>
      <c r="J1181" s="3">
        <f>Prices!E1181</f>
        <v>27.5</v>
      </c>
      <c r="K1181" s="99">
        <f t="shared" si="72"/>
        <v>-2.4822729616215271E-2</v>
      </c>
      <c r="L1181" s="99">
        <f t="shared" si="73"/>
        <v>-4.1536436847724864E-3</v>
      </c>
      <c r="M1181" s="3">
        <f>Prices!M1181</f>
        <v>24.639999</v>
      </c>
      <c r="N1181" s="99">
        <f t="shared" si="74"/>
        <v>6.1249081257656645E-3</v>
      </c>
      <c r="O1181" s="99">
        <f t="shared" si="75"/>
        <v>1.3290203908143448E-3</v>
      </c>
    </row>
    <row r="1182" spans="9:15">
      <c r="I1182" s="178">
        <f>Prices!A1182</f>
        <v>43322</v>
      </c>
      <c r="J1182" s="3">
        <f>Prices!E1182</f>
        <v>28.200001</v>
      </c>
      <c r="K1182" s="99">
        <f t="shared" si="72"/>
        <v>-9.1355589998439388E-3</v>
      </c>
      <c r="L1182" s="99">
        <f t="shared" si="73"/>
        <v>-2.9291905545350766E-3</v>
      </c>
      <c r="M1182" s="3">
        <f>Prices!M1182</f>
        <v>24.49</v>
      </c>
      <c r="N1182" s="99">
        <f t="shared" si="74"/>
        <v>2.8665028665027324E-3</v>
      </c>
      <c r="O1182" s="99">
        <f t="shared" si="75"/>
        <v>1.1899990647936166E-3</v>
      </c>
    </row>
    <row r="1183" spans="9:15">
      <c r="I1183" s="178">
        <f>Prices!A1183</f>
        <v>43325</v>
      </c>
      <c r="J1183" s="3">
        <f>Prices!E1183</f>
        <v>28.459999</v>
      </c>
      <c r="K1183" s="99">
        <f t="shared" si="72"/>
        <v>-1.7943443754313341E-2</v>
      </c>
      <c r="L1183" s="99">
        <f t="shared" si="73"/>
        <v>-3.7407069134859664E-3</v>
      </c>
      <c r="M1183" s="3">
        <f>Prices!M1183</f>
        <v>24.42</v>
      </c>
      <c r="N1183" s="99">
        <f t="shared" si="74"/>
        <v>-6.913379422529408E-3</v>
      </c>
      <c r="O1183" s="99">
        <f t="shared" si="75"/>
        <v>9.8404135623393423E-4</v>
      </c>
    </row>
    <row r="1184" spans="9:15">
      <c r="I1184" s="178">
        <f>Prices!A1184</f>
        <v>43326</v>
      </c>
      <c r="J1184" s="3">
        <f>Prices!E1184</f>
        <v>28.98</v>
      </c>
      <c r="K1184" s="99">
        <f t="shared" si="72"/>
        <v>-1.7627118644067782E-2</v>
      </c>
      <c r="L1184" s="99">
        <f t="shared" si="73"/>
        <v>-2.8435347257702993E-3</v>
      </c>
      <c r="M1184" s="3">
        <f>Prices!M1184</f>
        <v>24.59</v>
      </c>
      <c r="N1184" s="99">
        <f t="shared" si="74"/>
        <v>1.3602638087386574E-2</v>
      </c>
      <c r="O1184" s="99">
        <f t="shared" si="75"/>
        <v>1.5604171226624192E-3</v>
      </c>
    </row>
    <row r="1185" spans="9:15">
      <c r="I1185" s="178">
        <f>Prices!A1185</f>
        <v>43327</v>
      </c>
      <c r="J1185" s="3">
        <f>Prices!E1185</f>
        <v>29.5</v>
      </c>
      <c r="K1185" s="99">
        <f t="shared" si="72"/>
        <v>-4.5307443365695747E-2</v>
      </c>
      <c r="L1185" s="99">
        <f t="shared" si="73"/>
        <v>-1.5358094921566103E-3</v>
      </c>
      <c r="M1185" s="3">
        <f>Prices!M1185</f>
        <v>24.26</v>
      </c>
      <c r="N1185" s="99">
        <f t="shared" si="74"/>
        <v>-6.1450225317492245E-3</v>
      </c>
      <c r="O1185" s="99">
        <f t="shared" si="75"/>
        <v>9.4328606092227048E-4</v>
      </c>
    </row>
    <row r="1186" spans="9:15">
      <c r="I1186" s="178">
        <f>Prices!A1186</f>
        <v>43328</v>
      </c>
      <c r="J1186" s="3">
        <f>Prices!E1186</f>
        <v>30.9</v>
      </c>
      <c r="K1186" s="99">
        <f t="shared" si="72"/>
        <v>-1.4354066985646024E-2</v>
      </c>
      <c r="L1186" s="99">
        <f t="shared" si="73"/>
        <v>2.0422537334385438E-3</v>
      </c>
      <c r="M1186" s="3">
        <f>Prices!M1186</f>
        <v>24.41</v>
      </c>
      <c r="N1186" s="99">
        <f t="shared" si="74"/>
        <v>-6.5120065120065178E-3</v>
      </c>
      <c r="O1186" s="99">
        <f t="shared" si="75"/>
        <v>1.2085711782776772E-3</v>
      </c>
    </row>
    <row r="1187" spans="9:15">
      <c r="I1187" s="178">
        <f>Prices!A1187</f>
        <v>43329</v>
      </c>
      <c r="J1187" s="3">
        <f>Prices!E1187</f>
        <v>31.35</v>
      </c>
      <c r="K1187" s="99">
        <f t="shared" si="72"/>
        <v>-1.0104199557941278E-2</v>
      </c>
      <c r="L1187" s="99">
        <f t="shared" si="73"/>
        <v>2.7095182797618688E-3</v>
      </c>
      <c r="M1187" s="3">
        <f>Prices!M1187</f>
        <v>24.57</v>
      </c>
      <c r="N1187" s="99">
        <f t="shared" si="74"/>
        <v>8.1470471750327172E-4</v>
      </c>
      <c r="O1187" s="99">
        <f t="shared" si="75"/>
        <v>1.3044284057051991E-3</v>
      </c>
    </row>
    <row r="1188" spans="9:15">
      <c r="I1188" s="178">
        <f>Prices!A1188</f>
        <v>43332</v>
      </c>
      <c r="J1188" s="3">
        <f>Prices!E1188</f>
        <v>31.67</v>
      </c>
      <c r="K1188" s="99">
        <f t="shared" si="72"/>
        <v>9.8851718786616503E-3</v>
      </c>
      <c r="L1188" s="99">
        <f t="shared" si="73"/>
        <v>5.777469418396252E-3</v>
      </c>
      <c r="M1188" s="3">
        <f>Prices!M1188</f>
        <v>24.549999</v>
      </c>
      <c r="N1188" s="99">
        <f t="shared" si="74"/>
        <v>4.0898975832352469E-3</v>
      </c>
      <c r="O1188" s="99">
        <f t="shared" si="75"/>
        <v>9.111423756595963E-4</v>
      </c>
    </row>
    <row r="1189" spans="9:15">
      <c r="I1189" s="178">
        <f>Prices!A1189</f>
        <v>43333</v>
      </c>
      <c r="J1189" s="3">
        <f>Prices!E1189</f>
        <v>31.360001</v>
      </c>
      <c r="K1189" s="99">
        <f t="shared" si="72"/>
        <v>1.3247172431432237E-2</v>
      </c>
      <c r="L1189" s="99">
        <f t="shared" si="73"/>
        <v>8.4999169945158444E-3</v>
      </c>
      <c r="M1189" s="3">
        <f>Prices!M1189</f>
        <v>24.450001</v>
      </c>
      <c r="N1189" s="99">
        <f t="shared" si="74"/>
        <v>-2.8547716150081263E-3</v>
      </c>
      <c r="O1189" s="99">
        <f t="shared" si="75"/>
        <v>8.522381726379898E-4</v>
      </c>
    </row>
    <row r="1190" spans="9:15">
      <c r="I1190" s="178">
        <f>Prices!A1190</f>
        <v>43334</v>
      </c>
      <c r="J1190" s="3">
        <f>Prices!E1190</f>
        <v>30.950001</v>
      </c>
      <c r="K1190" s="99">
        <f t="shared" si="72"/>
        <v>1.4421533923303793E-2</v>
      </c>
      <c r="L1190" s="99">
        <f t="shared" si="73"/>
        <v>9.1304954628708985E-3</v>
      </c>
      <c r="M1190" s="3">
        <f>Prices!M1190</f>
        <v>24.52</v>
      </c>
      <c r="N1190" s="99">
        <f t="shared" si="74"/>
        <v>4.0799673602603058E-4</v>
      </c>
      <c r="O1190" s="99">
        <f t="shared" si="75"/>
        <v>7.6723555256024171E-4</v>
      </c>
    </row>
    <row r="1191" spans="9:15">
      <c r="I1191" s="178">
        <f>Prices!A1191</f>
        <v>43335</v>
      </c>
      <c r="J1191" s="3">
        <f>Prices!E1191</f>
        <v>30.51</v>
      </c>
      <c r="K1191" s="99">
        <f t="shared" si="72"/>
        <v>4.9406783616377714E-3</v>
      </c>
      <c r="L1191" s="99">
        <f t="shared" si="73"/>
        <v>7.7054595088655005E-3</v>
      </c>
      <c r="M1191" s="3">
        <f>Prices!M1191</f>
        <v>24.51</v>
      </c>
      <c r="N1191" s="99">
        <f t="shared" si="74"/>
        <v>0</v>
      </c>
      <c r="O1191" s="99">
        <f t="shared" si="75"/>
        <v>7.4683571575894045E-4</v>
      </c>
    </row>
    <row r="1192" spans="9:15">
      <c r="I1192" s="178">
        <f>Prices!A1192</f>
        <v>43336</v>
      </c>
      <c r="J1192" s="3">
        <f>Prices!E1192</f>
        <v>30.360001</v>
      </c>
      <c r="K1192" s="99">
        <f t="shared" si="72"/>
        <v>-1.2040318906605922E-2</v>
      </c>
      <c r="L1192" s="99">
        <f t="shared" si="73"/>
        <v>7.8225516927383811E-3</v>
      </c>
      <c r="M1192" s="3">
        <f>Prices!M1192</f>
        <v>24.51</v>
      </c>
      <c r="N1192" s="99">
        <f t="shared" si="74"/>
        <v>2.0441946870072129E-3</v>
      </c>
      <c r="O1192" s="99">
        <f t="shared" si="75"/>
        <v>8.5057015559295945E-4</v>
      </c>
    </row>
    <row r="1193" spans="9:15">
      <c r="I1193" s="178">
        <f>Prices!A1193</f>
        <v>43339</v>
      </c>
      <c r="J1193" s="3">
        <f>Prices!E1193</f>
        <v>30.73</v>
      </c>
      <c r="K1193" s="99">
        <f t="shared" si="72"/>
        <v>-6.1448900388098729E-3</v>
      </c>
      <c r="L1193" s="99">
        <f t="shared" si="73"/>
        <v>9.7424275908617498E-3</v>
      </c>
      <c r="M1193" s="3">
        <f>Prices!M1193</f>
        <v>24.459999</v>
      </c>
      <c r="N1193" s="99">
        <f t="shared" si="74"/>
        <v>5.3431565967941444E-3</v>
      </c>
      <c r="O1193" s="99">
        <f t="shared" si="75"/>
        <v>8.7315034949593203E-4</v>
      </c>
    </row>
    <row r="1194" spans="9:15">
      <c r="I1194" s="178">
        <f>Prices!A1194</f>
        <v>43340</v>
      </c>
      <c r="J1194" s="3">
        <f>Prices!E1194</f>
        <v>30.92</v>
      </c>
      <c r="K1194" s="99">
        <f t="shared" si="72"/>
        <v>1.343821697803999E-2</v>
      </c>
      <c r="L1194" s="99">
        <f t="shared" si="73"/>
        <v>9.4472624542480278E-3</v>
      </c>
      <c r="M1194" s="3">
        <f>Prices!M1194</f>
        <v>24.33</v>
      </c>
      <c r="N1194" s="99">
        <f t="shared" si="74"/>
        <v>-2.45998370069639E-3</v>
      </c>
      <c r="O1194" s="99">
        <f t="shared" si="75"/>
        <v>5.2293811766287329E-4</v>
      </c>
    </row>
    <row r="1195" spans="9:15">
      <c r="I1195" s="178">
        <f>Prices!A1195</f>
        <v>43341</v>
      </c>
      <c r="J1195" s="3">
        <f>Prices!E1195</f>
        <v>30.51</v>
      </c>
      <c r="K1195" s="99">
        <f t="shared" si="72"/>
        <v>6.9307263013441648E-3</v>
      </c>
      <c r="L1195" s="99">
        <f t="shared" si="73"/>
        <v>9.8674882217082219E-3</v>
      </c>
      <c r="M1195" s="3">
        <f>Prices!M1195</f>
        <v>24.389999</v>
      </c>
      <c r="N1195" s="99">
        <f t="shared" si="74"/>
        <v>-4.0987704918028848E-4</v>
      </c>
      <c r="O1195" s="99">
        <f t="shared" si="75"/>
        <v>3.5692201413388424E-4</v>
      </c>
    </row>
    <row r="1196" spans="9:15">
      <c r="I1196" s="178">
        <f>Prices!A1196</f>
        <v>43342</v>
      </c>
      <c r="J1196" s="3">
        <f>Prices!E1196</f>
        <v>30.299999</v>
      </c>
      <c r="K1196" s="99">
        <f t="shared" si="72"/>
        <v>6.9790295779328625E-3</v>
      </c>
      <c r="L1196" s="99">
        <f t="shared" si="73"/>
        <v>1.1805005062787196E-2</v>
      </c>
      <c r="M1196" s="3">
        <f>Prices!M1196</f>
        <v>24.4</v>
      </c>
      <c r="N1196" s="99">
        <f t="shared" si="74"/>
        <v>6.1855670103092199E-3</v>
      </c>
      <c r="O1196" s="99">
        <f t="shared" si="75"/>
        <v>9.6220698669352567E-4</v>
      </c>
    </row>
    <row r="1197" spans="9:15">
      <c r="I1197" s="178">
        <f>Prices!A1197</f>
        <v>43343</v>
      </c>
      <c r="J1197" s="3">
        <f>Prices!E1197</f>
        <v>30.09</v>
      </c>
      <c r="K1197" s="99">
        <f t="shared" si="72"/>
        <v>9.9803729201716242E-4</v>
      </c>
      <c r="L1197" s="99">
        <f t="shared" si="73"/>
        <v>1.1706473043423917E-2</v>
      </c>
      <c r="M1197" s="3">
        <f>Prices!M1197</f>
        <v>24.25</v>
      </c>
      <c r="N1197" s="99">
        <f t="shared" si="74"/>
        <v>7.478188616535094E-3</v>
      </c>
      <c r="O1197" s="99">
        <f t="shared" si="75"/>
        <v>4.8640282435458279E-4</v>
      </c>
    </row>
    <row r="1198" spans="9:15">
      <c r="I1198" s="178">
        <f>Prices!A1198</f>
        <v>43347</v>
      </c>
      <c r="J1198" s="3">
        <f>Prices!E1198</f>
        <v>30.059999000000001</v>
      </c>
      <c r="K1198" s="99">
        <f t="shared" si="72"/>
        <v>-7.2655876068167032E-3</v>
      </c>
      <c r="L1198" s="99">
        <f t="shared" si="73"/>
        <v>1.2440799665469945E-2</v>
      </c>
      <c r="M1198" s="3">
        <f>Prices!M1198</f>
        <v>24.07</v>
      </c>
      <c r="N1198" s="99">
        <f t="shared" si="74"/>
        <v>-1.2448132780083459E-3</v>
      </c>
      <c r="O1198" s="99">
        <f t="shared" si="75"/>
        <v>3.8457586619766786E-4</v>
      </c>
    </row>
    <row r="1199" spans="9:15">
      <c r="I1199" s="178">
        <f>Prices!A1199</f>
        <v>43348</v>
      </c>
      <c r="J1199" s="3">
        <f>Prices!E1199</f>
        <v>30.280000999999999</v>
      </c>
      <c r="K1199" s="99">
        <f t="shared" si="72"/>
        <v>1.8842598211392846E-2</v>
      </c>
      <c r="L1199" s="99">
        <f t="shared" si="73"/>
        <v>1.2974219411612562E-2</v>
      </c>
      <c r="M1199" s="3">
        <f>Prices!M1199</f>
        <v>24.1</v>
      </c>
      <c r="N1199" s="99">
        <f t="shared" si="74"/>
        <v>2.4957985650666671E-3</v>
      </c>
      <c r="O1199" s="99">
        <f t="shared" si="75"/>
        <v>3.0073972934362711E-4</v>
      </c>
    </row>
    <row r="1200" spans="9:15">
      <c r="I1200" s="178">
        <f>Prices!A1200</f>
        <v>43349</v>
      </c>
      <c r="J1200" s="3">
        <f>Prices!E1200</f>
        <v>29.719999000000001</v>
      </c>
      <c r="K1200" s="99">
        <f t="shared" si="72"/>
        <v>-8.0106811752563289E-3</v>
      </c>
      <c r="L1200" s="99">
        <f t="shared" si="73"/>
        <v>1.3408839998278518E-2</v>
      </c>
      <c r="M1200" s="3">
        <f>Prices!M1200</f>
        <v>24.040001</v>
      </c>
      <c r="N1200" s="99">
        <f t="shared" si="74"/>
        <v>1.6667083333333406E-3</v>
      </c>
      <c r="O1200" s="99">
        <f t="shared" si="75"/>
        <v>2.5955975092306573E-4</v>
      </c>
    </row>
    <row r="1201" spans="9:15">
      <c r="I1201" s="178">
        <f>Prices!A1201</f>
        <v>43350</v>
      </c>
      <c r="J1201" s="3">
        <f>Prices!E1201</f>
        <v>29.959999</v>
      </c>
      <c r="K1201" s="99">
        <f t="shared" si="72"/>
        <v>-3.3366701146708623E-4</v>
      </c>
      <c r="L1201" s="99">
        <f t="shared" si="73"/>
        <v>1.3526886008366846E-2</v>
      </c>
      <c r="M1201" s="3">
        <f>Prices!M1201</f>
        <v>24</v>
      </c>
      <c r="N1201" s="99">
        <f t="shared" si="74"/>
        <v>3.344481605351099E-3</v>
      </c>
      <c r="O1201" s="99">
        <f t="shared" si="75"/>
        <v>3.8613197489452097E-4</v>
      </c>
    </row>
    <row r="1202" spans="9:15">
      <c r="I1202" s="178">
        <f>Prices!A1202</f>
        <v>43353</v>
      </c>
      <c r="J1202" s="3">
        <f>Prices!E1202</f>
        <v>29.969999000000001</v>
      </c>
      <c r="K1202" s="99">
        <f t="shared" si="72"/>
        <v>-2.5365886178861742E-2</v>
      </c>
      <c r="L1202" s="99">
        <f t="shared" si="73"/>
        <v>1.6513185057357129E-2</v>
      </c>
      <c r="M1202" s="3">
        <f>Prices!M1202</f>
        <v>23.92</v>
      </c>
      <c r="N1202" s="99">
        <f t="shared" si="74"/>
        <v>-1.2526513046909105E-3</v>
      </c>
      <c r="O1202" s="99">
        <f t="shared" si="75"/>
        <v>4.7207033120239065E-4</v>
      </c>
    </row>
    <row r="1203" spans="9:15">
      <c r="I1203" s="178">
        <f>Prices!A1203</f>
        <v>43354</v>
      </c>
      <c r="J1203" s="3">
        <f>Prices!E1203</f>
        <v>30.75</v>
      </c>
      <c r="K1203" s="99">
        <f t="shared" si="72"/>
        <v>0</v>
      </c>
      <c r="L1203" s="99">
        <f t="shared" si="73"/>
        <v>1.8887359366300222E-2</v>
      </c>
      <c r="M1203" s="3">
        <f>Prices!M1203</f>
        <v>23.950001</v>
      </c>
      <c r="N1203" s="99">
        <f t="shared" si="74"/>
        <v>4.614135906040288E-3</v>
      </c>
      <c r="O1203" s="99">
        <f t="shared" si="75"/>
        <v>1.6563616539865488E-3</v>
      </c>
    </row>
    <row r="1204" spans="9:15">
      <c r="I1204" s="178">
        <f>Prices!A1204</f>
        <v>43355</v>
      </c>
      <c r="J1204" s="3">
        <f>Prices!E1204</f>
        <v>30.75</v>
      </c>
      <c r="K1204" s="99">
        <f t="shared" si="72"/>
        <v>8.5273860282060205E-3</v>
      </c>
      <c r="L1204" s="99">
        <f t="shared" si="73"/>
        <v>1.8863841021991658E-2</v>
      </c>
      <c r="M1204" s="3">
        <f>Prices!M1204</f>
        <v>23.84</v>
      </c>
      <c r="N1204" s="99">
        <f t="shared" si="74"/>
        <v>1.2600168525835978E-3</v>
      </c>
      <c r="O1204" s="99">
        <f t="shared" si="75"/>
        <v>2.1699630898579141E-3</v>
      </c>
    </row>
    <row r="1205" spans="9:15">
      <c r="I1205" s="178">
        <f>Prices!A1205</f>
        <v>43356</v>
      </c>
      <c r="J1205" s="3">
        <f>Prices!E1205</f>
        <v>30.49</v>
      </c>
      <c r="K1205" s="99">
        <f t="shared" si="72"/>
        <v>2.6253821146207331E-2</v>
      </c>
      <c r="L1205" s="99">
        <f t="shared" si="73"/>
        <v>1.8437471720581355E-2</v>
      </c>
      <c r="M1205" s="3">
        <f>Prices!M1205</f>
        <v>23.809999000000001</v>
      </c>
      <c r="N1205" s="99">
        <f t="shared" si="74"/>
        <v>-8.3932018464108482E-4</v>
      </c>
      <c r="O1205" s="99">
        <f t="shared" si="75"/>
        <v>1.9107127923661093E-3</v>
      </c>
    </row>
    <row r="1206" spans="9:15">
      <c r="I1206" s="178">
        <f>Prices!A1206</f>
        <v>43357</v>
      </c>
      <c r="J1206" s="3">
        <f>Prices!E1206</f>
        <v>29.709999</v>
      </c>
      <c r="K1206" s="99">
        <f t="shared" si="72"/>
        <v>-1.0087760591795095E-3</v>
      </c>
      <c r="L1206" s="99">
        <f t="shared" si="73"/>
        <v>1.6960692524499311E-2</v>
      </c>
      <c r="M1206" s="3">
        <f>Prices!M1206</f>
        <v>23.83</v>
      </c>
      <c r="N1206" s="99">
        <f t="shared" si="74"/>
        <v>-4.5948619634560775E-3</v>
      </c>
      <c r="O1206" s="99">
        <f t="shared" si="75"/>
        <v>2.0181809850042796E-3</v>
      </c>
    </row>
    <row r="1207" spans="9:15">
      <c r="I1207" s="178">
        <f>Prices!A1207</f>
        <v>43360</v>
      </c>
      <c r="J1207" s="3">
        <f>Prices!E1207</f>
        <v>29.74</v>
      </c>
      <c r="K1207" s="99">
        <f t="shared" si="72"/>
        <v>5.1254823214746378E-2</v>
      </c>
      <c r="L1207" s="99">
        <f t="shared" si="73"/>
        <v>1.6801047293844833E-2</v>
      </c>
      <c r="M1207" s="3">
        <f>Prices!M1207</f>
        <v>23.940000999999999</v>
      </c>
      <c r="N1207" s="99">
        <f t="shared" si="74"/>
        <v>-7.0510158834087852E-3</v>
      </c>
      <c r="O1207" s="99">
        <f t="shared" si="75"/>
        <v>1.6866114752323472E-3</v>
      </c>
    </row>
    <row r="1208" spans="9:15">
      <c r="I1208" s="178">
        <f>Prices!A1208</f>
        <v>43361</v>
      </c>
      <c r="J1208" s="3">
        <f>Prices!E1208</f>
        <v>28.290001</v>
      </c>
      <c r="K1208" s="99">
        <f t="shared" si="72"/>
        <v>6.4334123401053503E-2</v>
      </c>
      <c r="L1208" s="99">
        <f t="shared" si="73"/>
        <v>1.8466154234373342E-2</v>
      </c>
      <c r="M1208" s="3">
        <f>Prices!M1208</f>
        <v>24.110001</v>
      </c>
      <c r="N1208" s="99">
        <f t="shared" si="74"/>
        <v>2.9118135228031099E-3</v>
      </c>
      <c r="O1208" s="99">
        <f t="shared" si="75"/>
        <v>2.0607605415410186E-3</v>
      </c>
    </row>
    <row r="1209" spans="9:15">
      <c r="I1209" s="178">
        <f>Prices!A1209</f>
        <v>43362</v>
      </c>
      <c r="J1209" s="3">
        <f>Prices!E1209</f>
        <v>26.58</v>
      </c>
      <c r="K1209" s="99">
        <f t="shared" si="72"/>
        <v>2.5858741798533313E-2</v>
      </c>
      <c r="L1209" s="99">
        <f t="shared" si="73"/>
        <v>1.4208297841217046E-2</v>
      </c>
      <c r="M1209" s="3">
        <f>Prices!M1209</f>
        <v>24.040001</v>
      </c>
      <c r="N1209" s="99">
        <f t="shared" si="74"/>
        <v>-4.5548240165630815E-3</v>
      </c>
      <c r="O1209" s="99">
        <f t="shared" si="75"/>
        <v>2.3508975152602214E-3</v>
      </c>
    </row>
    <row r="1210" spans="9:15">
      <c r="I1210" s="178">
        <f>Prices!A1210</f>
        <v>43363</v>
      </c>
      <c r="J1210" s="3">
        <f>Prices!E1210</f>
        <v>25.91</v>
      </c>
      <c r="K1210" s="99">
        <f t="shared" si="72"/>
        <v>-1.4079185156804161E-2</v>
      </c>
      <c r="L1210" s="99">
        <f t="shared" si="73"/>
        <v>1.2134492034843342E-2</v>
      </c>
      <c r="M1210" s="3">
        <f>Prices!M1210</f>
        <v>24.15</v>
      </c>
      <c r="N1210" s="99">
        <f t="shared" si="74"/>
        <v>0</v>
      </c>
      <c r="O1210" s="99">
        <f t="shared" si="75"/>
        <v>2.2539655559152129E-3</v>
      </c>
    </row>
    <row r="1211" spans="9:15">
      <c r="I1211" s="178">
        <f>Prices!A1211</f>
        <v>43364</v>
      </c>
      <c r="J1211" s="3">
        <f>Prices!E1211</f>
        <v>26.280000999999999</v>
      </c>
      <c r="K1211" s="99">
        <f t="shared" si="72"/>
        <v>7.2825220390953915E-3</v>
      </c>
      <c r="L1211" s="99">
        <f t="shared" si="73"/>
        <v>1.3506109584852596E-2</v>
      </c>
      <c r="M1211" s="3">
        <f>Prices!M1211</f>
        <v>24.15</v>
      </c>
      <c r="N1211" s="99">
        <f t="shared" si="74"/>
        <v>2.07468879668038E-3</v>
      </c>
      <c r="O1211" s="99">
        <f t="shared" si="75"/>
        <v>2.3841717134583515E-3</v>
      </c>
    </row>
    <row r="1212" spans="9:15">
      <c r="I1212" s="178">
        <f>Prices!A1212</f>
        <v>43367</v>
      </c>
      <c r="J1212" s="3">
        <f>Prices!E1212</f>
        <v>26.09</v>
      </c>
      <c r="K1212" s="99">
        <f t="shared" si="72"/>
        <v>2.6357199055861452E-2</v>
      </c>
      <c r="L1212" s="99">
        <f t="shared" si="73"/>
        <v>1.2798167193301383E-2</v>
      </c>
      <c r="M1212" s="3">
        <f>Prices!M1212</f>
        <v>24.1</v>
      </c>
      <c r="N1212" s="99">
        <f t="shared" si="74"/>
        <v>2.4957985650666671E-3</v>
      </c>
      <c r="O1212" s="99">
        <f t="shared" si="75"/>
        <v>2.7403606200982742E-3</v>
      </c>
    </row>
    <row r="1213" spans="9:15">
      <c r="I1213" s="178">
        <f>Prices!A1213</f>
        <v>43368</v>
      </c>
      <c r="J1213" s="3">
        <f>Prices!E1213</f>
        <v>25.42</v>
      </c>
      <c r="K1213" s="99">
        <f t="shared" si="72"/>
        <v>-1.2048192771084288E-2</v>
      </c>
      <c r="L1213" s="99">
        <f t="shared" si="73"/>
        <v>1.4862585688332115E-2</v>
      </c>
      <c r="M1213" s="3">
        <f>Prices!M1213</f>
        <v>24.040001</v>
      </c>
      <c r="N1213" s="99">
        <f t="shared" si="74"/>
        <v>-1.6610880398670316E-3</v>
      </c>
      <c r="O1213" s="99">
        <f t="shared" si="75"/>
        <v>3.7809696683307691E-3</v>
      </c>
    </row>
    <row r="1214" spans="9:15">
      <c r="I1214" s="178">
        <f>Prices!A1214</f>
        <v>43369</v>
      </c>
      <c r="J1214" s="3">
        <f>Prices!E1214</f>
        <v>25.73</v>
      </c>
      <c r="K1214" s="99">
        <f t="shared" si="72"/>
        <v>2.1842732327243874E-2</v>
      </c>
      <c r="L1214" s="99">
        <f t="shared" si="73"/>
        <v>1.1999890397652559E-2</v>
      </c>
      <c r="M1214" s="3">
        <f>Prices!M1214</f>
        <v>24.08</v>
      </c>
      <c r="N1214" s="99">
        <f t="shared" si="74"/>
        <v>-5.7803057712761709E-3</v>
      </c>
      <c r="O1214" s="99">
        <f t="shared" si="75"/>
        <v>3.8640240703241208E-3</v>
      </c>
    </row>
    <row r="1215" spans="9:15">
      <c r="I1215" s="178">
        <f>Prices!A1215</f>
        <v>43370</v>
      </c>
      <c r="J1215" s="3">
        <f>Prices!E1215</f>
        <v>25.18</v>
      </c>
      <c r="K1215" s="99">
        <f t="shared" si="72"/>
        <v>4.5681063122923651E-2</v>
      </c>
      <c r="L1215" s="99">
        <f t="shared" si="73"/>
        <v>1.4715524064495703E-2</v>
      </c>
      <c r="M1215" s="3">
        <f>Prices!M1215</f>
        <v>24.219999000000001</v>
      </c>
      <c r="N1215" s="99">
        <f t="shared" si="74"/>
        <v>1.1695822402012541E-2</v>
      </c>
      <c r="O1215" s="99">
        <f t="shared" si="75"/>
        <v>4.265346187279662E-3</v>
      </c>
    </row>
    <row r="1216" spans="9:15">
      <c r="I1216" s="178">
        <f>Prices!A1216</f>
        <v>43371</v>
      </c>
      <c r="J1216" s="3">
        <f>Prices!E1216</f>
        <v>24.08</v>
      </c>
      <c r="K1216" s="99">
        <f t="shared" si="72"/>
        <v>5.0083891906672643E-3</v>
      </c>
      <c r="L1216" s="99">
        <f t="shared" si="73"/>
        <v>1.3890933070511683E-2</v>
      </c>
      <c r="M1216" s="3">
        <f>Prices!M1216</f>
        <v>23.940000999999999</v>
      </c>
      <c r="N1216" s="99">
        <f t="shared" si="74"/>
        <v>-3.3305162364696429E-3</v>
      </c>
      <c r="O1216" s="99">
        <f t="shared" si="75"/>
        <v>4.0197658161970958E-3</v>
      </c>
    </row>
    <row r="1217" spans="9:15">
      <c r="I1217" s="178">
        <f>Prices!A1217</f>
        <v>43374</v>
      </c>
      <c r="J1217" s="3">
        <f>Prices!E1217</f>
        <v>23.959999</v>
      </c>
      <c r="K1217" s="99">
        <f t="shared" si="72"/>
        <v>1.5684569732937685E-2</v>
      </c>
      <c r="L1217" s="99">
        <f t="shared" si="73"/>
        <v>1.17174366879014E-2</v>
      </c>
      <c r="M1217" s="3">
        <f>Prices!M1217</f>
        <v>24.02</v>
      </c>
      <c r="N1217" s="99">
        <f t="shared" si="74"/>
        <v>5.4416494533967973E-3</v>
      </c>
      <c r="O1217" s="99">
        <f t="shared" si="75"/>
        <v>3.5389724315920109E-3</v>
      </c>
    </row>
    <row r="1218" spans="9:15">
      <c r="I1218" s="178">
        <f>Prices!A1218</f>
        <v>43375</v>
      </c>
      <c r="J1218" s="3">
        <f>Prices!E1218</f>
        <v>23.59</v>
      </c>
      <c r="K1218" s="99">
        <f t="shared" si="72"/>
        <v>3.4028073160356567E-3</v>
      </c>
      <c r="L1218" s="99">
        <f t="shared" si="73"/>
        <v>1.1805762405379313E-2</v>
      </c>
      <c r="M1218" s="3">
        <f>Prices!M1218</f>
        <v>23.889999</v>
      </c>
      <c r="N1218" s="99">
        <f t="shared" si="74"/>
        <v>-2.921536015089161E-3</v>
      </c>
      <c r="O1218" s="99">
        <f t="shared" si="75"/>
        <v>2.956328748210597E-3</v>
      </c>
    </row>
    <row r="1219" spans="9:15">
      <c r="I1219" s="178">
        <f>Prices!A1219</f>
        <v>43376</v>
      </c>
      <c r="J1219" s="3">
        <f>Prices!E1219</f>
        <v>23.51</v>
      </c>
      <c r="K1219" s="99">
        <f t="shared" si="72"/>
        <v>2.7535009944711971E-2</v>
      </c>
      <c r="L1219" s="99">
        <f t="shared" si="73"/>
        <v>9.1004814773285297E-3</v>
      </c>
      <c r="M1219" s="3">
        <f>Prices!M1219</f>
        <v>23.959999</v>
      </c>
      <c r="N1219" s="99">
        <f t="shared" si="74"/>
        <v>1.6721989966554396E-3</v>
      </c>
      <c r="O1219" s="99">
        <f t="shared" si="75"/>
        <v>2.7062831723751587E-3</v>
      </c>
    </row>
    <row r="1220" spans="9:15">
      <c r="I1220" s="178">
        <f>Prices!A1220</f>
        <v>43377</v>
      </c>
      <c r="J1220" s="3">
        <f>Prices!E1220</f>
        <v>22.879999000000002</v>
      </c>
      <c r="K1220" s="99">
        <f t="shared" si="72"/>
        <v>-5.6497609734897881E-3</v>
      </c>
      <c r="L1220" s="99">
        <f t="shared" si="73"/>
        <v>4.6384742678932181E-3</v>
      </c>
      <c r="M1220" s="3">
        <f>Prices!M1220</f>
        <v>23.92</v>
      </c>
      <c r="N1220" s="99">
        <f t="shared" si="74"/>
        <v>4.1981528127624443E-3</v>
      </c>
      <c r="O1220" s="99">
        <f t="shared" si="75"/>
        <v>2.6667216787517084E-3</v>
      </c>
    </row>
    <row r="1221" spans="9:15">
      <c r="I1221" s="178">
        <f>Prices!A1221</f>
        <v>43378</v>
      </c>
      <c r="J1221" s="3">
        <f>Prices!E1221</f>
        <v>23.01</v>
      </c>
      <c r="K1221" s="99">
        <f t="shared" si="72"/>
        <v>5.9392313968338585E-2</v>
      </c>
      <c r="L1221" s="99">
        <f t="shared" si="73"/>
        <v>7.3407154029874622E-3</v>
      </c>
      <c r="M1221" s="3">
        <f>Prices!M1221</f>
        <v>23.82</v>
      </c>
      <c r="N1221" s="99">
        <f t="shared" si="74"/>
        <v>5.0632487315084912E-3</v>
      </c>
      <c r="O1221" s="99">
        <f t="shared" si="75"/>
        <v>2.172103131411883E-3</v>
      </c>
    </row>
    <row r="1222" spans="9:15">
      <c r="I1222" s="178">
        <f>Prices!A1222</f>
        <v>43382</v>
      </c>
      <c r="J1222" s="3">
        <f>Prices!E1222</f>
        <v>21.719999000000001</v>
      </c>
      <c r="K1222" s="99">
        <f t="shared" si="72"/>
        <v>2.2117600000000064E-2</v>
      </c>
      <c r="L1222" s="99">
        <f t="shared" si="73"/>
        <v>5.767036181934161E-3</v>
      </c>
      <c r="M1222" s="3">
        <f>Prices!M1222</f>
        <v>23.700001</v>
      </c>
      <c r="N1222" s="99">
        <f t="shared" si="74"/>
        <v>2.243317515099226E-2</v>
      </c>
      <c r="O1222" s="99">
        <f t="shared" si="75"/>
        <v>1.6575006190822088E-3</v>
      </c>
    </row>
    <row r="1223" spans="9:15">
      <c r="I1223" s="178">
        <f>Prices!A1223</f>
        <v>43383</v>
      </c>
      <c r="J1223" s="3">
        <f>Prices!E1223</f>
        <v>21.25</v>
      </c>
      <c r="K1223" s="99">
        <f t="shared" ref="K1223:K1267" si="76">(J1223-J1224)/J1224</f>
        <v>-4.7036688617128702E-4</v>
      </c>
      <c r="L1223" s="99">
        <f t="shared" ref="L1223:L1267" si="77">AVERAGE(K1223:K1242)</f>
        <v>5.7238829282935805E-3</v>
      </c>
      <c r="M1223" s="3">
        <f>Prices!M1223</f>
        <v>23.18</v>
      </c>
      <c r="N1223" s="99">
        <f t="shared" ref="N1223:N1267" si="78">(M1223-M1224)/M1224</f>
        <v>1.4886164623467594E-2</v>
      </c>
      <c r="O1223" s="99">
        <f t="shared" ref="O1223:O1267" si="79">AVERAGE(N1223:N1242)</f>
        <v>2.9733794832774023E-4</v>
      </c>
    </row>
    <row r="1224" spans="9:15">
      <c r="I1224" s="178">
        <f>Prices!A1224</f>
        <v>43384</v>
      </c>
      <c r="J1224" s="3">
        <f>Prices!E1224</f>
        <v>21.26</v>
      </c>
      <c r="K1224" s="99">
        <f t="shared" si="76"/>
        <v>0</v>
      </c>
      <c r="L1224" s="99">
        <f t="shared" si="77"/>
        <v>4.7814658379300521E-3</v>
      </c>
      <c r="M1224" s="3">
        <f>Prices!M1224</f>
        <v>22.84</v>
      </c>
      <c r="N1224" s="99">
        <f t="shared" si="78"/>
        <v>-3.9249890972525014E-3</v>
      </c>
      <c r="O1224" s="99">
        <f t="shared" si="79"/>
        <v>-5.3355253392789047E-4</v>
      </c>
    </row>
    <row r="1225" spans="9:15">
      <c r="I1225" s="178">
        <f>Prices!A1225</f>
        <v>43385</v>
      </c>
      <c r="J1225" s="3">
        <f>Prices!E1225</f>
        <v>21.26</v>
      </c>
      <c r="K1225" s="99">
        <f t="shared" si="76"/>
        <v>-3.2817627754335083E-3</v>
      </c>
      <c r="L1225" s="99">
        <f t="shared" si="77"/>
        <v>6.3005857960233003E-3</v>
      </c>
      <c r="M1225" s="3">
        <f>Prices!M1225</f>
        <v>22.93</v>
      </c>
      <c r="N1225" s="99">
        <f t="shared" si="78"/>
        <v>1.3100436681223204E-3</v>
      </c>
      <c r="O1225" s="99">
        <f t="shared" si="79"/>
        <v>-1.1991177471743632E-4</v>
      </c>
    </row>
    <row r="1226" spans="9:15">
      <c r="I1226" s="178">
        <f>Prices!A1226</f>
        <v>43388</v>
      </c>
      <c r="J1226" s="3">
        <f>Prices!E1226</f>
        <v>21.33</v>
      </c>
      <c r="K1226" s="99">
        <f t="shared" si="76"/>
        <v>-4.2016806722690661E-3</v>
      </c>
      <c r="L1226" s="99">
        <f t="shared" si="77"/>
        <v>5.6910818371367971E-3</v>
      </c>
      <c r="M1226" s="3">
        <f>Prices!M1226</f>
        <v>22.9</v>
      </c>
      <c r="N1226" s="99">
        <f t="shared" si="78"/>
        <v>-1.1226252158894714E-2</v>
      </c>
      <c r="O1226" s="99">
        <f t="shared" si="79"/>
        <v>9.8798972168845925E-5</v>
      </c>
    </row>
    <row r="1227" spans="9:15">
      <c r="I1227" s="178">
        <f>Prices!A1227</f>
        <v>43389</v>
      </c>
      <c r="J1227" s="3">
        <f>Prices!E1227</f>
        <v>21.42</v>
      </c>
      <c r="K1227" s="99">
        <f t="shared" si="76"/>
        <v>8.455696202531654E-2</v>
      </c>
      <c r="L1227" s="99">
        <f t="shared" si="77"/>
        <v>6.7401774071949262E-3</v>
      </c>
      <c r="M1227" s="3">
        <f>Prices!M1227</f>
        <v>23.16</v>
      </c>
      <c r="N1227" s="99">
        <f t="shared" si="78"/>
        <v>4.3196544276464637E-4</v>
      </c>
      <c r="O1227" s="99">
        <f t="shared" si="79"/>
        <v>6.8198384512353912E-4</v>
      </c>
    </row>
    <row r="1228" spans="9:15">
      <c r="I1228" s="178">
        <f>Prices!A1228</f>
        <v>43390</v>
      </c>
      <c r="J1228" s="3">
        <f>Prices!E1228</f>
        <v>19.75</v>
      </c>
      <c r="K1228" s="99">
        <f t="shared" si="76"/>
        <v>-2.0823004462072466E-2</v>
      </c>
      <c r="L1228" s="99">
        <f t="shared" si="77"/>
        <v>1.3096656008453589E-3</v>
      </c>
      <c r="M1228" s="3">
        <f>Prices!M1228</f>
        <v>23.15</v>
      </c>
      <c r="N1228" s="99">
        <f t="shared" si="78"/>
        <v>8.7145529971871579E-3</v>
      </c>
      <c r="O1228" s="99">
        <f t="shared" si="79"/>
        <v>6.1668364799833232E-4</v>
      </c>
    </row>
    <row r="1229" spans="9:15">
      <c r="I1229" s="178">
        <f>Prices!A1229</f>
        <v>43391</v>
      </c>
      <c r="J1229" s="3">
        <f>Prices!E1229</f>
        <v>20.170000000000002</v>
      </c>
      <c r="K1229" s="99">
        <f t="shared" si="76"/>
        <v>-1.5617374328940788E-2</v>
      </c>
      <c r="L1229" s="99">
        <f t="shared" si="77"/>
        <v>6.5984588000733537E-3</v>
      </c>
      <c r="M1229" s="3">
        <f>Prices!M1229</f>
        <v>22.950001</v>
      </c>
      <c r="N1229" s="99">
        <f t="shared" si="78"/>
        <v>-6.4934632034632511E-3</v>
      </c>
      <c r="O1229" s="99">
        <f t="shared" si="79"/>
        <v>1.3728569246212503E-4</v>
      </c>
    </row>
    <row r="1230" spans="9:15">
      <c r="I1230" s="178">
        <f>Prices!A1230</f>
        <v>43392</v>
      </c>
      <c r="J1230" s="3">
        <f>Prices!E1230</f>
        <v>20.49</v>
      </c>
      <c r="K1230" s="99">
        <f t="shared" si="76"/>
        <v>1.3353165843380954E-2</v>
      </c>
      <c r="L1230" s="99">
        <f t="shared" si="77"/>
        <v>6.4528969988092207E-3</v>
      </c>
      <c r="M1230" s="3">
        <f>Prices!M1230</f>
        <v>23.1</v>
      </c>
      <c r="N1230" s="99">
        <f t="shared" si="78"/>
        <v>2.6041231508627644E-3</v>
      </c>
      <c r="O1230" s="99">
        <f t="shared" si="79"/>
        <v>4.6195885263528746E-4</v>
      </c>
    </row>
    <row r="1231" spans="9:15">
      <c r="I1231" s="178">
        <f>Prices!A1231</f>
        <v>43395</v>
      </c>
      <c r="J1231" s="3">
        <f>Prices!E1231</f>
        <v>20.219999000000001</v>
      </c>
      <c r="K1231" s="99">
        <f t="shared" si="76"/>
        <v>-6.8763257919289425E-3</v>
      </c>
      <c r="L1231" s="99">
        <f t="shared" si="77"/>
        <v>5.4335071049085746E-3</v>
      </c>
      <c r="M1231" s="3">
        <f>Prices!M1231</f>
        <v>23.040001</v>
      </c>
      <c r="N1231" s="99">
        <f t="shared" si="78"/>
        <v>9.1984669294788383E-3</v>
      </c>
      <c r="O1231" s="99">
        <f t="shared" si="79"/>
        <v>4.8505974721654768E-4</v>
      </c>
    </row>
    <row r="1232" spans="9:15">
      <c r="I1232" s="178">
        <f>Prices!A1232</f>
        <v>43396</v>
      </c>
      <c r="J1232" s="3">
        <f>Prices!E1232</f>
        <v>20.360001</v>
      </c>
      <c r="K1232" s="99">
        <f t="shared" si="76"/>
        <v>6.7645568956476151E-2</v>
      </c>
      <c r="L1232" s="99">
        <f t="shared" si="77"/>
        <v>5.8043970288890832E-3</v>
      </c>
      <c r="M1232" s="3">
        <f>Prices!M1232</f>
        <v>22.83</v>
      </c>
      <c r="N1232" s="99">
        <f t="shared" si="78"/>
        <v>2.3307979529716565E-2</v>
      </c>
      <c r="O1232" s="99">
        <f t="shared" si="79"/>
        <v>7.1341348777635087E-4</v>
      </c>
    </row>
    <row r="1233" spans="9:15">
      <c r="I1233" s="178">
        <f>Prices!A1233</f>
        <v>43397</v>
      </c>
      <c r="J1233" s="3">
        <f>Prices!E1233</f>
        <v>19.07</v>
      </c>
      <c r="K1233" s="99">
        <f t="shared" si="76"/>
        <v>-6.930209858467537E-2</v>
      </c>
      <c r="L1233" s="99">
        <f t="shared" si="77"/>
        <v>2.1796616714501379E-3</v>
      </c>
      <c r="M1233" s="3">
        <f>Prices!M1233</f>
        <v>22.309999000000001</v>
      </c>
      <c r="N1233" s="99">
        <f t="shared" si="78"/>
        <v>0</v>
      </c>
      <c r="O1233" s="99">
        <f t="shared" si="79"/>
        <v>-1.2171822195710085E-3</v>
      </c>
    </row>
    <row r="1234" spans="9:15">
      <c r="I1234" s="178">
        <f>Prices!A1234</f>
        <v>43398</v>
      </c>
      <c r="J1234" s="3">
        <f>Prices!E1234</f>
        <v>20.49</v>
      </c>
      <c r="K1234" s="99">
        <f t="shared" si="76"/>
        <v>7.6155405664106751E-2</v>
      </c>
      <c r="L1234" s="99">
        <f t="shared" si="77"/>
        <v>4.797308928678733E-3</v>
      </c>
      <c r="M1234" s="3">
        <f>Prices!M1234</f>
        <v>22.309999000000001</v>
      </c>
      <c r="N1234" s="99">
        <f t="shared" si="78"/>
        <v>2.2461365678346666E-3</v>
      </c>
      <c r="O1234" s="99">
        <f t="shared" si="79"/>
        <v>-1.1515057747373864E-3</v>
      </c>
    </row>
    <row r="1235" spans="9:15">
      <c r="I1235" s="178">
        <f>Prices!A1235</f>
        <v>43399</v>
      </c>
      <c r="J1235" s="3">
        <f>Prices!E1235</f>
        <v>19.040001</v>
      </c>
      <c r="K1235" s="99">
        <f t="shared" si="76"/>
        <v>2.9189243243243252E-2</v>
      </c>
      <c r="L1235" s="99">
        <f t="shared" si="77"/>
        <v>6.7374654021024104E-4</v>
      </c>
      <c r="M1235" s="3">
        <f>Prices!M1235</f>
        <v>22.26</v>
      </c>
      <c r="N1235" s="99">
        <f t="shared" si="78"/>
        <v>6.7842149803611996E-3</v>
      </c>
      <c r="O1235" s="99">
        <f t="shared" si="79"/>
        <v>-9.3327273228468663E-4</v>
      </c>
    </row>
    <row r="1236" spans="9:15">
      <c r="I1236" s="178">
        <f>Prices!A1236</f>
        <v>43402</v>
      </c>
      <c r="J1236" s="3">
        <f>Prices!E1236</f>
        <v>18.5</v>
      </c>
      <c r="K1236" s="99">
        <f t="shared" si="76"/>
        <v>-3.846153846153838E-2</v>
      </c>
      <c r="L1236" s="99">
        <f t="shared" si="77"/>
        <v>-2.56236781603049E-3</v>
      </c>
      <c r="M1236" s="3">
        <f>Prices!M1236</f>
        <v>22.110001</v>
      </c>
      <c r="N1236" s="99">
        <f t="shared" si="78"/>
        <v>-1.2946383928571345E-2</v>
      </c>
      <c r="O1236" s="99">
        <f t="shared" si="79"/>
        <v>-1.4481510263181197E-3</v>
      </c>
    </row>
    <row r="1237" spans="9:15">
      <c r="I1237" s="178">
        <f>Prices!A1237</f>
        <v>43403</v>
      </c>
      <c r="J1237" s="3">
        <f>Prices!E1237</f>
        <v>19.239999999999998</v>
      </c>
      <c r="K1237" s="99">
        <f t="shared" si="76"/>
        <v>1.7451084082495943E-2</v>
      </c>
      <c r="L1237" s="99">
        <f t="shared" si="77"/>
        <v>2.175725192837318E-3</v>
      </c>
      <c r="M1237" s="3">
        <f>Prices!M1237</f>
        <v>22.4</v>
      </c>
      <c r="N1237" s="99">
        <f t="shared" si="78"/>
        <v>-6.2112242142314724E-3</v>
      </c>
      <c r="O1237" s="99">
        <f t="shared" si="79"/>
        <v>-2.2331072815699382E-4</v>
      </c>
    </row>
    <row r="1238" spans="9:15">
      <c r="I1238" s="178">
        <f>Prices!A1238</f>
        <v>43404</v>
      </c>
      <c r="J1238" s="3">
        <f>Prices!E1238</f>
        <v>18.91</v>
      </c>
      <c r="K1238" s="99">
        <f t="shared" si="76"/>
        <v>-5.0702811244979995E-2</v>
      </c>
      <c r="L1238" s="99">
        <f t="shared" si="77"/>
        <v>1.7904503870492423E-3</v>
      </c>
      <c r="M1238" s="3">
        <f>Prices!M1238</f>
        <v>22.540001</v>
      </c>
      <c r="N1238" s="99">
        <f t="shared" si="78"/>
        <v>-7.9224475317979191E-3</v>
      </c>
      <c r="O1238" s="99">
        <f t="shared" si="79"/>
        <v>-6.3516633005487335E-4</v>
      </c>
    </row>
    <row r="1239" spans="9:15">
      <c r="I1239" s="178">
        <f>Prices!A1239</f>
        <v>43405</v>
      </c>
      <c r="J1239" s="3">
        <f>Prices!E1239</f>
        <v>19.920000000000002</v>
      </c>
      <c r="K1239" s="99">
        <f t="shared" si="76"/>
        <v>-6.1705134243994285E-2</v>
      </c>
      <c r="L1239" s="99">
        <f t="shared" si="77"/>
        <v>3.2138915786418506E-3</v>
      </c>
      <c r="M1239" s="3">
        <f>Prices!M1239</f>
        <v>22.719999000000001</v>
      </c>
      <c r="N1239" s="99">
        <f t="shared" si="78"/>
        <v>8.8096912418642937E-4</v>
      </c>
      <c r="O1239" s="99">
        <f t="shared" si="79"/>
        <v>-3.9181566887309656E-4</v>
      </c>
    </row>
    <row r="1240" spans="9:15">
      <c r="I1240" s="178">
        <f>Prices!A1240</f>
        <v>43406</v>
      </c>
      <c r="J1240" s="3">
        <f>Prices!E1240</f>
        <v>21.23</v>
      </c>
      <c r="K1240" s="99">
        <f t="shared" si="76"/>
        <v>4.8395061728395083E-2</v>
      </c>
      <c r="L1240" s="99">
        <f t="shared" si="77"/>
        <v>8.1662543790956034E-3</v>
      </c>
      <c r="M1240" s="3">
        <f>Prices!M1240</f>
        <v>22.700001</v>
      </c>
      <c r="N1240" s="99">
        <f t="shared" si="78"/>
        <v>-5.6942181340340773E-3</v>
      </c>
      <c r="O1240" s="99">
        <f t="shared" si="79"/>
        <v>-3.921747391632649E-4</v>
      </c>
    </row>
    <row r="1241" spans="9:15">
      <c r="I1241" s="178">
        <f>Prices!A1241</f>
        <v>43409</v>
      </c>
      <c r="J1241" s="3">
        <f>Prices!E1241</f>
        <v>20.25</v>
      </c>
      <c r="K1241" s="99">
        <f t="shared" si="76"/>
        <v>2.7918729547272595E-2</v>
      </c>
      <c r="L1241" s="99" t="e">
        <f t="shared" si="77"/>
        <v>#DIV/0!</v>
      </c>
      <c r="M1241" s="3">
        <f>Prices!M1241</f>
        <v>22.83</v>
      </c>
      <c r="N1241" s="99">
        <f t="shared" si="78"/>
        <v>-5.2288015150849894E-3</v>
      </c>
      <c r="O1241" s="99" t="e">
        <f t="shared" si="79"/>
        <v>#DIV/0!</v>
      </c>
    </row>
    <row r="1242" spans="9:15">
      <c r="I1242" s="178">
        <f>Prices!A1242</f>
        <v>43410</v>
      </c>
      <c r="J1242" s="3">
        <f>Prices!E1242</f>
        <v>19.700001</v>
      </c>
      <c r="K1242" s="99">
        <f t="shared" si="76"/>
        <v>2.125453492718845E-2</v>
      </c>
      <c r="L1242" s="99" t="e">
        <f t="shared" si="77"/>
        <v>#DIV/0!</v>
      </c>
      <c r="M1242" s="3">
        <f>Prices!M1242</f>
        <v>22.950001</v>
      </c>
      <c r="N1242" s="99">
        <f t="shared" si="78"/>
        <v>-4.7700782640971023E-3</v>
      </c>
      <c r="O1242" s="99" t="e">
        <f t="shared" si="79"/>
        <v>#DIV/0!</v>
      </c>
    </row>
    <row r="1243" spans="9:15">
      <c r="I1243" s="178">
        <f>Prices!A1243</f>
        <v>43411</v>
      </c>
      <c r="J1243" s="3">
        <f>Prices!E1243</f>
        <v>19.290001</v>
      </c>
      <c r="K1243" s="99">
        <f t="shared" si="76"/>
        <v>-1.9318708693441867E-2</v>
      </c>
      <c r="L1243" s="99" t="e">
        <f t="shared" si="77"/>
        <v>#DIV/0!</v>
      </c>
      <c r="M1243" s="3">
        <f>Prices!M1243</f>
        <v>23.059999000000001</v>
      </c>
      <c r="N1243" s="99">
        <f t="shared" si="78"/>
        <v>-1.7316450216450291E-3</v>
      </c>
      <c r="O1243" s="99" t="e">
        <f t="shared" si="79"/>
        <v>#DIV/0!</v>
      </c>
    </row>
    <row r="1244" spans="9:15">
      <c r="I1244" s="178">
        <f>Prices!A1244</f>
        <v>43412</v>
      </c>
      <c r="J1244" s="3">
        <f>Prices!E1244</f>
        <v>19.670000000000002</v>
      </c>
      <c r="K1244" s="99">
        <f t="shared" si="76"/>
        <v>3.0382399161864949E-2</v>
      </c>
      <c r="L1244" s="99" t="e">
        <f t="shared" si="77"/>
        <v>#DIV/0!</v>
      </c>
      <c r="M1244" s="3">
        <f>Prices!M1244</f>
        <v>23.1</v>
      </c>
      <c r="N1244" s="99">
        <f t="shared" si="78"/>
        <v>4.3478260869565834E-3</v>
      </c>
      <c r="O1244" s="99" t="e">
        <f t="shared" si="79"/>
        <v>#DIV/0!</v>
      </c>
    </row>
    <row r="1245" spans="9:15">
      <c r="I1245" s="178">
        <f>Prices!A1245</f>
        <v>43413</v>
      </c>
      <c r="J1245" s="3">
        <f>Prices!E1245</f>
        <v>19.09</v>
      </c>
      <c r="K1245" s="99">
        <f t="shared" si="76"/>
        <v>-1.5471841953163571E-2</v>
      </c>
      <c r="L1245" s="99" t="e">
        <f t="shared" si="77"/>
        <v>#DIV/0!</v>
      </c>
      <c r="M1245" s="3">
        <f>Prices!M1245</f>
        <v>23</v>
      </c>
      <c r="N1245" s="99">
        <f t="shared" si="78"/>
        <v>5.684258605847964E-3</v>
      </c>
      <c r="O1245" s="99" t="e">
        <f t="shared" si="79"/>
        <v>#DIV/0!</v>
      </c>
    </row>
    <row r="1246" spans="9:15">
      <c r="I1246" s="178">
        <f>Prices!A1246</f>
        <v>43416</v>
      </c>
      <c r="J1246" s="3">
        <f>Prices!E1246</f>
        <v>19.389999</v>
      </c>
      <c r="K1246" s="99">
        <f t="shared" si="76"/>
        <v>1.6780230728893512E-2</v>
      </c>
      <c r="L1246" s="99" t="e">
        <f t="shared" si="77"/>
        <v>#DIV/0!</v>
      </c>
      <c r="M1246" s="3">
        <f>Prices!M1246</f>
        <v>22.870000999999998</v>
      </c>
      <c r="N1246" s="99">
        <f t="shared" si="78"/>
        <v>4.3744530019915618E-4</v>
      </c>
      <c r="O1246" s="99" t="e">
        <f t="shared" si="79"/>
        <v>#DIV/0!</v>
      </c>
    </row>
    <row r="1247" spans="9:15">
      <c r="I1247" s="178">
        <f>Prices!A1247</f>
        <v>43417</v>
      </c>
      <c r="J1247" s="3">
        <f>Prices!E1247</f>
        <v>19.07</v>
      </c>
      <c r="K1247" s="99">
        <f t="shared" si="76"/>
        <v>-2.405327410167481E-2</v>
      </c>
      <c r="L1247" s="99" t="e">
        <f t="shared" si="77"/>
        <v>#DIV/0!</v>
      </c>
      <c r="M1247" s="3">
        <f>Prices!M1247</f>
        <v>22.860001</v>
      </c>
      <c r="N1247" s="99">
        <f t="shared" si="78"/>
        <v>-8.740384997394917E-4</v>
      </c>
      <c r="O1247" s="99" t="e">
        <f t="shared" si="79"/>
        <v>#DIV/0!</v>
      </c>
    </row>
    <row r="1248" spans="9:15">
      <c r="I1248" s="178">
        <f>Prices!A1248</f>
        <v>43418</v>
      </c>
      <c r="J1248" s="3">
        <f>Prices!E1248</f>
        <v>19.540001</v>
      </c>
      <c r="K1248" s="99">
        <f t="shared" si="76"/>
        <v>8.495285952248742E-2</v>
      </c>
      <c r="L1248" s="99" t="e">
        <f t="shared" si="77"/>
        <v>#DIV/0!</v>
      </c>
      <c r="M1248" s="3">
        <f>Prices!M1248</f>
        <v>22.879999000000002</v>
      </c>
      <c r="N1248" s="99">
        <f t="shared" si="78"/>
        <v>-8.7340611353698913E-4</v>
      </c>
      <c r="O1248" s="99" t="e">
        <f t="shared" si="79"/>
        <v>#DIV/0!</v>
      </c>
    </row>
    <row r="1249" spans="9:15">
      <c r="I1249" s="178">
        <f>Prices!A1249</f>
        <v>43419</v>
      </c>
      <c r="J1249" s="3">
        <f>Prices!E1249</f>
        <v>18.010000000000002</v>
      </c>
      <c r="K1249" s="99">
        <f t="shared" si="76"/>
        <v>-1.8528610354223422E-2</v>
      </c>
      <c r="L1249" s="99" t="e">
        <f t="shared" si="77"/>
        <v>#DIV/0!</v>
      </c>
      <c r="M1249" s="3">
        <f>Prices!M1249</f>
        <v>22.9</v>
      </c>
      <c r="N1249" s="99">
        <f t="shared" si="78"/>
        <v>0</v>
      </c>
      <c r="O1249" s="99" t="e">
        <f t="shared" si="79"/>
        <v>#DIV/0!</v>
      </c>
    </row>
    <row r="1250" spans="9:15">
      <c r="I1250" s="178">
        <f>Prices!A1250</f>
        <v>43420</v>
      </c>
      <c r="J1250" s="3">
        <f>Prices!E1250</f>
        <v>18.350000000000001</v>
      </c>
      <c r="K1250" s="99">
        <f t="shared" si="76"/>
        <v>-7.0346320346319803E-3</v>
      </c>
      <c r="L1250" s="99" t="e">
        <f t="shared" si="77"/>
        <v>#DIV/0!</v>
      </c>
      <c r="M1250" s="3">
        <f>Prices!M1250</f>
        <v>22.9</v>
      </c>
      <c r="N1250" s="99">
        <f t="shared" si="78"/>
        <v>3.0661410424879672E-3</v>
      </c>
      <c r="O1250" s="99" t="e">
        <f t="shared" si="79"/>
        <v>#DIV/0!</v>
      </c>
    </row>
    <row r="1251" spans="9:15">
      <c r="I1251" s="178">
        <f>Prices!A1251</f>
        <v>43423</v>
      </c>
      <c r="J1251" s="3">
        <f>Prices!E1251</f>
        <v>18.48</v>
      </c>
      <c r="K1251" s="99">
        <f t="shared" si="76"/>
        <v>5.4147268768119788E-4</v>
      </c>
      <c r="L1251" s="99" t="e">
        <f t="shared" si="77"/>
        <v>#DIV/0!</v>
      </c>
      <c r="M1251" s="3">
        <f>Prices!M1251</f>
        <v>22.83</v>
      </c>
      <c r="N1251" s="99">
        <f t="shared" si="78"/>
        <v>1.3765541740674899E-2</v>
      </c>
      <c r="O1251" s="99" t="e">
        <f t="shared" si="79"/>
        <v>#DIV/0!</v>
      </c>
    </row>
    <row r="1252" spans="9:15">
      <c r="I1252" s="178">
        <f>Prices!A1252</f>
        <v>43424</v>
      </c>
      <c r="J1252" s="3">
        <f>Prices!E1252</f>
        <v>18.469999000000001</v>
      </c>
      <c r="K1252" s="99">
        <f t="shared" si="76"/>
        <v>-4.8491381923026966E-3</v>
      </c>
      <c r="L1252" s="99" t="e">
        <f t="shared" si="77"/>
        <v>#DIV/0!</v>
      </c>
      <c r="M1252" s="3">
        <f>Prices!M1252</f>
        <v>22.52</v>
      </c>
      <c r="N1252" s="99">
        <f t="shared" si="78"/>
        <v>-1.5303934617230621E-2</v>
      </c>
      <c r="O1252" s="99" t="e">
        <f t="shared" si="79"/>
        <v>#DIV/0!</v>
      </c>
    </row>
    <row r="1253" spans="9:15">
      <c r="I1253" s="178">
        <f>Prices!A1253</f>
        <v>43425</v>
      </c>
      <c r="J1253" s="3">
        <f>Prices!E1253</f>
        <v>18.559999000000001</v>
      </c>
      <c r="K1253" s="99">
        <f t="shared" si="76"/>
        <v>-1.6949153440103479E-2</v>
      </c>
      <c r="L1253" s="99" t="e">
        <f t="shared" si="77"/>
        <v>#DIV/0!</v>
      </c>
      <c r="M1253" s="3">
        <f>Prices!M1253</f>
        <v>22.870000999999998</v>
      </c>
      <c r="N1253" s="99">
        <f t="shared" si="78"/>
        <v>1.3135288966724435E-3</v>
      </c>
      <c r="O1253" s="99" t="e">
        <f t="shared" si="79"/>
        <v>#DIV/0!</v>
      </c>
    </row>
    <row r="1254" spans="9:15">
      <c r="I1254" s="178">
        <f>Prices!A1254</f>
        <v>43426</v>
      </c>
      <c r="J1254" s="3">
        <f>Prices!E1254</f>
        <v>18.879999000000002</v>
      </c>
      <c r="K1254" s="99">
        <f t="shared" si="76"/>
        <v>-6.3158421052630772E-3</v>
      </c>
      <c r="L1254" s="99" t="e">
        <f t="shared" si="77"/>
        <v>#DIV/0!</v>
      </c>
      <c r="M1254" s="3">
        <f>Prices!M1254</f>
        <v>22.84</v>
      </c>
      <c r="N1254" s="99">
        <f t="shared" si="78"/>
        <v>6.6107974168886597E-3</v>
      </c>
      <c r="O1254" s="99" t="e">
        <f t="shared" si="79"/>
        <v>#DIV/0!</v>
      </c>
    </row>
    <row r="1255" spans="9:15">
      <c r="I1255" s="178">
        <f>Prices!A1255</f>
        <v>43427</v>
      </c>
      <c r="J1255" s="3">
        <f>Prices!E1255</f>
        <v>19</v>
      </c>
      <c r="K1255" s="99">
        <f t="shared" si="76"/>
        <v>-3.5533043881571393E-2</v>
      </c>
      <c r="L1255" s="99" t="e">
        <f t="shared" si="77"/>
        <v>#DIV/0!</v>
      </c>
      <c r="M1255" s="3">
        <f>Prices!M1255</f>
        <v>22.690000999999999</v>
      </c>
      <c r="N1255" s="99">
        <f t="shared" si="78"/>
        <v>-3.5133509003074581E-3</v>
      </c>
      <c r="O1255" s="99" t="e">
        <f t="shared" si="79"/>
        <v>#DIV/0!</v>
      </c>
    </row>
    <row r="1256" spans="9:15">
      <c r="I1256" s="178">
        <f>Prices!A1256</f>
        <v>43430</v>
      </c>
      <c r="J1256" s="3">
        <f>Prices!E1256</f>
        <v>19.700001</v>
      </c>
      <c r="K1256" s="99">
        <f t="shared" si="76"/>
        <v>5.6300321715817794E-2</v>
      </c>
      <c r="L1256" s="99" t="e">
        <f t="shared" si="77"/>
        <v>#DIV/0!</v>
      </c>
      <c r="M1256" s="3">
        <f>Prices!M1256</f>
        <v>22.77</v>
      </c>
      <c r="N1256" s="99">
        <f t="shared" si="78"/>
        <v>1.1550422034651177E-2</v>
      </c>
      <c r="O1256" s="99" t="e">
        <f t="shared" si="79"/>
        <v>#DIV/0!</v>
      </c>
    </row>
    <row r="1257" spans="9:15">
      <c r="I1257" s="178">
        <f>Prices!A1257</f>
        <v>43431</v>
      </c>
      <c r="J1257" s="3">
        <f>Prices!E1257</f>
        <v>18.649999999999999</v>
      </c>
      <c r="K1257" s="99">
        <f t="shared" si="76"/>
        <v>9.7455879667344425E-3</v>
      </c>
      <c r="L1257" s="99" t="e">
        <f t="shared" si="77"/>
        <v>#DIV/0!</v>
      </c>
      <c r="M1257" s="3">
        <f>Prices!M1257</f>
        <v>22.51</v>
      </c>
      <c r="N1257" s="99">
        <f t="shared" si="78"/>
        <v>-1.4448336252189067E-2</v>
      </c>
      <c r="O1257" s="99" t="e">
        <f t="shared" si="79"/>
        <v>#DIV/0!</v>
      </c>
    </row>
    <row r="1258" spans="9:15">
      <c r="I1258" s="178">
        <f>Prices!A1258</f>
        <v>43432</v>
      </c>
      <c r="J1258" s="3">
        <f>Prices!E1258</f>
        <v>18.469999000000001</v>
      </c>
      <c r="K1258" s="99">
        <f t="shared" si="76"/>
        <v>-2.2233987413127876E-2</v>
      </c>
      <c r="L1258" s="99" t="e">
        <f t="shared" si="77"/>
        <v>#DIV/0!</v>
      </c>
      <c r="M1258" s="3">
        <f>Prices!M1258</f>
        <v>22.84</v>
      </c>
      <c r="N1258" s="99">
        <f t="shared" si="78"/>
        <v>-3.0554343081623868E-3</v>
      </c>
      <c r="O1258" s="99" t="e">
        <f t="shared" si="79"/>
        <v>#DIV/0!</v>
      </c>
    </row>
    <row r="1259" spans="9:15">
      <c r="I1259" s="178">
        <f>Prices!A1259</f>
        <v>43433</v>
      </c>
      <c r="J1259" s="3">
        <f>Prices!E1259</f>
        <v>18.889999</v>
      </c>
      <c r="K1259" s="99">
        <f t="shared" si="76"/>
        <v>3.7342121765080803E-2</v>
      </c>
      <c r="L1259" s="99" t="e">
        <f t="shared" si="77"/>
        <v>#DIV/0!</v>
      </c>
      <c r="M1259" s="3">
        <f>Prices!M1259</f>
        <v>22.91</v>
      </c>
      <c r="N1259" s="99">
        <f t="shared" si="78"/>
        <v>8.7378771838306332E-4</v>
      </c>
      <c r="O1259" s="99" t="e">
        <f t="shared" si="79"/>
        <v>#DIV/0!</v>
      </c>
    </row>
    <row r="1260" spans="9:15">
      <c r="I1260" s="178">
        <f>Prices!A1260</f>
        <v>43434</v>
      </c>
      <c r="J1260" s="3">
        <f>Prices!E1260</f>
        <v>18.209999</v>
      </c>
      <c r="K1260" s="99" t="e">
        <f t="shared" si="76"/>
        <v>#DIV/0!</v>
      </c>
      <c r="L1260" s="99" t="e">
        <f t="shared" si="77"/>
        <v>#DIV/0!</v>
      </c>
      <c r="M1260" s="3">
        <f>Prices!M1260</f>
        <v>22.889999</v>
      </c>
      <c r="N1260" s="99" t="e">
        <f t="shared" si="78"/>
        <v>#DIV/0!</v>
      </c>
      <c r="O1260" s="99" t="e">
        <f t="shared" si="79"/>
        <v>#DIV/0!</v>
      </c>
    </row>
    <row r="1261" spans="9:15">
      <c r="I1261" s="178">
        <f>Prices!A1261</f>
        <v>0</v>
      </c>
      <c r="J1261" s="3">
        <f>Prices!E1261</f>
        <v>0</v>
      </c>
      <c r="K1261" s="99" t="e">
        <f t="shared" si="76"/>
        <v>#DIV/0!</v>
      </c>
      <c r="L1261" s="99" t="e">
        <f t="shared" si="77"/>
        <v>#DIV/0!</v>
      </c>
      <c r="M1261" s="3">
        <f>Prices!M1261</f>
        <v>0</v>
      </c>
      <c r="N1261" s="99" t="e">
        <f t="shared" si="78"/>
        <v>#DIV/0!</v>
      </c>
      <c r="O1261" s="99" t="e">
        <f t="shared" si="79"/>
        <v>#DIV/0!</v>
      </c>
    </row>
    <row r="1262" spans="9:15">
      <c r="I1262" s="178">
        <f>Prices!A1262</f>
        <v>0</v>
      </c>
      <c r="J1262" s="3">
        <f>Prices!E1262</f>
        <v>0</v>
      </c>
      <c r="K1262" s="99" t="e">
        <f t="shared" si="76"/>
        <v>#DIV/0!</v>
      </c>
      <c r="L1262" s="99" t="e">
        <f t="shared" si="77"/>
        <v>#DIV/0!</v>
      </c>
      <c r="M1262" s="3">
        <f>Prices!M1262</f>
        <v>0</v>
      </c>
      <c r="N1262" s="99" t="e">
        <f t="shared" si="78"/>
        <v>#DIV/0!</v>
      </c>
      <c r="O1262" s="99" t="e">
        <f t="shared" si="79"/>
        <v>#DIV/0!</v>
      </c>
    </row>
    <row r="1263" spans="9:15">
      <c r="I1263" s="178">
        <f>Prices!A1263</f>
        <v>0</v>
      </c>
      <c r="J1263" s="3">
        <f>Prices!E1263</f>
        <v>0</v>
      </c>
      <c r="K1263" s="99" t="e">
        <f t="shared" si="76"/>
        <v>#DIV/0!</v>
      </c>
      <c r="L1263" s="99" t="e">
        <f t="shared" si="77"/>
        <v>#DIV/0!</v>
      </c>
      <c r="M1263" s="3">
        <f>Prices!M1263</f>
        <v>0</v>
      </c>
      <c r="N1263" s="99" t="e">
        <f t="shared" si="78"/>
        <v>#DIV/0!</v>
      </c>
      <c r="O1263" s="99" t="e">
        <f t="shared" si="79"/>
        <v>#DIV/0!</v>
      </c>
    </row>
    <row r="1264" spans="9:15">
      <c r="I1264" s="178">
        <f>Prices!A1264</f>
        <v>0</v>
      </c>
      <c r="J1264" s="3">
        <f>Prices!E1264</f>
        <v>0</v>
      </c>
      <c r="K1264" s="99" t="e">
        <f t="shared" si="76"/>
        <v>#DIV/0!</v>
      </c>
      <c r="L1264" s="99" t="e">
        <f t="shared" si="77"/>
        <v>#DIV/0!</v>
      </c>
      <c r="M1264" s="3">
        <f>Prices!M1264</f>
        <v>0</v>
      </c>
      <c r="N1264" s="99" t="e">
        <f t="shared" si="78"/>
        <v>#DIV/0!</v>
      </c>
      <c r="O1264" s="99" t="e">
        <f t="shared" si="79"/>
        <v>#DIV/0!</v>
      </c>
    </row>
    <row r="1265" spans="9:15">
      <c r="I1265" s="178">
        <f>Prices!A1265</f>
        <v>0</v>
      </c>
      <c r="J1265" s="3">
        <f>Prices!E1265</f>
        <v>0</v>
      </c>
      <c r="K1265" s="99" t="e">
        <f t="shared" si="76"/>
        <v>#DIV/0!</v>
      </c>
      <c r="L1265" s="99" t="e">
        <f t="shared" si="77"/>
        <v>#DIV/0!</v>
      </c>
      <c r="M1265" s="3">
        <f>Prices!M1265</f>
        <v>0</v>
      </c>
      <c r="N1265" s="99" t="e">
        <f t="shared" si="78"/>
        <v>#DIV/0!</v>
      </c>
      <c r="O1265" s="99" t="e">
        <f t="shared" si="79"/>
        <v>#DIV/0!</v>
      </c>
    </row>
    <row r="1266" spans="9:15">
      <c r="I1266" s="178">
        <f>Prices!A1266</f>
        <v>0</v>
      </c>
      <c r="J1266" s="3">
        <f>Prices!E1266</f>
        <v>0</v>
      </c>
      <c r="K1266" s="99" t="e">
        <f t="shared" si="76"/>
        <v>#DIV/0!</v>
      </c>
      <c r="L1266" s="99" t="e">
        <f t="shared" si="77"/>
        <v>#DIV/0!</v>
      </c>
      <c r="M1266" s="3">
        <f>Prices!M1266</f>
        <v>0</v>
      </c>
      <c r="N1266" s="99" t="e">
        <f t="shared" si="78"/>
        <v>#DIV/0!</v>
      </c>
      <c r="O1266" s="99" t="e">
        <f t="shared" si="79"/>
        <v>#DIV/0!</v>
      </c>
    </row>
    <row r="1267" spans="9:15">
      <c r="I1267" s="178">
        <f>Prices!A1267</f>
        <v>0</v>
      </c>
      <c r="J1267" s="3">
        <f>Prices!E1267</f>
        <v>0</v>
      </c>
      <c r="K1267" s="99" t="e">
        <f t="shared" si="76"/>
        <v>#DIV/0!</v>
      </c>
      <c r="L1267" s="99" t="e">
        <f t="shared" si="77"/>
        <v>#DIV/0!</v>
      </c>
      <c r="M1267" s="3">
        <f>Prices!M1267</f>
        <v>0</v>
      </c>
      <c r="N1267" s="99" t="e">
        <f t="shared" si="78"/>
        <v>#DIV/0!</v>
      </c>
      <c r="O1267" s="99" t="e">
        <f t="shared" si="79"/>
        <v>#DIV/0!</v>
      </c>
    </row>
  </sheetData>
  <mergeCells count="9">
    <mergeCell ref="I2:O3"/>
    <mergeCell ref="I1:O1"/>
    <mergeCell ref="A24:C24"/>
    <mergeCell ref="A19:D19"/>
    <mergeCell ref="A20:D22"/>
    <mergeCell ref="A23:C23"/>
    <mergeCell ref="F1:G1"/>
    <mergeCell ref="A1:D1"/>
    <mergeCell ref="A2:D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AE7CD-1127-5D44-B1AE-D736C911A90E}">
  <sheetPr>
    <tabColor rgb="FFFFFF00"/>
  </sheetPr>
  <dimension ref="A1:M32"/>
  <sheetViews>
    <sheetView workbookViewId="0">
      <selection activeCell="I19" sqref="I19"/>
    </sheetView>
  </sheetViews>
  <sheetFormatPr baseColWidth="10" defaultRowHeight="16"/>
  <cols>
    <col min="1" max="1" width="23.83203125" bestFit="1" customWidth="1"/>
    <col min="2" max="2" width="11.5" bestFit="1" customWidth="1"/>
    <col min="12" max="12" width="11.5" bestFit="1" customWidth="1"/>
    <col min="13" max="13" width="12.5" bestFit="1" customWidth="1"/>
  </cols>
  <sheetData>
    <row r="1" spans="1:13">
      <c r="A1" s="204"/>
      <c r="B1" s="205" t="s">
        <v>159</v>
      </c>
      <c r="C1" s="205">
        <v>1</v>
      </c>
      <c r="D1" s="205">
        <v>2</v>
      </c>
      <c r="E1" s="205">
        <v>3</v>
      </c>
      <c r="F1" s="205">
        <v>4</v>
      </c>
      <c r="G1" s="205">
        <v>5</v>
      </c>
      <c r="H1" s="205">
        <v>6</v>
      </c>
      <c r="I1" s="205">
        <v>7</v>
      </c>
      <c r="J1" s="205">
        <v>8</v>
      </c>
      <c r="K1" s="205">
        <v>9</v>
      </c>
      <c r="L1" s="205">
        <v>10</v>
      </c>
      <c r="M1" s="206" t="s">
        <v>160</v>
      </c>
    </row>
    <row r="2" spans="1:13">
      <c r="A2" s="202" t="s">
        <v>161</v>
      </c>
      <c r="B2" s="293"/>
      <c r="C2" s="321">
        <f>INPUT!F18</f>
        <v>7.2415870063977178E-2</v>
      </c>
      <c r="D2" s="164">
        <f>C2</f>
        <v>7.2415870063977178E-2</v>
      </c>
      <c r="E2" s="164">
        <f>D2</f>
        <v>7.2415870063977178E-2</v>
      </c>
      <c r="F2" s="164">
        <f>IF(INPUT!D64="3 Year",($E$2-(($E$2-$M$2)/7)),'DCF 1'!$C$2)</f>
        <v>7.2415870063977178E-2</v>
      </c>
      <c r="G2" s="164">
        <f>IF(INPUT!D64="3 Year",($E$2-(($E$2-$M$2)/7)*2),'DCF 1'!$C$2)</f>
        <v>7.2415870063977178E-2</v>
      </c>
      <c r="H2" s="164">
        <f>IF(INPUT!D64="3 Year",($E$2-(($E$2-$M$2)/7)*3),($G$2-(($G$2-$M$2)/5)))</f>
        <v>6.4112696051181736E-2</v>
      </c>
      <c r="I2" s="164">
        <f>IF(INPUT!D64="3 Year",($E$2-(($E$2-$M$2)/7)*4),($G$2-(($G$2-$M$2)/5)*2))</f>
        <v>5.5809522038386308E-2</v>
      </c>
      <c r="J2" s="164">
        <f>IF(INPUT!D64="3 Year",($E$2-(($E$2-$M$2)/7)*5),($G$2-(($G$2-$M$2)/5)*3))</f>
        <v>4.7506348025590867E-2</v>
      </c>
      <c r="K2" s="164">
        <f>IF(INPUT!D64="3 Year",($E$2-(($E$2-$M$2)/7)*6),($G$2-(($G$2-$M$2)/5)*4))</f>
        <v>3.9203174012795432E-2</v>
      </c>
      <c r="L2" s="164">
        <f>IF(INPUT!D64="3 Year",($E$2-(($E$2-$M$2)/7)*7),($G$2-(($G$2-$M$2)/5)*5))</f>
        <v>3.0899999999999997E-2</v>
      </c>
      <c r="M2" s="322">
        <f>INPUT!G18</f>
        <v>3.09E-2</v>
      </c>
    </row>
    <row r="3" spans="1:13">
      <c r="A3" s="202" t="s">
        <v>162</v>
      </c>
      <c r="B3" s="318">
        <f>INPUT!B18</f>
        <v>5268</v>
      </c>
      <c r="C3" s="294">
        <f>B3*(1+C2)</f>
        <v>5649.4868034970323</v>
      </c>
      <c r="D3" s="294">
        <f>C3*(1+D2)</f>
        <v>6058.5993057872274</v>
      </c>
      <c r="E3" s="294">
        <f t="shared" ref="E3:L3" si="0">D3*(1+E2)</f>
        <v>6497.3380458848178</v>
      </c>
      <c r="F3" s="294">
        <f t="shared" si="0"/>
        <v>6967.8484335773483</v>
      </c>
      <c r="G3" s="294">
        <f t="shared" si="0"/>
        <v>7472.4312403687727</v>
      </c>
      <c r="H3" s="294">
        <f t="shared" si="0"/>
        <v>7951.5089532458906</v>
      </c>
      <c r="I3" s="294">
        <f t="shared" si="0"/>
        <v>8395.2788674104922</v>
      </c>
      <c r="J3" s="294">
        <f t="shared" si="0"/>
        <v>8794.1079070575834</v>
      </c>
      <c r="K3" s="294">
        <f t="shared" si="0"/>
        <v>9138.8648496252608</v>
      </c>
      <c r="L3" s="294">
        <f t="shared" si="0"/>
        <v>9421.2557734786806</v>
      </c>
      <c r="M3" s="295">
        <f>L3*(1+M2)</f>
        <v>9712.3725768791719</v>
      </c>
    </row>
    <row r="4" spans="1:13">
      <c r="A4" s="202" t="s">
        <v>163</v>
      </c>
      <c r="B4" s="319">
        <f>INPUT!B30</f>
        <v>0.11933891393002791</v>
      </c>
      <c r="C4" s="296">
        <f>B4+($L$4-$B$4)/10</f>
        <v>0.11493276709692274</v>
      </c>
      <c r="D4" s="296">
        <f t="shared" ref="D4:K4" si="1">C4+($L$4-$B$4)/10</f>
        <v>0.11052662026381757</v>
      </c>
      <c r="E4" s="296">
        <f t="shared" si="1"/>
        <v>0.1061204734307124</v>
      </c>
      <c r="F4" s="296">
        <f t="shared" si="1"/>
        <v>0.10171432659760724</v>
      </c>
      <c r="G4" s="296">
        <f t="shared" si="1"/>
        <v>9.7308179764502067E-2</v>
      </c>
      <c r="H4" s="296">
        <f t="shared" si="1"/>
        <v>9.29020329313969E-2</v>
      </c>
      <c r="I4" s="296">
        <f t="shared" si="1"/>
        <v>8.8495886098291732E-2</v>
      </c>
      <c r="J4" s="296">
        <f t="shared" si="1"/>
        <v>8.4089739265186564E-2</v>
      </c>
      <c r="K4" s="296">
        <f t="shared" si="1"/>
        <v>7.9683592432081396E-2</v>
      </c>
      <c r="L4" s="296">
        <f>M4</f>
        <v>7.5277445598976242E-2</v>
      </c>
      <c r="M4" s="322">
        <f>INPUT!G19</f>
        <v>7.5277445598976242E-2</v>
      </c>
    </row>
    <row r="5" spans="1:13">
      <c r="A5" s="202" t="s">
        <v>164</v>
      </c>
      <c r="B5" s="318">
        <f>IF(INPUT!D46="5 Year",'10K-S'!F10,'10K-S'!K10)</f>
        <v>556</v>
      </c>
      <c r="C5" s="294">
        <f>C4*C3</f>
        <v>649.3111510034629</v>
      </c>
      <c r="D5" s="294">
        <f t="shared" ref="D5:M5" si="2">D4*D3</f>
        <v>669.63650480137369</v>
      </c>
      <c r="E5" s="294">
        <f t="shared" si="2"/>
        <v>689.50058946867671</v>
      </c>
      <c r="F5" s="294">
        <f t="shared" si="2"/>
        <v>708.73001125551241</v>
      </c>
      <c r="G5" s="294">
        <f t="shared" si="2"/>
        <v>727.12868241568572</v>
      </c>
      <c r="H5" s="294">
        <f t="shared" si="2"/>
        <v>738.71134662874704</v>
      </c>
      <c r="I5" s="294">
        <f t="shared" si="2"/>
        <v>742.94764241375458</v>
      </c>
      <c r="J5" s="294">
        <f t="shared" si="2"/>
        <v>739.49424097438771</v>
      </c>
      <c r="K5" s="294">
        <f t="shared" si="2"/>
        <v>728.21758196941414</v>
      </c>
      <c r="L5" s="294">
        <f t="shared" si="2"/>
        <v>709.20806896208217</v>
      </c>
      <c r="M5" s="295">
        <f t="shared" si="2"/>
        <v>731.12259829301058</v>
      </c>
    </row>
    <row r="6" spans="1:13">
      <c r="A6" s="202" t="s">
        <v>165</v>
      </c>
      <c r="B6" s="320">
        <f>INPUT!B28</f>
        <v>2.5246772968868642E-2</v>
      </c>
      <c r="C6" s="297">
        <f>B6</f>
        <v>2.5246772968868642E-2</v>
      </c>
      <c r="D6" s="297">
        <f>C6</f>
        <v>2.5246772968868642E-2</v>
      </c>
      <c r="E6" s="297">
        <f>D6</f>
        <v>2.5246772968868642E-2</v>
      </c>
      <c r="F6" s="297">
        <f>E6</f>
        <v>2.5246772968868642E-2</v>
      </c>
      <c r="G6" s="297">
        <f>F6</f>
        <v>2.5246772968868642E-2</v>
      </c>
      <c r="H6" s="297">
        <f>G6+($M$6-$G$6)/5</f>
        <v>6.2197418375094904E-2</v>
      </c>
      <c r="I6" s="297">
        <f>H6+($M$6-$G$6)/5</f>
        <v>9.9148063781321169E-2</v>
      </c>
      <c r="J6" s="297">
        <f>I6+($M$6-$G$6)/5</f>
        <v>0.13609870918754743</v>
      </c>
      <c r="K6" s="297">
        <f>J6+($M$6-$G$6)/5</f>
        <v>0.17304935459377369</v>
      </c>
      <c r="L6" s="297">
        <f>K6+($M$6-$G$6)/5</f>
        <v>0.20999999999999996</v>
      </c>
      <c r="M6" s="323">
        <f>IF(INPUT!D55="Yes",INPUT!D5,INPUT!D56)</f>
        <v>0.21</v>
      </c>
    </row>
    <row r="7" spans="1:13">
      <c r="A7" s="202" t="s">
        <v>166</v>
      </c>
      <c r="B7" s="298">
        <f>IF(B5&gt;0,B5*(1-B6),B5)</f>
        <v>541.962794229309</v>
      </c>
      <c r="C7" s="299">
        <f>IF(C5&gt;0,IF(C5&lt;B10,C5,C5-(C5-B10)*C6),C5)</f>
        <v>632.91813978792368</v>
      </c>
      <c r="D7" s="299">
        <f t="shared" ref="D7:L7" si="3">IF(D5&gt;0,IF(D5&lt;C10,D5,D5-(D5-C10)*D6),D5)</f>
        <v>652.73034399298672</v>
      </c>
      <c r="E7" s="299">
        <f t="shared" si="3"/>
        <v>672.0929246244599</v>
      </c>
      <c r="F7" s="299">
        <f t="shared" si="3"/>
        <v>690.83686556512077</v>
      </c>
      <c r="G7" s="299">
        <f t="shared" si="3"/>
        <v>708.77102965158429</v>
      </c>
      <c r="H7" s="299">
        <f t="shared" si="3"/>
        <v>692.76540794404912</v>
      </c>
      <c r="I7" s="299">
        <f t="shared" si="3"/>
        <v>669.28582217753342</v>
      </c>
      <c r="J7" s="299">
        <f t="shared" si="3"/>
        <v>638.85002932614839</v>
      </c>
      <c r="K7" s="299">
        <f t="shared" si="3"/>
        <v>602.19999940576849</v>
      </c>
      <c r="L7" s="299">
        <f t="shared" si="3"/>
        <v>560.27437448004491</v>
      </c>
      <c r="M7" s="300">
        <f>M5*(1-M6)</f>
        <v>577.58685265147835</v>
      </c>
    </row>
    <row r="8" spans="1:13">
      <c r="A8" s="202" t="s">
        <v>167</v>
      </c>
      <c r="B8" s="318">
        <f>INPUT!B25</f>
        <v>252</v>
      </c>
      <c r="C8" s="294">
        <f>IF(INPUT!$D$61='Aux Info'!$C$3,(C3-B3)/C29,C3*C30)</f>
        <v>42.853127130033869</v>
      </c>
      <c r="D8" s="294">
        <f>IF(INPUT!$D$61='Aux Info'!$C$3,(D3-C3)/D29,D3*D30)</f>
        <v>51.650998595361315</v>
      </c>
      <c r="E8" s="294">
        <f>IF(INPUT!$D$61='Aux Info'!$C$3,(E3-D3)/E29,E3*E30)</f>
        <v>63.225907701044804</v>
      </c>
      <c r="F8" s="294">
        <f>IF(INPUT!$D$61='Aux Info'!$C$3,(F3-E3)/F29,F3*F30)</f>
        <v>78.974647312692156</v>
      </c>
      <c r="G8" s="294">
        <f>IF(INPUT!$D$61='Aux Info'!$C$3,(G3-F3)/G29,G3*G30)</f>
        <v>101.39809607458035</v>
      </c>
      <c r="H8" s="294">
        <f>IF(INPUT!$D$61='Aux Info'!$C$3,(H3-G3)/H29,H3*H30)</f>
        <v>119.92620694462069</v>
      </c>
      <c r="I8" s="294">
        <f>IF(INPUT!$D$61='Aux Info'!$C$3,(I3-H3)/I29,I3*I30)</f>
        <v>147.27106987389203</v>
      </c>
      <c r="J8" s="294">
        <f>IF(INPUT!$D$61='Aux Info'!$C$3,(J3-I3)/J29,J3*J30)</f>
        <v>196.29326039273511</v>
      </c>
      <c r="K8" s="294">
        <f>IF(INPUT!$D$61='Aux Info'!$C$3,(K3-J3)/K29,K3*K30)</f>
        <v>328.24066309353469</v>
      </c>
      <c r="L8" s="294">
        <f>IF(INPUT!$D$61='Aux Info'!$C$3,(L3-K3)/L29,L3*L30)</f>
        <v>4102.5407674033868</v>
      </c>
      <c r="M8" s="301">
        <f>IF(M2&gt;0,(M2/M32)*M7,0)</f>
        <v>235.14405463676786</v>
      </c>
    </row>
    <row r="9" spans="1:13">
      <c r="A9" s="202" t="s">
        <v>168</v>
      </c>
      <c r="B9" s="318">
        <f>INPUT!B31</f>
        <v>0</v>
      </c>
      <c r="C9" s="294">
        <f>IF(C8&lt;0,C7,C7-C8)</f>
        <v>590.06501265788984</v>
      </c>
      <c r="D9" s="294">
        <f t="shared" ref="D9:K9" si="4">IF(D8&lt;0,D7,D7-D8)</f>
        <v>601.07934539762539</v>
      </c>
      <c r="E9" s="294">
        <f t="shared" si="4"/>
        <v>608.86701692341512</v>
      </c>
      <c r="F9" s="294">
        <f t="shared" si="4"/>
        <v>611.86221825242865</v>
      </c>
      <c r="G9" s="294">
        <f t="shared" si="4"/>
        <v>607.37293357700389</v>
      </c>
      <c r="H9" s="294">
        <f t="shared" si="4"/>
        <v>572.83920099942839</v>
      </c>
      <c r="I9" s="294">
        <f t="shared" si="4"/>
        <v>522.01475230364144</v>
      </c>
      <c r="J9" s="294">
        <f t="shared" si="4"/>
        <v>442.55676893341331</v>
      </c>
      <c r="K9" s="294">
        <f t="shared" si="4"/>
        <v>273.9593363122338</v>
      </c>
      <c r="L9" s="294">
        <f>IF(L8&lt;0,L7,L7-L8)</f>
        <v>-3542.2663929233418</v>
      </c>
      <c r="M9" s="301">
        <f>M7-M8</f>
        <v>342.44279801471049</v>
      </c>
    </row>
    <row r="10" spans="1:13" ht="17" thickBot="1">
      <c r="A10" s="203" t="s">
        <v>169</v>
      </c>
      <c r="B10" s="302"/>
      <c r="C10" s="303"/>
      <c r="D10" s="303"/>
      <c r="E10" s="303"/>
      <c r="F10" s="303"/>
      <c r="G10" s="303"/>
      <c r="H10" s="303"/>
      <c r="I10" s="303"/>
      <c r="J10" s="303"/>
      <c r="K10" s="303"/>
      <c r="L10" s="303">
        <f>M9/(L12-M2)</f>
        <v>7609.8399558824531</v>
      </c>
      <c r="M10" s="304"/>
    </row>
    <row r="11" spans="1:13" ht="17" thickBot="1">
      <c r="A11" s="47"/>
      <c r="B11" s="47"/>
      <c r="C11" s="43"/>
      <c r="D11" s="43"/>
      <c r="E11" s="43"/>
      <c r="F11" s="43"/>
      <c r="G11" s="43"/>
      <c r="H11" s="43"/>
      <c r="I11" s="43"/>
      <c r="J11" s="43"/>
      <c r="K11" s="43"/>
      <c r="L11" s="43"/>
      <c r="M11" s="43"/>
    </row>
    <row r="12" spans="1:13">
      <c r="A12" s="201" t="s">
        <v>170</v>
      </c>
      <c r="B12" s="305"/>
      <c r="C12" s="325">
        <f>INPUT!F21</f>
        <v>8.7589938731173989E-2</v>
      </c>
      <c r="D12" s="216">
        <f>C12</f>
        <v>8.7589938731173989E-2</v>
      </c>
      <c r="E12" s="216">
        <f>D12</f>
        <v>8.7589938731173989E-2</v>
      </c>
      <c r="F12" s="216">
        <f>E12</f>
        <v>8.7589938731173989E-2</v>
      </c>
      <c r="G12" s="216">
        <f>F12</f>
        <v>8.7589938731173989E-2</v>
      </c>
      <c r="H12" s="216">
        <f>G12-($G$12-$M$12)/5</f>
        <v>8.5251950984939193E-2</v>
      </c>
      <c r="I12" s="216">
        <f>H12-($G$12-$M$12)/5</f>
        <v>8.2913963238704397E-2</v>
      </c>
      <c r="J12" s="216">
        <f>I12-($G$12-$M$12)/5</f>
        <v>8.0575975492469601E-2</v>
      </c>
      <c r="K12" s="216">
        <f>J12-($G$12-$M$12)/5</f>
        <v>7.8237987746234805E-2</v>
      </c>
      <c r="L12" s="216">
        <f>K12-($G$12-$M$12)/5</f>
        <v>7.5900000000000009E-2</v>
      </c>
      <c r="M12" s="324">
        <f>INPUT!G21</f>
        <v>7.5899999999999995E-2</v>
      </c>
    </row>
    <row r="13" spans="1:13">
      <c r="A13" s="202" t="s">
        <v>171</v>
      </c>
      <c r="B13" s="293"/>
      <c r="C13" s="306">
        <f>1/(1+C12)</f>
        <v>0.91946418809890795</v>
      </c>
      <c r="D13" s="306">
        <f>C13*(1/(1+D12))</f>
        <v>0.84541439319638401</v>
      </c>
      <c r="E13" s="306">
        <f>D13*(1/(1+E12))</f>
        <v>0.77732825864744415</v>
      </c>
      <c r="F13" s="306">
        <f t="shared" ref="F13:L13" si="5">E13*(1/(1+F12))</f>
        <v>0.71472549622361015</v>
      </c>
      <c r="G13" s="306">
        <f t="shared" si="5"/>
        <v>0.65716449809883082</v>
      </c>
      <c r="H13" s="306">
        <f t="shared" si="5"/>
        <v>0.60554095065427871</v>
      </c>
      <c r="I13" s="306">
        <f t="shared" si="5"/>
        <v>0.55917734114653816</v>
      </c>
      <c r="J13" s="306">
        <f t="shared" si="5"/>
        <v>0.51748081933035261</v>
      </c>
      <c r="K13" s="306">
        <f t="shared" si="5"/>
        <v>0.47993191225993298</v>
      </c>
      <c r="L13" s="306">
        <f t="shared" si="5"/>
        <v>0.44607483247507473</v>
      </c>
      <c r="M13" s="307"/>
    </row>
    <row r="14" spans="1:13" ht="17" thickBot="1">
      <c r="A14" s="203" t="s">
        <v>172</v>
      </c>
      <c r="B14" s="308"/>
      <c r="C14" s="303">
        <f>SUM(C9:C10)*C13</f>
        <v>542.54364778905847</v>
      </c>
      <c r="D14" s="303">
        <f t="shared" ref="D14:L14" si="6">SUM(D9:D10)*D13</f>
        <v>508.1611300522132</v>
      </c>
      <c r="E14" s="303">
        <f t="shared" si="6"/>
        <v>473.28953801294216</v>
      </c>
      <c r="F14" s="303">
        <f t="shared" si="6"/>
        <v>437.31352756094594</v>
      </c>
      <c r="G14" s="303">
        <f t="shared" si="6"/>
        <v>399.14392905294625</v>
      </c>
      <c r="H14" s="303">
        <f t="shared" si="6"/>
        <v>346.87759434523133</v>
      </c>
      <c r="I14" s="303">
        <f t="shared" si="6"/>
        <v>291.89882123241892</v>
      </c>
      <c r="J14" s="303">
        <f t="shared" si="6"/>
        <v>229.01463938785625</v>
      </c>
      <c r="K14" s="303">
        <f t="shared" si="6"/>
        <v>131.48182815779248</v>
      </c>
      <c r="L14" s="303">
        <f t="shared" si="6"/>
        <v>1814.4421956770284</v>
      </c>
      <c r="M14" s="309"/>
    </row>
    <row r="15" spans="1:13" ht="17" thickBot="1">
      <c r="A15" s="47"/>
      <c r="B15" s="57"/>
      <c r="C15" s="58"/>
      <c r="D15" s="58"/>
      <c r="E15" s="58"/>
      <c r="F15" s="58"/>
      <c r="G15" s="58"/>
      <c r="H15" s="58"/>
      <c r="I15" s="58"/>
      <c r="J15" s="58"/>
      <c r="K15" s="58"/>
      <c r="L15" s="58"/>
      <c r="M15" s="58"/>
    </row>
    <row r="16" spans="1:13">
      <c r="A16" s="201" t="s">
        <v>173</v>
      </c>
      <c r="B16" s="310">
        <f>SUM(C14:L14)</f>
        <v>5174.1668512684337</v>
      </c>
      <c r="C16" s="58"/>
      <c r="D16" s="100"/>
      <c r="E16" s="261"/>
      <c r="F16" s="100"/>
      <c r="G16" s="100"/>
      <c r="H16" s="58"/>
      <c r="I16" s="58"/>
      <c r="J16" s="58"/>
      <c r="K16" s="58"/>
      <c r="L16" s="58"/>
      <c r="M16" s="58"/>
    </row>
    <row r="17" spans="1:13">
      <c r="A17" s="202" t="s">
        <v>174</v>
      </c>
      <c r="B17" s="326">
        <f>IF(INPUT!D59="Yes",INPUT!D60,0%)</f>
        <v>0</v>
      </c>
      <c r="C17" s="58"/>
      <c r="D17" s="100"/>
      <c r="E17" s="100"/>
      <c r="F17" s="100"/>
      <c r="G17" s="101"/>
      <c r="H17" s="58"/>
      <c r="I17" s="58"/>
      <c r="J17" s="58"/>
      <c r="K17" s="58"/>
      <c r="L17" s="58"/>
      <c r="M17" s="58"/>
    </row>
    <row r="18" spans="1:13">
      <c r="A18" s="202" t="s">
        <v>175</v>
      </c>
      <c r="B18" s="327">
        <f>B17*IF(INPUT!D46="5 Year",('10K-S'!S16),('10K-S'!X16))</f>
        <v>0</v>
      </c>
      <c r="C18" s="58"/>
      <c r="D18" s="100"/>
      <c r="E18" s="100"/>
      <c r="F18" s="100"/>
      <c r="G18" s="101"/>
      <c r="H18" s="58"/>
      <c r="I18" s="58"/>
      <c r="J18" s="58"/>
      <c r="K18" s="58"/>
      <c r="L18" s="58"/>
      <c r="M18" s="58"/>
    </row>
    <row r="19" spans="1:13">
      <c r="A19" s="202" t="s">
        <v>176</v>
      </c>
      <c r="B19" s="170">
        <f>B16*(1-B17)+B18*B17</f>
        <v>5174.1668512684337</v>
      </c>
      <c r="C19" s="58"/>
      <c r="D19" s="43"/>
      <c r="E19" s="43"/>
      <c r="F19" s="100"/>
      <c r="G19" s="101"/>
      <c r="H19" s="58"/>
      <c r="I19" s="58"/>
      <c r="J19" s="58"/>
      <c r="K19" s="58"/>
      <c r="L19" s="58"/>
      <c r="M19" s="58"/>
    </row>
    <row r="20" spans="1:13">
      <c r="A20" s="202" t="s">
        <v>177</v>
      </c>
      <c r="B20" s="328">
        <f>INPUT!B22</f>
        <v>385</v>
      </c>
      <c r="C20" s="58"/>
      <c r="D20" s="71"/>
      <c r="E20" s="71"/>
      <c r="F20" s="71"/>
      <c r="G20" s="71"/>
      <c r="H20" s="58"/>
      <c r="I20" s="58"/>
      <c r="J20" s="58"/>
      <c r="K20" s="58"/>
      <c r="L20" s="58"/>
      <c r="M20" s="58"/>
    </row>
    <row r="21" spans="1:13">
      <c r="A21" s="202" t="s">
        <v>178</v>
      </c>
      <c r="B21" s="328">
        <f>INPUT!B21</f>
        <v>288</v>
      </c>
      <c r="C21" s="58"/>
      <c r="D21" s="100"/>
      <c r="E21" s="100"/>
      <c r="F21" s="100"/>
      <c r="G21" s="100"/>
      <c r="H21" s="58"/>
      <c r="I21" s="58"/>
      <c r="J21" s="58"/>
      <c r="K21" s="58"/>
      <c r="L21" s="58"/>
      <c r="M21" s="58"/>
    </row>
    <row r="22" spans="1:13">
      <c r="A22" s="202" t="s">
        <v>179</v>
      </c>
      <c r="B22" s="169">
        <f>B19-B20+B21</f>
        <v>5077.1668512684337</v>
      </c>
      <c r="C22" s="62"/>
      <c r="D22" s="108"/>
      <c r="E22" s="108"/>
      <c r="F22" s="262"/>
      <c r="G22" s="103"/>
      <c r="H22" s="58"/>
      <c r="I22" s="58"/>
      <c r="J22" s="58"/>
      <c r="K22" s="58"/>
      <c r="L22" s="58"/>
      <c r="M22" s="58"/>
    </row>
    <row r="23" spans="1:13">
      <c r="A23" s="202" t="s">
        <v>181</v>
      </c>
      <c r="B23" s="329">
        <f>INPUT!B17</f>
        <v>131</v>
      </c>
      <c r="C23" s="63"/>
      <c r="D23" s="100"/>
      <c r="E23" s="100"/>
      <c r="F23" s="104"/>
      <c r="G23" s="103"/>
      <c r="H23" s="58"/>
      <c r="I23" s="58"/>
      <c r="J23" s="58"/>
      <c r="K23" s="58"/>
      <c r="L23" s="58"/>
      <c r="M23" s="58"/>
    </row>
    <row r="24" spans="1:13">
      <c r="A24" s="202" t="s">
        <v>183</v>
      </c>
      <c r="B24" s="330">
        <f>B22/B23</f>
        <v>38.75699886464453</v>
      </c>
      <c r="C24" s="58"/>
      <c r="D24" s="107"/>
      <c r="E24" s="107"/>
      <c r="F24" s="105"/>
      <c r="G24" s="103"/>
      <c r="H24" s="58"/>
      <c r="I24" s="58"/>
      <c r="J24" s="58"/>
      <c r="K24" s="58"/>
      <c r="L24" s="58"/>
      <c r="M24" s="58"/>
    </row>
    <row r="25" spans="1:13">
      <c r="A25" s="202" t="s">
        <v>184</v>
      </c>
      <c r="B25" s="330">
        <f>INPUT!B5</f>
        <v>18.21</v>
      </c>
      <c r="C25" s="58"/>
      <c r="D25" s="100"/>
      <c r="E25" s="100"/>
      <c r="F25" s="43"/>
      <c r="G25" s="103"/>
      <c r="H25" s="58"/>
      <c r="I25" s="58"/>
      <c r="J25" s="58"/>
      <c r="K25" s="58"/>
      <c r="L25" s="58"/>
      <c r="M25" s="58"/>
    </row>
    <row r="26" spans="1:13" ht="17" thickBot="1">
      <c r="A26" s="203" t="s">
        <v>185</v>
      </c>
      <c r="B26" s="311">
        <f>B25/B24</f>
        <v>0.4698506213960697</v>
      </c>
      <c r="C26" s="58"/>
      <c r="D26" s="100"/>
      <c r="E26" s="100"/>
      <c r="F26" s="43"/>
      <c r="G26" s="103"/>
      <c r="H26" s="58"/>
      <c r="I26" s="58"/>
      <c r="J26" s="58"/>
      <c r="K26" s="58"/>
      <c r="L26" s="58"/>
      <c r="M26" s="58"/>
    </row>
    <row r="27" spans="1:13" ht="17" thickBot="1">
      <c r="A27" s="47"/>
      <c r="B27" s="57"/>
      <c r="C27" s="58"/>
      <c r="D27" s="58"/>
      <c r="E27" s="58"/>
      <c r="F27" s="58"/>
      <c r="G27" s="58"/>
      <c r="H27" s="58"/>
      <c r="I27" s="58"/>
      <c r="J27" s="58"/>
      <c r="K27" s="58"/>
      <c r="L27" s="58"/>
      <c r="M27" s="58"/>
    </row>
    <row r="28" spans="1:13">
      <c r="A28" s="222" t="s">
        <v>186</v>
      </c>
      <c r="B28" s="312"/>
      <c r="C28" s="313"/>
      <c r="D28" s="313"/>
      <c r="E28" s="313"/>
      <c r="F28" s="313"/>
      <c r="G28" s="313"/>
      <c r="H28" s="313"/>
      <c r="I28" s="313"/>
      <c r="J28" s="313"/>
      <c r="K28" s="313"/>
      <c r="L28" s="313"/>
      <c r="M28" s="314" t="s">
        <v>187</v>
      </c>
    </row>
    <row r="29" spans="1:13">
      <c r="A29" s="202" t="s">
        <v>188</v>
      </c>
      <c r="B29" s="331">
        <f>INPUT!F20</f>
        <v>9.8836772983114454</v>
      </c>
      <c r="C29" s="173">
        <f>B29+($L$29-$B$29)/10</f>
        <v>8.9021928864011652</v>
      </c>
      <c r="D29" s="173">
        <f>C29+($L$29-$B$29)/10</f>
        <v>7.9207084744908842</v>
      </c>
      <c r="E29" s="173">
        <f t="shared" ref="E29:K29" si="7">D29+($L$29-$B$29)/10</f>
        <v>6.9392240625806032</v>
      </c>
      <c r="F29" s="173">
        <f t="shared" si="7"/>
        <v>5.9577396506703222</v>
      </c>
      <c r="G29" s="173">
        <f t="shared" si="7"/>
        <v>4.9762552387600412</v>
      </c>
      <c r="H29" s="173">
        <f>G29+($L$29-$B$29)/10</f>
        <v>3.9947708268497601</v>
      </c>
      <c r="I29" s="173">
        <f t="shared" si="7"/>
        <v>3.0132864149394791</v>
      </c>
      <c r="J29" s="173">
        <f t="shared" si="7"/>
        <v>2.0318020030291981</v>
      </c>
      <c r="K29" s="173">
        <f t="shared" si="7"/>
        <v>1.0503175911189173</v>
      </c>
      <c r="L29" s="331">
        <f>INPUT!G20</f>
        <v>6.8833179208637796E-2</v>
      </c>
      <c r="M29" s="307"/>
    </row>
    <row r="30" spans="1:13">
      <c r="A30" s="202" t="s">
        <v>57</v>
      </c>
      <c r="B30" s="321">
        <f>INPUT!D31</f>
        <v>4.7835990888382689E-2</v>
      </c>
      <c r="C30" s="164">
        <f>B30</f>
        <v>4.7835990888382689E-2</v>
      </c>
      <c r="D30" s="164">
        <f>C30</f>
        <v>4.7835990888382689E-2</v>
      </c>
      <c r="E30" s="164">
        <f>D30</f>
        <v>4.7835990888382689E-2</v>
      </c>
      <c r="F30" s="164">
        <f>IF(INPUT!D92="3 Year",($E$30-(($E$30-$L$30)/7)),'DCF 1'!$C$30)</f>
        <v>4.7835990888382689E-2</v>
      </c>
      <c r="G30" s="164">
        <f>IF(INPUT!D92="3 Year",($E$30-(($E$30-$L$30)/7)*2),'DCF 1'!$C$30)</f>
        <v>4.7835990888382689E-2</v>
      </c>
      <c r="H30" s="164" t="e">
        <f>IF(INPUT!D92="3 Year",($E$30-(($E$30-$L$30)/7)*3),($G$30-(($G$30-$L$30)/5)))</f>
        <v>#VALUE!</v>
      </c>
      <c r="I30" s="164" t="e">
        <f>IF(INPUT!D92="3 Year",($E$30-(($E$30-$L$30)/7)*4),($G$30-(($G$30-$L$30)/5)*2))</f>
        <v>#VALUE!</v>
      </c>
      <c r="J30" s="164" t="e">
        <f>IF(INPUT!D92="3 Year",($E$30-(($E$30-$L$30)/7)*5),($G$30-(($G$30-$L$30)/5)*3))</f>
        <v>#VALUE!</v>
      </c>
      <c r="K30" s="164" t="e">
        <f>IF(INPUT!D92="3 Year",($E$30-(($E$30-$L$30)/7)*6),($G$30-(($G$30-$L$30)/5)*4))</f>
        <v>#VALUE!</v>
      </c>
      <c r="L30" s="164" t="e">
        <f>IF(INPUT!D62,INPUT!D43,INPUT!D63)</f>
        <v>#VALUE!</v>
      </c>
      <c r="M30" s="307"/>
    </row>
    <row r="31" spans="1:13">
      <c r="A31" s="202" t="s">
        <v>189</v>
      </c>
      <c r="B31" s="332">
        <f>INPUT!D33</f>
        <v>0</v>
      </c>
      <c r="C31" s="315">
        <f t="shared" ref="C31:L31" si="8">B31+C8</f>
        <v>42.853127130033869</v>
      </c>
      <c r="D31" s="315">
        <f>C31+D8</f>
        <v>94.504125725395184</v>
      </c>
      <c r="E31" s="315">
        <f>D31+E8</f>
        <v>157.73003342644</v>
      </c>
      <c r="F31" s="315">
        <f>E31+F8</f>
        <v>236.70468073913216</v>
      </c>
      <c r="G31" s="315">
        <f>F31+G8</f>
        <v>338.10277681371252</v>
      </c>
      <c r="H31" s="315">
        <f>G31+H8</f>
        <v>458.0289837583332</v>
      </c>
      <c r="I31" s="315">
        <f t="shared" si="8"/>
        <v>605.30005363222517</v>
      </c>
      <c r="J31" s="315">
        <f t="shared" si="8"/>
        <v>801.59331402496025</v>
      </c>
      <c r="K31" s="315">
        <f t="shared" si="8"/>
        <v>1129.8339771184949</v>
      </c>
      <c r="L31" s="315">
        <f t="shared" si="8"/>
        <v>5232.3747445218814</v>
      </c>
      <c r="M31" s="307"/>
    </row>
    <row r="32" spans="1:13" ht="17" thickBot="1">
      <c r="A32" s="203" t="s">
        <v>190</v>
      </c>
      <c r="B32" s="316" t="e">
        <f t="shared" ref="B32:L32" si="9">B7/B31</f>
        <v>#DIV/0!</v>
      </c>
      <c r="C32" s="317">
        <f t="shared" si="9"/>
        <v>14.769473832502161</v>
      </c>
      <c r="D32" s="317">
        <f>D7/D31</f>
        <v>6.9068978627415074</v>
      </c>
      <c r="E32" s="317">
        <f>E7/E31</f>
        <v>4.261033298632384</v>
      </c>
      <c r="F32" s="317">
        <f>F7/F31</f>
        <v>2.918560221994424</v>
      </c>
      <c r="G32" s="317">
        <f>G7/G31</f>
        <v>2.0963182743751974</v>
      </c>
      <c r="H32" s="317">
        <f t="shared" si="9"/>
        <v>1.5124925114118288</v>
      </c>
      <c r="I32" s="317">
        <f t="shared" si="9"/>
        <v>1.1057091737582851</v>
      </c>
      <c r="J32" s="317">
        <f t="shared" si="9"/>
        <v>0.79697524685972576</v>
      </c>
      <c r="K32" s="317">
        <f t="shared" si="9"/>
        <v>0.53299866316784605</v>
      </c>
      <c r="L32" s="317">
        <f t="shared" si="9"/>
        <v>0.10707841120642843</v>
      </c>
      <c r="M32" s="333">
        <f>IF(INPUT!D49="Yes",L12,INPUT!D50)</f>
        <v>7.5900000000000009E-2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154BD-CF43-E747-98A1-6E89FD194CFF}">
  <sheetPr>
    <tabColor rgb="FFFFFF00"/>
  </sheetPr>
  <dimension ref="A1:M31"/>
  <sheetViews>
    <sheetView workbookViewId="0">
      <selection activeCell="B24" sqref="B24"/>
    </sheetView>
  </sheetViews>
  <sheetFormatPr baseColWidth="10" defaultRowHeight="16"/>
  <cols>
    <col min="1" max="1" width="23.83203125" bestFit="1" customWidth="1"/>
    <col min="2" max="2" width="11.5" bestFit="1" customWidth="1"/>
    <col min="13" max="13" width="12.5" bestFit="1" customWidth="1"/>
  </cols>
  <sheetData>
    <row r="1" spans="1:13">
      <c r="A1" s="204"/>
      <c r="B1" s="205" t="s">
        <v>159</v>
      </c>
      <c r="C1" s="205">
        <v>1</v>
      </c>
      <c r="D1" s="205">
        <v>2</v>
      </c>
      <c r="E1" s="205">
        <v>3</v>
      </c>
      <c r="F1" s="205">
        <v>4</v>
      </c>
      <c r="G1" s="205">
        <v>5</v>
      </c>
      <c r="H1" s="205">
        <v>6</v>
      </c>
      <c r="I1" s="205">
        <v>7</v>
      </c>
      <c r="J1" s="205">
        <v>8</v>
      </c>
      <c r="K1" s="205">
        <v>9</v>
      </c>
      <c r="L1" s="205">
        <v>10</v>
      </c>
      <c r="M1" s="206" t="s">
        <v>160</v>
      </c>
    </row>
    <row r="2" spans="1:13">
      <c r="A2" s="202" t="s">
        <v>161</v>
      </c>
      <c r="B2" s="48"/>
      <c r="C2" s="164">
        <f>INPUT!F24</f>
        <v>0</v>
      </c>
      <c r="D2" s="49">
        <f>C2</f>
        <v>0</v>
      </c>
      <c r="E2" s="49">
        <f>D2</f>
        <v>0</v>
      </c>
      <c r="F2" s="49">
        <f>IF(INPUT!D64="3 Year",($E$2-(($E$2-$M$2)/7)),'DCF 2'!$C$2)</f>
        <v>0</v>
      </c>
      <c r="G2" s="49">
        <f>IF(INPUT!D64="3 Year",($E$2-(($E$2-$M$2)/7)*2),'DCF 2'!$C$2)</f>
        <v>0</v>
      </c>
      <c r="H2" s="49">
        <f>IF(INPUT!D64="3 Year",($E$2-(($E$2-$M$2)/7)*3),($G$2-(($G$2-$M$2)/5)))</f>
        <v>0</v>
      </c>
      <c r="I2" s="49">
        <f>IF(INPUT!D64="3 Year",($E$2-(($E$2-$M$2)/7)*4),($G$2-(($G$2-$M$2)/5)*2))</f>
        <v>0</v>
      </c>
      <c r="J2" s="49">
        <f>IF(INPUT!D64="3 Year",($E$2-(($E$2-$M$2)/7)*5),($G$2-(($G$2-$M$2)/5)*3))</f>
        <v>0</v>
      </c>
      <c r="K2" s="49">
        <f>IF(INPUT!D64="3 Year",($E$2-(($E$2-$M$2)/7)*6),($G$2-(($G$2-$M$2)/5)*4))</f>
        <v>0</v>
      </c>
      <c r="L2" s="49">
        <f>IF(INPUT!D64="3 Year",($E$2-(($E$2-$M$2)/7)*7),($G$2-(($G$2-$M$2)/5)*5))</f>
        <v>0</v>
      </c>
      <c r="M2" s="207">
        <f>INPUT!G24</f>
        <v>0</v>
      </c>
    </row>
    <row r="3" spans="1:13">
      <c r="A3" s="202" t="s">
        <v>162</v>
      </c>
      <c r="B3" s="165">
        <f>INPUT!B18</f>
        <v>5268</v>
      </c>
      <c r="C3" s="50">
        <f>B3*(1+C2)</f>
        <v>5268</v>
      </c>
      <c r="D3" s="50">
        <f>C3*(1+D2)</f>
        <v>5268</v>
      </c>
      <c r="E3" s="50">
        <f t="shared" ref="E3:L3" si="0">D3*(1+E2)</f>
        <v>5268</v>
      </c>
      <c r="F3" s="50">
        <f t="shared" si="0"/>
        <v>5268</v>
      </c>
      <c r="G3" s="50">
        <f t="shared" si="0"/>
        <v>5268</v>
      </c>
      <c r="H3" s="50">
        <f t="shared" si="0"/>
        <v>5268</v>
      </c>
      <c r="I3" s="50">
        <f t="shared" si="0"/>
        <v>5268</v>
      </c>
      <c r="J3" s="50">
        <f t="shared" si="0"/>
        <v>5268</v>
      </c>
      <c r="K3" s="50">
        <f t="shared" si="0"/>
        <v>5268</v>
      </c>
      <c r="L3" s="50">
        <f t="shared" si="0"/>
        <v>5268</v>
      </c>
      <c r="M3" s="208">
        <f>L3*(1+M2)</f>
        <v>5268</v>
      </c>
    </row>
    <row r="4" spans="1:13">
      <c r="A4" s="202" t="s">
        <v>163</v>
      </c>
      <c r="B4" s="166">
        <f>INPUT!F25</f>
        <v>0.11933891393002791</v>
      </c>
      <c r="C4" s="51">
        <f>B4+($L$4-$B$4)/10</f>
        <v>0.10740502253702512</v>
      </c>
      <c r="D4" s="51">
        <f t="shared" ref="D4:K4" si="1">C4+($L$4-$B$4)/10</f>
        <v>9.5471131144022336E-2</v>
      </c>
      <c r="E4" s="51">
        <f t="shared" si="1"/>
        <v>8.3537239751019551E-2</v>
      </c>
      <c r="F4" s="51">
        <f t="shared" si="1"/>
        <v>7.1603348358016766E-2</v>
      </c>
      <c r="G4" s="51">
        <f t="shared" si="1"/>
        <v>5.9669456965013974E-2</v>
      </c>
      <c r="H4" s="51">
        <f t="shared" si="1"/>
        <v>4.7735565572011182E-2</v>
      </c>
      <c r="I4" s="51">
        <f t="shared" si="1"/>
        <v>3.580167417900839E-2</v>
      </c>
      <c r="J4" s="51">
        <f t="shared" si="1"/>
        <v>2.3867782786005598E-2</v>
      </c>
      <c r="K4" s="51">
        <f t="shared" si="1"/>
        <v>1.1933891393002808E-2</v>
      </c>
      <c r="L4" s="51">
        <f>M4</f>
        <v>0</v>
      </c>
      <c r="M4" s="207">
        <f>INPUT!G25</f>
        <v>0</v>
      </c>
    </row>
    <row r="5" spans="1:13">
      <c r="A5" s="202" t="s">
        <v>164</v>
      </c>
      <c r="B5" s="165">
        <f>IF(INPUT!D46="5 Year",'10K-S'!F10,'10K-S'!K10)</f>
        <v>556</v>
      </c>
      <c r="C5" s="50">
        <f>C4*C3</f>
        <v>565.80965872504839</v>
      </c>
      <c r="D5" s="50">
        <f t="shared" ref="D5:M5" si="2">D4*D3</f>
        <v>502.94191886670967</v>
      </c>
      <c r="E5" s="50">
        <f t="shared" si="2"/>
        <v>440.074179008371</v>
      </c>
      <c r="F5" s="50">
        <f t="shared" si="2"/>
        <v>377.20643915003234</v>
      </c>
      <c r="G5" s="50">
        <f t="shared" si="2"/>
        <v>314.33869929169362</v>
      </c>
      <c r="H5" s="50">
        <f t="shared" si="2"/>
        <v>251.47095943335492</v>
      </c>
      <c r="I5" s="50">
        <f t="shared" si="2"/>
        <v>188.6032195750162</v>
      </c>
      <c r="J5" s="50">
        <f t="shared" si="2"/>
        <v>125.73547971667749</v>
      </c>
      <c r="K5" s="50">
        <f t="shared" si="2"/>
        <v>62.867739858338794</v>
      </c>
      <c r="L5" s="50">
        <f t="shared" si="2"/>
        <v>0</v>
      </c>
      <c r="M5" s="208">
        <f t="shared" si="2"/>
        <v>0</v>
      </c>
    </row>
    <row r="6" spans="1:13">
      <c r="A6" s="202" t="s">
        <v>165</v>
      </c>
      <c r="B6" s="167">
        <f>INPUT!B28</f>
        <v>2.5246772968868642E-2</v>
      </c>
      <c r="C6" s="52">
        <f>B6</f>
        <v>2.5246772968868642E-2</v>
      </c>
      <c r="D6" s="52">
        <f>C6</f>
        <v>2.5246772968868642E-2</v>
      </c>
      <c r="E6" s="52">
        <f>D6</f>
        <v>2.5246772968868642E-2</v>
      </c>
      <c r="F6" s="52">
        <f>E6</f>
        <v>2.5246772968868642E-2</v>
      </c>
      <c r="G6" s="52">
        <f>F6</f>
        <v>2.5246772968868642E-2</v>
      </c>
      <c r="H6" s="52">
        <f>G6+($M$6-$G$6)/5</f>
        <v>6.2197418375094904E-2</v>
      </c>
      <c r="I6" s="52">
        <f>H6+($M$6-$G$6)/5</f>
        <v>9.9148063781321169E-2</v>
      </c>
      <c r="J6" s="52">
        <f>I6+($M$6-$G$6)/5</f>
        <v>0.13609870918754743</v>
      </c>
      <c r="K6" s="52">
        <f>J6+($M$6-$G$6)/5</f>
        <v>0.17304935459377369</v>
      </c>
      <c r="L6" s="52">
        <f>K6+($M$6-$G$6)/5</f>
        <v>0.20999999999999996</v>
      </c>
      <c r="M6" s="209">
        <f>INPUT!D5</f>
        <v>0.21</v>
      </c>
    </row>
    <row r="7" spans="1:13">
      <c r="A7" s="202" t="s">
        <v>166</v>
      </c>
      <c r="B7" s="53">
        <f>IF(B5&gt;0,B5*(1-B6),B5)</f>
        <v>541.962794229309</v>
      </c>
      <c r="C7" s="54">
        <f>IF(C5&gt;0,IF(C5&lt;B10,C5,C5-(C5-B10)*C6),C5)</f>
        <v>551.52479072762401</v>
      </c>
      <c r="D7" s="54">
        <f t="shared" ref="D7:L7" si="3">IF(D5&gt;0,IF(D5&lt;C10,D5,D5-(D5-C10)*D6),D5)</f>
        <v>490.24425842455469</v>
      </c>
      <c r="E7" s="54">
        <f t="shared" si="3"/>
        <v>428.96372612148542</v>
      </c>
      <c r="F7" s="54">
        <f t="shared" si="3"/>
        <v>367.6831938184161</v>
      </c>
      <c r="G7" s="54">
        <f t="shared" si="3"/>
        <v>306.40266151534678</v>
      </c>
      <c r="H7" s="54">
        <f t="shared" si="3"/>
        <v>235.83011496029204</v>
      </c>
      <c r="I7" s="54">
        <f t="shared" si="3"/>
        <v>169.90357553122996</v>
      </c>
      <c r="J7" s="54">
        <f t="shared" si="3"/>
        <v>108.62304322816063</v>
      </c>
      <c r="K7" s="54">
        <f t="shared" si="3"/>
        <v>51.988518051084007</v>
      </c>
      <c r="L7" s="54">
        <f t="shared" si="3"/>
        <v>0</v>
      </c>
      <c r="M7" s="210">
        <f>M5*(1-M6)</f>
        <v>0</v>
      </c>
    </row>
    <row r="8" spans="1:13">
      <c r="A8" s="202" t="s">
        <v>167</v>
      </c>
      <c r="B8" s="165">
        <f>INPUT!B25</f>
        <v>252</v>
      </c>
      <c r="C8" s="50" t="e">
        <f>(C3-B3)/C29</f>
        <v>#DIV/0!</v>
      </c>
      <c r="D8" s="50" t="e">
        <f>(D3-C3)/D29</f>
        <v>#DIV/0!</v>
      </c>
      <c r="E8" s="50" t="e">
        <f>(E3-D3)/E29</f>
        <v>#DIV/0!</v>
      </c>
      <c r="F8" s="50" t="e">
        <f>(F3-E3)/F29</f>
        <v>#DIV/0!</v>
      </c>
      <c r="G8" s="50" t="e">
        <f>(G3-F3)/G29</f>
        <v>#DIV/0!</v>
      </c>
      <c r="H8" s="50" t="e">
        <f t="shared" ref="H8:L8" si="4">(H3-G3)/H29</f>
        <v>#DIV/0!</v>
      </c>
      <c r="I8" s="50" t="e">
        <f t="shared" si="4"/>
        <v>#DIV/0!</v>
      </c>
      <c r="J8" s="50" t="e">
        <f t="shared" si="4"/>
        <v>#DIV/0!</v>
      </c>
      <c r="K8" s="50" t="e">
        <f t="shared" si="4"/>
        <v>#DIV/0!</v>
      </c>
      <c r="L8" s="50" t="e">
        <f t="shared" si="4"/>
        <v>#DIV/0!</v>
      </c>
      <c r="M8" s="211">
        <f>IF(M2&gt;0,(M2/M31)*M7,0)</f>
        <v>0</v>
      </c>
    </row>
    <row r="9" spans="1:13">
      <c r="A9" s="202" t="s">
        <v>168</v>
      </c>
      <c r="B9" s="165">
        <f>INPUT!B31</f>
        <v>0</v>
      </c>
      <c r="C9" s="50" t="e">
        <f>IF(C8&lt;0,C7,C7-C8)</f>
        <v>#DIV/0!</v>
      </c>
      <c r="D9" s="50" t="e">
        <f t="shared" ref="D9:L9" si="5">IF(D8&lt;0,D7,D7-D8)</f>
        <v>#DIV/0!</v>
      </c>
      <c r="E9" s="50" t="e">
        <f t="shared" si="5"/>
        <v>#DIV/0!</v>
      </c>
      <c r="F9" s="50" t="e">
        <f t="shared" si="5"/>
        <v>#DIV/0!</v>
      </c>
      <c r="G9" s="50" t="e">
        <f t="shared" si="5"/>
        <v>#DIV/0!</v>
      </c>
      <c r="H9" s="50" t="e">
        <f t="shared" si="5"/>
        <v>#DIV/0!</v>
      </c>
      <c r="I9" s="50" t="e">
        <f t="shared" si="5"/>
        <v>#DIV/0!</v>
      </c>
      <c r="J9" s="50" t="e">
        <f t="shared" si="5"/>
        <v>#DIV/0!</v>
      </c>
      <c r="K9" s="50" t="e">
        <f t="shared" si="5"/>
        <v>#DIV/0!</v>
      </c>
      <c r="L9" s="50" t="e">
        <f t="shared" si="5"/>
        <v>#DIV/0!</v>
      </c>
      <c r="M9" s="211">
        <f>M7-M8</f>
        <v>0</v>
      </c>
    </row>
    <row r="10" spans="1:13" ht="17" thickBot="1">
      <c r="A10" s="203" t="s">
        <v>169</v>
      </c>
      <c r="B10" s="212"/>
      <c r="C10" s="213"/>
      <c r="D10" s="213"/>
      <c r="E10" s="213"/>
      <c r="F10" s="213"/>
      <c r="G10" s="213"/>
      <c r="H10" s="213"/>
      <c r="I10" s="213"/>
      <c r="J10" s="213"/>
      <c r="K10" s="213"/>
      <c r="L10" s="213">
        <f>M9/(L12-M2)</f>
        <v>0</v>
      </c>
      <c r="M10" s="214"/>
    </row>
    <row r="11" spans="1:13" ht="17" thickBot="1">
      <c r="A11" s="47"/>
      <c r="B11" s="47"/>
      <c r="C11" s="43"/>
      <c r="D11" s="43"/>
      <c r="E11" s="43"/>
      <c r="F11" s="43"/>
      <c r="G11" s="43"/>
      <c r="H11" s="43"/>
      <c r="I11" s="43"/>
      <c r="J11" s="43"/>
      <c r="K11" s="43"/>
      <c r="L11" s="43"/>
      <c r="M11" s="43"/>
    </row>
    <row r="12" spans="1:13">
      <c r="A12" s="201" t="s">
        <v>170</v>
      </c>
      <c r="B12" s="215"/>
      <c r="C12" s="216">
        <f>INPUT!F27</f>
        <v>0</v>
      </c>
      <c r="D12" s="217">
        <f>C12</f>
        <v>0</v>
      </c>
      <c r="E12" s="217">
        <f>D12</f>
        <v>0</v>
      </c>
      <c r="F12" s="217">
        <f>E12</f>
        <v>0</v>
      </c>
      <c r="G12" s="217">
        <f>F12</f>
        <v>0</v>
      </c>
      <c r="H12" s="217">
        <f>G12-($G$12-$M$12)/5</f>
        <v>1.5179999999999999E-2</v>
      </c>
      <c r="I12" s="217">
        <f>H12-($G$12-$M$12)/5</f>
        <v>3.0359999999999998E-2</v>
      </c>
      <c r="J12" s="217">
        <f>I12-($G$12-$M$12)/5</f>
        <v>4.5539999999999997E-2</v>
      </c>
      <c r="K12" s="217">
        <f>J12-($G$12-$M$12)/5</f>
        <v>6.0719999999999996E-2</v>
      </c>
      <c r="L12" s="217">
        <f>K12-($G$12-$M$12)/5</f>
        <v>7.5899999999999995E-2</v>
      </c>
      <c r="M12" s="218">
        <f>INPUT!G27</f>
        <v>7.5899999999999995E-2</v>
      </c>
    </row>
    <row r="13" spans="1:13">
      <c r="A13" s="202" t="s">
        <v>171</v>
      </c>
      <c r="B13" s="48"/>
      <c r="C13" s="56">
        <f>1/(1+C12)</f>
        <v>1</v>
      </c>
      <c r="D13" s="56">
        <f>C13*(1/(1+D12))</f>
        <v>1</v>
      </c>
      <c r="E13" s="56">
        <f>D13*(1/(1+E12))</f>
        <v>1</v>
      </c>
      <c r="F13" s="56">
        <f t="shared" ref="F13:L13" si="6">E13*(1/(1+F12))</f>
        <v>1</v>
      </c>
      <c r="G13" s="56">
        <f t="shared" si="6"/>
        <v>1</v>
      </c>
      <c r="H13" s="56">
        <f t="shared" si="6"/>
        <v>0.98504698674126756</v>
      </c>
      <c r="I13" s="56">
        <f t="shared" si="6"/>
        <v>0.95602215414153069</v>
      </c>
      <c r="J13" s="56">
        <f t="shared" si="6"/>
        <v>0.91438123279982664</v>
      </c>
      <c r="K13" s="56">
        <f t="shared" si="6"/>
        <v>0.86203826910007042</v>
      </c>
      <c r="L13" s="56">
        <f t="shared" si="6"/>
        <v>0.80122527102897145</v>
      </c>
      <c r="M13" s="219"/>
    </row>
    <row r="14" spans="1:13" ht="17" thickBot="1">
      <c r="A14" s="203" t="s">
        <v>172</v>
      </c>
      <c r="B14" s="220"/>
      <c r="C14" s="213" t="e">
        <f>SUM(C9:C10)*C13</f>
        <v>#DIV/0!</v>
      </c>
      <c r="D14" s="213" t="e">
        <f t="shared" ref="D14:L14" si="7">SUM(D9:D10)*D13</f>
        <v>#DIV/0!</v>
      </c>
      <c r="E14" s="213" t="e">
        <f t="shared" si="7"/>
        <v>#DIV/0!</v>
      </c>
      <c r="F14" s="213" t="e">
        <f t="shared" si="7"/>
        <v>#DIV/0!</v>
      </c>
      <c r="G14" s="213" t="e">
        <f t="shared" si="7"/>
        <v>#DIV/0!</v>
      </c>
      <c r="H14" s="213" t="e">
        <f t="shared" si="7"/>
        <v>#DIV/0!</v>
      </c>
      <c r="I14" s="213" t="e">
        <f t="shared" si="7"/>
        <v>#DIV/0!</v>
      </c>
      <c r="J14" s="213" t="e">
        <f t="shared" si="7"/>
        <v>#DIV/0!</v>
      </c>
      <c r="K14" s="213" t="e">
        <f t="shared" si="7"/>
        <v>#DIV/0!</v>
      </c>
      <c r="L14" s="213" t="e">
        <f t="shared" si="7"/>
        <v>#DIV/0!</v>
      </c>
      <c r="M14" s="221"/>
    </row>
    <row r="15" spans="1:13" ht="17" thickBot="1">
      <c r="A15" s="47"/>
      <c r="B15" s="57"/>
      <c r="C15" s="58"/>
      <c r="D15" s="58"/>
      <c r="E15" s="58"/>
      <c r="F15" s="58"/>
      <c r="G15" s="58"/>
      <c r="H15" s="58"/>
      <c r="I15" s="58"/>
      <c r="J15" s="58"/>
      <c r="K15" s="58"/>
      <c r="L15" s="58"/>
      <c r="M15" s="58"/>
    </row>
    <row r="16" spans="1:13">
      <c r="A16" s="201" t="s">
        <v>173</v>
      </c>
      <c r="B16" s="59" t="e">
        <f>SUM(C14:L14)</f>
        <v>#DIV/0!</v>
      </c>
      <c r="C16" s="58"/>
      <c r="D16" s="106"/>
      <c r="E16" s="106"/>
      <c r="F16" s="106"/>
      <c r="G16" s="106"/>
      <c r="H16" s="58"/>
      <c r="I16" s="58"/>
      <c r="J16" s="58"/>
      <c r="K16" s="58"/>
      <c r="L16" s="58"/>
      <c r="M16" s="58"/>
    </row>
    <row r="17" spans="1:13">
      <c r="A17" s="202" t="s">
        <v>174</v>
      </c>
      <c r="B17" s="168">
        <f>IF(INPUT!D59="Yes",INPUT!D60,0%)</f>
        <v>0</v>
      </c>
      <c r="C17" s="58"/>
      <c r="D17" s="100"/>
      <c r="E17" s="100"/>
      <c r="F17" s="100"/>
      <c r="G17" s="101"/>
      <c r="H17" s="58"/>
      <c r="I17" s="58"/>
      <c r="J17" s="58"/>
      <c r="K17" s="58"/>
      <c r="L17" s="58"/>
      <c r="M17" s="58"/>
    </row>
    <row r="18" spans="1:13">
      <c r="A18" s="202" t="s">
        <v>175</v>
      </c>
      <c r="B18" s="169">
        <f>B17*IF(INPUT!D46="5 Year",('10K-S'!S16),('10K-S'!X16))</f>
        <v>0</v>
      </c>
      <c r="C18" s="58"/>
      <c r="D18" s="100"/>
      <c r="E18" s="100"/>
      <c r="F18" s="100"/>
      <c r="G18" s="101"/>
      <c r="H18" s="58"/>
      <c r="I18" s="58"/>
      <c r="J18" s="58"/>
      <c r="K18" s="58"/>
      <c r="L18" s="58"/>
      <c r="M18" s="58"/>
    </row>
    <row r="19" spans="1:13">
      <c r="A19" s="202" t="s">
        <v>176</v>
      </c>
      <c r="B19" s="61" t="e">
        <f>B16*(1-B17)+B18*B17</f>
        <v>#DIV/0!</v>
      </c>
      <c r="C19" s="58"/>
      <c r="D19" s="43"/>
      <c r="E19" s="43"/>
      <c r="F19" s="100"/>
      <c r="G19" s="101"/>
      <c r="H19" s="58"/>
      <c r="I19" s="58"/>
      <c r="J19" s="58"/>
      <c r="K19" s="58"/>
      <c r="L19" s="58"/>
      <c r="M19" s="58"/>
    </row>
    <row r="20" spans="1:13">
      <c r="A20" s="202" t="s">
        <v>177</v>
      </c>
      <c r="B20" s="170">
        <f>INPUT!B22</f>
        <v>385</v>
      </c>
      <c r="C20" s="58"/>
      <c r="D20" s="71"/>
      <c r="E20" s="71"/>
      <c r="F20" s="71"/>
      <c r="G20" s="71"/>
      <c r="H20" s="58"/>
      <c r="I20" s="58"/>
      <c r="J20" s="58"/>
      <c r="K20" s="58"/>
      <c r="L20" s="58"/>
      <c r="M20" s="58"/>
    </row>
    <row r="21" spans="1:13">
      <c r="A21" s="202" t="s">
        <v>178</v>
      </c>
      <c r="B21" s="170">
        <f>INPUT!B21</f>
        <v>288</v>
      </c>
      <c r="C21" s="58"/>
      <c r="D21" s="100"/>
      <c r="E21" s="100"/>
      <c r="F21" s="100"/>
      <c r="G21" s="100"/>
      <c r="H21" s="58"/>
      <c r="I21" s="58"/>
      <c r="J21" s="58"/>
      <c r="K21" s="58"/>
      <c r="L21" s="58"/>
      <c r="M21" s="58"/>
    </row>
    <row r="22" spans="1:13">
      <c r="A22" s="202" t="s">
        <v>179</v>
      </c>
      <c r="B22" s="60" t="e">
        <f>B19-B20+B21</f>
        <v>#DIV/0!</v>
      </c>
      <c r="C22" s="62"/>
      <c r="D22" s="108"/>
      <c r="E22" s="108"/>
      <c r="F22" s="102"/>
      <c r="G22" s="103"/>
      <c r="H22" s="58"/>
      <c r="I22" s="58"/>
      <c r="J22" s="58"/>
      <c r="K22" s="58"/>
      <c r="L22" s="58"/>
      <c r="M22" s="58"/>
    </row>
    <row r="23" spans="1:13">
      <c r="A23" s="202" t="s">
        <v>181</v>
      </c>
      <c r="B23" s="171">
        <f>INPUT!B17</f>
        <v>131</v>
      </c>
      <c r="C23" s="63"/>
      <c r="D23" s="100"/>
      <c r="E23" s="100"/>
      <c r="F23" s="104"/>
      <c r="G23" s="103"/>
      <c r="H23" s="58"/>
      <c r="I23" s="58"/>
      <c r="J23" s="58"/>
      <c r="K23" s="58"/>
      <c r="L23" s="58"/>
      <c r="M23" s="58"/>
    </row>
    <row r="24" spans="1:13">
      <c r="A24" s="202" t="s">
        <v>183</v>
      </c>
      <c r="B24" s="172" t="e">
        <f>B22/B23</f>
        <v>#DIV/0!</v>
      </c>
      <c r="C24" s="58"/>
      <c r="D24" s="107"/>
      <c r="E24" s="107"/>
      <c r="F24" s="105"/>
      <c r="G24" s="103"/>
      <c r="H24" s="58"/>
      <c r="I24" s="58"/>
      <c r="J24" s="58"/>
      <c r="K24" s="58"/>
      <c r="L24" s="58"/>
      <c r="M24" s="58"/>
    </row>
    <row r="25" spans="1:13">
      <c r="A25" s="202" t="s">
        <v>184</v>
      </c>
      <c r="B25" s="172">
        <f>INPUT!B5</f>
        <v>18.21</v>
      </c>
      <c r="C25" s="58"/>
      <c r="D25" s="100"/>
      <c r="E25" s="100"/>
      <c r="F25" s="43"/>
      <c r="G25" s="103"/>
      <c r="H25" s="58"/>
      <c r="I25" s="58"/>
      <c r="J25" s="58"/>
      <c r="K25" s="58"/>
      <c r="L25" s="58"/>
      <c r="M25" s="58"/>
    </row>
    <row r="26" spans="1:13" ht="17" thickBot="1">
      <c r="A26" s="203" t="s">
        <v>185</v>
      </c>
      <c r="B26" s="64" t="e">
        <f>B25/B24</f>
        <v>#DIV/0!</v>
      </c>
      <c r="C26" s="58"/>
      <c r="D26" s="100"/>
      <c r="E26" s="100"/>
      <c r="F26" s="43"/>
      <c r="G26" s="103"/>
      <c r="H26" s="58"/>
      <c r="I26" s="58"/>
      <c r="J26" s="58"/>
      <c r="K26" s="58"/>
      <c r="L26" s="58"/>
      <c r="M26" s="58"/>
    </row>
    <row r="27" spans="1:13" ht="17" thickBot="1">
      <c r="A27" s="47"/>
      <c r="B27" s="57"/>
      <c r="C27" s="58"/>
      <c r="D27" s="58"/>
      <c r="E27" s="58"/>
      <c r="F27" s="58"/>
      <c r="G27" s="58"/>
      <c r="H27" s="58"/>
      <c r="I27" s="58"/>
      <c r="J27" s="58"/>
      <c r="K27" s="58"/>
      <c r="L27" s="58"/>
      <c r="M27" s="58"/>
    </row>
    <row r="28" spans="1:13">
      <c r="A28" s="222" t="s">
        <v>186</v>
      </c>
      <c r="B28" s="223"/>
      <c r="C28" s="224"/>
      <c r="D28" s="224"/>
      <c r="E28" s="224"/>
      <c r="F28" s="224"/>
      <c r="G28" s="224"/>
      <c r="H28" s="224"/>
      <c r="I28" s="224"/>
      <c r="J28" s="224"/>
      <c r="K28" s="224"/>
      <c r="L28" s="224"/>
      <c r="M28" s="225" t="s">
        <v>187</v>
      </c>
    </row>
    <row r="29" spans="1:13">
      <c r="A29" s="202" t="s">
        <v>188</v>
      </c>
      <c r="B29" s="173">
        <f>INPUT!F26</f>
        <v>0</v>
      </c>
      <c r="C29" s="65">
        <f>B29+($L$29-$B$29)/10</f>
        <v>0</v>
      </c>
      <c r="D29" s="65">
        <f>C29+($L$29-$B$29)/10</f>
        <v>0</v>
      </c>
      <c r="E29" s="65">
        <f t="shared" ref="E29:K29" si="8">D29+($L$29-$B$29)/10</f>
        <v>0</v>
      </c>
      <c r="F29" s="65">
        <f t="shared" si="8"/>
        <v>0</v>
      </c>
      <c r="G29" s="65">
        <f t="shared" si="8"/>
        <v>0</v>
      </c>
      <c r="H29" s="65">
        <f>G29+($L$29-$B$29)/10</f>
        <v>0</v>
      </c>
      <c r="I29" s="65">
        <f t="shared" si="8"/>
        <v>0</v>
      </c>
      <c r="J29" s="65">
        <f t="shared" si="8"/>
        <v>0</v>
      </c>
      <c r="K29" s="65">
        <f t="shared" si="8"/>
        <v>0</v>
      </c>
      <c r="L29" s="173">
        <f>INPUT!G26</f>
        <v>0</v>
      </c>
      <c r="M29" s="219"/>
    </row>
    <row r="30" spans="1:13">
      <c r="A30" s="202" t="s">
        <v>189</v>
      </c>
      <c r="B30" s="174">
        <f>INPUT!D33</f>
        <v>0</v>
      </c>
      <c r="C30" s="55" t="e">
        <f t="shared" ref="C30:L30" si="9">B30+C8</f>
        <v>#DIV/0!</v>
      </c>
      <c r="D30" s="55" t="e">
        <f>C30+D8</f>
        <v>#DIV/0!</v>
      </c>
      <c r="E30" s="55" t="e">
        <f>D30+E8</f>
        <v>#DIV/0!</v>
      </c>
      <c r="F30" s="55" t="e">
        <f>E30+F8</f>
        <v>#DIV/0!</v>
      </c>
      <c r="G30" s="55" t="e">
        <f>F30+G8</f>
        <v>#DIV/0!</v>
      </c>
      <c r="H30" s="55" t="e">
        <f>G30+H8</f>
        <v>#DIV/0!</v>
      </c>
      <c r="I30" s="55" t="e">
        <f t="shared" si="9"/>
        <v>#DIV/0!</v>
      </c>
      <c r="J30" s="55" t="e">
        <f t="shared" si="9"/>
        <v>#DIV/0!</v>
      </c>
      <c r="K30" s="55" t="e">
        <f t="shared" si="9"/>
        <v>#DIV/0!</v>
      </c>
      <c r="L30" s="55" t="e">
        <f t="shared" si="9"/>
        <v>#DIV/0!</v>
      </c>
      <c r="M30" s="219"/>
    </row>
    <row r="31" spans="1:13" ht="17" thickBot="1">
      <c r="A31" s="203" t="s">
        <v>190</v>
      </c>
      <c r="B31" s="226" t="e">
        <f t="shared" ref="B31:L31" si="10">B7/B30</f>
        <v>#DIV/0!</v>
      </c>
      <c r="C31" s="227" t="e">
        <f t="shared" si="10"/>
        <v>#DIV/0!</v>
      </c>
      <c r="D31" s="227" t="e">
        <f>D7/D30</f>
        <v>#DIV/0!</v>
      </c>
      <c r="E31" s="227" t="e">
        <f>E7/E30</f>
        <v>#DIV/0!</v>
      </c>
      <c r="F31" s="227" t="e">
        <f>F7/F30</f>
        <v>#DIV/0!</v>
      </c>
      <c r="G31" s="227" t="e">
        <f>G7/G30</f>
        <v>#DIV/0!</v>
      </c>
      <c r="H31" s="227" t="e">
        <f t="shared" si="10"/>
        <v>#DIV/0!</v>
      </c>
      <c r="I31" s="227" t="e">
        <f t="shared" si="10"/>
        <v>#DIV/0!</v>
      </c>
      <c r="J31" s="227" t="e">
        <f t="shared" si="10"/>
        <v>#DIV/0!</v>
      </c>
      <c r="K31" s="227" t="e">
        <f t="shared" si="10"/>
        <v>#DIV/0!</v>
      </c>
      <c r="L31" s="227" t="e">
        <f t="shared" si="10"/>
        <v>#DIV/0!</v>
      </c>
      <c r="M31" s="228">
        <f>IF(INPUT!D49="Yes",L12,INPUT!D50)</f>
        <v>7.5899999999999995E-2</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3E98B-AFC4-1D40-A1F4-0AE0D456E819}">
  <sheetPr>
    <tabColor rgb="FFFFFF00"/>
  </sheetPr>
  <dimension ref="A1:M31"/>
  <sheetViews>
    <sheetView workbookViewId="0">
      <selection activeCell="B24" sqref="B24"/>
    </sheetView>
  </sheetViews>
  <sheetFormatPr baseColWidth="10" defaultRowHeight="16"/>
  <cols>
    <col min="1" max="1" width="23.83203125" bestFit="1" customWidth="1"/>
    <col min="2" max="2" width="11.5" bestFit="1" customWidth="1"/>
    <col min="13" max="13" width="12.5" bestFit="1" customWidth="1"/>
  </cols>
  <sheetData>
    <row r="1" spans="1:13">
      <c r="A1" s="204"/>
      <c r="B1" s="205" t="s">
        <v>159</v>
      </c>
      <c r="C1" s="205">
        <v>1</v>
      </c>
      <c r="D1" s="205">
        <v>2</v>
      </c>
      <c r="E1" s="205">
        <v>3</v>
      </c>
      <c r="F1" s="205">
        <v>4</v>
      </c>
      <c r="G1" s="205">
        <v>5</v>
      </c>
      <c r="H1" s="205">
        <v>6</v>
      </c>
      <c r="I1" s="205">
        <v>7</v>
      </c>
      <c r="J1" s="205">
        <v>8</v>
      </c>
      <c r="K1" s="205">
        <v>9</v>
      </c>
      <c r="L1" s="205">
        <v>10</v>
      </c>
      <c r="M1" s="206" t="s">
        <v>160</v>
      </c>
    </row>
    <row r="2" spans="1:13">
      <c r="A2" s="202" t="s">
        <v>161</v>
      </c>
      <c r="B2" s="48"/>
      <c r="C2" s="164">
        <f>INPUT!F30</f>
        <v>0</v>
      </c>
      <c r="D2" s="49">
        <f>C2</f>
        <v>0</v>
      </c>
      <c r="E2" s="49">
        <f>D2</f>
        <v>0</v>
      </c>
      <c r="F2" s="49">
        <f>IF(INPUT!D64="3 Year",($E$2-(($E$2-$M$2)/7)),'DCF 3'!$C$2)</f>
        <v>0</v>
      </c>
      <c r="G2" s="49">
        <f>IF(INPUT!D64="3 Year",($E$2-(($E$2-$M$2)/7)*2),'DCF 3'!$C$2)</f>
        <v>0</v>
      </c>
      <c r="H2" s="49">
        <f>IF(INPUT!D64="3 Year",($E$2-(($E$2-$M$2)/7)*3),($G$2-(($G$2-$M$2)/5)))</f>
        <v>0</v>
      </c>
      <c r="I2" s="49">
        <f>IF(INPUT!D64="3 Year",($E$2-(($E$2-$M$2)/7)*4),($G$2-(($G$2-$M$2)/5)*2))</f>
        <v>0</v>
      </c>
      <c r="J2" s="49">
        <f>IF(INPUT!D64="3 Year",($E$2-(($E$2-$M$2)/7)*5),($G$2-(($G$2-$M$2)/5)*3))</f>
        <v>0</v>
      </c>
      <c r="K2" s="49">
        <f>IF(INPUT!D64="3 Year",($E$2-(($E$2-$M$2)/7)*6),($G$2-(($G$2-$M$2)/5)*4))</f>
        <v>0</v>
      </c>
      <c r="L2" s="49">
        <f>IF(INPUT!D64="3 Year",($E$2-(($E$2-$M$2)/7)*7),($G$2-(($G$2-$M$2)/5)*5))</f>
        <v>0</v>
      </c>
      <c r="M2" s="207">
        <f>INPUT!G30</f>
        <v>0</v>
      </c>
    </row>
    <row r="3" spans="1:13">
      <c r="A3" s="202" t="s">
        <v>162</v>
      </c>
      <c r="B3" s="165">
        <f>INPUT!B18</f>
        <v>5268</v>
      </c>
      <c r="C3" s="50">
        <f>B3*(1+C2)</f>
        <v>5268</v>
      </c>
      <c r="D3" s="50">
        <f>C3*(1+D2)</f>
        <v>5268</v>
      </c>
      <c r="E3" s="50">
        <f t="shared" ref="E3:L3" si="0">D3*(1+E2)</f>
        <v>5268</v>
      </c>
      <c r="F3" s="50">
        <f t="shared" si="0"/>
        <v>5268</v>
      </c>
      <c r="G3" s="50">
        <f t="shared" si="0"/>
        <v>5268</v>
      </c>
      <c r="H3" s="50">
        <f t="shared" si="0"/>
        <v>5268</v>
      </c>
      <c r="I3" s="50">
        <f t="shared" si="0"/>
        <v>5268</v>
      </c>
      <c r="J3" s="50">
        <f t="shared" si="0"/>
        <v>5268</v>
      </c>
      <c r="K3" s="50">
        <f t="shared" si="0"/>
        <v>5268</v>
      </c>
      <c r="L3" s="50">
        <f t="shared" si="0"/>
        <v>5268</v>
      </c>
      <c r="M3" s="208">
        <f>L3*(1+M2)</f>
        <v>5268</v>
      </c>
    </row>
    <row r="4" spans="1:13">
      <c r="A4" s="202" t="s">
        <v>163</v>
      </c>
      <c r="B4" s="166">
        <f>INPUT!B30</f>
        <v>0.11933891393002791</v>
      </c>
      <c r="C4" s="51">
        <f>B4+($L$4-$B$4)/10</f>
        <v>0.10740502253702512</v>
      </c>
      <c r="D4" s="51">
        <f t="shared" ref="D4:K4" si="1">C4+($L$4-$B$4)/10</f>
        <v>9.5471131144022336E-2</v>
      </c>
      <c r="E4" s="51">
        <f t="shared" si="1"/>
        <v>8.3537239751019551E-2</v>
      </c>
      <c r="F4" s="51">
        <f t="shared" si="1"/>
        <v>7.1603348358016766E-2</v>
      </c>
      <c r="G4" s="51">
        <f t="shared" si="1"/>
        <v>5.9669456965013974E-2</v>
      </c>
      <c r="H4" s="51">
        <f t="shared" si="1"/>
        <v>4.7735565572011182E-2</v>
      </c>
      <c r="I4" s="51">
        <f t="shared" si="1"/>
        <v>3.580167417900839E-2</v>
      </c>
      <c r="J4" s="51">
        <f t="shared" si="1"/>
        <v>2.3867782786005598E-2</v>
      </c>
      <c r="K4" s="51">
        <f t="shared" si="1"/>
        <v>1.1933891393002808E-2</v>
      </c>
      <c r="L4" s="51">
        <f>M4</f>
        <v>0</v>
      </c>
      <c r="M4" s="207">
        <f>INPUT!G31</f>
        <v>0</v>
      </c>
    </row>
    <row r="5" spans="1:13">
      <c r="A5" s="202" t="s">
        <v>164</v>
      </c>
      <c r="B5" s="165">
        <f>IF(INPUT!D46="5 Year",'10K-S'!F10,'10K-S'!K10)</f>
        <v>556</v>
      </c>
      <c r="C5" s="50">
        <f>C4*C3</f>
        <v>565.80965872504839</v>
      </c>
      <c r="D5" s="50">
        <f t="shared" ref="D5:M5" si="2">D4*D3</f>
        <v>502.94191886670967</v>
      </c>
      <c r="E5" s="50">
        <f t="shared" si="2"/>
        <v>440.074179008371</v>
      </c>
      <c r="F5" s="50">
        <f t="shared" si="2"/>
        <v>377.20643915003234</v>
      </c>
      <c r="G5" s="50">
        <f t="shared" si="2"/>
        <v>314.33869929169362</v>
      </c>
      <c r="H5" s="50">
        <f t="shared" si="2"/>
        <v>251.47095943335492</v>
      </c>
      <c r="I5" s="50">
        <f t="shared" si="2"/>
        <v>188.6032195750162</v>
      </c>
      <c r="J5" s="50">
        <f t="shared" si="2"/>
        <v>125.73547971667749</v>
      </c>
      <c r="K5" s="50">
        <f t="shared" si="2"/>
        <v>62.867739858338794</v>
      </c>
      <c r="L5" s="50">
        <f t="shared" si="2"/>
        <v>0</v>
      </c>
      <c r="M5" s="208">
        <f t="shared" si="2"/>
        <v>0</v>
      </c>
    </row>
    <row r="6" spans="1:13">
      <c r="A6" s="202" t="s">
        <v>165</v>
      </c>
      <c r="B6" s="167">
        <f>INPUT!B28</f>
        <v>2.5246772968868642E-2</v>
      </c>
      <c r="C6" s="52">
        <f>B6</f>
        <v>2.5246772968868642E-2</v>
      </c>
      <c r="D6" s="52">
        <f>C6</f>
        <v>2.5246772968868642E-2</v>
      </c>
      <c r="E6" s="52">
        <f>D6</f>
        <v>2.5246772968868642E-2</v>
      </c>
      <c r="F6" s="52">
        <f>E6</f>
        <v>2.5246772968868642E-2</v>
      </c>
      <c r="G6" s="52">
        <f>F6</f>
        <v>2.5246772968868642E-2</v>
      </c>
      <c r="H6" s="52">
        <f>G6+($M$6-$G$6)/5</f>
        <v>6.2197418375094904E-2</v>
      </c>
      <c r="I6" s="52">
        <f>H6+($M$6-$G$6)/5</f>
        <v>9.9148063781321169E-2</v>
      </c>
      <c r="J6" s="52">
        <f>I6+($M$6-$G$6)/5</f>
        <v>0.13609870918754743</v>
      </c>
      <c r="K6" s="52">
        <f>J6+($M$6-$G$6)/5</f>
        <v>0.17304935459377369</v>
      </c>
      <c r="L6" s="52">
        <f>K6+($M$6-$G$6)/5</f>
        <v>0.20999999999999996</v>
      </c>
      <c r="M6" s="209">
        <f>INPUT!D5</f>
        <v>0.21</v>
      </c>
    </row>
    <row r="7" spans="1:13">
      <c r="A7" s="202" t="s">
        <v>166</v>
      </c>
      <c r="B7" s="53">
        <f>IF(B5&gt;0,B5*(1-B6),B5)</f>
        <v>541.962794229309</v>
      </c>
      <c r="C7" s="54">
        <f>IF(C5&gt;0,IF(C5&lt;B10,C5,C5-(C5-B10)*C6),C5)</f>
        <v>551.52479072762401</v>
      </c>
      <c r="D7" s="54">
        <f t="shared" ref="D7:L7" si="3">IF(D5&gt;0,IF(D5&lt;C10,D5,D5-(D5-C10)*D6),D5)</f>
        <v>490.24425842455469</v>
      </c>
      <c r="E7" s="54">
        <f t="shared" si="3"/>
        <v>428.96372612148542</v>
      </c>
      <c r="F7" s="54">
        <f t="shared" si="3"/>
        <v>367.6831938184161</v>
      </c>
      <c r="G7" s="54">
        <f t="shared" si="3"/>
        <v>306.40266151534678</v>
      </c>
      <c r="H7" s="54">
        <f t="shared" si="3"/>
        <v>235.83011496029204</v>
      </c>
      <c r="I7" s="54">
        <f t="shared" si="3"/>
        <v>169.90357553122996</v>
      </c>
      <c r="J7" s="54">
        <f t="shared" si="3"/>
        <v>108.62304322816063</v>
      </c>
      <c r="K7" s="54">
        <f t="shared" si="3"/>
        <v>51.988518051084007</v>
      </c>
      <c r="L7" s="54">
        <f t="shared" si="3"/>
        <v>0</v>
      </c>
      <c r="M7" s="210">
        <f>M5*(1-M6)</f>
        <v>0</v>
      </c>
    </row>
    <row r="8" spans="1:13">
      <c r="A8" s="202" t="s">
        <v>167</v>
      </c>
      <c r="B8" s="165">
        <f>INPUT!B25</f>
        <v>252</v>
      </c>
      <c r="C8" s="50" t="e">
        <f>(C3-B3)/C29</f>
        <v>#DIV/0!</v>
      </c>
      <c r="D8" s="50" t="e">
        <f>(D3-C3)/D29</f>
        <v>#DIV/0!</v>
      </c>
      <c r="E8" s="50" t="e">
        <f>(E3-D3)/E29</f>
        <v>#DIV/0!</v>
      </c>
      <c r="F8" s="50" t="e">
        <f>(F3-E3)/F29</f>
        <v>#DIV/0!</v>
      </c>
      <c r="G8" s="50" t="e">
        <f>(G3-F3)/G29</f>
        <v>#DIV/0!</v>
      </c>
      <c r="H8" s="50" t="e">
        <f t="shared" ref="H8:L8" si="4">(H3-G3)/H29</f>
        <v>#DIV/0!</v>
      </c>
      <c r="I8" s="50" t="e">
        <f t="shared" si="4"/>
        <v>#DIV/0!</v>
      </c>
      <c r="J8" s="50" t="e">
        <f t="shared" si="4"/>
        <v>#DIV/0!</v>
      </c>
      <c r="K8" s="50" t="e">
        <f t="shared" si="4"/>
        <v>#DIV/0!</v>
      </c>
      <c r="L8" s="50" t="e">
        <f t="shared" si="4"/>
        <v>#DIV/0!</v>
      </c>
      <c r="M8" s="211">
        <f>IF(M2&gt;0,(M2/M31)*M7,0)</f>
        <v>0</v>
      </c>
    </row>
    <row r="9" spans="1:13">
      <c r="A9" s="202" t="s">
        <v>168</v>
      </c>
      <c r="B9" s="165">
        <f>INPUT!B31</f>
        <v>0</v>
      </c>
      <c r="C9" s="50" t="e">
        <f>IF(C8&lt;0,C7,C7-C8)</f>
        <v>#DIV/0!</v>
      </c>
      <c r="D9" s="50" t="e">
        <f t="shared" ref="D9:L9" si="5">IF(D8&lt;0,D7,D7-D8)</f>
        <v>#DIV/0!</v>
      </c>
      <c r="E9" s="50" t="e">
        <f t="shared" si="5"/>
        <v>#DIV/0!</v>
      </c>
      <c r="F9" s="50" t="e">
        <f t="shared" si="5"/>
        <v>#DIV/0!</v>
      </c>
      <c r="G9" s="50" t="e">
        <f t="shared" si="5"/>
        <v>#DIV/0!</v>
      </c>
      <c r="H9" s="50" t="e">
        <f t="shared" si="5"/>
        <v>#DIV/0!</v>
      </c>
      <c r="I9" s="50" t="e">
        <f t="shared" si="5"/>
        <v>#DIV/0!</v>
      </c>
      <c r="J9" s="50" t="e">
        <f t="shared" si="5"/>
        <v>#DIV/0!</v>
      </c>
      <c r="K9" s="50" t="e">
        <f t="shared" si="5"/>
        <v>#DIV/0!</v>
      </c>
      <c r="L9" s="50" t="e">
        <f t="shared" si="5"/>
        <v>#DIV/0!</v>
      </c>
      <c r="M9" s="211">
        <f>M7-M8</f>
        <v>0</v>
      </c>
    </row>
    <row r="10" spans="1:13" ht="17" thickBot="1">
      <c r="A10" s="203" t="s">
        <v>169</v>
      </c>
      <c r="B10" s="212"/>
      <c r="C10" s="213"/>
      <c r="D10" s="213"/>
      <c r="E10" s="213"/>
      <c r="F10" s="213"/>
      <c r="G10" s="213"/>
      <c r="H10" s="213"/>
      <c r="I10" s="213"/>
      <c r="J10" s="213"/>
      <c r="K10" s="213"/>
      <c r="L10" s="213">
        <f>M9/(L12-M2)</f>
        <v>0</v>
      </c>
      <c r="M10" s="214"/>
    </row>
    <row r="11" spans="1:13" ht="17" thickBot="1">
      <c r="A11" s="47"/>
      <c r="B11" s="47"/>
      <c r="C11" s="43"/>
      <c r="D11" s="43"/>
      <c r="E11" s="43"/>
      <c r="F11" s="43"/>
      <c r="G11" s="43"/>
      <c r="H11" s="43"/>
      <c r="I11" s="43"/>
      <c r="J11" s="43"/>
      <c r="K11" s="43"/>
      <c r="L11" s="43"/>
      <c r="M11" s="43"/>
    </row>
    <row r="12" spans="1:13">
      <c r="A12" s="201" t="s">
        <v>170</v>
      </c>
      <c r="B12" s="215"/>
      <c r="C12" s="216">
        <f>INPUT!F21</f>
        <v>8.7589938731173989E-2</v>
      </c>
      <c r="D12" s="217">
        <f>C12</f>
        <v>8.7589938731173989E-2</v>
      </c>
      <c r="E12" s="217">
        <f>D12</f>
        <v>8.7589938731173989E-2</v>
      </c>
      <c r="F12" s="217">
        <f>E12</f>
        <v>8.7589938731173989E-2</v>
      </c>
      <c r="G12" s="217">
        <f>F12</f>
        <v>8.7589938731173989E-2</v>
      </c>
      <c r="H12" s="217">
        <f>G12-($G$12-$M$12)/5</f>
        <v>8.5251950984939193E-2</v>
      </c>
      <c r="I12" s="217">
        <f>H12-($G$12-$M$12)/5</f>
        <v>8.2913963238704397E-2</v>
      </c>
      <c r="J12" s="217">
        <f>I12-($G$12-$M$12)/5</f>
        <v>8.0575975492469601E-2</v>
      </c>
      <c r="K12" s="217">
        <f>J12-($G$12-$M$12)/5</f>
        <v>7.8237987746234805E-2</v>
      </c>
      <c r="L12" s="217">
        <f>K12-($G$12-$M$12)/5</f>
        <v>7.5900000000000009E-2</v>
      </c>
      <c r="M12" s="218">
        <f>INPUT!G33</f>
        <v>7.5899999999999995E-2</v>
      </c>
    </row>
    <row r="13" spans="1:13">
      <c r="A13" s="202" t="s">
        <v>171</v>
      </c>
      <c r="B13" s="48"/>
      <c r="C13" s="56">
        <f>1/(1+C12)</f>
        <v>0.91946418809890795</v>
      </c>
      <c r="D13" s="56">
        <f>C13*(1/(1+D12))</f>
        <v>0.84541439319638401</v>
      </c>
      <c r="E13" s="56">
        <f>D13*(1/(1+E12))</f>
        <v>0.77732825864744415</v>
      </c>
      <c r="F13" s="56">
        <f t="shared" ref="F13:L13" si="6">E13*(1/(1+F12))</f>
        <v>0.71472549622361015</v>
      </c>
      <c r="G13" s="56">
        <f t="shared" si="6"/>
        <v>0.65716449809883082</v>
      </c>
      <c r="H13" s="56">
        <f t="shared" si="6"/>
        <v>0.60554095065427871</v>
      </c>
      <c r="I13" s="56">
        <f t="shared" si="6"/>
        <v>0.55917734114653816</v>
      </c>
      <c r="J13" s="56">
        <f t="shared" si="6"/>
        <v>0.51748081933035261</v>
      </c>
      <c r="K13" s="56">
        <f t="shared" si="6"/>
        <v>0.47993191225993298</v>
      </c>
      <c r="L13" s="56">
        <f t="shared" si="6"/>
        <v>0.44607483247507473</v>
      </c>
      <c r="M13" s="219"/>
    </row>
    <row r="14" spans="1:13" ht="17" thickBot="1">
      <c r="A14" s="203" t="s">
        <v>172</v>
      </c>
      <c r="B14" s="220"/>
      <c r="C14" s="213" t="e">
        <f>SUM(C9:C10)*C13</f>
        <v>#DIV/0!</v>
      </c>
      <c r="D14" s="213" t="e">
        <f t="shared" ref="D14:L14" si="7">SUM(D9:D10)*D13</f>
        <v>#DIV/0!</v>
      </c>
      <c r="E14" s="213" t="e">
        <f t="shared" si="7"/>
        <v>#DIV/0!</v>
      </c>
      <c r="F14" s="213" t="e">
        <f t="shared" si="7"/>
        <v>#DIV/0!</v>
      </c>
      <c r="G14" s="213" t="e">
        <f t="shared" si="7"/>
        <v>#DIV/0!</v>
      </c>
      <c r="H14" s="213" t="e">
        <f t="shared" si="7"/>
        <v>#DIV/0!</v>
      </c>
      <c r="I14" s="213" t="e">
        <f t="shared" si="7"/>
        <v>#DIV/0!</v>
      </c>
      <c r="J14" s="213" t="e">
        <f t="shared" si="7"/>
        <v>#DIV/0!</v>
      </c>
      <c r="K14" s="213" t="e">
        <f t="shared" si="7"/>
        <v>#DIV/0!</v>
      </c>
      <c r="L14" s="213" t="e">
        <f t="shared" si="7"/>
        <v>#DIV/0!</v>
      </c>
      <c r="M14" s="221"/>
    </row>
    <row r="15" spans="1:13" ht="17" thickBot="1">
      <c r="A15" s="47"/>
      <c r="B15" s="57"/>
      <c r="C15" s="58"/>
      <c r="D15" s="58"/>
      <c r="E15" s="58"/>
      <c r="F15" s="58"/>
      <c r="G15" s="58"/>
      <c r="H15" s="58"/>
      <c r="I15" s="58"/>
      <c r="J15" s="58"/>
      <c r="K15" s="58"/>
      <c r="L15" s="58"/>
      <c r="M15" s="58"/>
    </row>
    <row r="16" spans="1:13">
      <c r="A16" s="201" t="s">
        <v>173</v>
      </c>
      <c r="B16" s="59" t="e">
        <f>SUM(C14:L14)</f>
        <v>#DIV/0!</v>
      </c>
      <c r="C16" s="58"/>
      <c r="D16" s="106"/>
      <c r="E16" s="106"/>
      <c r="F16" s="106"/>
      <c r="G16" s="106"/>
      <c r="H16" s="58"/>
      <c r="I16" s="58"/>
      <c r="J16" s="58"/>
      <c r="K16" s="58"/>
      <c r="L16" s="58"/>
      <c r="M16" s="58"/>
    </row>
    <row r="17" spans="1:13">
      <c r="A17" s="202" t="s">
        <v>174</v>
      </c>
      <c r="B17" s="168">
        <f>IF(INPUT!D59="Yes",INPUT!D60,0%)</f>
        <v>0</v>
      </c>
      <c r="C17" s="58"/>
      <c r="D17" s="100"/>
      <c r="E17" s="100"/>
      <c r="F17" s="100"/>
      <c r="G17" s="101"/>
      <c r="H17" s="58"/>
      <c r="I17" s="58"/>
      <c r="J17" s="58"/>
      <c r="K17" s="58"/>
      <c r="L17" s="58"/>
      <c r="M17" s="58"/>
    </row>
    <row r="18" spans="1:13">
      <c r="A18" s="202" t="s">
        <v>175</v>
      </c>
      <c r="B18" s="169">
        <f>B17*IF(INPUT!D46="5 Year",('10K-S'!S16),('10K-S'!X16))</f>
        <v>0</v>
      </c>
      <c r="C18" s="58"/>
      <c r="D18" s="100"/>
      <c r="E18" s="100"/>
      <c r="F18" s="100"/>
      <c r="G18" s="101"/>
      <c r="H18" s="58"/>
      <c r="I18" s="58"/>
      <c r="J18" s="58"/>
      <c r="K18" s="58"/>
      <c r="L18" s="58"/>
      <c r="M18" s="58"/>
    </row>
    <row r="19" spans="1:13">
      <c r="A19" s="202" t="s">
        <v>176</v>
      </c>
      <c r="B19" s="61" t="e">
        <f>B16*(1-B17)+B18*B17</f>
        <v>#DIV/0!</v>
      </c>
      <c r="C19" s="58"/>
      <c r="D19" s="43"/>
      <c r="E19" s="43"/>
      <c r="F19" s="100"/>
      <c r="G19" s="101"/>
      <c r="H19" s="58"/>
      <c r="I19" s="58"/>
      <c r="J19" s="58"/>
      <c r="K19" s="58"/>
      <c r="L19" s="58"/>
      <c r="M19" s="58"/>
    </row>
    <row r="20" spans="1:13">
      <c r="A20" s="202" t="s">
        <v>177</v>
      </c>
      <c r="B20" s="170">
        <f>INPUT!B22</f>
        <v>385</v>
      </c>
      <c r="C20" s="58"/>
      <c r="D20" s="71"/>
      <c r="E20" s="71"/>
      <c r="F20" s="71"/>
      <c r="G20" s="71"/>
      <c r="H20" s="58"/>
      <c r="I20" s="58"/>
      <c r="J20" s="58"/>
      <c r="K20" s="58"/>
      <c r="L20" s="58"/>
      <c r="M20" s="58"/>
    </row>
    <row r="21" spans="1:13">
      <c r="A21" s="202" t="s">
        <v>178</v>
      </c>
      <c r="B21" s="170">
        <f>INPUT!B21</f>
        <v>288</v>
      </c>
      <c r="C21" s="58"/>
      <c r="D21" s="100"/>
      <c r="E21" s="100"/>
      <c r="F21" s="100"/>
      <c r="G21" s="100"/>
      <c r="H21" s="58"/>
      <c r="I21" s="58"/>
      <c r="J21" s="58"/>
      <c r="K21" s="58"/>
      <c r="L21" s="58"/>
      <c r="M21" s="58"/>
    </row>
    <row r="22" spans="1:13">
      <c r="A22" s="202" t="s">
        <v>179</v>
      </c>
      <c r="B22" s="60" t="e">
        <f>B19-B20+B21</f>
        <v>#DIV/0!</v>
      </c>
      <c r="C22" s="62"/>
      <c r="D22" s="108"/>
      <c r="E22" s="108"/>
      <c r="F22" s="102"/>
      <c r="G22" s="103"/>
      <c r="H22" s="58"/>
      <c r="I22" s="58"/>
      <c r="J22" s="58"/>
      <c r="K22" s="58"/>
      <c r="L22" s="58"/>
      <c r="M22" s="58"/>
    </row>
    <row r="23" spans="1:13">
      <c r="A23" s="202" t="s">
        <v>181</v>
      </c>
      <c r="B23" s="171">
        <f>INPUT!B17</f>
        <v>131</v>
      </c>
      <c r="C23" s="63"/>
      <c r="D23" s="100"/>
      <c r="E23" s="100"/>
      <c r="F23" s="104"/>
      <c r="G23" s="103"/>
      <c r="H23" s="58"/>
      <c r="I23" s="58"/>
      <c r="J23" s="58"/>
      <c r="K23" s="58"/>
      <c r="L23" s="58"/>
      <c r="M23" s="58"/>
    </row>
    <row r="24" spans="1:13">
      <c r="A24" s="202" t="s">
        <v>183</v>
      </c>
      <c r="B24" s="172" t="e">
        <f>B22/B23</f>
        <v>#DIV/0!</v>
      </c>
      <c r="C24" s="58"/>
      <c r="D24" s="107"/>
      <c r="E24" s="107"/>
      <c r="F24" s="105"/>
      <c r="G24" s="103"/>
      <c r="H24" s="58"/>
      <c r="I24" s="58"/>
      <c r="J24" s="58"/>
      <c r="K24" s="58"/>
      <c r="L24" s="58"/>
      <c r="M24" s="58"/>
    </row>
    <row r="25" spans="1:13">
      <c r="A25" s="202" t="s">
        <v>184</v>
      </c>
      <c r="B25" s="172">
        <f>INPUT!B5</f>
        <v>18.21</v>
      </c>
      <c r="C25" s="58"/>
      <c r="D25" s="100"/>
      <c r="E25" s="100"/>
      <c r="F25" s="43"/>
      <c r="G25" s="103"/>
      <c r="H25" s="58"/>
      <c r="I25" s="58"/>
      <c r="J25" s="58"/>
      <c r="K25" s="58"/>
      <c r="L25" s="58"/>
      <c r="M25" s="58"/>
    </row>
    <row r="26" spans="1:13" ht="17" thickBot="1">
      <c r="A26" s="203" t="s">
        <v>185</v>
      </c>
      <c r="B26" s="64" t="e">
        <f>B25/B24</f>
        <v>#DIV/0!</v>
      </c>
      <c r="C26" s="58"/>
      <c r="D26" s="100"/>
      <c r="E26" s="100"/>
      <c r="F26" s="43"/>
      <c r="G26" s="103"/>
      <c r="H26" s="58"/>
      <c r="I26" s="58"/>
      <c r="J26" s="58"/>
      <c r="K26" s="58"/>
      <c r="L26" s="58"/>
      <c r="M26" s="58"/>
    </row>
    <row r="27" spans="1:13" ht="17" thickBot="1">
      <c r="A27" s="47"/>
      <c r="B27" s="57"/>
      <c r="C27" s="58"/>
      <c r="D27" s="58"/>
      <c r="E27" s="58"/>
      <c r="F27" s="58"/>
      <c r="G27" s="58"/>
      <c r="H27" s="58"/>
      <c r="I27" s="58"/>
      <c r="J27" s="58"/>
      <c r="K27" s="58"/>
      <c r="L27" s="58"/>
      <c r="M27" s="58"/>
    </row>
    <row r="28" spans="1:13">
      <c r="A28" s="222" t="s">
        <v>186</v>
      </c>
      <c r="B28" s="223"/>
      <c r="C28" s="224"/>
      <c r="D28" s="224"/>
      <c r="E28" s="224"/>
      <c r="F28" s="224"/>
      <c r="G28" s="224"/>
      <c r="H28" s="224"/>
      <c r="I28" s="224"/>
      <c r="J28" s="224"/>
      <c r="K28" s="224"/>
      <c r="L28" s="224"/>
      <c r="M28" s="225" t="s">
        <v>187</v>
      </c>
    </row>
    <row r="29" spans="1:13">
      <c r="A29" s="202" t="s">
        <v>188</v>
      </c>
      <c r="B29" s="173">
        <f>INPUT!F32</f>
        <v>0</v>
      </c>
      <c r="C29" s="65">
        <f>B29+($L$29-$B$29)/10</f>
        <v>0</v>
      </c>
      <c r="D29" s="65">
        <f>C29+($L$29-$B$29)/10</f>
        <v>0</v>
      </c>
      <c r="E29" s="65">
        <f t="shared" ref="E29:K29" si="8">D29+($L$29-$B$29)/10</f>
        <v>0</v>
      </c>
      <c r="F29" s="65">
        <f t="shared" si="8"/>
        <v>0</v>
      </c>
      <c r="G29" s="65">
        <f t="shared" si="8"/>
        <v>0</v>
      </c>
      <c r="H29" s="65">
        <f>G29+($L$29-$B$29)/10</f>
        <v>0</v>
      </c>
      <c r="I29" s="65">
        <f t="shared" si="8"/>
        <v>0</v>
      </c>
      <c r="J29" s="65">
        <f t="shared" si="8"/>
        <v>0</v>
      </c>
      <c r="K29" s="65">
        <f t="shared" si="8"/>
        <v>0</v>
      </c>
      <c r="L29" s="173">
        <f>INPUT!G32</f>
        <v>0</v>
      </c>
      <c r="M29" s="219"/>
    </row>
    <row r="30" spans="1:13">
      <c r="A30" s="202" t="s">
        <v>189</v>
      </c>
      <c r="B30" s="174">
        <f>INPUT!D33</f>
        <v>0</v>
      </c>
      <c r="C30" s="55" t="e">
        <f t="shared" ref="C30:L30" si="9">B30+C8</f>
        <v>#DIV/0!</v>
      </c>
      <c r="D30" s="55" t="e">
        <f>C30+D8</f>
        <v>#DIV/0!</v>
      </c>
      <c r="E30" s="55" t="e">
        <f>D30+E8</f>
        <v>#DIV/0!</v>
      </c>
      <c r="F30" s="55" t="e">
        <f>E30+F8</f>
        <v>#DIV/0!</v>
      </c>
      <c r="G30" s="55" t="e">
        <f>F30+G8</f>
        <v>#DIV/0!</v>
      </c>
      <c r="H30" s="55" t="e">
        <f>G30+H8</f>
        <v>#DIV/0!</v>
      </c>
      <c r="I30" s="55" t="e">
        <f t="shared" si="9"/>
        <v>#DIV/0!</v>
      </c>
      <c r="J30" s="55" t="e">
        <f t="shared" si="9"/>
        <v>#DIV/0!</v>
      </c>
      <c r="K30" s="55" t="e">
        <f t="shared" si="9"/>
        <v>#DIV/0!</v>
      </c>
      <c r="L30" s="55" t="e">
        <f t="shared" si="9"/>
        <v>#DIV/0!</v>
      </c>
      <c r="M30" s="219"/>
    </row>
    <row r="31" spans="1:13" ht="17" thickBot="1">
      <c r="A31" s="203" t="s">
        <v>190</v>
      </c>
      <c r="B31" s="226" t="e">
        <f t="shared" ref="B31:L31" si="10">B7/B30</f>
        <v>#DIV/0!</v>
      </c>
      <c r="C31" s="227" t="e">
        <f t="shared" si="10"/>
        <v>#DIV/0!</v>
      </c>
      <c r="D31" s="227" t="e">
        <f>D7/D30</f>
        <v>#DIV/0!</v>
      </c>
      <c r="E31" s="227" t="e">
        <f>E7/E30</f>
        <v>#DIV/0!</v>
      </c>
      <c r="F31" s="227" t="e">
        <f>F7/F30</f>
        <v>#DIV/0!</v>
      </c>
      <c r="G31" s="227" t="e">
        <f>G7/G30</f>
        <v>#DIV/0!</v>
      </c>
      <c r="H31" s="227" t="e">
        <f t="shared" si="10"/>
        <v>#DIV/0!</v>
      </c>
      <c r="I31" s="227" t="e">
        <f t="shared" si="10"/>
        <v>#DIV/0!</v>
      </c>
      <c r="J31" s="227" t="e">
        <f t="shared" si="10"/>
        <v>#DIV/0!</v>
      </c>
      <c r="K31" s="227" t="e">
        <f t="shared" si="10"/>
        <v>#DIV/0!</v>
      </c>
      <c r="L31" s="227" t="e">
        <f t="shared" si="10"/>
        <v>#DIV/0!</v>
      </c>
      <c r="M31" s="228">
        <f>IF(INPUT!D49="Yes",L12,INPUT!D50)</f>
        <v>7.5900000000000009E-2</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23DF2-374D-B345-AFC5-73B62580905C}">
  <sheetPr>
    <tabColor rgb="FF00B050"/>
  </sheetPr>
  <dimension ref="A1:AL70"/>
  <sheetViews>
    <sheetView workbookViewId="0">
      <selection activeCell="A5" sqref="A5"/>
    </sheetView>
  </sheetViews>
  <sheetFormatPr baseColWidth="10" defaultRowHeight="16"/>
  <cols>
    <col min="1" max="1" width="33.83203125" customWidth="1"/>
    <col min="2" max="6" width="10.83203125" customWidth="1"/>
    <col min="13" max="13" width="5.83203125" customWidth="1"/>
    <col min="14" max="14" width="36.1640625" customWidth="1"/>
    <col min="15" max="19" width="10.83203125" customWidth="1"/>
    <col min="25" max="25" width="5.83203125" customWidth="1"/>
    <col min="26" max="26" width="43" customWidth="1"/>
    <col min="38" max="38" width="5.83203125" customWidth="1"/>
  </cols>
  <sheetData>
    <row r="1" spans="1:38" ht="19">
      <c r="A1" s="389" t="s">
        <v>315</v>
      </c>
      <c r="B1" s="389"/>
      <c r="C1" s="389"/>
      <c r="D1" s="389"/>
      <c r="E1" s="389"/>
      <c r="F1" s="389"/>
      <c r="G1" s="389"/>
      <c r="H1" s="389"/>
      <c r="I1" s="389"/>
      <c r="J1" s="389"/>
      <c r="K1" s="389"/>
      <c r="L1" s="389"/>
      <c r="M1" s="82"/>
      <c r="N1" s="389" t="s">
        <v>267</v>
      </c>
      <c r="O1" s="389"/>
      <c r="P1" s="389"/>
      <c r="Q1" s="389"/>
      <c r="R1" s="389"/>
      <c r="S1" s="389"/>
      <c r="T1" s="389"/>
      <c r="U1" s="389"/>
      <c r="V1" s="389"/>
      <c r="W1" s="389"/>
      <c r="X1" s="389"/>
      <c r="Y1" s="80"/>
      <c r="Z1" s="389" t="s">
        <v>313</v>
      </c>
      <c r="AA1" s="389"/>
      <c r="AB1" s="389"/>
      <c r="AC1" s="389"/>
      <c r="AD1" s="389"/>
      <c r="AE1" s="389"/>
      <c r="AF1" s="389"/>
      <c r="AG1" s="389"/>
      <c r="AH1" s="389"/>
      <c r="AI1" s="389"/>
      <c r="AJ1" s="389"/>
      <c r="AK1" s="389"/>
      <c r="AL1" s="80"/>
    </row>
    <row r="2" spans="1:38">
      <c r="A2" s="390" t="s">
        <v>266</v>
      </c>
      <c r="B2" s="390"/>
      <c r="C2" s="390"/>
      <c r="D2" s="390"/>
      <c r="E2" s="390"/>
      <c r="F2" s="390"/>
      <c r="G2" s="390"/>
      <c r="H2" s="390"/>
      <c r="I2" s="390"/>
      <c r="J2" s="390"/>
      <c r="K2" s="390"/>
      <c r="L2" s="390"/>
      <c r="M2" s="83"/>
      <c r="N2" s="390" t="s">
        <v>268</v>
      </c>
      <c r="O2" s="390"/>
      <c r="P2" s="390"/>
      <c r="Q2" s="390"/>
      <c r="R2" s="390"/>
      <c r="S2" s="390"/>
      <c r="T2" s="390"/>
      <c r="U2" s="390"/>
      <c r="V2" s="390"/>
      <c r="W2" s="390"/>
      <c r="X2" s="390"/>
      <c r="Y2" s="80"/>
      <c r="Z2" s="390" t="s">
        <v>314</v>
      </c>
      <c r="AA2" s="390"/>
      <c r="AB2" s="390"/>
      <c r="AC2" s="390"/>
      <c r="AD2" s="390"/>
      <c r="AE2" s="390"/>
      <c r="AF2" s="390"/>
      <c r="AG2" s="390"/>
      <c r="AH2" s="390"/>
      <c r="AI2" s="390"/>
      <c r="AJ2" s="390"/>
      <c r="AK2" s="390"/>
      <c r="AL2" s="80"/>
    </row>
    <row r="3" spans="1:38">
      <c r="A3" s="90" t="s">
        <v>312</v>
      </c>
      <c r="B3" s="90" t="s">
        <v>334</v>
      </c>
      <c r="C3" s="90" t="s">
        <v>335</v>
      </c>
      <c r="D3" s="90" t="s">
        <v>336</v>
      </c>
      <c r="E3" s="90" t="s">
        <v>337</v>
      </c>
      <c r="F3" s="90" t="s">
        <v>338</v>
      </c>
      <c r="G3" s="90" t="s">
        <v>339</v>
      </c>
      <c r="H3" s="90" t="s">
        <v>340</v>
      </c>
      <c r="I3" s="90" t="s">
        <v>341</v>
      </c>
      <c r="J3" s="90" t="s">
        <v>342</v>
      </c>
      <c r="K3" s="90" t="s">
        <v>343</v>
      </c>
      <c r="L3" s="90" t="s">
        <v>344</v>
      </c>
      <c r="M3" s="83"/>
      <c r="N3" s="90" t="s">
        <v>312</v>
      </c>
      <c r="O3" s="90" t="s">
        <v>334</v>
      </c>
      <c r="P3" s="90" t="s">
        <v>335</v>
      </c>
      <c r="Q3" s="90" t="s">
        <v>336</v>
      </c>
      <c r="R3" s="90" t="s">
        <v>337</v>
      </c>
      <c r="S3" s="90" t="s">
        <v>338</v>
      </c>
      <c r="T3" s="90" t="s">
        <v>339</v>
      </c>
      <c r="U3" s="90" t="s">
        <v>340</v>
      </c>
      <c r="V3" s="90" t="s">
        <v>341</v>
      </c>
      <c r="W3" s="90" t="s">
        <v>342</v>
      </c>
      <c r="X3" s="90" t="s">
        <v>343</v>
      </c>
      <c r="Y3" s="80"/>
      <c r="Z3" s="90" t="s">
        <v>312</v>
      </c>
      <c r="AA3" s="90" t="s">
        <v>334</v>
      </c>
      <c r="AB3" s="90" t="s">
        <v>335</v>
      </c>
      <c r="AC3" s="90" t="s">
        <v>336</v>
      </c>
      <c r="AD3" s="90" t="s">
        <v>337</v>
      </c>
      <c r="AE3" s="90" t="s">
        <v>338</v>
      </c>
      <c r="AF3" s="90" t="s">
        <v>339</v>
      </c>
      <c r="AG3" s="90" t="s">
        <v>340</v>
      </c>
      <c r="AH3" s="90" t="s">
        <v>341</v>
      </c>
      <c r="AI3" s="90" t="s">
        <v>342</v>
      </c>
      <c r="AJ3" s="90" t="s">
        <v>343</v>
      </c>
      <c r="AK3" s="90" t="s">
        <v>344</v>
      </c>
      <c r="AL3" s="80"/>
    </row>
    <row r="4" spans="1:38">
      <c r="A4" s="80"/>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row>
    <row r="5" spans="1:38">
      <c r="A5" t="s">
        <v>510</v>
      </c>
      <c r="M5" s="81"/>
      <c r="N5" t="s">
        <v>512</v>
      </c>
      <c r="Y5" s="80"/>
      <c r="Z5" t="s">
        <v>517</v>
      </c>
      <c r="AL5" s="80"/>
    </row>
    <row r="6" spans="1:38">
      <c r="A6" t="s">
        <v>511</v>
      </c>
      <c r="B6" s="79">
        <v>39783</v>
      </c>
      <c r="C6" s="79">
        <v>40148</v>
      </c>
      <c r="D6" s="79">
        <v>40513</v>
      </c>
      <c r="E6" s="79">
        <v>40878</v>
      </c>
      <c r="F6" s="79">
        <v>41244</v>
      </c>
      <c r="G6" s="79">
        <v>41609</v>
      </c>
      <c r="H6" s="79">
        <v>41974</v>
      </c>
      <c r="I6" s="79">
        <v>42339</v>
      </c>
      <c r="J6" s="79">
        <v>42705</v>
      </c>
      <c r="K6" s="79">
        <v>43070</v>
      </c>
      <c r="L6" t="s">
        <v>439</v>
      </c>
      <c r="M6" s="81"/>
      <c r="N6" t="s">
        <v>511</v>
      </c>
      <c r="O6" s="79">
        <v>39783</v>
      </c>
      <c r="P6" s="79">
        <v>40148</v>
      </c>
      <c r="Q6" s="79">
        <v>40513</v>
      </c>
      <c r="R6" s="79">
        <v>40878</v>
      </c>
      <c r="S6" s="79">
        <v>41244</v>
      </c>
      <c r="T6" s="79">
        <v>41609</v>
      </c>
      <c r="U6" s="79">
        <v>41974</v>
      </c>
      <c r="V6" s="79">
        <v>42339</v>
      </c>
      <c r="W6" s="79">
        <v>42705</v>
      </c>
      <c r="X6" s="79">
        <v>43070</v>
      </c>
      <c r="Y6" s="80"/>
      <c r="Z6" t="s">
        <v>511</v>
      </c>
      <c r="AA6" s="79">
        <v>39783</v>
      </c>
      <c r="AB6" s="79">
        <v>40148</v>
      </c>
      <c r="AC6" s="79">
        <v>40513</v>
      </c>
      <c r="AD6" s="79">
        <v>40878</v>
      </c>
      <c r="AE6" s="79">
        <v>41244</v>
      </c>
      <c r="AF6" s="79">
        <v>41609</v>
      </c>
      <c r="AG6" s="79">
        <v>41974</v>
      </c>
      <c r="AH6" s="79">
        <v>42339</v>
      </c>
      <c r="AI6" s="79">
        <v>42705</v>
      </c>
      <c r="AJ6" s="79">
        <v>43070</v>
      </c>
      <c r="AK6" t="s">
        <v>439</v>
      </c>
      <c r="AL6" s="80"/>
    </row>
    <row r="7" spans="1:38">
      <c r="A7" t="s">
        <v>217</v>
      </c>
      <c r="B7">
        <v>2612</v>
      </c>
      <c r="C7">
        <v>2120</v>
      </c>
      <c r="D7">
        <v>2430</v>
      </c>
      <c r="E7">
        <v>2421</v>
      </c>
      <c r="F7">
        <v>2714</v>
      </c>
      <c r="G7">
        <v>3195</v>
      </c>
      <c r="H7">
        <v>3348</v>
      </c>
      <c r="I7">
        <v>3925</v>
      </c>
      <c r="J7">
        <v>4235</v>
      </c>
      <c r="K7">
        <v>4659</v>
      </c>
      <c r="L7">
        <v>5268</v>
      </c>
      <c r="M7" s="81"/>
      <c r="N7" t="s">
        <v>269</v>
      </c>
      <c r="Y7" s="80"/>
      <c r="Z7" t="s">
        <v>316</v>
      </c>
      <c r="AL7" s="80"/>
    </row>
    <row r="8" spans="1:38">
      <c r="A8" t="s">
        <v>440</v>
      </c>
      <c r="B8">
        <v>2429</v>
      </c>
      <c r="C8">
        <v>2043</v>
      </c>
      <c r="D8">
        <v>1969</v>
      </c>
      <c r="E8">
        <v>2098</v>
      </c>
      <c r="F8">
        <v>1820</v>
      </c>
      <c r="G8">
        <v>2037</v>
      </c>
      <c r="H8">
        <v>2202</v>
      </c>
      <c r="I8">
        <v>2781</v>
      </c>
      <c r="J8">
        <v>2947</v>
      </c>
      <c r="K8">
        <v>3038</v>
      </c>
      <c r="L8">
        <v>3210</v>
      </c>
      <c r="M8" s="81"/>
      <c r="N8" t="s">
        <v>270</v>
      </c>
      <c r="Y8" s="80"/>
      <c r="Z8" t="s">
        <v>318</v>
      </c>
      <c r="AA8">
        <v>171</v>
      </c>
      <c r="AB8">
        <v>155</v>
      </c>
      <c r="AC8">
        <v>156</v>
      </c>
      <c r="AD8">
        <v>169</v>
      </c>
      <c r="AE8">
        <v>187</v>
      </c>
      <c r="AF8">
        <v>186</v>
      </c>
      <c r="AG8">
        <v>182</v>
      </c>
      <c r="AH8">
        <v>214</v>
      </c>
      <c r="AI8">
        <v>242</v>
      </c>
      <c r="AJ8">
        <v>250</v>
      </c>
      <c r="AK8">
        <v>264</v>
      </c>
      <c r="AL8" s="80"/>
    </row>
    <row r="9" spans="1:38">
      <c r="A9" t="s">
        <v>248</v>
      </c>
      <c r="B9">
        <v>182</v>
      </c>
      <c r="C9">
        <v>77</v>
      </c>
      <c r="D9">
        <v>462</v>
      </c>
      <c r="E9">
        <v>324</v>
      </c>
      <c r="F9">
        <v>894</v>
      </c>
      <c r="G9">
        <v>1158</v>
      </c>
      <c r="H9">
        <v>1146</v>
      </c>
      <c r="I9">
        <v>1144</v>
      </c>
      <c r="J9">
        <v>1288</v>
      </c>
      <c r="K9">
        <v>1621</v>
      </c>
      <c r="L9">
        <v>2058</v>
      </c>
      <c r="M9" s="81"/>
      <c r="N9" t="s">
        <v>271</v>
      </c>
      <c r="Y9" s="80"/>
      <c r="Z9" t="s">
        <v>518</v>
      </c>
      <c r="AC9">
        <v>8</v>
      </c>
      <c r="AL9" s="80"/>
    </row>
    <row r="10" spans="1:38">
      <c r="A10" t="s">
        <v>249</v>
      </c>
      <c r="M10" s="81"/>
      <c r="N10" t="s">
        <v>272</v>
      </c>
      <c r="O10">
        <v>362</v>
      </c>
      <c r="P10">
        <v>133</v>
      </c>
      <c r="Q10">
        <v>260</v>
      </c>
      <c r="R10">
        <v>29</v>
      </c>
      <c r="T10">
        <v>90</v>
      </c>
      <c r="U10">
        <v>158</v>
      </c>
      <c r="V10">
        <v>98</v>
      </c>
      <c r="W10">
        <v>157</v>
      </c>
      <c r="X10">
        <v>288</v>
      </c>
      <c r="Y10" s="80"/>
      <c r="Z10" t="s">
        <v>463</v>
      </c>
      <c r="AA10">
        <v>112</v>
      </c>
      <c r="AB10">
        <v>3</v>
      </c>
      <c r="AD10">
        <v>9</v>
      </c>
      <c r="AE10">
        <v>1</v>
      </c>
      <c r="AI10">
        <v>7</v>
      </c>
      <c r="AL10" s="80"/>
    </row>
    <row r="11" spans="1:38">
      <c r="A11" t="s">
        <v>441</v>
      </c>
      <c r="B11">
        <v>61</v>
      </c>
      <c r="C11">
        <v>54</v>
      </c>
      <c r="D11">
        <v>63</v>
      </c>
      <c r="E11">
        <v>59</v>
      </c>
      <c r="F11">
        <v>565</v>
      </c>
      <c r="G11">
        <v>608</v>
      </c>
      <c r="H11">
        <v>627</v>
      </c>
      <c r="I11">
        <v>737</v>
      </c>
      <c r="J11">
        <v>740</v>
      </c>
      <c r="K11">
        <v>771</v>
      </c>
      <c r="L11">
        <v>785</v>
      </c>
      <c r="M11" s="81"/>
      <c r="N11" t="s">
        <v>446</v>
      </c>
      <c r="O11">
        <v>362</v>
      </c>
      <c r="P11">
        <v>133</v>
      </c>
      <c r="Q11">
        <v>260</v>
      </c>
      <c r="R11">
        <v>29</v>
      </c>
      <c r="T11">
        <v>90</v>
      </c>
      <c r="U11">
        <v>158</v>
      </c>
      <c r="V11">
        <v>98</v>
      </c>
      <c r="W11">
        <v>157</v>
      </c>
      <c r="X11">
        <v>288</v>
      </c>
      <c r="Y11" s="80"/>
      <c r="Z11" t="s">
        <v>519</v>
      </c>
      <c r="AE11">
        <v>4</v>
      </c>
      <c r="AF11">
        <v>-4</v>
      </c>
      <c r="AG11">
        <v>9</v>
      </c>
      <c r="AH11">
        <v>-4</v>
      </c>
      <c r="AI11">
        <v>-5</v>
      </c>
      <c r="AJ11">
        <v>1</v>
      </c>
      <c r="AK11">
        <v>-1</v>
      </c>
      <c r="AL11" s="80"/>
    </row>
    <row r="12" spans="1:38">
      <c r="A12" t="s">
        <v>487</v>
      </c>
      <c r="B12">
        <v>54</v>
      </c>
      <c r="C12">
        <v>30</v>
      </c>
      <c r="D12">
        <v>33</v>
      </c>
      <c r="E12">
        <v>38</v>
      </c>
      <c r="F12">
        <v>18</v>
      </c>
      <c r="G12">
        <v>23</v>
      </c>
      <c r="H12">
        <v>7</v>
      </c>
      <c r="I12">
        <v>25</v>
      </c>
      <c r="J12">
        <v>3</v>
      </c>
      <c r="K12">
        <v>-1</v>
      </c>
      <c r="L12">
        <v>1</v>
      </c>
      <c r="M12" s="81"/>
      <c r="N12" t="s">
        <v>447</v>
      </c>
      <c r="O12">
        <v>200</v>
      </c>
      <c r="P12">
        <v>179</v>
      </c>
      <c r="Q12">
        <v>201</v>
      </c>
      <c r="R12">
        <v>171</v>
      </c>
      <c r="S12">
        <v>103</v>
      </c>
      <c r="T12">
        <v>113</v>
      </c>
      <c r="U12">
        <v>91</v>
      </c>
      <c r="V12">
        <v>192</v>
      </c>
      <c r="W12">
        <v>164</v>
      </c>
      <c r="X12">
        <v>193</v>
      </c>
      <c r="Y12" s="80"/>
      <c r="Z12" t="s">
        <v>448</v>
      </c>
      <c r="AA12">
        <v>-50</v>
      </c>
      <c r="AB12">
        <v>-22</v>
      </c>
      <c r="AC12">
        <v>8</v>
      </c>
      <c r="AE12">
        <v>14</v>
      </c>
      <c r="AF12">
        <v>88</v>
      </c>
      <c r="AG12">
        <v>76</v>
      </c>
      <c r="AH12">
        <v>18</v>
      </c>
      <c r="AI12">
        <v>64</v>
      </c>
      <c r="AJ12">
        <v>133</v>
      </c>
      <c r="AK12">
        <v>218</v>
      </c>
      <c r="AL12" s="80"/>
    </row>
    <row r="13" spans="1:38">
      <c r="A13" t="s">
        <v>442</v>
      </c>
      <c r="B13">
        <v>173</v>
      </c>
      <c r="C13">
        <v>174</v>
      </c>
      <c r="D13">
        <v>163</v>
      </c>
      <c r="E13">
        <v>171</v>
      </c>
      <c r="F13">
        <v>214</v>
      </c>
      <c r="G13">
        <v>172</v>
      </c>
      <c r="H13">
        <v>176</v>
      </c>
      <c r="I13">
        <v>217</v>
      </c>
      <c r="J13">
        <v>239</v>
      </c>
      <c r="K13">
        <v>295</v>
      </c>
      <c r="L13">
        <v>369</v>
      </c>
      <c r="M13" s="81"/>
      <c r="N13" t="s">
        <v>275</v>
      </c>
      <c r="O13">
        <v>405</v>
      </c>
      <c r="P13">
        <v>311</v>
      </c>
      <c r="Q13">
        <v>327</v>
      </c>
      <c r="R13">
        <v>348</v>
      </c>
      <c r="S13">
        <v>431</v>
      </c>
      <c r="T13">
        <v>472</v>
      </c>
      <c r="U13">
        <v>518</v>
      </c>
      <c r="V13">
        <v>587</v>
      </c>
      <c r="W13">
        <v>549</v>
      </c>
      <c r="X13">
        <v>629</v>
      </c>
      <c r="Y13" s="80"/>
      <c r="Z13" t="s">
        <v>274</v>
      </c>
      <c r="AA13">
        <v>78</v>
      </c>
      <c r="AB13">
        <v>-25</v>
      </c>
      <c r="AC13">
        <v>-4</v>
      </c>
      <c r="AD13">
        <v>37</v>
      </c>
      <c r="AE13">
        <v>0</v>
      </c>
      <c r="AF13">
        <v>11</v>
      </c>
      <c r="AG13">
        <v>24</v>
      </c>
      <c r="AH13">
        <v>-77</v>
      </c>
      <c r="AI13">
        <v>32</v>
      </c>
      <c r="AJ13">
        <v>-24</v>
      </c>
      <c r="AK13">
        <v>-21</v>
      </c>
      <c r="AL13" s="80"/>
    </row>
    <row r="14" spans="1:38">
      <c r="A14" t="s">
        <v>250</v>
      </c>
      <c r="B14">
        <v>287</v>
      </c>
      <c r="C14">
        <v>258</v>
      </c>
      <c r="D14">
        <v>259</v>
      </c>
      <c r="E14">
        <v>268</v>
      </c>
      <c r="F14">
        <v>798</v>
      </c>
      <c r="G14">
        <v>804</v>
      </c>
      <c r="H14">
        <v>810</v>
      </c>
      <c r="I14">
        <v>979</v>
      </c>
      <c r="J14">
        <v>982</v>
      </c>
      <c r="K14">
        <v>1065</v>
      </c>
      <c r="L14">
        <v>1155</v>
      </c>
      <c r="M14" s="81"/>
      <c r="N14" t="s">
        <v>448</v>
      </c>
      <c r="O14">
        <v>31</v>
      </c>
      <c r="P14">
        <v>11</v>
      </c>
      <c r="Q14">
        <v>12</v>
      </c>
      <c r="Y14" s="80"/>
      <c r="Z14" t="s">
        <v>464</v>
      </c>
      <c r="AA14">
        <v>3</v>
      </c>
      <c r="AB14">
        <v>90</v>
      </c>
      <c r="AC14">
        <v>-17</v>
      </c>
      <c r="AD14">
        <v>-23</v>
      </c>
      <c r="AE14">
        <v>-61</v>
      </c>
      <c r="AF14">
        <v>-39</v>
      </c>
      <c r="AG14">
        <v>-64</v>
      </c>
      <c r="AH14">
        <v>-23</v>
      </c>
      <c r="AI14">
        <v>46</v>
      </c>
      <c r="AJ14">
        <v>-86</v>
      </c>
      <c r="AK14">
        <v>-117</v>
      </c>
      <c r="AL14" s="80"/>
    </row>
    <row r="15" spans="1:38">
      <c r="A15" t="s">
        <v>251</v>
      </c>
      <c r="B15">
        <v>-105</v>
      </c>
      <c r="C15">
        <v>-180</v>
      </c>
      <c r="D15">
        <v>202</v>
      </c>
      <c r="E15">
        <v>56</v>
      </c>
      <c r="F15">
        <v>96</v>
      </c>
      <c r="G15">
        <v>354</v>
      </c>
      <c r="H15">
        <v>336</v>
      </c>
      <c r="I15">
        <v>166</v>
      </c>
      <c r="J15">
        <v>306</v>
      </c>
      <c r="K15">
        <v>556</v>
      </c>
      <c r="L15">
        <v>903</v>
      </c>
      <c r="M15" s="81"/>
      <c r="N15" t="s">
        <v>449</v>
      </c>
      <c r="O15">
        <v>35</v>
      </c>
      <c r="P15">
        <v>36</v>
      </c>
      <c r="Q15">
        <v>39</v>
      </c>
      <c r="R15">
        <v>20</v>
      </c>
      <c r="S15">
        <v>23</v>
      </c>
      <c r="T15">
        <v>39</v>
      </c>
      <c r="U15">
        <v>46</v>
      </c>
      <c r="V15">
        <v>53</v>
      </c>
      <c r="W15">
        <v>51</v>
      </c>
      <c r="X15">
        <v>51</v>
      </c>
      <c r="Y15" s="80"/>
      <c r="Z15" t="s">
        <v>449</v>
      </c>
      <c r="AA15">
        <v>0</v>
      </c>
      <c r="AB15">
        <v>-2</v>
      </c>
      <c r="AC15">
        <v>-2</v>
      </c>
      <c r="AD15">
        <v>6</v>
      </c>
      <c r="AE15">
        <v>-1</v>
      </c>
      <c r="AF15">
        <v>-8</v>
      </c>
      <c r="AG15">
        <v>-16</v>
      </c>
      <c r="AH15">
        <v>11</v>
      </c>
      <c r="AI15">
        <v>4</v>
      </c>
      <c r="AJ15">
        <v>-4</v>
      </c>
      <c r="AK15">
        <v>-19</v>
      </c>
      <c r="AL15" s="80"/>
    </row>
    <row r="16" spans="1:38">
      <c r="A16" t="s">
        <v>242</v>
      </c>
      <c r="B16">
        <v>39</v>
      </c>
      <c r="C16">
        <v>33</v>
      </c>
      <c r="D16">
        <v>26</v>
      </c>
      <c r="E16">
        <v>22</v>
      </c>
      <c r="F16">
        <v>25</v>
      </c>
      <c r="G16">
        <v>29</v>
      </c>
      <c r="H16">
        <v>20</v>
      </c>
      <c r="I16">
        <v>25</v>
      </c>
      <c r="J16">
        <v>33</v>
      </c>
      <c r="K16">
        <v>32</v>
      </c>
      <c r="M16" s="81"/>
      <c r="N16" t="s">
        <v>513</v>
      </c>
      <c r="O16">
        <v>47</v>
      </c>
      <c r="P16">
        <v>46</v>
      </c>
      <c r="S16">
        <v>130</v>
      </c>
      <c r="T16">
        <v>39</v>
      </c>
      <c r="U16">
        <v>89</v>
      </c>
      <c r="V16">
        <v>61</v>
      </c>
      <c r="W16">
        <v>66</v>
      </c>
      <c r="X16">
        <v>46</v>
      </c>
      <c r="Y16" s="80"/>
      <c r="Z16" t="s">
        <v>285</v>
      </c>
      <c r="AB16">
        <v>-36</v>
      </c>
      <c r="AL16" s="80"/>
    </row>
    <row r="17" spans="1:38">
      <c r="A17" t="s">
        <v>443</v>
      </c>
      <c r="B17">
        <v>-320</v>
      </c>
      <c r="C17">
        <v>79</v>
      </c>
      <c r="D17">
        <v>-10</v>
      </c>
      <c r="E17">
        <v>-43</v>
      </c>
      <c r="F17">
        <v>-16</v>
      </c>
      <c r="G17">
        <v>13</v>
      </c>
      <c r="H17">
        <v>-19</v>
      </c>
      <c r="I17">
        <v>-30</v>
      </c>
      <c r="J17">
        <v>-5</v>
      </c>
      <c r="K17">
        <v>3</v>
      </c>
      <c r="L17">
        <v>-47</v>
      </c>
      <c r="M17" s="81"/>
      <c r="N17" t="s">
        <v>276</v>
      </c>
      <c r="O17">
        <v>1080</v>
      </c>
      <c r="P17">
        <v>717</v>
      </c>
      <c r="Q17">
        <v>839</v>
      </c>
      <c r="R17">
        <v>568</v>
      </c>
      <c r="S17">
        <v>687</v>
      </c>
      <c r="T17">
        <v>752</v>
      </c>
      <c r="U17">
        <v>903</v>
      </c>
      <c r="V17">
        <v>991</v>
      </c>
      <c r="W17">
        <v>987</v>
      </c>
      <c r="X17">
        <v>1207</v>
      </c>
      <c r="Y17" s="80"/>
      <c r="Z17" t="s">
        <v>465</v>
      </c>
      <c r="AA17">
        <v>90</v>
      </c>
      <c r="AB17">
        <v>2</v>
      </c>
      <c r="AL17" s="80"/>
    </row>
    <row r="18" spans="1:38">
      <c r="A18" t="s">
        <v>262</v>
      </c>
      <c r="B18">
        <v>-463</v>
      </c>
      <c r="C18">
        <v>-135</v>
      </c>
      <c r="D18">
        <v>167</v>
      </c>
      <c r="E18">
        <v>-10</v>
      </c>
      <c r="F18">
        <v>56</v>
      </c>
      <c r="G18">
        <v>339</v>
      </c>
      <c r="H18">
        <v>298</v>
      </c>
      <c r="I18">
        <v>110</v>
      </c>
      <c r="J18">
        <v>268</v>
      </c>
      <c r="K18">
        <v>526</v>
      </c>
      <c r="L18">
        <v>856</v>
      </c>
      <c r="M18" s="81"/>
      <c r="N18" t="s">
        <v>277</v>
      </c>
      <c r="Y18" s="80"/>
      <c r="Z18" t="s">
        <v>466</v>
      </c>
      <c r="AA18">
        <v>-114</v>
      </c>
      <c r="AC18">
        <v>77</v>
      </c>
      <c r="AD18">
        <v>-26</v>
      </c>
      <c r="AE18">
        <v>-14</v>
      </c>
      <c r="AF18">
        <v>29</v>
      </c>
      <c r="AG18">
        <v>-18</v>
      </c>
      <c r="AH18">
        <v>23</v>
      </c>
      <c r="AI18">
        <v>19</v>
      </c>
      <c r="AJ18">
        <v>42</v>
      </c>
      <c r="AK18">
        <v>64</v>
      </c>
      <c r="AL18" s="80"/>
    </row>
    <row r="19" spans="1:38">
      <c r="A19" t="s">
        <v>253</v>
      </c>
      <c r="B19">
        <v>-142</v>
      </c>
      <c r="C19">
        <v>-72</v>
      </c>
      <c r="D19">
        <v>5</v>
      </c>
      <c r="E19">
        <v>-20</v>
      </c>
      <c r="F19">
        <v>14</v>
      </c>
      <c r="G19">
        <v>88</v>
      </c>
      <c r="H19">
        <v>76</v>
      </c>
      <c r="I19">
        <v>18</v>
      </c>
      <c r="J19">
        <v>64</v>
      </c>
      <c r="K19">
        <v>133</v>
      </c>
      <c r="L19">
        <v>218</v>
      </c>
      <c r="M19" s="81"/>
      <c r="N19" t="s">
        <v>450</v>
      </c>
      <c r="Y19" s="80"/>
      <c r="Z19" t="s">
        <v>467</v>
      </c>
      <c r="AA19">
        <v>-132</v>
      </c>
      <c r="AB19">
        <v>-234</v>
      </c>
      <c r="AC19">
        <v>117</v>
      </c>
      <c r="AD19">
        <v>-10</v>
      </c>
      <c r="AE19">
        <v>0</v>
      </c>
      <c r="AF19">
        <v>228</v>
      </c>
      <c r="AG19">
        <v>198</v>
      </c>
      <c r="AH19">
        <v>92</v>
      </c>
      <c r="AI19">
        <v>174</v>
      </c>
      <c r="AJ19">
        <v>299</v>
      </c>
      <c r="AK19">
        <v>412</v>
      </c>
      <c r="AL19" s="80"/>
    </row>
    <row r="20" spans="1:38">
      <c r="A20" t="s">
        <v>254</v>
      </c>
      <c r="B20">
        <v>-321</v>
      </c>
      <c r="C20">
        <v>-63</v>
      </c>
      <c r="D20">
        <v>161</v>
      </c>
      <c r="E20">
        <v>11</v>
      </c>
      <c r="F20">
        <v>41</v>
      </c>
      <c r="G20">
        <v>250</v>
      </c>
      <c r="H20">
        <v>222</v>
      </c>
      <c r="I20">
        <v>92</v>
      </c>
      <c r="J20">
        <v>204</v>
      </c>
      <c r="K20">
        <v>394</v>
      </c>
      <c r="L20">
        <v>638</v>
      </c>
      <c r="M20" s="81"/>
      <c r="N20" t="s">
        <v>451</v>
      </c>
      <c r="O20">
        <v>3688</v>
      </c>
      <c r="P20">
        <v>3679</v>
      </c>
      <c r="Q20">
        <v>3706</v>
      </c>
      <c r="R20">
        <v>3147</v>
      </c>
      <c r="S20">
        <v>3082</v>
      </c>
      <c r="T20">
        <v>3248</v>
      </c>
      <c r="U20">
        <v>3364</v>
      </c>
      <c r="V20">
        <v>3670</v>
      </c>
      <c r="W20">
        <v>3814</v>
      </c>
      <c r="X20">
        <v>3919</v>
      </c>
      <c r="Y20" s="80"/>
      <c r="Z20" t="s">
        <v>320</v>
      </c>
      <c r="AA20">
        <v>158</v>
      </c>
      <c r="AB20">
        <v>-69</v>
      </c>
      <c r="AC20">
        <v>343</v>
      </c>
      <c r="AD20">
        <v>163</v>
      </c>
      <c r="AE20">
        <v>131</v>
      </c>
      <c r="AF20">
        <v>490</v>
      </c>
      <c r="AG20">
        <v>392</v>
      </c>
      <c r="AH20">
        <v>255</v>
      </c>
      <c r="AI20">
        <v>584</v>
      </c>
      <c r="AJ20">
        <v>610</v>
      </c>
      <c r="AK20">
        <v>800</v>
      </c>
      <c r="AL20" s="80"/>
    </row>
    <row r="21" spans="1:38">
      <c r="A21" t="s">
        <v>444</v>
      </c>
      <c r="B21">
        <v>-24</v>
      </c>
      <c r="C21">
        <v>-8</v>
      </c>
      <c r="E21">
        <v>-67</v>
      </c>
      <c r="F21">
        <v>-9</v>
      </c>
      <c r="G21">
        <v>-22</v>
      </c>
      <c r="H21">
        <v>-47</v>
      </c>
      <c r="I21">
        <v>-67</v>
      </c>
      <c r="J21">
        <v>-53</v>
      </c>
      <c r="K21">
        <v>-48</v>
      </c>
      <c r="L21">
        <v>-98</v>
      </c>
      <c r="M21" s="81"/>
      <c r="N21" t="s">
        <v>452</v>
      </c>
      <c r="O21">
        <v>-1890</v>
      </c>
      <c r="P21">
        <v>-2002</v>
      </c>
      <c r="Q21">
        <v>-2075</v>
      </c>
      <c r="R21">
        <v>-2008</v>
      </c>
      <c r="S21">
        <v>-2001</v>
      </c>
      <c r="T21">
        <v>-2097</v>
      </c>
      <c r="U21">
        <v>-2148</v>
      </c>
      <c r="V21">
        <v>-2225</v>
      </c>
      <c r="W21">
        <v>-2353</v>
      </c>
      <c r="X21">
        <v>-2481</v>
      </c>
      <c r="Y21" s="80"/>
      <c r="Z21" t="s">
        <v>321</v>
      </c>
      <c r="AL21" s="80"/>
    </row>
    <row r="22" spans="1:38">
      <c r="A22" t="s">
        <v>255</v>
      </c>
      <c r="B22">
        <v>-345</v>
      </c>
      <c r="C22">
        <v>-70</v>
      </c>
      <c r="D22">
        <v>161</v>
      </c>
      <c r="E22">
        <v>-57</v>
      </c>
      <c r="F22">
        <v>32</v>
      </c>
      <c r="G22">
        <v>229</v>
      </c>
      <c r="H22">
        <v>175</v>
      </c>
      <c r="I22">
        <v>25</v>
      </c>
      <c r="J22">
        <v>151</v>
      </c>
      <c r="K22">
        <v>345</v>
      </c>
      <c r="L22">
        <v>539</v>
      </c>
      <c r="M22" s="81"/>
      <c r="N22" t="s">
        <v>278</v>
      </c>
      <c r="O22">
        <v>1798</v>
      </c>
      <c r="P22">
        <v>1677</v>
      </c>
      <c r="Q22">
        <v>1631</v>
      </c>
      <c r="R22">
        <v>1139</v>
      </c>
      <c r="S22">
        <v>1082</v>
      </c>
      <c r="T22">
        <v>1152</v>
      </c>
      <c r="U22">
        <v>1216</v>
      </c>
      <c r="V22">
        <v>1445</v>
      </c>
      <c r="W22">
        <v>1461</v>
      </c>
      <c r="X22">
        <v>1438</v>
      </c>
      <c r="Y22" s="80"/>
      <c r="Z22" t="s">
        <v>468</v>
      </c>
      <c r="AA22">
        <v>-80</v>
      </c>
      <c r="AB22">
        <v>-59</v>
      </c>
      <c r="AC22">
        <v>-128</v>
      </c>
      <c r="AD22">
        <v>-312</v>
      </c>
      <c r="AE22">
        <v>-200</v>
      </c>
      <c r="AF22">
        <v>-237</v>
      </c>
      <c r="AG22">
        <v>-234</v>
      </c>
      <c r="AH22">
        <v>-240</v>
      </c>
      <c r="AI22">
        <v>-234</v>
      </c>
      <c r="AJ22">
        <v>-252</v>
      </c>
      <c r="AK22">
        <v>-355</v>
      </c>
      <c r="AL22" s="80"/>
    </row>
    <row r="23" spans="1:38">
      <c r="A23" t="s">
        <v>445</v>
      </c>
      <c r="B23">
        <v>-345</v>
      </c>
      <c r="C23">
        <v>-70</v>
      </c>
      <c r="D23">
        <v>161</v>
      </c>
      <c r="E23">
        <v>-57</v>
      </c>
      <c r="F23">
        <v>32</v>
      </c>
      <c r="G23">
        <v>229</v>
      </c>
      <c r="H23">
        <v>175</v>
      </c>
      <c r="I23">
        <v>25</v>
      </c>
      <c r="J23">
        <v>151</v>
      </c>
      <c r="K23">
        <v>345</v>
      </c>
      <c r="L23">
        <v>539</v>
      </c>
      <c r="M23" s="81"/>
      <c r="N23" t="s">
        <v>453</v>
      </c>
      <c r="O23">
        <v>126</v>
      </c>
      <c r="P23">
        <v>94</v>
      </c>
      <c r="Q23">
        <v>102</v>
      </c>
      <c r="R23">
        <v>63</v>
      </c>
      <c r="S23">
        <v>24</v>
      </c>
      <c r="T23">
        <v>54</v>
      </c>
      <c r="U23">
        <v>64</v>
      </c>
      <c r="V23">
        <v>32</v>
      </c>
      <c r="W23">
        <v>32</v>
      </c>
      <c r="X23">
        <v>22</v>
      </c>
      <c r="Y23" s="80"/>
      <c r="Z23" t="s">
        <v>469</v>
      </c>
      <c r="AA23">
        <v>6</v>
      </c>
      <c r="AB23">
        <v>55</v>
      </c>
      <c r="AC23">
        <v>2</v>
      </c>
      <c r="AE23">
        <v>6</v>
      </c>
      <c r="AJ23">
        <v>11</v>
      </c>
      <c r="AK23">
        <v>3</v>
      </c>
      <c r="AL23" s="80"/>
    </row>
    <row r="24" spans="1:38">
      <c r="A24" t="s">
        <v>256</v>
      </c>
      <c r="M24" s="81"/>
      <c r="N24" t="s">
        <v>454</v>
      </c>
      <c r="O24">
        <v>86</v>
      </c>
      <c r="P24">
        <v>73</v>
      </c>
      <c r="Q24">
        <v>70</v>
      </c>
      <c r="R24">
        <v>71</v>
      </c>
      <c r="S24">
        <v>70</v>
      </c>
      <c r="T24">
        <v>74</v>
      </c>
      <c r="U24">
        <v>81</v>
      </c>
      <c r="V24">
        <v>216</v>
      </c>
      <c r="W24">
        <v>209</v>
      </c>
      <c r="X24">
        <v>195</v>
      </c>
      <c r="Y24" s="80"/>
      <c r="Z24" t="s">
        <v>470</v>
      </c>
      <c r="AA24">
        <v>-1</v>
      </c>
      <c r="AF24">
        <v>48</v>
      </c>
      <c r="AG24">
        <v>14</v>
      </c>
      <c r="AH24">
        <v>-248</v>
      </c>
      <c r="AI24">
        <v>-84</v>
      </c>
      <c r="AJ24">
        <v>-24</v>
      </c>
      <c r="AK24">
        <v>10</v>
      </c>
      <c r="AL24" s="80"/>
    </row>
    <row r="25" spans="1:38">
      <c r="A25" t="s">
        <v>257</v>
      </c>
      <c r="B25">
        <v>-2.42</v>
      </c>
      <c r="C25">
        <v>-0.5</v>
      </c>
      <c r="D25">
        <v>0.49</v>
      </c>
      <c r="E25">
        <v>-0.4</v>
      </c>
      <c r="F25">
        <v>0.22</v>
      </c>
      <c r="G25">
        <v>1.61</v>
      </c>
      <c r="H25">
        <v>1.28</v>
      </c>
      <c r="I25">
        <v>0.18</v>
      </c>
      <c r="J25">
        <v>1.1399999999999999</v>
      </c>
      <c r="K25">
        <v>2.63</v>
      </c>
      <c r="L25">
        <v>4.18</v>
      </c>
      <c r="M25" s="80"/>
      <c r="N25" t="s">
        <v>455</v>
      </c>
      <c r="R25">
        <v>542</v>
      </c>
      <c r="S25">
        <v>565</v>
      </c>
      <c r="T25">
        <v>554</v>
      </c>
      <c r="U25">
        <v>543</v>
      </c>
      <c r="V25">
        <v>541</v>
      </c>
      <c r="W25">
        <v>562</v>
      </c>
      <c r="X25">
        <v>551</v>
      </c>
      <c r="Y25" s="80"/>
      <c r="Z25" t="s">
        <v>471</v>
      </c>
      <c r="AH25">
        <v>-30</v>
      </c>
      <c r="AL25" s="80"/>
    </row>
    <row r="26" spans="1:38">
      <c r="A26" t="s">
        <v>258</v>
      </c>
      <c r="B26">
        <v>-2.42</v>
      </c>
      <c r="C26">
        <v>-0.5</v>
      </c>
      <c r="D26">
        <v>0.49</v>
      </c>
      <c r="E26">
        <v>-0.4</v>
      </c>
      <c r="F26">
        <v>0.22</v>
      </c>
      <c r="G26">
        <v>1.61</v>
      </c>
      <c r="H26">
        <v>1.28</v>
      </c>
      <c r="I26">
        <v>0.18</v>
      </c>
      <c r="J26">
        <v>1.1399999999999999</v>
      </c>
      <c r="K26">
        <v>2.63</v>
      </c>
      <c r="L26">
        <v>4.18</v>
      </c>
      <c r="M26" s="80"/>
      <c r="N26" t="s">
        <v>448</v>
      </c>
      <c r="R26">
        <v>18</v>
      </c>
      <c r="S26">
        <v>40</v>
      </c>
      <c r="T26">
        <v>6</v>
      </c>
      <c r="U26">
        <v>2</v>
      </c>
      <c r="V26">
        <v>1</v>
      </c>
      <c r="W26">
        <v>1</v>
      </c>
      <c r="X26">
        <v>6</v>
      </c>
      <c r="Y26" s="80"/>
      <c r="Z26" t="s">
        <v>472</v>
      </c>
      <c r="AC26">
        <v>25</v>
      </c>
      <c r="AD26">
        <v>30</v>
      </c>
      <c r="AL26" s="80"/>
    </row>
    <row r="27" spans="1:38">
      <c r="A27" t="s">
        <v>259</v>
      </c>
      <c r="M27" s="80"/>
      <c r="N27" t="s">
        <v>514</v>
      </c>
      <c r="S27">
        <v>1</v>
      </c>
      <c r="T27">
        <v>42</v>
      </c>
      <c r="U27">
        <v>1</v>
      </c>
      <c r="V27">
        <v>3</v>
      </c>
      <c r="W27">
        <v>6</v>
      </c>
      <c r="X27">
        <v>8</v>
      </c>
      <c r="Y27" s="80"/>
      <c r="Z27" t="s">
        <v>473</v>
      </c>
      <c r="AA27">
        <v>27</v>
      </c>
      <c r="AB27">
        <v>53</v>
      </c>
      <c r="AC27">
        <v>0</v>
      </c>
      <c r="AD27">
        <v>80</v>
      </c>
      <c r="AE27">
        <v>-23</v>
      </c>
      <c r="AF27">
        <v>-13</v>
      </c>
      <c r="AG27">
        <v>-38</v>
      </c>
      <c r="AH27">
        <v>40</v>
      </c>
      <c r="AI27">
        <v>0</v>
      </c>
      <c r="AJ27">
        <v>-2</v>
      </c>
      <c r="AK27">
        <v>6</v>
      </c>
      <c r="AL27" s="80"/>
    </row>
    <row r="28" spans="1:38">
      <c r="A28" t="s">
        <v>257</v>
      </c>
      <c r="B28">
        <v>143</v>
      </c>
      <c r="C28">
        <v>143</v>
      </c>
      <c r="D28">
        <v>143</v>
      </c>
      <c r="E28">
        <v>143</v>
      </c>
      <c r="F28">
        <v>143</v>
      </c>
      <c r="G28">
        <v>142</v>
      </c>
      <c r="H28">
        <v>137</v>
      </c>
      <c r="I28">
        <v>134</v>
      </c>
      <c r="J28">
        <v>133</v>
      </c>
      <c r="K28">
        <v>131</v>
      </c>
      <c r="L28">
        <v>129</v>
      </c>
      <c r="M28" s="80"/>
      <c r="N28" t="s">
        <v>279</v>
      </c>
      <c r="O28">
        <v>110</v>
      </c>
      <c r="P28">
        <v>117</v>
      </c>
      <c r="Q28">
        <v>136</v>
      </c>
      <c r="S28">
        <v>20</v>
      </c>
      <c r="T28">
        <v>59</v>
      </c>
      <c r="U28">
        <v>37</v>
      </c>
      <c r="V28">
        <v>66</v>
      </c>
      <c r="W28">
        <v>19</v>
      </c>
      <c r="X28">
        <v>61</v>
      </c>
      <c r="Y28" s="80"/>
      <c r="Z28" t="s">
        <v>323</v>
      </c>
      <c r="AA28">
        <v>-48</v>
      </c>
      <c r="AB28">
        <v>50</v>
      </c>
      <c r="AC28">
        <v>-101</v>
      </c>
      <c r="AD28">
        <v>-203</v>
      </c>
      <c r="AE28">
        <v>-217</v>
      </c>
      <c r="AF28">
        <v>-202</v>
      </c>
      <c r="AG28">
        <v>-259</v>
      </c>
      <c r="AH28">
        <v>-478</v>
      </c>
      <c r="AI28">
        <v>-318</v>
      </c>
      <c r="AJ28">
        <v>-266</v>
      </c>
      <c r="AK28">
        <v>-338</v>
      </c>
      <c r="AL28" s="80"/>
    </row>
    <row r="29" spans="1:38">
      <c r="A29" t="s">
        <v>258</v>
      </c>
      <c r="B29">
        <v>143</v>
      </c>
      <c r="C29">
        <v>143</v>
      </c>
      <c r="D29">
        <v>143</v>
      </c>
      <c r="E29">
        <v>143</v>
      </c>
      <c r="F29">
        <v>143</v>
      </c>
      <c r="G29">
        <v>142</v>
      </c>
      <c r="H29">
        <v>137</v>
      </c>
      <c r="I29">
        <v>134</v>
      </c>
      <c r="J29">
        <v>133</v>
      </c>
      <c r="K29">
        <v>131</v>
      </c>
      <c r="L29">
        <v>129</v>
      </c>
      <c r="M29" s="80"/>
      <c r="N29" t="s">
        <v>280</v>
      </c>
      <c r="O29">
        <v>2120</v>
      </c>
      <c r="P29">
        <v>1961</v>
      </c>
      <c r="Q29">
        <v>1939</v>
      </c>
      <c r="R29">
        <v>1833</v>
      </c>
      <c r="S29">
        <v>1801</v>
      </c>
      <c r="T29">
        <v>1941</v>
      </c>
      <c r="U29">
        <v>1944</v>
      </c>
      <c r="V29">
        <v>2304</v>
      </c>
      <c r="W29">
        <v>2290</v>
      </c>
      <c r="X29">
        <v>2281</v>
      </c>
      <c r="Y29" s="80"/>
      <c r="Z29" t="s">
        <v>324</v>
      </c>
      <c r="AL29" s="80"/>
    </row>
    <row r="30" spans="1:38">
      <c r="A30" t="s">
        <v>13</v>
      </c>
      <c r="B30">
        <v>-253</v>
      </c>
      <c r="C30">
        <v>54</v>
      </c>
      <c r="D30">
        <v>348</v>
      </c>
      <c r="E30">
        <v>182</v>
      </c>
      <c r="F30">
        <v>268</v>
      </c>
      <c r="G30">
        <v>554</v>
      </c>
      <c r="H30">
        <v>500</v>
      </c>
      <c r="I30">
        <v>350</v>
      </c>
      <c r="J30">
        <v>543</v>
      </c>
      <c r="K30">
        <v>809</v>
      </c>
      <c r="L30">
        <v>1171</v>
      </c>
      <c r="M30" s="80"/>
      <c r="N30" t="s">
        <v>281</v>
      </c>
      <c r="O30">
        <v>3200</v>
      </c>
      <c r="P30">
        <v>2678</v>
      </c>
      <c r="Q30">
        <v>2778</v>
      </c>
      <c r="R30">
        <v>2402</v>
      </c>
      <c r="S30">
        <v>2488</v>
      </c>
      <c r="T30">
        <v>2693</v>
      </c>
      <c r="U30">
        <v>2847</v>
      </c>
      <c r="V30">
        <v>3295</v>
      </c>
      <c r="W30">
        <v>3277</v>
      </c>
      <c r="X30">
        <v>3488</v>
      </c>
      <c r="Y30" s="80"/>
      <c r="Z30" t="s">
        <v>474</v>
      </c>
      <c r="AA30">
        <v>25</v>
      </c>
      <c r="AE30">
        <v>100</v>
      </c>
      <c r="AF30">
        <v>53</v>
      </c>
      <c r="AG30">
        <v>75</v>
      </c>
      <c r="AH30">
        <v>388</v>
      </c>
      <c r="AJ30">
        <v>6</v>
      </c>
      <c r="AK30">
        <v>4</v>
      </c>
      <c r="AL30" s="80"/>
    </row>
    <row r="31" spans="1:38">
      <c r="M31" s="80"/>
      <c r="N31" t="s">
        <v>282</v>
      </c>
      <c r="Y31" s="80"/>
      <c r="Z31" t="s">
        <v>475</v>
      </c>
      <c r="AA31">
        <v>-15</v>
      </c>
      <c r="AB31">
        <v>-200</v>
      </c>
      <c r="AC31">
        <v>-36</v>
      </c>
      <c r="AD31">
        <v>-82</v>
      </c>
      <c r="AE31">
        <v>-50</v>
      </c>
      <c r="AF31">
        <v>-193</v>
      </c>
      <c r="AH31">
        <v>-175</v>
      </c>
      <c r="AJ31">
        <v>-50</v>
      </c>
      <c r="AK31">
        <v>-50</v>
      </c>
      <c r="AL31" s="80"/>
    </row>
    <row r="32" spans="1:38">
      <c r="M32" s="80"/>
      <c r="N32" t="s">
        <v>283</v>
      </c>
      <c r="Y32" s="80"/>
      <c r="Z32" t="s">
        <v>476</v>
      </c>
      <c r="AF32">
        <v>-60</v>
      </c>
      <c r="AG32">
        <v>-109</v>
      </c>
      <c r="AH32">
        <v>-59</v>
      </c>
      <c r="AJ32">
        <v>-87</v>
      </c>
      <c r="AK32">
        <v>-76</v>
      </c>
      <c r="AL32" s="80"/>
    </row>
    <row r="33" spans="1:38">
      <c r="M33" s="80"/>
      <c r="N33" t="s">
        <v>284</v>
      </c>
      <c r="Y33" s="80"/>
      <c r="Z33" t="s">
        <v>477</v>
      </c>
      <c r="AD33">
        <v>-91</v>
      </c>
      <c r="AL33" s="80"/>
    </row>
    <row r="34" spans="1:38">
      <c r="M34" s="80"/>
      <c r="N34" t="s">
        <v>456</v>
      </c>
      <c r="O34">
        <v>194</v>
      </c>
      <c r="P34">
        <v>35</v>
      </c>
      <c r="Q34">
        <v>82</v>
      </c>
      <c r="R34">
        <v>51</v>
      </c>
      <c r="S34">
        <v>211</v>
      </c>
      <c r="T34">
        <v>75</v>
      </c>
      <c r="U34">
        <v>68</v>
      </c>
      <c r="V34">
        <v>158</v>
      </c>
      <c r="W34">
        <v>28</v>
      </c>
      <c r="X34">
        <v>0</v>
      </c>
      <c r="Y34" s="80"/>
      <c r="Z34" t="s">
        <v>325</v>
      </c>
      <c r="AA34">
        <v>-53</v>
      </c>
      <c r="AB34">
        <v>-8</v>
      </c>
      <c r="AC34">
        <v>-78</v>
      </c>
      <c r="AD34">
        <v>-18</v>
      </c>
      <c r="AE34">
        <v>-8</v>
      </c>
      <c r="AF34">
        <v>18</v>
      </c>
      <c r="AG34">
        <v>-31</v>
      </c>
      <c r="AH34">
        <v>-5</v>
      </c>
      <c r="AI34">
        <v>-205</v>
      </c>
      <c r="AJ34">
        <v>-76</v>
      </c>
      <c r="AK34">
        <v>-29</v>
      </c>
      <c r="AL34" s="80"/>
    </row>
    <row r="35" spans="1:38">
      <c r="M35" s="80"/>
      <c r="N35" t="s">
        <v>285</v>
      </c>
      <c r="S35">
        <v>146</v>
      </c>
      <c r="T35">
        <v>180</v>
      </c>
      <c r="U35">
        <v>171</v>
      </c>
      <c r="V35">
        <v>201</v>
      </c>
      <c r="W35">
        <v>227</v>
      </c>
      <c r="X35">
        <v>289</v>
      </c>
      <c r="Y35" s="80"/>
      <c r="Z35" t="s">
        <v>326</v>
      </c>
      <c r="AA35">
        <v>-42</v>
      </c>
      <c r="AB35">
        <v>-208</v>
      </c>
      <c r="AC35">
        <v>-114</v>
      </c>
      <c r="AD35">
        <v>-191</v>
      </c>
      <c r="AE35">
        <v>42</v>
      </c>
      <c r="AF35">
        <v>-181</v>
      </c>
      <c r="AG35">
        <v>-65</v>
      </c>
      <c r="AH35">
        <v>149</v>
      </c>
      <c r="AI35">
        <v>-205</v>
      </c>
      <c r="AJ35">
        <v>-208</v>
      </c>
      <c r="AK35">
        <v>-151</v>
      </c>
      <c r="AL35" s="80"/>
    </row>
    <row r="36" spans="1:38">
      <c r="M36" s="80"/>
      <c r="N36" t="s">
        <v>457</v>
      </c>
      <c r="T36">
        <v>14</v>
      </c>
      <c r="U36">
        <v>15</v>
      </c>
      <c r="Y36" s="80"/>
      <c r="Z36" t="s">
        <v>478</v>
      </c>
      <c r="AB36">
        <v>-2</v>
      </c>
      <c r="AC36">
        <v>-1</v>
      </c>
      <c r="AD36">
        <v>0</v>
      </c>
      <c r="AH36">
        <v>13</v>
      </c>
      <c r="AI36">
        <v>-2</v>
      </c>
      <c r="AJ36">
        <v>-4</v>
      </c>
      <c r="AK36">
        <v>2</v>
      </c>
      <c r="AL36" s="80"/>
    </row>
    <row r="37" spans="1:38">
      <c r="M37" s="80"/>
      <c r="N37" t="s">
        <v>458</v>
      </c>
      <c r="S37">
        <v>106</v>
      </c>
      <c r="T37">
        <v>128</v>
      </c>
      <c r="U37">
        <v>120</v>
      </c>
      <c r="V37">
        <v>149</v>
      </c>
      <c r="W37">
        <v>157</v>
      </c>
      <c r="X37">
        <v>181</v>
      </c>
      <c r="Y37" s="80"/>
      <c r="Z37" t="s">
        <v>327</v>
      </c>
      <c r="AA37">
        <v>67</v>
      </c>
      <c r="AB37">
        <v>-229</v>
      </c>
      <c r="AC37">
        <v>127</v>
      </c>
      <c r="AD37">
        <v>-231</v>
      </c>
      <c r="AE37">
        <v>-44</v>
      </c>
      <c r="AF37">
        <v>107</v>
      </c>
      <c r="AG37">
        <v>69</v>
      </c>
      <c r="AH37">
        <v>-61</v>
      </c>
      <c r="AI37">
        <v>59</v>
      </c>
      <c r="AJ37">
        <v>132</v>
      </c>
      <c r="AK37">
        <v>312</v>
      </c>
      <c r="AL37" s="80"/>
    </row>
    <row r="38" spans="1:38">
      <c r="M38" s="80"/>
      <c r="N38" t="s">
        <v>286</v>
      </c>
      <c r="O38">
        <v>355</v>
      </c>
      <c r="P38">
        <v>239</v>
      </c>
      <c r="Q38">
        <v>979</v>
      </c>
      <c r="R38">
        <v>322</v>
      </c>
      <c r="S38">
        <v>58</v>
      </c>
      <c r="T38">
        <v>44</v>
      </c>
      <c r="U38">
        <v>52</v>
      </c>
      <c r="V38">
        <v>127</v>
      </c>
      <c r="W38">
        <v>90</v>
      </c>
      <c r="X38">
        <v>50</v>
      </c>
      <c r="Y38" s="80"/>
      <c r="Z38" t="s">
        <v>328</v>
      </c>
      <c r="AA38">
        <v>296</v>
      </c>
      <c r="AB38">
        <v>362</v>
      </c>
      <c r="AC38">
        <v>133</v>
      </c>
      <c r="AD38">
        <v>260</v>
      </c>
      <c r="AE38">
        <v>29</v>
      </c>
      <c r="AF38">
        <v>-17</v>
      </c>
      <c r="AG38">
        <v>90</v>
      </c>
      <c r="AH38">
        <v>158</v>
      </c>
      <c r="AI38">
        <v>98</v>
      </c>
      <c r="AJ38">
        <v>157</v>
      </c>
      <c r="AK38">
        <v>279</v>
      </c>
      <c r="AL38" s="80"/>
    </row>
    <row r="39" spans="1:38">
      <c r="M39" s="80"/>
      <c r="N39" t="s">
        <v>287</v>
      </c>
      <c r="O39">
        <v>549</v>
      </c>
      <c r="P39">
        <v>274</v>
      </c>
      <c r="Q39">
        <v>1061</v>
      </c>
      <c r="R39">
        <v>373</v>
      </c>
      <c r="S39">
        <v>521</v>
      </c>
      <c r="T39">
        <v>440</v>
      </c>
      <c r="U39">
        <v>426</v>
      </c>
      <c r="V39">
        <v>635</v>
      </c>
      <c r="W39">
        <v>502</v>
      </c>
      <c r="X39">
        <v>520</v>
      </c>
      <c r="Y39" s="80"/>
      <c r="Z39" t="s">
        <v>329</v>
      </c>
      <c r="AA39">
        <v>362</v>
      </c>
      <c r="AB39">
        <v>133</v>
      </c>
      <c r="AC39">
        <v>260</v>
      </c>
      <c r="AD39">
        <v>29</v>
      </c>
      <c r="AE39">
        <v>-15</v>
      </c>
      <c r="AF39">
        <v>90</v>
      </c>
      <c r="AG39">
        <v>158</v>
      </c>
      <c r="AH39">
        <v>98</v>
      </c>
      <c r="AI39">
        <v>157</v>
      </c>
      <c r="AJ39">
        <v>288</v>
      </c>
      <c r="AK39">
        <v>591</v>
      </c>
      <c r="AL39" s="80"/>
    </row>
    <row r="40" spans="1:38">
      <c r="M40" s="80"/>
      <c r="N40" t="s">
        <v>288</v>
      </c>
      <c r="Y40" s="80"/>
      <c r="Z40" t="s">
        <v>330</v>
      </c>
      <c r="AL40" s="80"/>
    </row>
    <row r="41" spans="1:38">
      <c r="M41" s="80"/>
      <c r="N41" t="s">
        <v>298</v>
      </c>
      <c r="O41">
        <v>429</v>
      </c>
      <c r="P41">
        <v>333</v>
      </c>
      <c r="R41">
        <v>188</v>
      </c>
      <c r="S41">
        <v>100</v>
      </c>
      <c r="T41">
        <v>153</v>
      </c>
      <c r="U41">
        <v>229</v>
      </c>
      <c r="V41">
        <v>456</v>
      </c>
      <c r="W41">
        <v>448</v>
      </c>
      <c r="X41">
        <v>385</v>
      </c>
      <c r="Y41" s="80"/>
      <c r="Z41" t="s">
        <v>331</v>
      </c>
      <c r="AA41">
        <v>158</v>
      </c>
      <c r="AB41">
        <v>-69</v>
      </c>
      <c r="AC41">
        <v>343</v>
      </c>
      <c r="AD41">
        <v>163</v>
      </c>
      <c r="AE41">
        <v>131</v>
      </c>
      <c r="AF41">
        <v>490</v>
      </c>
      <c r="AG41">
        <v>392</v>
      </c>
      <c r="AH41">
        <v>255</v>
      </c>
      <c r="AI41">
        <v>584</v>
      </c>
      <c r="AJ41">
        <v>610</v>
      </c>
      <c r="AK41">
        <v>800</v>
      </c>
      <c r="AL41" s="80"/>
    </row>
    <row r="42" spans="1:38">
      <c r="M42" s="80"/>
      <c r="N42" t="s">
        <v>515</v>
      </c>
      <c r="O42">
        <v>242</v>
      </c>
      <c r="P42">
        <v>201</v>
      </c>
      <c r="R42">
        <v>103</v>
      </c>
      <c r="S42">
        <v>151</v>
      </c>
      <c r="T42">
        <v>217</v>
      </c>
      <c r="U42">
        <v>212</v>
      </c>
      <c r="V42">
        <v>192</v>
      </c>
      <c r="W42">
        <v>206</v>
      </c>
      <c r="X42">
        <v>223</v>
      </c>
      <c r="Y42" s="80"/>
      <c r="Z42" t="s">
        <v>332</v>
      </c>
      <c r="AA42">
        <v>-80</v>
      </c>
      <c r="AB42">
        <v>-59</v>
      </c>
      <c r="AC42">
        <v>-128</v>
      </c>
      <c r="AD42">
        <v>-312</v>
      </c>
      <c r="AE42">
        <v>-200</v>
      </c>
      <c r="AF42">
        <v>-237</v>
      </c>
      <c r="AG42">
        <v>-234</v>
      </c>
      <c r="AH42">
        <v>-240</v>
      </c>
      <c r="AI42">
        <v>-234</v>
      </c>
      <c r="AJ42">
        <v>-252</v>
      </c>
      <c r="AK42">
        <v>-355</v>
      </c>
      <c r="AL42" s="80"/>
    </row>
    <row r="43" spans="1:38">
      <c r="M43" s="80"/>
      <c r="N43" t="s">
        <v>458</v>
      </c>
      <c r="O43">
        <v>209</v>
      </c>
      <c r="P43">
        <v>210</v>
      </c>
      <c r="Y43" s="80"/>
      <c r="Z43" t="s">
        <v>333</v>
      </c>
      <c r="AA43">
        <v>78</v>
      </c>
      <c r="AB43">
        <v>-128</v>
      </c>
      <c r="AC43">
        <v>216</v>
      </c>
      <c r="AD43">
        <v>-149</v>
      </c>
      <c r="AE43">
        <v>-69</v>
      </c>
      <c r="AF43">
        <v>253</v>
      </c>
      <c r="AG43">
        <v>158</v>
      </c>
      <c r="AH43">
        <v>15</v>
      </c>
      <c r="AI43">
        <v>350</v>
      </c>
      <c r="AJ43">
        <v>358</v>
      </c>
      <c r="AK43">
        <v>445</v>
      </c>
      <c r="AL43" s="80"/>
    </row>
    <row r="44" spans="1:38">
      <c r="M44" s="80"/>
      <c r="N44" t="s">
        <v>516</v>
      </c>
      <c r="S44">
        <v>314</v>
      </c>
      <c r="T44">
        <v>200</v>
      </c>
      <c r="U44">
        <v>263</v>
      </c>
      <c r="V44">
        <v>259</v>
      </c>
      <c r="W44">
        <v>302</v>
      </c>
      <c r="X44">
        <v>272</v>
      </c>
      <c r="Y44" s="80"/>
      <c r="AL44" s="80"/>
    </row>
    <row r="45" spans="1:38">
      <c r="A45" s="80"/>
      <c r="B45" s="80"/>
      <c r="C45" s="80"/>
      <c r="D45" s="80"/>
      <c r="E45" s="80"/>
      <c r="F45" s="80"/>
      <c r="G45" s="80"/>
      <c r="H45" s="80"/>
      <c r="I45" s="80"/>
      <c r="J45" s="80"/>
      <c r="K45" s="80"/>
      <c r="L45" s="80"/>
      <c r="M45" s="80"/>
      <c r="N45" t="s">
        <v>459</v>
      </c>
      <c r="O45">
        <v>277</v>
      </c>
      <c r="P45">
        <v>273</v>
      </c>
      <c r="Q45">
        <v>270</v>
      </c>
      <c r="R45">
        <v>233</v>
      </c>
      <c r="S45">
        <v>199</v>
      </c>
      <c r="T45">
        <v>223</v>
      </c>
      <c r="U45">
        <v>250</v>
      </c>
      <c r="V45">
        <v>297</v>
      </c>
      <c r="W45">
        <v>255</v>
      </c>
      <c r="X45">
        <v>270</v>
      </c>
      <c r="Y45" s="80"/>
      <c r="AL45" s="80"/>
    </row>
    <row r="46" spans="1:38">
      <c r="M46" s="80"/>
      <c r="N46" t="s">
        <v>289</v>
      </c>
      <c r="R46">
        <v>377</v>
      </c>
      <c r="S46">
        <v>92</v>
      </c>
      <c r="T46">
        <v>85</v>
      </c>
      <c r="U46">
        <v>80</v>
      </c>
      <c r="V46">
        <v>125</v>
      </c>
      <c r="W46">
        <v>81</v>
      </c>
      <c r="X46">
        <v>87</v>
      </c>
      <c r="Y46" s="80"/>
      <c r="AL46" s="80"/>
    </row>
    <row r="47" spans="1:38">
      <c r="M47" s="80"/>
      <c r="N47" t="s">
        <v>290</v>
      </c>
      <c r="O47">
        <v>1157</v>
      </c>
      <c r="P47">
        <v>1017</v>
      </c>
      <c r="Q47">
        <v>270</v>
      </c>
      <c r="R47">
        <v>901</v>
      </c>
      <c r="S47">
        <v>856</v>
      </c>
      <c r="T47">
        <v>878</v>
      </c>
      <c r="U47">
        <v>1034</v>
      </c>
      <c r="V47">
        <v>1329</v>
      </c>
      <c r="W47">
        <v>1291</v>
      </c>
      <c r="X47">
        <v>1237</v>
      </c>
      <c r="Y47" s="80"/>
      <c r="AL47" s="80"/>
    </row>
    <row r="48" spans="1:38">
      <c r="M48" s="80"/>
      <c r="N48" t="s">
        <v>291</v>
      </c>
      <c r="O48">
        <v>1706</v>
      </c>
      <c r="P48">
        <v>1291</v>
      </c>
      <c r="Q48">
        <v>1331</v>
      </c>
      <c r="R48">
        <v>1274</v>
      </c>
      <c r="S48">
        <v>1377</v>
      </c>
      <c r="T48">
        <v>1319</v>
      </c>
      <c r="U48">
        <v>1460</v>
      </c>
      <c r="V48">
        <v>1964</v>
      </c>
      <c r="W48">
        <v>1793</v>
      </c>
      <c r="X48">
        <v>1757</v>
      </c>
      <c r="Y48" s="80"/>
      <c r="AL48" s="80"/>
    </row>
    <row r="49" spans="13:38">
      <c r="M49" s="80"/>
      <c r="N49" t="s">
        <v>292</v>
      </c>
      <c r="Y49" s="80"/>
      <c r="AL49" s="80"/>
    </row>
    <row r="50" spans="13:38">
      <c r="M50" s="80"/>
      <c r="N50" t="s">
        <v>460</v>
      </c>
      <c r="S50">
        <v>1126</v>
      </c>
      <c r="T50">
        <v>1104</v>
      </c>
      <c r="U50">
        <v>1068</v>
      </c>
      <c r="V50">
        <v>1048</v>
      </c>
      <c r="W50">
        <v>1048</v>
      </c>
      <c r="X50">
        <v>1015</v>
      </c>
      <c r="Y50" s="80"/>
      <c r="AL50" s="80"/>
    </row>
    <row r="51" spans="13:38">
      <c r="M51" s="80"/>
      <c r="N51" t="s">
        <v>461</v>
      </c>
      <c r="O51">
        <v>1157</v>
      </c>
      <c r="P51">
        <v>1157</v>
      </c>
      <c r="Q51">
        <v>1157</v>
      </c>
      <c r="R51">
        <v>1158</v>
      </c>
      <c r="S51">
        <v>32</v>
      </c>
      <c r="T51">
        <v>32</v>
      </c>
      <c r="U51">
        <v>32</v>
      </c>
      <c r="V51">
        <v>-74</v>
      </c>
      <c r="W51">
        <v>-5</v>
      </c>
      <c r="X51">
        <v>32</v>
      </c>
      <c r="Y51" s="80"/>
      <c r="AL51" s="80"/>
    </row>
    <row r="52" spans="13:38">
      <c r="M52" s="80"/>
      <c r="N52" t="s">
        <v>294</v>
      </c>
      <c r="O52">
        <v>317</v>
      </c>
      <c r="P52">
        <v>246</v>
      </c>
      <c r="Q52">
        <v>316</v>
      </c>
      <c r="R52">
        <v>-25</v>
      </c>
      <c r="S52">
        <v>-37</v>
      </c>
      <c r="T52">
        <v>234</v>
      </c>
      <c r="U52">
        <v>260</v>
      </c>
      <c r="V52">
        <v>258</v>
      </c>
      <c r="W52">
        <v>352</v>
      </c>
      <c r="X52">
        <v>630</v>
      </c>
      <c r="Y52" s="80"/>
      <c r="AL52" s="80"/>
    </row>
    <row r="53" spans="13:38">
      <c r="M53" s="80"/>
      <c r="N53" t="s">
        <v>462</v>
      </c>
      <c r="O53">
        <v>22</v>
      </c>
      <c r="P53">
        <v>-16</v>
      </c>
      <c r="Q53">
        <v>-26</v>
      </c>
      <c r="R53">
        <v>-6</v>
      </c>
      <c r="S53">
        <v>-10</v>
      </c>
      <c r="T53">
        <v>4</v>
      </c>
      <c r="U53">
        <v>27</v>
      </c>
      <c r="V53">
        <v>100</v>
      </c>
      <c r="W53">
        <v>89</v>
      </c>
      <c r="X53">
        <v>55</v>
      </c>
      <c r="Y53" s="80"/>
      <c r="AL53" s="80"/>
    </row>
    <row r="54" spans="13:38">
      <c r="M54" s="80"/>
      <c r="N54" t="s">
        <v>295</v>
      </c>
      <c r="O54">
        <v>1495</v>
      </c>
      <c r="P54">
        <v>1387</v>
      </c>
      <c r="Q54">
        <v>1447</v>
      </c>
      <c r="R54">
        <v>1127</v>
      </c>
      <c r="S54">
        <v>1111</v>
      </c>
      <c r="T54">
        <v>1374</v>
      </c>
      <c r="U54">
        <v>1387</v>
      </c>
      <c r="V54">
        <v>1331</v>
      </c>
      <c r="W54">
        <v>1484</v>
      </c>
      <c r="X54">
        <v>1731</v>
      </c>
      <c r="Y54" s="80"/>
      <c r="AL54" s="80"/>
    </row>
    <row r="55" spans="13:38">
      <c r="M55" s="80"/>
      <c r="N55" t="s">
        <v>296</v>
      </c>
      <c r="O55">
        <v>3200</v>
      </c>
      <c r="P55">
        <v>2678</v>
      </c>
      <c r="Q55">
        <v>2778</v>
      </c>
      <c r="R55">
        <v>2402</v>
      </c>
      <c r="S55">
        <v>2488</v>
      </c>
      <c r="T55">
        <v>2693</v>
      </c>
      <c r="U55">
        <v>2847</v>
      </c>
      <c r="V55">
        <v>3295</v>
      </c>
      <c r="W55">
        <v>3277</v>
      </c>
      <c r="X55">
        <v>3488</v>
      </c>
      <c r="Y55" s="80"/>
      <c r="Z55" s="80"/>
      <c r="AA55" s="80"/>
      <c r="AB55" s="80"/>
      <c r="AC55" s="80"/>
      <c r="AD55" s="80"/>
      <c r="AE55" s="80"/>
      <c r="AF55" s="80"/>
      <c r="AG55" s="80"/>
      <c r="AH55" s="80"/>
      <c r="AI55" s="80"/>
      <c r="AJ55" s="80"/>
      <c r="AK55" s="80"/>
      <c r="AL55" s="80"/>
    </row>
    <row r="56" spans="13:38">
      <c r="M56" s="80"/>
      <c r="Y56" s="80"/>
    </row>
    <row r="57" spans="13:38">
      <c r="M57" s="80"/>
      <c r="Y57" s="80"/>
    </row>
    <row r="58" spans="13:38">
      <c r="M58" s="80"/>
      <c r="Y58" s="80"/>
    </row>
    <row r="59" spans="13:38">
      <c r="M59" s="80"/>
      <c r="Y59" s="80"/>
    </row>
    <row r="60" spans="13:38">
      <c r="M60" s="80"/>
      <c r="Y60" s="80"/>
    </row>
    <row r="61" spans="13:38">
      <c r="M61" s="80"/>
      <c r="Y61" s="80"/>
    </row>
    <row r="62" spans="13:38">
      <c r="M62" s="80"/>
      <c r="Y62" s="80"/>
    </row>
    <row r="63" spans="13:38">
      <c r="M63" s="80"/>
      <c r="Y63" s="80"/>
    </row>
    <row r="64" spans="13:38">
      <c r="M64" s="80"/>
      <c r="Y64" s="80"/>
    </row>
    <row r="65" spans="13:25">
      <c r="M65" s="80"/>
      <c r="Y65" s="80"/>
    </row>
    <row r="66" spans="13:25">
      <c r="M66" s="80"/>
      <c r="Y66" s="80"/>
    </row>
    <row r="67" spans="13:25">
      <c r="M67" s="80"/>
      <c r="Y67" s="80"/>
    </row>
    <row r="68" spans="13:25">
      <c r="M68" s="80"/>
      <c r="Y68" s="80"/>
    </row>
    <row r="69" spans="13:25">
      <c r="M69" s="80"/>
      <c r="Y69" s="80"/>
    </row>
    <row r="70" spans="13:25">
      <c r="M70" s="80"/>
      <c r="N70" s="80"/>
      <c r="O70" s="80"/>
      <c r="P70" s="80"/>
      <c r="Q70" s="80"/>
      <c r="R70" s="80"/>
      <c r="S70" s="80"/>
      <c r="T70" s="80"/>
      <c r="U70" s="80"/>
      <c r="V70" s="80"/>
      <c r="W70" s="80"/>
      <c r="X70" s="80"/>
      <c r="Y70" s="80"/>
    </row>
  </sheetData>
  <mergeCells count="6">
    <mergeCell ref="A1:L1"/>
    <mergeCell ref="A2:L2"/>
    <mergeCell ref="N1:X1"/>
    <mergeCell ref="N2:X2"/>
    <mergeCell ref="Z1:AK1"/>
    <mergeCell ref="Z2:AK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F1EA2-E599-F940-BAB6-FA844A6965C9}">
  <sheetPr>
    <tabColor rgb="FF00B050"/>
  </sheetPr>
  <dimension ref="A1:M1260"/>
  <sheetViews>
    <sheetView workbookViewId="0">
      <selection activeCell="H2" sqref="H2"/>
    </sheetView>
  </sheetViews>
  <sheetFormatPr baseColWidth="10" defaultRowHeight="16"/>
  <cols>
    <col min="7" max="7" width="17.5" bestFit="1" customWidth="1"/>
  </cols>
  <sheetData>
    <row r="1" spans="1:13" ht="19">
      <c r="A1" s="391" t="s">
        <v>359</v>
      </c>
      <c r="B1" s="391"/>
      <c r="C1" s="391"/>
      <c r="D1" s="391"/>
      <c r="E1" s="391"/>
      <c r="F1" s="391"/>
      <c r="G1" s="391"/>
      <c r="I1" s="391" t="s">
        <v>361</v>
      </c>
      <c r="J1" s="391"/>
      <c r="K1" s="391"/>
      <c r="L1" s="391"/>
      <c r="M1" s="391"/>
    </row>
    <row r="2" spans="1:13">
      <c r="A2" s="392" t="s">
        <v>360</v>
      </c>
      <c r="B2" s="392"/>
      <c r="C2" s="392"/>
      <c r="D2" s="392"/>
      <c r="E2" s="392"/>
      <c r="F2" s="392"/>
      <c r="G2" s="392"/>
      <c r="I2" s="392" t="s">
        <v>360</v>
      </c>
      <c r="J2" s="392"/>
      <c r="K2" s="392"/>
      <c r="L2" s="392"/>
      <c r="M2" s="392"/>
    </row>
    <row r="3" spans="1:13">
      <c r="A3" s="98" t="s">
        <v>355</v>
      </c>
      <c r="B3" s="98" t="s">
        <v>356</v>
      </c>
      <c r="C3" s="98" t="s">
        <v>182</v>
      </c>
      <c r="D3" s="98" t="s">
        <v>180</v>
      </c>
      <c r="E3" s="98" t="s">
        <v>357</v>
      </c>
      <c r="F3" s="98" t="s">
        <v>438</v>
      </c>
      <c r="G3" s="98" t="s">
        <v>358</v>
      </c>
      <c r="I3" s="98" t="s">
        <v>355</v>
      </c>
      <c r="J3" s="98" t="s">
        <v>356</v>
      </c>
      <c r="K3" s="98" t="s">
        <v>182</v>
      </c>
      <c r="L3" s="98" t="s">
        <v>180</v>
      </c>
      <c r="M3" s="98" t="s">
        <v>357</v>
      </c>
    </row>
    <row r="4" spans="1:13">
      <c r="A4" s="80"/>
      <c r="B4" s="80"/>
      <c r="C4" s="80"/>
      <c r="D4" s="80"/>
      <c r="E4" s="80"/>
      <c r="F4" s="80"/>
      <c r="G4" s="80"/>
      <c r="I4" s="80"/>
      <c r="J4" s="80"/>
      <c r="K4" s="80"/>
      <c r="L4" s="80"/>
      <c r="M4" s="80"/>
    </row>
    <row r="5" spans="1:13">
      <c r="A5" t="s">
        <v>355</v>
      </c>
      <c r="B5" t="s">
        <v>356</v>
      </c>
      <c r="C5" t="s">
        <v>182</v>
      </c>
      <c r="D5" t="s">
        <v>180</v>
      </c>
      <c r="E5" t="s">
        <v>357</v>
      </c>
      <c r="F5" t="s">
        <v>438</v>
      </c>
      <c r="G5" t="s">
        <v>358</v>
      </c>
      <c r="I5" t="s">
        <v>355</v>
      </c>
      <c r="J5" t="s">
        <v>356</v>
      </c>
      <c r="K5" t="s">
        <v>182</v>
      </c>
      <c r="L5" t="s">
        <v>180</v>
      </c>
      <c r="M5" t="s">
        <v>357</v>
      </c>
    </row>
    <row r="6" spans="1:13">
      <c r="A6" s="346">
        <v>41610</v>
      </c>
      <c r="B6">
        <v>23.5</v>
      </c>
      <c r="C6">
        <v>24.07</v>
      </c>
      <c r="D6">
        <v>23.5</v>
      </c>
      <c r="E6">
        <v>23.91</v>
      </c>
      <c r="F6">
        <v>23.91</v>
      </c>
      <c r="G6">
        <v>622100</v>
      </c>
      <c r="I6" s="346">
        <v>41610</v>
      </c>
      <c r="J6">
        <v>19.43</v>
      </c>
      <c r="K6">
        <v>19.549999</v>
      </c>
      <c r="L6">
        <v>19.420000000000002</v>
      </c>
      <c r="M6">
        <v>19.510000000000002</v>
      </c>
    </row>
    <row r="7" spans="1:13">
      <c r="A7" s="346">
        <v>41611</v>
      </c>
      <c r="B7">
        <v>23.799999</v>
      </c>
      <c r="C7">
        <v>24.219999000000001</v>
      </c>
      <c r="D7">
        <v>23.57</v>
      </c>
      <c r="E7">
        <v>24.040001</v>
      </c>
      <c r="F7">
        <v>24.040001</v>
      </c>
      <c r="G7">
        <v>428400</v>
      </c>
      <c r="I7" s="346">
        <v>41611</v>
      </c>
      <c r="J7">
        <v>19.389999</v>
      </c>
      <c r="K7">
        <v>19.440000999999999</v>
      </c>
      <c r="L7">
        <v>19.239999999999998</v>
      </c>
      <c r="M7">
        <v>19.329999999999998</v>
      </c>
    </row>
    <row r="8" spans="1:13">
      <c r="A8" s="346">
        <v>41612</v>
      </c>
      <c r="B8">
        <v>23.879999000000002</v>
      </c>
      <c r="C8">
        <v>24.07</v>
      </c>
      <c r="D8">
        <v>23.6</v>
      </c>
      <c r="E8">
        <v>24.01</v>
      </c>
      <c r="F8">
        <v>24.01</v>
      </c>
      <c r="G8">
        <v>279200</v>
      </c>
      <c r="I8" s="346">
        <v>41612</v>
      </c>
      <c r="J8">
        <v>19.290001</v>
      </c>
      <c r="K8">
        <v>19.290001</v>
      </c>
      <c r="L8">
        <v>19.149999999999999</v>
      </c>
      <c r="M8">
        <v>19.25</v>
      </c>
    </row>
    <row r="9" spans="1:13">
      <c r="A9" s="346">
        <v>41613</v>
      </c>
      <c r="B9">
        <v>23.91</v>
      </c>
      <c r="C9">
        <v>24.299999</v>
      </c>
      <c r="D9">
        <v>23.91</v>
      </c>
      <c r="E9">
        <v>24.209999</v>
      </c>
      <c r="F9">
        <v>24.209999</v>
      </c>
      <c r="G9">
        <v>275600</v>
      </c>
      <c r="I9" s="346">
        <v>41613</v>
      </c>
      <c r="J9">
        <v>19.190000999999999</v>
      </c>
      <c r="K9">
        <v>19.200001</v>
      </c>
      <c r="L9">
        <v>19.079999999999998</v>
      </c>
      <c r="M9">
        <v>19.079999999999998</v>
      </c>
    </row>
    <row r="10" spans="1:13">
      <c r="A10" s="346">
        <v>41614</v>
      </c>
      <c r="B10">
        <v>24.42</v>
      </c>
      <c r="C10">
        <v>24.43</v>
      </c>
      <c r="D10">
        <v>23.969999000000001</v>
      </c>
      <c r="E10">
        <v>24.4</v>
      </c>
      <c r="F10">
        <v>24.4</v>
      </c>
      <c r="G10">
        <v>146300</v>
      </c>
      <c r="I10" s="346">
        <v>41614</v>
      </c>
      <c r="J10">
        <v>19.16</v>
      </c>
      <c r="K10">
        <v>19.290001</v>
      </c>
      <c r="L10">
        <v>19.149999999999999</v>
      </c>
      <c r="M10">
        <v>19.25</v>
      </c>
    </row>
    <row r="11" spans="1:13">
      <c r="A11" s="346">
        <v>41617</v>
      </c>
      <c r="B11">
        <v>24.5</v>
      </c>
      <c r="C11">
        <v>24.5</v>
      </c>
      <c r="D11">
        <v>24.120000999999998</v>
      </c>
      <c r="E11">
        <v>24.290001</v>
      </c>
      <c r="F11">
        <v>24.290001</v>
      </c>
      <c r="G11">
        <v>216600</v>
      </c>
      <c r="I11" s="346">
        <v>41617</v>
      </c>
      <c r="J11">
        <v>19.290001</v>
      </c>
      <c r="K11">
        <v>19.360001</v>
      </c>
      <c r="L11">
        <v>19.290001</v>
      </c>
      <c r="M11">
        <v>19.309999000000001</v>
      </c>
    </row>
    <row r="12" spans="1:13">
      <c r="A12" s="346">
        <v>41618</v>
      </c>
      <c r="B12">
        <v>24.16</v>
      </c>
      <c r="C12">
        <v>24.389999</v>
      </c>
      <c r="D12">
        <v>24.15</v>
      </c>
      <c r="E12">
        <v>24.33</v>
      </c>
      <c r="F12">
        <v>24.33</v>
      </c>
      <c r="G12">
        <v>152400</v>
      </c>
      <c r="I12" s="346">
        <v>41618</v>
      </c>
      <c r="J12">
        <v>19.309999000000001</v>
      </c>
      <c r="K12">
        <v>19.350000000000001</v>
      </c>
      <c r="L12">
        <v>19.280000999999999</v>
      </c>
      <c r="M12">
        <v>19.309999000000001</v>
      </c>
    </row>
    <row r="13" spans="1:13">
      <c r="A13" s="346">
        <v>41619</v>
      </c>
      <c r="B13">
        <v>24.33</v>
      </c>
      <c r="C13">
        <v>24.84</v>
      </c>
      <c r="D13">
        <v>24.26</v>
      </c>
      <c r="E13">
        <v>24.35</v>
      </c>
      <c r="F13">
        <v>24.35</v>
      </c>
      <c r="G13">
        <v>401100</v>
      </c>
      <c r="I13" s="346">
        <v>41619</v>
      </c>
      <c r="J13">
        <v>19.299999</v>
      </c>
      <c r="K13">
        <v>19.299999</v>
      </c>
      <c r="L13">
        <v>18.989999999999998</v>
      </c>
      <c r="M13">
        <v>19</v>
      </c>
    </row>
    <row r="14" spans="1:13">
      <c r="A14" s="346">
        <v>41620</v>
      </c>
      <c r="B14">
        <v>24.25</v>
      </c>
      <c r="C14">
        <v>24.459999</v>
      </c>
      <c r="D14">
        <v>24.18</v>
      </c>
      <c r="E14">
        <v>24.360001</v>
      </c>
      <c r="F14">
        <v>24.360001</v>
      </c>
      <c r="G14">
        <v>205600</v>
      </c>
      <c r="I14" s="346">
        <v>41620</v>
      </c>
      <c r="J14">
        <v>18.950001</v>
      </c>
      <c r="K14">
        <v>19.040001</v>
      </c>
      <c r="L14">
        <v>18.899999999999999</v>
      </c>
      <c r="M14">
        <v>18.989999999999998</v>
      </c>
    </row>
    <row r="15" spans="1:13">
      <c r="A15" s="346">
        <v>41621</v>
      </c>
      <c r="B15">
        <v>24.360001</v>
      </c>
      <c r="C15">
        <v>24.92</v>
      </c>
      <c r="D15">
        <v>24.360001</v>
      </c>
      <c r="E15">
        <v>24.83</v>
      </c>
      <c r="F15">
        <v>24.83</v>
      </c>
      <c r="G15">
        <v>241000</v>
      </c>
      <c r="I15" s="346">
        <v>41621</v>
      </c>
      <c r="J15">
        <v>19</v>
      </c>
      <c r="K15">
        <v>19.02</v>
      </c>
      <c r="L15">
        <v>18.93</v>
      </c>
      <c r="M15">
        <v>18.969999000000001</v>
      </c>
    </row>
    <row r="16" spans="1:13">
      <c r="A16" s="346">
        <v>41624</v>
      </c>
      <c r="B16">
        <v>24.92</v>
      </c>
      <c r="C16">
        <v>25.08</v>
      </c>
      <c r="D16">
        <v>24.629999000000002</v>
      </c>
      <c r="E16">
        <v>24.780000999999999</v>
      </c>
      <c r="F16">
        <v>24.780000999999999</v>
      </c>
      <c r="G16">
        <v>256100</v>
      </c>
      <c r="I16" s="346">
        <v>41624</v>
      </c>
      <c r="J16">
        <v>19.079999999999998</v>
      </c>
      <c r="K16">
        <v>19.129999000000002</v>
      </c>
      <c r="L16">
        <v>19.030000999999999</v>
      </c>
      <c r="M16">
        <v>19.079999999999998</v>
      </c>
    </row>
    <row r="17" spans="1:13">
      <c r="A17" s="346">
        <v>41625</v>
      </c>
      <c r="B17">
        <v>24.65</v>
      </c>
      <c r="C17">
        <v>24.959999</v>
      </c>
      <c r="D17">
        <v>24.530000999999999</v>
      </c>
      <c r="E17">
        <v>24.799999</v>
      </c>
      <c r="F17">
        <v>24.799999</v>
      </c>
      <c r="G17">
        <v>394400</v>
      </c>
      <c r="I17" s="346">
        <v>41625</v>
      </c>
      <c r="J17">
        <v>19.110001</v>
      </c>
      <c r="K17">
        <v>19.129999000000002</v>
      </c>
      <c r="L17">
        <v>19.040001</v>
      </c>
      <c r="M17">
        <v>19.079999999999998</v>
      </c>
    </row>
    <row r="18" spans="1:13">
      <c r="A18" s="346">
        <v>41626</v>
      </c>
      <c r="B18">
        <v>24.799999</v>
      </c>
      <c r="C18">
        <v>26.5</v>
      </c>
      <c r="D18">
        <v>24.799999</v>
      </c>
      <c r="E18">
        <v>26.33</v>
      </c>
      <c r="F18">
        <v>26.33</v>
      </c>
      <c r="G18">
        <v>360900</v>
      </c>
      <c r="I18" s="346">
        <v>41626</v>
      </c>
      <c r="J18">
        <v>19.100000000000001</v>
      </c>
      <c r="K18">
        <v>19.360001</v>
      </c>
      <c r="L18">
        <v>19.100000000000001</v>
      </c>
      <c r="M18">
        <v>19.360001</v>
      </c>
    </row>
    <row r="19" spans="1:13">
      <c r="A19" s="346">
        <v>41627</v>
      </c>
      <c r="B19">
        <v>26.299999</v>
      </c>
      <c r="C19">
        <v>26.620000999999998</v>
      </c>
      <c r="D19">
        <v>25.93</v>
      </c>
      <c r="E19">
        <v>26.4</v>
      </c>
      <c r="F19">
        <v>26.4</v>
      </c>
      <c r="G19">
        <v>316700</v>
      </c>
      <c r="I19" s="346">
        <v>41627</v>
      </c>
      <c r="J19">
        <v>19.309999000000001</v>
      </c>
      <c r="K19">
        <v>19.43</v>
      </c>
      <c r="L19">
        <v>19.299999</v>
      </c>
      <c r="M19">
        <v>19.43</v>
      </c>
    </row>
    <row r="20" spans="1:13">
      <c r="A20" s="346">
        <v>41628</v>
      </c>
      <c r="B20">
        <v>26.549999</v>
      </c>
      <c r="C20">
        <v>26.879999000000002</v>
      </c>
      <c r="D20">
        <v>26.32</v>
      </c>
      <c r="E20">
        <v>26.52</v>
      </c>
      <c r="F20">
        <v>26.52</v>
      </c>
      <c r="G20">
        <v>347000</v>
      </c>
      <c r="I20" s="346">
        <v>41628</v>
      </c>
      <c r="J20">
        <v>19.48</v>
      </c>
      <c r="K20">
        <v>19.600000000000001</v>
      </c>
      <c r="L20">
        <v>19.420000000000002</v>
      </c>
      <c r="M20">
        <v>19.420000000000002</v>
      </c>
    </row>
    <row r="21" spans="1:13">
      <c r="A21" s="346">
        <v>41631</v>
      </c>
      <c r="B21">
        <v>26.620000999999998</v>
      </c>
      <c r="C21">
        <v>26.83</v>
      </c>
      <c r="D21">
        <v>26.27</v>
      </c>
      <c r="E21">
        <v>26.57</v>
      </c>
      <c r="F21">
        <v>26.57</v>
      </c>
      <c r="G21">
        <v>151500</v>
      </c>
      <c r="I21" s="346">
        <v>41631</v>
      </c>
      <c r="J21">
        <v>19.52</v>
      </c>
      <c r="K21">
        <v>19.559999000000001</v>
      </c>
      <c r="L21">
        <v>19.420000000000002</v>
      </c>
      <c r="M21">
        <v>19.559999000000001</v>
      </c>
    </row>
    <row r="22" spans="1:13">
      <c r="A22" s="346">
        <v>41632</v>
      </c>
      <c r="B22">
        <v>26.700001</v>
      </c>
      <c r="C22">
        <v>26.77</v>
      </c>
      <c r="D22">
        <v>26.42</v>
      </c>
      <c r="E22">
        <v>26.700001</v>
      </c>
      <c r="F22">
        <v>26.700001</v>
      </c>
      <c r="G22">
        <v>59100</v>
      </c>
      <c r="I22" s="346">
        <v>41632</v>
      </c>
      <c r="J22">
        <v>19.629999000000002</v>
      </c>
      <c r="K22">
        <v>19.649999999999999</v>
      </c>
      <c r="L22">
        <v>19.559999000000001</v>
      </c>
      <c r="M22">
        <v>19.629999000000002</v>
      </c>
    </row>
    <row r="23" spans="1:13">
      <c r="A23" s="346">
        <v>41635</v>
      </c>
      <c r="B23">
        <v>26.940000999999999</v>
      </c>
      <c r="C23">
        <v>27.049999</v>
      </c>
      <c r="D23">
        <v>26.209999</v>
      </c>
      <c r="E23">
        <v>26.48</v>
      </c>
      <c r="F23">
        <v>26.48</v>
      </c>
      <c r="G23">
        <v>141900</v>
      </c>
      <c r="I23" s="346">
        <v>41635</v>
      </c>
      <c r="J23">
        <v>19.649999999999999</v>
      </c>
      <c r="K23">
        <v>19.700001</v>
      </c>
      <c r="L23">
        <v>19.600000000000001</v>
      </c>
      <c r="M23">
        <v>19.68</v>
      </c>
    </row>
    <row r="24" spans="1:13">
      <c r="A24" s="346">
        <v>41638</v>
      </c>
      <c r="B24">
        <v>26.360001</v>
      </c>
      <c r="C24">
        <v>26.629999000000002</v>
      </c>
      <c r="D24">
        <v>26.299999</v>
      </c>
      <c r="E24">
        <v>26.530000999999999</v>
      </c>
      <c r="F24">
        <v>26.530000999999999</v>
      </c>
      <c r="G24">
        <v>349300</v>
      </c>
      <c r="I24" s="346">
        <v>41638</v>
      </c>
      <c r="J24">
        <v>19.649999999999999</v>
      </c>
      <c r="K24">
        <v>19.66</v>
      </c>
      <c r="L24">
        <v>19.610001</v>
      </c>
      <c r="M24">
        <v>19.639999</v>
      </c>
    </row>
    <row r="25" spans="1:13">
      <c r="A25" s="346">
        <v>41639</v>
      </c>
      <c r="B25">
        <v>26.51</v>
      </c>
      <c r="C25">
        <v>26.84</v>
      </c>
      <c r="D25">
        <v>26.35</v>
      </c>
      <c r="E25">
        <v>26.66</v>
      </c>
      <c r="F25">
        <v>26.66</v>
      </c>
      <c r="G25">
        <v>240000</v>
      </c>
      <c r="I25" s="346">
        <v>41639</v>
      </c>
      <c r="J25">
        <v>19.639999</v>
      </c>
      <c r="K25">
        <v>19.739999999999998</v>
      </c>
      <c r="L25">
        <v>19.639999</v>
      </c>
      <c r="M25">
        <v>19.690000999999999</v>
      </c>
    </row>
    <row r="26" spans="1:13">
      <c r="A26" s="346">
        <v>41641</v>
      </c>
      <c r="B26">
        <v>26.549999</v>
      </c>
      <c r="C26">
        <v>26.66</v>
      </c>
      <c r="D26">
        <v>25.75</v>
      </c>
      <c r="E26">
        <v>26.01</v>
      </c>
      <c r="F26">
        <v>26.01</v>
      </c>
      <c r="G26">
        <v>188900</v>
      </c>
      <c r="I26" s="346">
        <v>41641</v>
      </c>
      <c r="J26">
        <v>19.690000999999999</v>
      </c>
      <c r="K26">
        <v>19.690000999999999</v>
      </c>
      <c r="L26">
        <v>19.549999</v>
      </c>
      <c r="M26">
        <v>19.649999999999999</v>
      </c>
    </row>
    <row r="27" spans="1:13">
      <c r="A27" s="346">
        <v>41642</v>
      </c>
      <c r="B27">
        <v>26</v>
      </c>
      <c r="C27">
        <v>26.709999</v>
      </c>
      <c r="D27">
        <v>26</v>
      </c>
      <c r="E27">
        <v>26.35</v>
      </c>
      <c r="F27">
        <v>26.35</v>
      </c>
      <c r="G27">
        <v>311100</v>
      </c>
      <c r="I27" s="346">
        <v>41642</v>
      </c>
      <c r="J27">
        <v>19.639999</v>
      </c>
      <c r="K27">
        <v>19.639999</v>
      </c>
      <c r="L27">
        <v>19.549999</v>
      </c>
      <c r="M27">
        <v>19.57</v>
      </c>
    </row>
    <row r="28" spans="1:13">
      <c r="A28" s="346">
        <v>41645</v>
      </c>
      <c r="B28">
        <v>26.4</v>
      </c>
      <c r="C28">
        <v>26.57</v>
      </c>
      <c r="D28">
        <v>26.09</v>
      </c>
      <c r="E28">
        <v>26.549999</v>
      </c>
      <c r="F28">
        <v>26.549999</v>
      </c>
      <c r="G28">
        <v>255000</v>
      </c>
      <c r="I28" s="346">
        <v>41645</v>
      </c>
      <c r="J28">
        <v>19.600000000000001</v>
      </c>
      <c r="K28">
        <v>19.620000999999998</v>
      </c>
      <c r="L28">
        <v>19.440000999999999</v>
      </c>
      <c r="M28">
        <v>19.469999000000001</v>
      </c>
    </row>
    <row r="29" spans="1:13">
      <c r="A29" s="346">
        <v>41646</v>
      </c>
      <c r="B29">
        <v>26.620000999999998</v>
      </c>
      <c r="C29">
        <v>26.74</v>
      </c>
      <c r="D29">
        <v>26.24</v>
      </c>
      <c r="E29">
        <v>26.59</v>
      </c>
      <c r="F29">
        <v>26.59</v>
      </c>
      <c r="G29">
        <v>251600</v>
      </c>
      <c r="I29" s="346">
        <v>41646</v>
      </c>
      <c r="J29">
        <v>19.52</v>
      </c>
      <c r="K29">
        <v>19.670000000000002</v>
      </c>
      <c r="L29">
        <v>19.52</v>
      </c>
      <c r="M29">
        <v>19.629999000000002</v>
      </c>
    </row>
    <row r="30" spans="1:13">
      <c r="A30" s="346">
        <v>41647</v>
      </c>
      <c r="B30">
        <v>26.6</v>
      </c>
      <c r="C30">
        <v>27.049999</v>
      </c>
      <c r="D30">
        <v>26.549999</v>
      </c>
      <c r="E30">
        <v>26.639999</v>
      </c>
      <c r="F30">
        <v>26.639999</v>
      </c>
      <c r="G30">
        <v>817000</v>
      </c>
      <c r="I30" s="346">
        <v>41647</v>
      </c>
      <c r="J30">
        <v>19.639999</v>
      </c>
      <c r="K30">
        <v>19.719999000000001</v>
      </c>
      <c r="L30">
        <v>19.600000000000001</v>
      </c>
      <c r="M30">
        <v>19.690000999999999</v>
      </c>
    </row>
    <row r="31" spans="1:13">
      <c r="A31" s="346">
        <v>41648</v>
      </c>
      <c r="B31">
        <v>26.77</v>
      </c>
      <c r="C31">
        <v>27.01</v>
      </c>
      <c r="D31">
        <v>26.52</v>
      </c>
      <c r="E31">
        <v>26.870000999999998</v>
      </c>
      <c r="F31">
        <v>26.870000999999998</v>
      </c>
      <c r="G31">
        <v>230000</v>
      </c>
      <c r="I31" s="346">
        <v>41648</v>
      </c>
      <c r="J31">
        <v>19.719999000000001</v>
      </c>
      <c r="K31">
        <v>19.75</v>
      </c>
      <c r="L31">
        <v>19.629999000000002</v>
      </c>
      <c r="M31">
        <v>19.719999000000001</v>
      </c>
    </row>
    <row r="32" spans="1:13">
      <c r="A32" s="346">
        <v>41649</v>
      </c>
      <c r="B32">
        <v>26.799999</v>
      </c>
      <c r="C32">
        <v>26.799999</v>
      </c>
      <c r="D32">
        <v>26.51</v>
      </c>
      <c r="E32">
        <v>26.67</v>
      </c>
      <c r="F32">
        <v>26.67</v>
      </c>
      <c r="G32">
        <v>396900</v>
      </c>
      <c r="I32" s="346">
        <v>41649</v>
      </c>
      <c r="J32">
        <v>19.809999000000001</v>
      </c>
      <c r="K32">
        <v>19.920000000000002</v>
      </c>
      <c r="L32">
        <v>19.790001</v>
      </c>
      <c r="M32">
        <v>19.920000000000002</v>
      </c>
    </row>
    <row r="33" spans="1:13">
      <c r="A33" s="346">
        <v>41652</v>
      </c>
      <c r="B33">
        <v>26.610001</v>
      </c>
      <c r="C33">
        <v>26.75</v>
      </c>
      <c r="D33">
        <v>26.280000999999999</v>
      </c>
      <c r="E33">
        <v>26.700001</v>
      </c>
      <c r="F33">
        <v>26.700001</v>
      </c>
      <c r="G33">
        <v>319100</v>
      </c>
      <c r="I33" s="346">
        <v>41652</v>
      </c>
      <c r="J33">
        <v>19.879999000000002</v>
      </c>
      <c r="K33">
        <v>19.93</v>
      </c>
      <c r="L33">
        <v>19.77</v>
      </c>
      <c r="M33">
        <v>19.809999000000001</v>
      </c>
    </row>
    <row r="34" spans="1:13">
      <c r="A34" s="346">
        <v>41653</v>
      </c>
      <c r="B34">
        <v>26.75</v>
      </c>
      <c r="C34">
        <v>26.75</v>
      </c>
      <c r="D34">
        <v>26.41</v>
      </c>
      <c r="E34">
        <v>26.440000999999999</v>
      </c>
      <c r="F34">
        <v>26.440000999999999</v>
      </c>
      <c r="G34">
        <v>313500</v>
      </c>
      <c r="I34" s="346">
        <v>41653</v>
      </c>
      <c r="J34">
        <v>19.889999</v>
      </c>
      <c r="K34">
        <v>19.91</v>
      </c>
      <c r="L34">
        <v>19.82</v>
      </c>
      <c r="M34">
        <v>19.84</v>
      </c>
    </row>
    <row r="35" spans="1:13">
      <c r="A35" s="346">
        <v>41654</v>
      </c>
      <c r="B35">
        <v>26.639999</v>
      </c>
      <c r="C35">
        <v>27.360001</v>
      </c>
      <c r="D35">
        <v>26.549999</v>
      </c>
      <c r="E35">
        <v>27.34</v>
      </c>
      <c r="F35">
        <v>27.34</v>
      </c>
      <c r="G35">
        <v>1281200</v>
      </c>
      <c r="I35" s="346">
        <v>41654</v>
      </c>
      <c r="J35">
        <v>19.870000999999998</v>
      </c>
      <c r="K35">
        <v>19.969999000000001</v>
      </c>
      <c r="L35">
        <v>19.84</v>
      </c>
      <c r="M35">
        <v>19.950001</v>
      </c>
    </row>
    <row r="36" spans="1:13">
      <c r="A36" s="346">
        <v>41655</v>
      </c>
      <c r="B36">
        <v>27.450001</v>
      </c>
      <c r="C36">
        <v>28.32</v>
      </c>
      <c r="D36">
        <v>27.290001</v>
      </c>
      <c r="E36">
        <v>28.299999</v>
      </c>
      <c r="F36">
        <v>28.299999</v>
      </c>
      <c r="G36">
        <v>355200</v>
      </c>
      <c r="I36" s="346">
        <v>41655</v>
      </c>
      <c r="J36">
        <v>19.940000999999999</v>
      </c>
      <c r="K36">
        <v>20.02</v>
      </c>
      <c r="L36">
        <v>19.879999000000002</v>
      </c>
      <c r="M36">
        <v>20.010000000000002</v>
      </c>
    </row>
    <row r="37" spans="1:13">
      <c r="A37" s="346">
        <v>41656</v>
      </c>
      <c r="B37">
        <v>28.379999000000002</v>
      </c>
      <c r="C37">
        <v>28.459999</v>
      </c>
      <c r="D37">
        <v>27.92</v>
      </c>
      <c r="E37">
        <v>28.139999</v>
      </c>
      <c r="F37">
        <v>28.139999</v>
      </c>
      <c r="G37">
        <v>510500</v>
      </c>
      <c r="I37" s="346">
        <v>41656</v>
      </c>
      <c r="J37">
        <v>20</v>
      </c>
      <c r="K37">
        <v>20.129999000000002</v>
      </c>
      <c r="L37">
        <v>20</v>
      </c>
      <c r="M37">
        <v>20.100000000000001</v>
      </c>
    </row>
    <row r="38" spans="1:13">
      <c r="A38" s="346">
        <v>41659</v>
      </c>
      <c r="B38">
        <v>28.299999</v>
      </c>
      <c r="C38">
        <v>28.629999000000002</v>
      </c>
      <c r="D38">
        <v>28.25</v>
      </c>
      <c r="E38">
        <v>28.42</v>
      </c>
      <c r="F38">
        <v>28.42</v>
      </c>
      <c r="G38">
        <v>253600</v>
      </c>
      <c r="I38" s="346">
        <v>41659</v>
      </c>
      <c r="J38">
        <v>20.110001</v>
      </c>
      <c r="K38">
        <v>20.260000000000002</v>
      </c>
      <c r="L38">
        <v>20.100000000000001</v>
      </c>
      <c r="M38">
        <v>20.239999999999998</v>
      </c>
    </row>
    <row r="39" spans="1:13">
      <c r="A39" s="346">
        <v>41660</v>
      </c>
      <c r="B39">
        <v>28.370000999999998</v>
      </c>
      <c r="C39">
        <v>28.879999000000002</v>
      </c>
      <c r="D39">
        <v>28.360001</v>
      </c>
      <c r="E39">
        <v>28.809999000000001</v>
      </c>
      <c r="F39">
        <v>28.809999000000001</v>
      </c>
      <c r="G39">
        <v>381500</v>
      </c>
      <c r="I39" s="346">
        <v>41660</v>
      </c>
      <c r="J39">
        <v>20.290001</v>
      </c>
      <c r="K39">
        <v>20.290001</v>
      </c>
      <c r="L39">
        <v>20.18</v>
      </c>
      <c r="M39">
        <v>20.190000999999999</v>
      </c>
    </row>
    <row r="40" spans="1:13">
      <c r="A40" s="346">
        <v>41661</v>
      </c>
      <c r="B40">
        <v>28.85</v>
      </c>
      <c r="C40">
        <v>28.85</v>
      </c>
      <c r="D40">
        <v>28.440000999999999</v>
      </c>
      <c r="E40">
        <v>28.610001</v>
      </c>
      <c r="F40">
        <v>28.610001</v>
      </c>
      <c r="G40">
        <v>252600</v>
      </c>
      <c r="I40" s="346">
        <v>41661</v>
      </c>
      <c r="J40">
        <v>20.219999000000001</v>
      </c>
      <c r="K40">
        <v>20.290001</v>
      </c>
      <c r="L40">
        <v>20.16</v>
      </c>
      <c r="M40">
        <v>20.27</v>
      </c>
    </row>
    <row r="41" spans="1:13">
      <c r="A41" s="346">
        <v>41662</v>
      </c>
      <c r="B41">
        <v>28.49</v>
      </c>
      <c r="C41">
        <v>28.82</v>
      </c>
      <c r="D41">
        <v>28.35</v>
      </c>
      <c r="E41">
        <v>28.77</v>
      </c>
      <c r="F41">
        <v>28.77</v>
      </c>
      <c r="G41">
        <v>512500</v>
      </c>
      <c r="I41" s="346">
        <v>41662</v>
      </c>
      <c r="J41">
        <v>20.219999000000001</v>
      </c>
      <c r="K41">
        <v>20.299999</v>
      </c>
      <c r="L41">
        <v>20.190000999999999</v>
      </c>
      <c r="M41">
        <v>20.219999000000001</v>
      </c>
    </row>
    <row r="42" spans="1:13">
      <c r="A42" s="346">
        <v>41663</v>
      </c>
      <c r="B42">
        <v>28.65</v>
      </c>
      <c r="C42">
        <v>28.65</v>
      </c>
      <c r="D42">
        <v>27.6</v>
      </c>
      <c r="E42">
        <v>28.200001</v>
      </c>
      <c r="F42">
        <v>28.200001</v>
      </c>
      <c r="G42">
        <v>457900</v>
      </c>
      <c r="I42" s="346">
        <v>41663</v>
      </c>
      <c r="J42">
        <v>20.110001</v>
      </c>
      <c r="K42">
        <v>20.120000999999998</v>
      </c>
      <c r="L42">
        <v>19.82</v>
      </c>
      <c r="M42">
        <v>19.82</v>
      </c>
    </row>
    <row r="43" spans="1:13">
      <c r="A43" s="346">
        <v>41666</v>
      </c>
      <c r="B43">
        <v>28</v>
      </c>
      <c r="C43">
        <v>28.27</v>
      </c>
      <c r="D43">
        <v>27.68</v>
      </c>
      <c r="E43">
        <v>28.02</v>
      </c>
      <c r="F43">
        <v>28.02</v>
      </c>
      <c r="G43">
        <v>356400</v>
      </c>
      <c r="I43" s="346">
        <v>41666</v>
      </c>
      <c r="J43">
        <v>19.809999000000001</v>
      </c>
      <c r="K43">
        <v>19.829999999999998</v>
      </c>
      <c r="L43">
        <v>19.57</v>
      </c>
      <c r="M43">
        <v>19.670000000000002</v>
      </c>
    </row>
    <row r="44" spans="1:13">
      <c r="A44" s="346">
        <v>41667</v>
      </c>
      <c r="B44">
        <v>27.92</v>
      </c>
      <c r="C44">
        <v>28.18</v>
      </c>
      <c r="D44">
        <v>27.75</v>
      </c>
      <c r="E44">
        <v>27.93</v>
      </c>
      <c r="F44">
        <v>27.93</v>
      </c>
      <c r="G44">
        <v>184100</v>
      </c>
      <c r="I44" s="346">
        <v>41667</v>
      </c>
      <c r="J44">
        <v>19.68</v>
      </c>
      <c r="K44">
        <v>19.829999999999998</v>
      </c>
      <c r="L44">
        <v>19.68</v>
      </c>
      <c r="M44">
        <v>19.809999000000001</v>
      </c>
    </row>
    <row r="45" spans="1:13">
      <c r="A45" s="346">
        <v>41668</v>
      </c>
      <c r="B45">
        <v>27.66</v>
      </c>
      <c r="C45">
        <v>28.43</v>
      </c>
      <c r="D45">
        <v>27.66</v>
      </c>
      <c r="E45">
        <v>27.98</v>
      </c>
      <c r="F45">
        <v>27.98</v>
      </c>
      <c r="G45">
        <v>387700</v>
      </c>
      <c r="I45" s="346">
        <v>41668</v>
      </c>
      <c r="J45">
        <v>19.690000999999999</v>
      </c>
      <c r="K45">
        <v>19.760000000000002</v>
      </c>
      <c r="L45">
        <v>19.620000999999998</v>
      </c>
      <c r="M45">
        <v>19.719999000000001</v>
      </c>
    </row>
    <row r="46" spans="1:13">
      <c r="A46" s="346">
        <v>41669</v>
      </c>
      <c r="B46">
        <v>28.1</v>
      </c>
      <c r="C46">
        <v>28.83</v>
      </c>
      <c r="D46">
        <v>28.059999000000001</v>
      </c>
      <c r="E46">
        <v>28.74</v>
      </c>
      <c r="F46">
        <v>28.74</v>
      </c>
      <c r="G46">
        <v>367200</v>
      </c>
      <c r="I46" s="346">
        <v>41669</v>
      </c>
      <c r="J46">
        <v>19.760000000000002</v>
      </c>
      <c r="K46">
        <v>19.899999999999999</v>
      </c>
      <c r="L46">
        <v>19.709999</v>
      </c>
      <c r="M46">
        <v>19.879999000000002</v>
      </c>
    </row>
    <row r="47" spans="1:13">
      <c r="A47" s="346">
        <v>41670</v>
      </c>
      <c r="B47">
        <v>28.700001</v>
      </c>
      <c r="C47">
        <v>28.799999</v>
      </c>
      <c r="D47">
        <v>28.34</v>
      </c>
      <c r="E47">
        <v>28.67</v>
      </c>
      <c r="F47">
        <v>28.67</v>
      </c>
      <c r="G47">
        <v>538700</v>
      </c>
      <c r="I47" s="346">
        <v>41670</v>
      </c>
      <c r="J47">
        <v>19.66</v>
      </c>
      <c r="K47">
        <v>19.809999000000001</v>
      </c>
      <c r="L47">
        <v>19.639999</v>
      </c>
      <c r="M47">
        <v>19.780000999999999</v>
      </c>
    </row>
    <row r="48" spans="1:13">
      <c r="A48" s="346">
        <v>41673</v>
      </c>
      <c r="B48">
        <v>28.68</v>
      </c>
      <c r="C48">
        <v>28.68</v>
      </c>
      <c r="D48">
        <v>27.389999</v>
      </c>
      <c r="E48">
        <v>27.9</v>
      </c>
      <c r="F48">
        <v>27.9</v>
      </c>
      <c r="G48">
        <v>476500</v>
      </c>
      <c r="I48" s="346">
        <v>41673</v>
      </c>
      <c r="J48">
        <v>19.799999</v>
      </c>
      <c r="K48">
        <v>19.799999</v>
      </c>
      <c r="L48">
        <v>19.440000999999999</v>
      </c>
      <c r="M48">
        <v>19.510000000000002</v>
      </c>
    </row>
    <row r="49" spans="1:13">
      <c r="A49" s="346">
        <v>41674</v>
      </c>
      <c r="B49">
        <v>27.889999</v>
      </c>
      <c r="C49">
        <v>28.33</v>
      </c>
      <c r="D49">
        <v>27.780000999999999</v>
      </c>
      <c r="E49">
        <v>28</v>
      </c>
      <c r="F49">
        <v>28</v>
      </c>
      <c r="G49">
        <v>443700</v>
      </c>
      <c r="I49" s="346">
        <v>41674</v>
      </c>
      <c r="J49">
        <v>19.489999999999998</v>
      </c>
      <c r="K49">
        <v>19.530000999999999</v>
      </c>
      <c r="L49">
        <v>19.43</v>
      </c>
      <c r="M49">
        <v>19.52</v>
      </c>
    </row>
    <row r="50" spans="1:13">
      <c r="A50" s="346">
        <v>41675</v>
      </c>
      <c r="B50">
        <v>28.16</v>
      </c>
      <c r="C50">
        <v>28.16</v>
      </c>
      <c r="D50">
        <v>27.290001</v>
      </c>
      <c r="E50">
        <v>27.83</v>
      </c>
      <c r="F50">
        <v>27.83</v>
      </c>
      <c r="G50">
        <v>625900</v>
      </c>
      <c r="I50" s="346">
        <v>41675</v>
      </c>
      <c r="J50">
        <v>19.510000000000002</v>
      </c>
      <c r="K50">
        <v>19.59</v>
      </c>
      <c r="L50">
        <v>19.399999999999999</v>
      </c>
      <c r="M50">
        <v>19.549999</v>
      </c>
    </row>
    <row r="51" spans="1:13">
      <c r="A51" s="346">
        <v>41676</v>
      </c>
      <c r="B51">
        <v>28.290001</v>
      </c>
      <c r="C51">
        <v>29.35</v>
      </c>
      <c r="D51">
        <v>27.969999000000001</v>
      </c>
      <c r="E51">
        <v>28.940000999999999</v>
      </c>
      <c r="F51">
        <v>28.940000999999999</v>
      </c>
      <c r="G51">
        <v>633700</v>
      </c>
      <c r="I51" s="346">
        <v>41676</v>
      </c>
      <c r="J51">
        <v>19.610001</v>
      </c>
      <c r="K51">
        <v>19.84</v>
      </c>
      <c r="L51">
        <v>19.600000000000001</v>
      </c>
      <c r="M51">
        <v>19.829999999999998</v>
      </c>
    </row>
    <row r="52" spans="1:13">
      <c r="A52" s="346">
        <v>41677</v>
      </c>
      <c r="B52">
        <v>28.860001</v>
      </c>
      <c r="C52">
        <v>28.99</v>
      </c>
      <c r="D52">
        <v>28.52</v>
      </c>
      <c r="E52">
        <v>28.83</v>
      </c>
      <c r="F52">
        <v>28.83</v>
      </c>
      <c r="G52">
        <v>357200</v>
      </c>
      <c r="I52" s="346">
        <v>41677</v>
      </c>
      <c r="J52">
        <v>19.93</v>
      </c>
      <c r="K52">
        <v>19.93</v>
      </c>
      <c r="L52">
        <v>19.780000999999999</v>
      </c>
      <c r="M52">
        <v>19.91</v>
      </c>
    </row>
    <row r="53" spans="1:13">
      <c r="A53" s="346">
        <v>41680</v>
      </c>
      <c r="B53">
        <v>28.940000999999999</v>
      </c>
      <c r="C53">
        <v>29.77</v>
      </c>
      <c r="D53">
        <v>28.9</v>
      </c>
      <c r="E53">
        <v>29.68</v>
      </c>
      <c r="F53">
        <v>29.68</v>
      </c>
      <c r="G53">
        <v>448900</v>
      </c>
      <c r="I53" s="346">
        <v>41680</v>
      </c>
      <c r="J53">
        <v>19.969999000000001</v>
      </c>
      <c r="K53">
        <v>20</v>
      </c>
      <c r="L53">
        <v>19.899999999999999</v>
      </c>
      <c r="M53">
        <v>19.940000999999999</v>
      </c>
    </row>
    <row r="54" spans="1:13">
      <c r="A54" s="346">
        <v>41681</v>
      </c>
      <c r="B54">
        <v>29.83</v>
      </c>
      <c r="C54">
        <v>29.889999</v>
      </c>
      <c r="D54">
        <v>29.360001</v>
      </c>
      <c r="E54">
        <v>29.809999000000001</v>
      </c>
      <c r="F54">
        <v>29.809999000000001</v>
      </c>
      <c r="G54">
        <v>374900</v>
      </c>
      <c r="I54" s="346">
        <v>41681</v>
      </c>
      <c r="J54">
        <v>19.969999000000001</v>
      </c>
      <c r="K54">
        <v>20.120000999999998</v>
      </c>
      <c r="L54">
        <v>19.950001</v>
      </c>
      <c r="M54">
        <v>20.059999000000001</v>
      </c>
    </row>
    <row r="55" spans="1:13">
      <c r="A55" s="346">
        <v>41682</v>
      </c>
      <c r="B55">
        <v>29.98</v>
      </c>
      <c r="C55">
        <v>30.01</v>
      </c>
      <c r="D55">
        <v>29.51</v>
      </c>
      <c r="E55">
        <v>29.690000999999999</v>
      </c>
      <c r="F55">
        <v>29.690000999999999</v>
      </c>
      <c r="G55">
        <v>414100</v>
      </c>
      <c r="I55" s="346">
        <v>41682</v>
      </c>
      <c r="J55">
        <v>20.120000999999998</v>
      </c>
      <c r="K55">
        <v>20.16</v>
      </c>
      <c r="L55">
        <v>20.079999999999998</v>
      </c>
      <c r="M55">
        <v>20.09</v>
      </c>
    </row>
    <row r="56" spans="1:13">
      <c r="A56" s="346">
        <v>41683</v>
      </c>
      <c r="B56">
        <v>29.52</v>
      </c>
      <c r="C56">
        <v>30.02</v>
      </c>
      <c r="D56">
        <v>29.52</v>
      </c>
      <c r="E56">
        <v>29.860001</v>
      </c>
      <c r="F56">
        <v>29.860001</v>
      </c>
      <c r="G56">
        <v>343400</v>
      </c>
      <c r="I56" s="346">
        <v>41683</v>
      </c>
      <c r="J56">
        <v>20.030000999999999</v>
      </c>
      <c r="K56">
        <v>20.239999999999998</v>
      </c>
      <c r="L56">
        <v>19.989999999999998</v>
      </c>
      <c r="M56">
        <v>20.209999</v>
      </c>
    </row>
    <row r="57" spans="1:13">
      <c r="A57" s="346">
        <v>41684</v>
      </c>
      <c r="B57">
        <v>29.9</v>
      </c>
      <c r="C57">
        <v>29.9</v>
      </c>
      <c r="D57">
        <v>29.25</v>
      </c>
      <c r="E57">
        <v>29.67</v>
      </c>
      <c r="F57">
        <v>29.67</v>
      </c>
      <c r="G57">
        <v>389200</v>
      </c>
      <c r="I57" s="346">
        <v>41684</v>
      </c>
      <c r="J57">
        <v>20.239999999999998</v>
      </c>
      <c r="K57">
        <v>20.329999999999998</v>
      </c>
      <c r="L57">
        <v>20.209999</v>
      </c>
      <c r="M57">
        <v>20.309999000000001</v>
      </c>
    </row>
    <row r="58" spans="1:13">
      <c r="A58" s="346">
        <v>41688</v>
      </c>
      <c r="B58">
        <v>29.84</v>
      </c>
      <c r="C58">
        <v>29.959999</v>
      </c>
      <c r="D58">
        <v>29.610001</v>
      </c>
      <c r="E58">
        <v>29.809999000000001</v>
      </c>
      <c r="F58">
        <v>29.809999000000001</v>
      </c>
      <c r="G58">
        <v>451900</v>
      </c>
      <c r="I58" s="346">
        <v>41688</v>
      </c>
      <c r="J58">
        <v>20.379999000000002</v>
      </c>
      <c r="K58">
        <v>20.389999</v>
      </c>
      <c r="L58">
        <v>20.299999</v>
      </c>
      <c r="M58">
        <v>20.34</v>
      </c>
    </row>
    <row r="59" spans="1:13">
      <c r="A59" s="346">
        <v>41689</v>
      </c>
      <c r="B59">
        <v>29.809999000000001</v>
      </c>
      <c r="C59">
        <v>29.91</v>
      </c>
      <c r="D59">
        <v>29.610001</v>
      </c>
      <c r="E59">
        <v>29.700001</v>
      </c>
      <c r="F59">
        <v>29.700001</v>
      </c>
      <c r="G59">
        <v>242700</v>
      </c>
      <c r="I59" s="346">
        <v>41689</v>
      </c>
      <c r="J59">
        <v>20.34</v>
      </c>
      <c r="K59">
        <v>20.52</v>
      </c>
      <c r="L59">
        <v>20.34</v>
      </c>
      <c r="M59">
        <v>20.41</v>
      </c>
    </row>
    <row r="60" spans="1:13">
      <c r="A60" s="346">
        <v>41690</v>
      </c>
      <c r="B60">
        <v>29.75</v>
      </c>
      <c r="C60">
        <v>29.84</v>
      </c>
      <c r="D60">
        <v>29.52</v>
      </c>
      <c r="E60">
        <v>29.719999000000001</v>
      </c>
      <c r="F60">
        <v>29.719999000000001</v>
      </c>
      <c r="G60">
        <v>361400</v>
      </c>
      <c r="I60" s="346">
        <v>41690</v>
      </c>
      <c r="J60">
        <v>20.43</v>
      </c>
      <c r="K60">
        <v>20.6</v>
      </c>
      <c r="L60">
        <v>20.420000000000002</v>
      </c>
      <c r="M60">
        <v>20.549999</v>
      </c>
    </row>
    <row r="61" spans="1:13">
      <c r="A61" s="346">
        <v>41691</v>
      </c>
      <c r="B61">
        <v>29.75</v>
      </c>
      <c r="C61">
        <v>29.85</v>
      </c>
      <c r="D61">
        <v>29.65</v>
      </c>
      <c r="E61">
        <v>29.75</v>
      </c>
      <c r="F61">
        <v>29.75</v>
      </c>
      <c r="G61">
        <v>318900</v>
      </c>
      <c r="I61" s="346">
        <v>41691</v>
      </c>
      <c r="J61">
        <v>20.559999000000001</v>
      </c>
      <c r="K61">
        <v>20.620000999999998</v>
      </c>
      <c r="L61">
        <v>20.540001</v>
      </c>
      <c r="M61">
        <v>20.559999000000001</v>
      </c>
    </row>
    <row r="62" spans="1:13">
      <c r="A62" s="346">
        <v>41694</v>
      </c>
      <c r="B62">
        <v>29.83</v>
      </c>
      <c r="C62">
        <v>29.83</v>
      </c>
      <c r="D62">
        <v>29.17</v>
      </c>
      <c r="E62">
        <v>29.34</v>
      </c>
      <c r="F62">
        <v>29.34</v>
      </c>
      <c r="G62">
        <v>313900</v>
      </c>
      <c r="I62" s="346">
        <v>41694</v>
      </c>
      <c r="J62">
        <v>20.58</v>
      </c>
      <c r="K62">
        <v>20.66</v>
      </c>
      <c r="L62">
        <v>20.540001</v>
      </c>
      <c r="M62">
        <v>20.58</v>
      </c>
    </row>
    <row r="63" spans="1:13">
      <c r="A63" s="346">
        <v>41695</v>
      </c>
      <c r="B63">
        <v>29.24</v>
      </c>
      <c r="C63">
        <v>29.49</v>
      </c>
      <c r="D63">
        <v>28.1</v>
      </c>
      <c r="E63">
        <v>28.309999000000001</v>
      </c>
      <c r="F63">
        <v>28.309999000000001</v>
      </c>
      <c r="G63">
        <v>565500</v>
      </c>
      <c r="I63" s="346">
        <v>41695</v>
      </c>
      <c r="J63">
        <v>20.58</v>
      </c>
      <c r="K63">
        <v>20.6</v>
      </c>
      <c r="L63">
        <v>20.52</v>
      </c>
      <c r="M63">
        <v>20.559999000000001</v>
      </c>
    </row>
    <row r="64" spans="1:13">
      <c r="A64" s="346">
        <v>41696</v>
      </c>
      <c r="B64">
        <v>28.219999000000001</v>
      </c>
      <c r="C64">
        <v>29.139999</v>
      </c>
      <c r="D64">
        <v>28.219999000000001</v>
      </c>
      <c r="E64">
        <v>28.709999</v>
      </c>
      <c r="F64">
        <v>28.709999</v>
      </c>
      <c r="G64">
        <v>401100</v>
      </c>
      <c r="I64" s="346">
        <v>41696</v>
      </c>
      <c r="J64">
        <v>20.59</v>
      </c>
      <c r="K64">
        <v>20.610001</v>
      </c>
      <c r="L64">
        <v>20.530000999999999</v>
      </c>
      <c r="M64">
        <v>20.530000999999999</v>
      </c>
    </row>
    <row r="65" spans="1:13">
      <c r="A65" s="346">
        <v>41697</v>
      </c>
      <c r="B65">
        <v>28.629999000000002</v>
      </c>
      <c r="C65">
        <v>29.26</v>
      </c>
      <c r="D65">
        <v>28.629999000000002</v>
      </c>
      <c r="E65">
        <v>29.18</v>
      </c>
      <c r="F65">
        <v>29.18</v>
      </c>
      <c r="G65">
        <v>310400</v>
      </c>
      <c r="I65" s="346">
        <v>41697</v>
      </c>
      <c r="J65">
        <v>20.6</v>
      </c>
      <c r="K65">
        <v>20.639999</v>
      </c>
      <c r="L65">
        <v>20.540001</v>
      </c>
      <c r="M65">
        <v>20.610001</v>
      </c>
    </row>
    <row r="66" spans="1:13">
      <c r="A66" s="346">
        <v>41698</v>
      </c>
      <c r="B66">
        <v>29.15</v>
      </c>
      <c r="C66">
        <v>29.639999</v>
      </c>
      <c r="D66">
        <v>29.08</v>
      </c>
      <c r="E66">
        <v>29.370000999999998</v>
      </c>
      <c r="F66">
        <v>29.370000999999998</v>
      </c>
      <c r="G66">
        <v>255700</v>
      </c>
      <c r="I66" s="346">
        <v>41698</v>
      </c>
      <c r="J66">
        <v>20.58</v>
      </c>
      <c r="K66">
        <v>20.68</v>
      </c>
      <c r="L66">
        <v>20.540001</v>
      </c>
      <c r="M66">
        <v>20.559999000000001</v>
      </c>
    </row>
    <row r="67" spans="1:13">
      <c r="A67" s="346">
        <v>41701</v>
      </c>
      <c r="B67">
        <v>28.780000999999999</v>
      </c>
      <c r="C67">
        <v>29.6</v>
      </c>
      <c r="D67">
        <v>28.780000999999999</v>
      </c>
      <c r="E67">
        <v>29.190000999999999</v>
      </c>
      <c r="F67">
        <v>29.190000999999999</v>
      </c>
      <c r="G67">
        <v>341000</v>
      </c>
      <c r="I67" s="346">
        <v>41701</v>
      </c>
      <c r="J67">
        <v>20.420000000000002</v>
      </c>
      <c r="K67">
        <v>20.620000999999998</v>
      </c>
      <c r="L67">
        <v>20.420000000000002</v>
      </c>
      <c r="M67">
        <v>20.540001</v>
      </c>
    </row>
    <row r="68" spans="1:13">
      <c r="A68" s="346">
        <v>41702</v>
      </c>
      <c r="B68">
        <v>29.469999000000001</v>
      </c>
      <c r="C68">
        <v>29.93</v>
      </c>
      <c r="D68">
        <v>29.360001</v>
      </c>
      <c r="E68">
        <v>29.629999000000002</v>
      </c>
      <c r="F68">
        <v>29.629999000000002</v>
      </c>
      <c r="G68">
        <v>139900</v>
      </c>
      <c r="I68" s="346">
        <v>41702</v>
      </c>
      <c r="J68">
        <v>20.639999</v>
      </c>
      <c r="K68">
        <v>20.73</v>
      </c>
      <c r="L68">
        <v>20.549999</v>
      </c>
      <c r="M68">
        <v>20.67</v>
      </c>
    </row>
    <row r="69" spans="1:13">
      <c r="A69" s="346">
        <v>41703</v>
      </c>
      <c r="B69">
        <v>29.559999000000001</v>
      </c>
      <c r="C69">
        <v>29.889999</v>
      </c>
      <c r="D69">
        <v>29.379999000000002</v>
      </c>
      <c r="E69">
        <v>29.85</v>
      </c>
      <c r="F69">
        <v>29.85</v>
      </c>
      <c r="G69">
        <v>580000</v>
      </c>
      <c r="I69" s="346">
        <v>41703</v>
      </c>
      <c r="J69">
        <v>20.67</v>
      </c>
      <c r="K69">
        <v>20.68</v>
      </c>
      <c r="L69">
        <v>20.59</v>
      </c>
      <c r="M69">
        <v>20.639999</v>
      </c>
    </row>
    <row r="70" spans="1:13">
      <c r="A70" s="346">
        <v>41704</v>
      </c>
      <c r="B70">
        <v>29.860001</v>
      </c>
      <c r="C70">
        <v>29.98</v>
      </c>
      <c r="D70">
        <v>29.709999</v>
      </c>
      <c r="E70">
        <v>29.870000999999998</v>
      </c>
      <c r="F70">
        <v>29.870000999999998</v>
      </c>
      <c r="G70">
        <v>330400</v>
      </c>
      <c r="I70" s="346">
        <v>41704</v>
      </c>
      <c r="J70">
        <v>20.690000999999999</v>
      </c>
      <c r="K70">
        <v>20.700001</v>
      </c>
      <c r="L70">
        <v>20.59</v>
      </c>
      <c r="M70">
        <v>20.65</v>
      </c>
    </row>
    <row r="71" spans="1:13">
      <c r="A71" s="346">
        <v>41705</v>
      </c>
      <c r="B71">
        <v>29.950001</v>
      </c>
      <c r="C71">
        <v>29.99</v>
      </c>
      <c r="D71">
        <v>29.26</v>
      </c>
      <c r="E71">
        <v>29.290001</v>
      </c>
      <c r="F71">
        <v>29.290001</v>
      </c>
      <c r="G71">
        <v>190900</v>
      </c>
      <c r="I71" s="346">
        <v>41705</v>
      </c>
      <c r="J71">
        <v>20.68</v>
      </c>
      <c r="K71">
        <v>20.73</v>
      </c>
      <c r="L71">
        <v>20.610001</v>
      </c>
      <c r="M71">
        <v>20.67</v>
      </c>
    </row>
    <row r="72" spans="1:13">
      <c r="A72" s="346">
        <v>41708</v>
      </c>
      <c r="B72">
        <v>29.360001</v>
      </c>
      <c r="C72">
        <v>29.360001</v>
      </c>
      <c r="D72">
        <v>28.690000999999999</v>
      </c>
      <c r="E72">
        <v>28.959999</v>
      </c>
      <c r="F72">
        <v>28.959999</v>
      </c>
      <c r="G72">
        <v>208100</v>
      </c>
      <c r="I72" s="346">
        <v>41708</v>
      </c>
      <c r="J72">
        <v>20.66</v>
      </c>
      <c r="K72">
        <v>20.719999000000001</v>
      </c>
      <c r="L72">
        <v>20.610001</v>
      </c>
      <c r="M72">
        <v>20.690000999999999</v>
      </c>
    </row>
    <row r="73" spans="1:13">
      <c r="A73" s="346">
        <v>41709</v>
      </c>
      <c r="B73">
        <v>28.940000999999999</v>
      </c>
      <c r="C73">
        <v>29.02</v>
      </c>
      <c r="D73">
        <v>28.440000999999999</v>
      </c>
      <c r="E73">
        <v>28.65</v>
      </c>
      <c r="F73">
        <v>28.65</v>
      </c>
      <c r="G73">
        <v>179100</v>
      </c>
      <c r="I73" s="346">
        <v>41709</v>
      </c>
      <c r="J73">
        <v>20.700001</v>
      </c>
      <c r="K73">
        <v>20.73</v>
      </c>
      <c r="L73">
        <v>20.639999</v>
      </c>
      <c r="M73">
        <v>20.639999</v>
      </c>
    </row>
    <row r="74" spans="1:13">
      <c r="A74" s="346">
        <v>41710</v>
      </c>
      <c r="B74">
        <v>28.08</v>
      </c>
      <c r="C74">
        <v>28.700001</v>
      </c>
      <c r="D74">
        <v>28.049999</v>
      </c>
      <c r="E74">
        <v>28.379999000000002</v>
      </c>
      <c r="F74">
        <v>28.379999000000002</v>
      </c>
      <c r="G74">
        <v>292400</v>
      </c>
      <c r="I74" s="346">
        <v>41710</v>
      </c>
      <c r="J74">
        <v>20.610001</v>
      </c>
      <c r="K74">
        <v>20.82</v>
      </c>
      <c r="L74">
        <v>20.58</v>
      </c>
      <c r="M74">
        <v>20.82</v>
      </c>
    </row>
    <row r="75" spans="1:13">
      <c r="A75" s="346">
        <v>41711</v>
      </c>
      <c r="B75">
        <v>28.35</v>
      </c>
      <c r="C75">
        <v>28.57</v>
      </c>
      <c r="D75">
        <v>27.84</v>
      </c>
      <c r="E75">
        <v>28</v>
      </c>
      <c r="F75">
        <v>28</v>
      </c>
      <c r="G75">
        <v>203800</v>
      </c>
      <c r="I75" s="346">
        <v>41711</v>
      </c>
      <c r="J75">
        <v>20.790001</v>
      </c>
      <c r="K75">
        <v>20.809999000000001</v>
      </c>
      <c r="L75">
        <v>20.58</v>
      </c>
      <c r="M75">
        <v>20.639999</v>
      </c>
    </row>
    <row r="76" spans="1:13">
      <c r="A76" s="346">
        <v>41712</v>
      </c>
      <c r="B76">
        <v>27.860001</v>
      </c>
      <c r="C76">
        <v>28.35</v>
      </c>
      <c r="D76">
        <v>26.91</v>
      </c>
      <c r="E76">
        <v>27.219999000000001</v>
      </c>
      <c r="F76">
        <v>27.219999000000001</v>
      </c>
      <c r="G76">
        <v>610600</v>
      </c>
      <c r="I76" s="346">
        <v>41712</v>
      </c>
      <c r="J76">
        <v>20.6</v>
      </c>
      <c r="K76">
        <v>20.67</v>
      </c>
      <c r="L76">
        <v>20.559999000000001</v>
      </c>
      <c r="M76">
        <v>20.58</v>
      </c>
    </row>
    <row r="77" spans="1:13">
      <c r="A77" s="346">
        <v>41715</v>
      </c>
      <c r="B77">
        <v>27.110001</v>
      </c>
      <c r="C77">
        <v>27.450001</v>
      </c>
      <c r="D77">
        <v>26.82</v>
      </c>
      <c r="E77">
        <v>26.9</v>
      </c>
      <c r="F77">
        <v>26.9</v>
      </c>
      <c r="G77">
        <v>262500</v>
      </c>
      <c r="I77" s="346">
        <v>41715</v>
      </c>
      <c r="J77">
        <v>20.65</v>
      </c>
      <c r="K77">
        <v>20.75</v>
      </c>
      <c r="L77">
        <v>20.59</v>
      </c>
      <c r="M77">
        <v>20.639999</v>
      </c>
    </row>
    <row r="78" spans="1:13">
      <c r="A78" s="346">
        <v>41716</v>
      </c>
      <c r="B78">
        <v>27.030000999999999</v>
      </c>
      <c r="C78">
        <v>27.030000999999999</v>
      </c>
      <c r="D78">
        <v>25.709999</v>
      </c>
      <c r="E78">
        <v>26.379999000000002</v>
      </c>
      <c r="F78">
        <v>26.379999000000002</v>
      </c>
      <c r="G78">
        <v>812400</v>
      </c>
      <c r="I78" s="346">
        <v>41716</v>
      </c>
      <c r="J78">
        <v>20.639999</v>
      </c>
      <c r="K78">
        <v>20.85</v>
      </c>
      <c r="L78">
        <v>20.620000999999998</v>
      </c>
      <c r="M78">
        <v>20.85</v>
      </c>
    </row>
    <row r="79" spans="1:13">
      <c r="A79" s="346">
        <v>41717</v>
      </c>
      <c r="B79">
        <v>26.75</v>
      </c>
      <c r="C79">
        <v>27.440000999999999</v>
      </c>
      <c r="D79">
        <v>26.74</v>
      </c>
      <c r="E79">
        <v>27.030000999999999</v>
      </c>
      <c r="F79">
        <v>27.030000999999999</v>
      </c>
      <c r="G79">
        <v>668900</v>
      </c>
      <c r="I79" s="346">
        <v>41717</v>
      </c>
      <c r="J79">
        <v>20.700001</v>
      </c>
      <c r="K79">
        <v>20.709999</v>
      </c>
      <c r="L79">
        <v>20.58</v>
      </c>
      <c r="M79">
        <v>20.66</v>
      </c>
    </row>
    <row r="80" spans="1:13">
      <c r="A80" s="346">
        <v>41718</v>
      </c>
      <c r="B80">
        <v>26.790001</v>
      </c>
      <c r="C80">
        <v>27.690000999999999</v>
      </c>
      <c r="D80">
        <v>26.610001</v>
      </c>
      <c r="E80">
        <v>27.440000999999999</v>
      </c>
      <c r="F80">
        <v>27.440000999999999</v>
      </c>
      <c r="G80">
        <v>398200</v>
      </c>
      <c r="I80" s="346">
        <v>41718</v>
      </c>
      <c r="J80">
        <v>20.58</v>
      </c>
      <c r="K80">
        <v>20.709999</v>
      </c>
      <c r="L80">
        <v>20.52</v>
      </c>
      <c r="M80">
        <v>20.690000999999999</v>
      </c>
    </row>
    <row r="81" spans="1:13">
      <c r="A81" s="346">
        <v>41719</v>
      </c>
      <c r="B81">
        <v>27.459999</v>
      </c>
      <c r="C81">
        <v>27.459999</v>
      </c>
      <c r="D81">
        <v>26.5</v>
      </c>
      <c r="E81">
        <v>26.5</v>
      </c>
      <c r="F81">
        <v>26.5</v>
      </c>
      <c r="G81">
        <v>338200</v>
      </c>
      <c r="I81" s="346">
        <v>41719</v>
      </c>
      <c r="J81">
        <v>20.65</v>
      </c>
      <c r="K81">
        <v>20.74</v>
      </c>
      <c r="L81">
        <v>20.610001</v>
      </c>
      <c r="M81">
        <v>20.620000999999998</v>
      </c>
    </row>
    <row r="82" spans="1:13">
      <c r="A82" s="346">
        <v>41722</v>
      </c>
      <c r="B82">
        <v>26.530000999999999</v>
      </c>
      <c r="C82">
        <v>26.700001</v>
      </c>
      <c r="D82">
        <v>25.889999</v>
      </c>
      <c r="E82">
        <v>26.389999</v>
      </c>
      <c r="F82">
        <v>26.389999</v>
      </c>
      <c r="G82">
        <v>530000</v>
      </c>
      <c r="I82" s="346">
        <v>41722</v>
      </c>
      <c r="J82">
        <v>20.68</v>
      </c>
      <c r="K82">
        <v>20.75</v>
      </c>
      <c r="L82">
        <v>20.49</v>
      </c>
      <c r="M82">
        <v>20.57</v>
      </c>
    </row>
    <row r="83" spans="1:13">
      <c r="A83" s="346">
        <v>41723</v>
      </c>
      <c r="B83">
        <v>26.540001</v>
      </c>
      <c r="C83">
        <v>26.540001</v>
      </c>
      <c r="D83">
        <v>25.84</v>
      </c>
      <c r="E83">
        <v>26.18</v>
      </c>
      <c r="F83">
        <v>26.18</v>
      </c>
      <c r="G83">
        <v>313800</v>
      </c>
      <c r="I83" s="346">
        <v>41723</v>
      </c>
      <c r="J83">
        <v>20.58</v>
      </c>
      <c r="K83">
        <v>20.66</v>
      </c>
      <c r="L83">
        <v>20.559999000000001</v>
      </c>
      <c r="M83">
        <v>20.59</v>
      </c>
    </row>
    <row r="84" spans="1:13">
      <c r="A84" s="346">
        <v>41724</v>
      </c>
      <c r="B84">
        <v>26.190000999999999</v>
      </c>
      <c r="C84">
        <v>26.190000999999999</v>
      </c>
      <c r="D84">
        <v>25.709999</v>
      </c>
      <c r="E84">
        <v>25.799999</v>
      </c>
      <c r="F84">
        <v>25.799999</v>
      </c>
      <c r="G84">
        <v>457600</v>
      </c>
      <c r="I84" s="346">
        <v>41724</v>
      </c>
      <c r="J84">
        <v>20.629999000000002</v>
      </c>
      <c r="K84">
        <v>20.66</v>
      </c>
      <c r="L84">
        <v>20.399999999999999</v>
      </c>
      <c r="M84">
        <v>20.420000000000002</v>
      </c>
    </row>
    <row r="85" spans="1:13">
      <c r="A85" s="346">
        <v>41725</v>
      </c>
      <c r="B85">
        <v>25.76</v>
      </c>
      <c r="C85">
        <v>25.790001</v>
      </c>
      <c r="D85">
        <v>25.07</v>
      </c>
      <c r="E85">
        <v>25.6</v>
      </c>
      <c r="F85">
        <v>25.6</v>
      </c>
      <c r="G85">
        <v>464300</v>
      </c>
      <c r="I85" s="346">
        <v>41725</v>
      </c>
      <c r="J85">
        <v>20.469999000000001</v>
      </c>
      <c r="K85">
        <v>20.469999000000001</v>
      </c>
      <c r="L85">
        <v>20.350000000000001</v>
      </c>
      <c r="M85">
        <v>20.420000000000002</v>
      </c>
    </row>
    <row r="86" spans="1:13">
      <c r="A86" s="346">
        <v>41726</v>
      </c>
      <c r="B86">
        <v>25.620000999999998</v>
      </c>
      <c r="C86">
        <v>26.33</v>
      </c>
      <c r="D86">
        <v>25.57</v>
      </c>
      <c r="E86">
        <v>25.99</v>
      </c>
      <c r="F86">
        <v>25.99</v>
      </c>
      <c r="G86">
        <v>329000</v>
      </c>
      <c r="I86" s="346">
        <v>41726</v>
      </c>
      <c r="J86">
        <v>20.469999000000001</v>
      </c>
      <c r="K86">
        <v>20.610001</v>
      </c>
      <c r="L86">
        <v>20.469999000000001</v>
      </c>
      <c r="M86">
        <v>20.559999000000001</v>
      </c>
    </row>
    <row r="87" spans="1:13">
      <c r="A87" s="346">
        <v>41729</v>
      </c>
      <c r="B87">
        <v>26.1</v>
      </c>
      <c r="C87">
        <v>26.34</v>
      </c>
      <c r="D87">
        <v>25.440000999999999</v>
      </c>
      <c r="E87">
        <v>26.1</v>
      </c>
      <c r="F87">
        <v>26.1</v>
      </c>
      <c r="G87">
        <v>453000</v>
      </c>
      <c r="I87" s="346">
        <v>41729</v>
      </c>
      <c r="J87">
        <v>20.6</v>
      </c>
      <c r="K87">
        <v>20.690000999999999</v>
      </c>
      <c r="L87">
        <v>20.559999000000001</v>
      </c>
      <c r="M87">
        <v>20.67</v>
      </c>
    </row>
    <row r="88" spans="1:13">
      <c r="A88" s="346">
        <v>41730</v>
      </c>
      <c r="B88">
        <v>26.190000999999999</v>
      </c>
      <c r="C88">
        <v>26.190000999999999</v>
      </c>
      <c r="D88">
        <v>25.459999</v>
      </c>
      <c r="E88">
        <v>25.58</v>
      </c>
      <c r="F88">
        <v>25.58</v>
      </c>
      <c r="G88">
        <v>618700</v>
      </c>
      <c r="I88" s="346">
        <v>41730</v>
      </c>
      <c r="J88">
        <v>20.66</v>
      </c>
      <c r="K88">
        <v>20.74</v>
      </c>
      <c r="L88">
        <v>20.66</v>
      </c>
      <c r="M88">
        <v>20.709999</v>
      </c>
    </row>
    <row r="89" spans="1:13">
      <c r="A89" s="346">
        <v>41731</v>
      </c>
      <c r="B89">
        <v>25.67</v>
      </c>
      <c r="C89">
        <v>26</v>
      </c>
      <c r="D89">
        <v>25.67</v>
      </c>
      <c r="E89">
        <v>25.940000999999999</v>
      </c>
      <c r="F89">
        <v>25.940000999999999</v>
      </c>
      <c r="G89">
        <v>376200</v>
      </c>
      <c r="I89" s="346">
        <v>41731</v>
      </c>
      <c r="J89">
        <v>20.73</v>
      </c>
      <c r="K89">
        <v>20.83</v>
      </c>
      <c r="L89">
        <v>20.719999000000001</v>
      </c>
      <c r="M89">
        <v>20.82</v>
      </c>
    </row>
    <row r="90" spans="1:13">
      <c r="A90" s="346">
        <v>41732</v>
      </c>
      <c r="B90">
        <v>26.02</v>
      </c>
      <c r="C90">
        <v>26.549999</v>
      </c>
      <c r="D90">
        <v>26.02</v>
      </c>
      <c r="E90">
        <v>26.24</v>
      </c>
      <c r="F90">
        <v>26.24</v>
      </c>
      <c r="G90">
        <v>354600</v>
      </c>
      <c r="I90" s="346">
        <v>41732</v>
      </c>
      <c r="J90">
        <v>20.82</v>
      </c>
      <c r="K90">
        <v>20.82</v>
      </c>
      <c r="L90">
        <v>20.620000999999998</v>
      </c>
      <c r="M90">
        <v>20.700001</v>
      </c>
    </row>
    <row r="91" spans="1:13">
      <c r="A91" s="346">
        <v>41733</v>
      </c>
      <c r="B91">
        <v>26.299999</v>
      </c>
      <c r="C91">
        <v>26.43</v>
      </c>
      <c r="D91">
        <v>25.83</v>
      </c>
      <c r="E91">
        <v>25.940000999999999</v>
      </c>
      <c r="F91">
        <v>25.940000999999999</v>
      </c>
      <c r="G91">
        <v>372300</v>
      </c>
      <c r="I91" s="346">
        <v>41733</v>
      </c>
      <c r="J91">
        <v>20.76</v>
      </c>
      <c r="K91">
        <v>20.790001</v>
      </c>
      <c r="L91">
        <v>20.6</v>
      </c>
      <c r="M91">
        <v>20.66</v>
      </c>
    </row>
    <row r="92" spans="1:13">
      <c r="A92" s="346">
        <v>41736</v>
      </c>
      <c r="B92">
        <v>25.9</v>
      </c>
      <c r="C92">
        <v>26.23</v>
      </c>
      <c r="D92">
        <v>25.530000999999999</v>
      </c>
      <c r="E92">
        <v>25.66</v>
      </c>
      <c r="F92">
        <v>25.66</v>
      </c>
      <c r="G92">
        <v>335000</v>
      </c>
      <c r="I92" s="346">
        <v>41736</v>
      </c>
      <c r="J92">
        <v>20.6</v>
      </c>
      <c r="K92">
        <v>20.66</v>
      </c>
      <c r="L92">
        <v>20.450001</v>
      </c>
      <c r="M92">
        <v>20.450001</v>
      </c>
    </row>
    <row r="93" spans="1:13">
      <c r="A93" s="346">
        <v>41737</v>
      </c>
      <c r="B93">
        <v>25.799999</v>
      </c>
      <c r="C93">
        <v>26.01</v>
      </c>
      <c r="D93">
        <v>25.620000999999998</v>
      </c>
      <c r="E93">
        <v>25.709999</v>
      </c>
      <c r="F93">
        <v>25.709999</v>
      </c>
      <c r="G93">
        <v>192300</v>
      </c>
      <c r="I93" s="346">
        <v>41737</v>
      </c>
      <c r="J93">
        <v>20.48</v>
      </c>
      <c r="K93">
        <v>20.66</v>
      </c>
      <c r="L93">
        <v>20.459999</v>
      </c>
      <c r="M93">
        <v>20.66</v>
      </c>
    </row>
    <row r="94" spans="1:13">
      <c r="A94" s="346">
        <v>41738</v>
      </c>
      <c r="B94">
        <v>25.83</v>
      </c>
      <c r="C94">
        <v>25.959999</v>
      </c>
      <c r="D94">
        <v>25.360001</v>
      </c>
      <c r="E94">
        <v>25.530000999999999</v>
      </c>
      <c r="F94">
        <v>25.530000999999999</v>
      </c>
      <c r="G94">
        <v>270900</v>
      </c>
      <c r="I94" s="346">
        <v>41738</v>
      </c>
      <c r="J94">
        <v>20.66</v>
      </c>
      <c r="K94">
        <v>20.74</v>
      </c>
      <c r="L94">
        <v>20.65</v>
      </c>
      <c r="M94">
        <v>20.73</v>
      </c>
    </row>
    <row r="95" spans="1:13">
      <c r="A95" s="346">
        <v>41739</v>
      </c>
      <c r="B95">
        <v>25.629999000000002</v>
      </c>
      <c r="C95">
        <v>25.629999000000002</v>
      </c>
      <c r="D95">
        <v>24.32</v>
      </c>
      <c r="E95">
        <v>24.540001</v>
      </c>
      <c r="F95">
        <v>24.540001</v>
      </c>
      <c r="G95">
        <v>655800</v>
      </c>
      <c r="I95" s="346">
        <v>41739</v>
      </c>
      <c r="J95">
        <v>20.73</v>
      </c>
      <c r="K95">
        <v>20.74</v>
      </c>
      <c r="L95">
        <v>20.48</v>
      </c>
      <c r="M95">
        <v>20.51</v>
      </c>
    </row>
    <row r="96" spans="1:13">
      <c r="A96" s="346">
        <v>41740</v>
      </c>
      <c r="B96">
        <v>24</v>
      </c>
      <c r="C96">
        <v>24.24</v>
      </c>
      <c r="D96">
        <v>23.219999000000001</v>
      </c>
      <c r="E96">
        <v>23.99</v>
      </c>
      <c r="F96">
        <v>23.99</v>
      </c>
      <c r="G96">
        <v>722600</v>
      </c>
      <c r="I96" s="346">
        <v>41740</v>
      </c>
      <c r="J96">
        <v>20.469999000000001</v>
      </c>
      <c r="K96">
        <v>20.549999</v>
      </c>
      <c r="L96">
        <v>20.41</v>
      </c>
      <c r="M96">
        <v>20.48</v>
      </c>
    </row>
    <row r="97" spans="1:13">
      <c r="A97" s="346">
        <v>41743</v>
      </c>
      <c r="B97">
        <v>24.08</v>
      </c>
      <c r="C97">
        <v>24.08</v>
      </c>
      <c r="D97">
        <v>23.17</v>
      </c>
      <c r="E97">
        <v>23.35</v>
      </c>
      <c r="F97">
        <v>23.35</v>
      </c>
      <c r="G97">
        <v>457900</v>
      </c>
      <c r="I97" s="346">
        <v>41743</v>
      </c>
      <c r="J97">
        <v>20.540001</v>
      </c>
      <c r="K97">
        <v>20.620000999999998</v>
      </c>
      <c r="L97">
        <v>20.440000999999999</v>
      </c>
      <c r="M97">
        <v>20.5</v>
      </c>
    </row>
    <row r="98" spans="1:13">
      <c r="A98" s="346">
        <v>41744</v>
      </c>
      <c r="B98">
        <v>23.49</v>
      </c>
      <c r="C98">
        <v>24.01</v>
      </c>
      <c r="D98">
        <v>23.34</v>
      </c>
      <c r="E98">
        <v>23.67</v>
      </c>
      <c r="F98">
        <v>23.67</v>
      </c>
      <c r="G98">
        <v>643300</v>
      </c>
      <c r="I98" s="346">
        <v>41744</v>
      </c>
      <c r="J98">
        <v>20.48</v>
      </c>
      <c r="K98">
        <v>20.620000999999998</v>
      </c>
      <c r="L98">
        <v>20.43</v>
      </c>
      <c r="M98">
        <v>20.540001</v>
      </c>
    </row>
    <row r="99" spans="1:13">
      <c r="A99" s="346">
        <v>41745</v>
      </c>
      <c r="B99">
        <v>23.860001</v>
      </c>
      <c r="C99">
        <v>24.5</v>
      </c>
      <c r="D99">
        <v>23.860001</v>
      </c>
      <c r="E99">
        <v>24.41</v>
      </c>
      <c r="F99">
        <v>24.41</v>
      </c>
      <c r="G99">
        <v>383800</v>
      </c>
      <c r="I99" s="346">
        <v>41745</v>
      </c>
      <c r="J99">
        <v>20.620000999999998</v>
      </c>
      <c r="K99">
        <v>20.76</v>
      </c>
      <c r="L99">
        <v>20.620000999999998</v>
      </c>
      <c r="M99">
        <v>20.76</v>
      </c>
    </row>
    <row r="100" spans="1:13">
      <c r="A100" s="346">
        <v>41746</v>
      </c>
      <c r="B100">
        <v>24.459999</v>
      </c>
      <c r="C100">
        <v>24.58</v>
      </c>
      <c r="D100">
        <v>24.030000999999999</v>
      </c>
      <c r="E100">
        <v>24.43</v>
      </c>
      <c r="F100">
        <v>24.43</v>
      </c>
      <c r="G100">
        <v>245300</v>
      </c>
      <c r="I100" s="346">
        <v>41746</v>
      </c>
      <c r="J100">
        <v>20.73</v>
      </c>
      <c r="K100">
        <v>20.84</v>
      </c>
      <c r="L100">
        <v>20.719999000000001</v>
      </c>
      <c r="M100">
        <v>20.82</v>
      </c>
    </row>
    <row r="101" spans="1:13">
      <c r="A101" s="346">
        <v>41750</v>
      </c>
      <c r="B101">
        <v>24.66</v>
      </c>
      <c r="C101">
        <v>24.66</v>
      </c>
      <c r="D101">
        <v>24.15</v>
      </c>
      <c r="E101">
        <v>24.280000999999999</v>
      </c>
      <c r="F101">
        <v>24.280000999999999</v>
      </c>
      <c r="G101">
        <v>125500</v>
      </c>
      <c r="I101" s="346">
        <v>41750</v>
      </c>
      <c r="J101">
        <v>20.809999000000001</v>
      </c>
      <c r="K101">
        <v>20.84</v>
      </c>
      <c r="L101">
        <v>20.77</v>
      </c>
      <c r="M101">
        <v>20.82</v>
      </c>
    </row>
    <row r="102" spans="1:13">
      <c r="A102" s="346">
        <v>41751</v>
      </c>
      <c r="B102">
        <v>24.18</v>
      </c>
      <c r="C102">
        <v>25.209999</v>
      </c>
      <c r="D102">
        <v>24.129999000000002</v>
      </c>
      <c r="E102">
        <v>24.92</v>
      </c>
      <c r="F102">
        <v>24.92</v>
      </c>
      <c r="G102">
        <v>391800</v>
      </c>
      <c r="I102" s="346">
        <v>41751</v>
      </c>
      <c r="J102">
        <v>20.870000999999998</v>
      </c>
      <c r="K102">
        <v>20.940000999999999</v>
      </c>
      <c r="L102">
        <v>20.799999</v>
      </c>
      <c r="M102">
        <v>20.91</v>
      </c>
    </row>
    <row r="103" spans="1:13">
      <c r="A103" s="346">
        <v>41752</v>
      </c>
      <c r="B103">
        <v>24.969999000000001</v>
      </c>
      <c r="C103">
        <v>25.09</v>
      </c>
      <c r="D103">
        <v>24.379999000000002</v>
      </c>
      <c r="E103">
        <v>24.629999000000002</v>
      </c>
      <c r="F103">
        <v>24.629999000000002</v>
      </c>
      <c r="G103">
        <v>363800</v>
      </c>
      <c r="I103" s="346">
        <v>41752</v>
      </c>
      <c r="J103">
        <v>20.950001</v>
      </c>
      <c r="K103">
        <v>20.98</v>
      </c>
      <c r="L103">
        <v>20.91</v>
      </c>
      <c r="M103">
        <v>20.91</v>
      </c>
    </row>
    <row r="104" spans="1:13">
      <c r="A104" s="346">
        <v>41753</v>
      </c>
      <c r="B104">
        <v>24.629999000000002</v>
      </c>
      <c r="C104">
        <v>25.58</v>
      </c>
      <c r="D104">
        <v>24.49</v>
      </c>
      <c r="E104">
        <v>25.459999</v>
      </c>
      <c r="F104">
        <v>25.459999</v>
      </c>
      <c r="G104">
        <v>510400</v>
      </c>
      <c r="I104" s="346">
        <v>41753</v>
      </c>
      <c r="J104">
        <v>20.950001</v>
      </c>
      <c r="K104">
        <v>20.98</v>
      </c>
      <c r="L104">
        <v>20.879999000000002</v>
      </c>
      <c r="M104">
        <v>20.91</v>
      </c>
    </row>
    <row r="105" spans="1:13">
      <c r="A105" s="346">
        <v>41754</v>
      </c>
      <c r="B105">
        <v>25.43</v>
      </c>
      <c r="C105">
        <v>25.799999</v>
      </c>
      <c r="D105">
        <v>25.1</v>
      </c>
      <c r="E105">
        <v>25.139999</v>
      </c>
      <c r="F105">
        <v>25.139999</v>
      </c>
      <c r="G105">
        <v>534000</v>
      </c>
      <c r="I105" s="346">
        <v>41754</v>
      </c>
      <c r="J105">
        <v>20.889999</v>
      </c>
      <c r="K105">
        <v>20.91</v>
      </c>
      <c r="L105">
        <v>20.790001</v>
      </c>
      <c r="M105">
        <v>20.870000999999998</v>
      </c>
    </row>
    <row r="106" spans="1:13">
      <c r="A106" s="346">
        <v>41757</v>
      </c>
      <c r="B106">
        <v>25.33</v>
      </c>
      <c r="C106">
        <v>25.639999</v>
      </c>
      <c r="D106">
        <v>24.85</v>
      </c>
      <c r="E106">
        <v>25.209999</v>
      </c>
      <c r="F106">
        <v>25.209999</v>
      </c>
      <c r="G106">
        <v>449300</v>
      </c>
      <c r="I106" s="346">
        <v>41757</v>
      </c>
      <c r="J106">
        <v>20.940000999999999</v>
      </c>
      <c r="K106">
        <v>20.940000999999999</v>
      </c>
      <c r="L106">
        <v>20.790001</v>
      </c>
      <c r="M106">
        <v>20.91</v>
      </c>
    </row>
    <row r="107" spans="1:13">
      <c r="A107" s="346">
        <v>41758</v>
      </c>
      <c r="B107">
        <v>25.299999</v>
      </c>
      <c r="C107">
        <v>25.450001</v>
      </c>
      <c r="D107">
        <v>24.77</v>
      </c>
      <c r="E107">
        <v>25.059999000000001</v>
      </c>
      <c r="F107">
        <v>25.059999000000001</v>
      </c>
      <c r="G107">
        <v>248100</v>
      </c>
      <c r="I107" s="346">
        <v>41758</v>
      </c>
      <c r="J107">
        <v>20.92</v>
      </c>
      <c r="K107">
        <v>21.040001</v>
      </c>
      <c r="L107">
        <v>20.9</v>
      </c>
      <c r="M107">
        <v>21.02</v>
      </c>
    </row>
    <row r="108" spans="1:13">
      <c r="A108" s="346">
        <v>41759</v>
      </c>
      <c r="B108">
        <v>24.58</v>
      </c>
      <c r="C108">
        <v>25</v>
      </c>
      <c r="D108">
        <v>24.370000999999998</v>
      </c>
      <c r="E108">
        <v>24.860001</v>
      </c>
      <c r="F108">
        <v>24.860001</v>
      </c>
      <c r="G108">
        <v>420000</v>
      </c>
      <c r="I108" s="346">
        <v>41759</v>
      </c>
      <c r="J108">
        <v>20.959999</v>
      </c>
      <c r="K108">
        <v>21.120000999999998</v>
      </c>
      <c r="L108">
        <v>20.959999</v>
      </c>
      <c r="M108">
        <v>21.120000999999998</v>
      </c>
    </row>
    <row r="109" spans="1:13">
      <c r="A109" s="346">
        <v>41760</v>
      </c>
      <c r="B109">
        <v>24.9</v>
      </c>
      <c r="C109">
        <v>25.68</v>
      </c>
      <c r="D109">
        <v>24.9</v>
      </c>
      <c r="E109">
        <v>25.309999000000001</v>
      </c>
      <c r="F109">
        <v>25.309999000000001</v>
      </c>
      <c r="G109">
        <v>467600</v>
      </c>
      <c r="I109" s="346">
        <v>41760</v>
      </c>
      <c r="J109">
        <v>21.110001</v>
      </c>
      <c r="K109">
        <v>21.17</v>
      </c>
      <c r="L109">
        <v>21.08</v>
      </c>
      <c r="M109">
        <v>21.110001</v>
      </c>
    </row>
    <row r="110" spans="1:13">
      <c r="A110" s="346">
        <v>41761</v>
      </c>
      <c r="B110">
        <v>25.389999</v>
      </c>
      <c r="C110">
        <v>26.200001</v>
      </c>
      <c r="D110">
        <v>25.389999</v>
      </c>
      <c r="E110">
        <v>26</v>
      </c>
      <c r="F110">
        <v>26</v>
      </c>
      <c r="G110">
        <v>569900</v>
      </c>
      <c r="I110" s="346">
        <v>41761</v>
      </c>
      <c r="J110">
        <v>21.16</v>
      </c>
      <c r="K110">
        <v>21.24</v>
      </c>
      <c r="L110">
        <v>21.139999</v>
      </c>
      <c r="M110">
        <v>21.23</v>
      </c>
    </row>
    <row r="111" spans="1:13">
      <c r="A111" s="346">
        <v>41764</v>
      </c>
      <c r="B111">
        <v>26.209999</v>
      </c>
      <c r="C111">
        <v>26.59</v>
      </c>
      <c r="D111">
        <v>25.9</v>
      </c>
      <c r="E111">
        <v>26.139999</v>
      </c>
      <c r="F111">
        <v>26.139999</v>
      </c>
      <c r="G111">
        <v>443100</v>
      </c>
      <c r="I111" s="346">
        <v>41764</v>
      </c>
      <c r="J111">
        <v>21.200001</v>
      </c>
      <c r="K111">
        <v>21.200001</v>
      </c>
      <c r="L111">
        <v>21.059999000000001</v>
      </c>
      <c r="M111">
        <v>21.110001</v>
      </c>
    </row>
    <row r="112" spans="1:13">
      <c r="A112" s="346">
        <v>41765</v>
      </c>
      <c r="B112">
        <v>26.65</v>
      </c>
      <c r="C112">
        <v>26.75</v>
      </c>
      <c r="D112">
        <v>25.77</v>
      </c>
      <c r="E112">
        <v>25.92</v>
      </c>
      <c r="F112">
        <v>25.92</v>
      </c>
      <c r="G112">
        <v>576900</v>
      </c>
      <c r="I112" s="346">
        <v>41765</v>
      </c>
      <c r="J112">
        <v>21.110001</v>
      </c>
      <c r="K112">
        <v>21.110001</v>
      </c>
      <c r="L112">
        <v>20.950001</v>
      </c>
      <c r="M112">
        <v>20.969999000000001</v>
      </c>
    </row>
    <row r="113" spans="1:13">
      <c r="A113" s="346">
        <v>41766</v>
      </c>
      <c r="B113">
        <v>25.860001</v>
      </c>
      <c r="C113">
        <v>25.91</v>
      </c>
      <c r="D113">
        <v>25.27</v>
      </c>
      <c r="E113">
        <v>25.450001</v>
      </c>
      <c r="F113">
        <v>25.450001</v>
      </c>
      <c r="G113">
        <v>353900</v>
      </c>
      <c r="I113" s="346">
        <v>41766</v>
      </c>
      <c r="J113">
        <v>21.049999</v>
      </c>
      <c r="K113">
        <v>21.09</v>
      </c>
      <c r="L113">
        <v>20.950001</v>
      </c>
      <c r="M113">
        <v>21.059999000000001</v>
      </c>
    </row>
    <row r="114" spans="1:13">
      <c r="A114" s="346">
        <v>41767</v>
      </c>
      <c r="B114">
        <v>25.379999000000002</v>
      </c>
      <c r="C114">
        <v>26.41</v>
      </c>
      <c r="D114">
        <v>25.200001</v>
      </c>
      <c r="E114">
        <v>25.530000999999999</v>
      </c>
      <c r="F114">
        <v>25.530000999999999</v>
      </c>
      <c r="G114">
        <v>510000</v>
      </c>
      <c r="I114" s="346">
        <v>41767</v>
      </c>
      <c r="J114">
        <v>21.09</v>
      </c>
      <c r="K114">
        <v>21.120000999999998</v>
      </c>
      <c r="L114">
        <v>20.870000999999998</v>
      </c>
      <c r="M114">
        <v>20.940000999999999</v>
      </c>
    </row>
    <row r="115" spans="1:13">
      <c r="A115" s="346">
        <v>41768</v>
      </c>
      <c r="B115">
        <v>25.27</v>
      </c>
      <c r="C115">
        <v>25.58</v>
      </c>
      <c r="D115">
        <v>25</v>
      </c>
      <c r="E115">
        <v>25.24</v>
      </c>
      <c r="F115">
        <v>25.24</v>
      </c>
      <c r="G115">
        <v>305900</v>
      </c>
      <c r="I115" s="346">
        <v>41768</v>
      </c>
      <c r="J115">
        <v>20.99</v>
      </c>
      <c r="K115">
        <v>21</v>
      </c>
      <c r="L115">
        <v>20.879999000000002</v>
      </c>
      <c r="M115">
        <v>20.950001</v>
      </c>
    </row>
    <row r="116" spans="1:13">
      <c r="A116" s="346">
        <v>41771</v>
      </c>
      <c r="B116">
        <v>25.309999000000001</v>
      </c>
      <c r="C116">
        <v>25.91</v>
      </c>
      <c r="D116">
        <v>25.309999000000001</v>
      </c>
      <c r="E116">
        <v>25.4</v>
      </c>
      <c r="F116">
        <v>25.4</v>
      </c>
      <c r="G116">
        <v>228500</v>
      </c>
      <c r="I116" s="346">
        <v>41771</v>
      </c>
      <c r="J116">
        <v>20.99</v>
      </c>
      <c r="K116">
        <v>21.120000999999998</v>
      </c>
      <c r="L116">
        <v>20.99</v>
      </c>
      <c r="M116">
        <v>21.120000999999998</v>
      </c>
    </row>
    <row r="117" spans="1:13">
      <c r="A117" s="346">
        <v>41772</v>
      </c>
      <c r="B117">
        <v>25.67</v>
      </c>
      <c r="C117">
        <v>25.950001</v>
      </c>
      <c r="D117">
        <v>25.4</v>
      </c>
      <c r="E117">
        <v>25.879999000000002</v>
      </c>
      <c r="F117">
        <v>25.879999000000002</v>
      </c>
      <c r="G117">
        <v>341400</v>
      </c>
      <c r="I117" s="346">
        <v>41772</v>
      </c>
      <c r="J117">
        <v>21.16</v>
      </c>
      <c r="K117">
        <v>21.18</v>
      </c>
      <c r="L117">
        <v>21.1</v>
      </c>
      <c r="M117">
        <v>21.15</v>
      </c>
    </row>
    <row r="118" spans="1:13">
      <c r="A118" s="346">
        <v>41773</v>
      </c>
      <c r="B118">
        <v>25.92</v>
      </c>
      <c r="C118">
        <v>26.030000999999999</v>
      </c>
      <c r="D118">
        <v>25.4</v>
      </c>
      <c r="E118">
        <v>25.450001</v>
      </c>
      <c r="F118">
        <v>25.450001</v>
      </c>
      <c r="G118">
        <v>317700</v>
      </c>
      <c r="I118" s="346">
        <v>41773</v>
      </c>
      <c r="J118">
        <v>21.200001</v>
      </c>
      <c r="K118">
        <v>21.200001</v>
      </c>
      <c r="L118">
        <v>21.129999000000002</v>
      </c>
      <c r="M118">
        <v>21.16</v>
      </c>
    </row>
    <row r="119" spans="1:13">
      <c r="A119" s="346">
        <v>41774</v>
      </c>
      <c r="B119">
        <v>25.459999</v>
      </c>
      <c r="C119">
        <v>25.559999000000001</v>
      </c>
      <c r="D119">
        <v>24.530000999999999</v>
      </c>
      <c r="E119">
        <v>24.9</v>
      </c>
      <c r="F119">
        <v>24.9</v>
      </c>
      <c r="G119">
        <v>397300</v>
      </c>
      <c r="I119" s="346">
        <v>41774</v>
      </c>
      <c r="J119">
        <v>21.15</v>
      </c>
      <c r="K119">
        <v>21.15</v>
      </c>
      <c r="L119">
        <v>20.92</v>
      </c>
      <c r="M119">
        <v>21.02</v>
      </c>
    </row>
    <row r="120" spans="1:13">
      <c r="A120" s="346">
        <v>41775</v>
      </c>
      <c r="B120">
        <v>25.059999000000001</v>
      </c>
      <c r="C120">
        <v>25.450001</v>
      </c>
      <c r="D120">
        <v>24.549999</v>
      </c>
      <c r="E120">
        <v>25.049999</v>
      </c>
      <c r="F120">
        <v>25.049999</v>
      </c>
      <c r="G120">
        <v>383600</v>
      </c>
      <c r="I120" s="346">
        <v>41775</v>
      </c>
      <c r="J120">
        <v>21.01</v>
      </c>
      <c r="K120">
        <v>21.01</v>
      </c>
      <c r="L120">
        <v>20.860001</v>
      </c>
      <c r="M120">
        <v>20.950001</v>
      </c>
    </row>
    <row r="121" spans="1:13">
      <c r="A121" s="346">
        <v>41779</v>
      </c>
      <c r="B121">
        <v>25.18</v>
      </c>
      <c r="C121">
        <v>25.200001</v>
      </c>
      <c r="D121">
        <v>24.75</v>
      </c>
      <c r="E121">
        <v>24.75</v>
      </c>
      <c r="F121">
        <v>24.75</v>
      </c>
      <c r="G121">
        <v>360600</v>
      </c>
      <c r="I121" s="346">
        <v>41779</v>
      </c>
      <c r="J121">
        <v>20.969999000000001</v>
      </c>
      <c r="K121">
        <v>21.030000999999999</v>
      </c>
      <c r="L121">
        <v>20.91</v>
      </c>
      <c r="M121">
        <v>20.969999000000001</v>
      </c>
    </row>
    <row r="122" spans="1:13">
      <c r="A122" s="346">
        <v>41780</v>
      </c>
      <c r="B122">
        <v>24.74</v>
      </c>
      <c r="C122">
        <v>24.879999000000002</v>
      </c>
      <c r="D122">
        <v>24.35</v>
      </c>
      <c r="E122">
        <v>24.559999000000001</v>
      </c>
      <c r="F122">
        <v>24.559999000000001</v>
      </c>
      <c r="G122">
        <v>336700</v>
      </c>
      <c r="I122" s="346">
        <v>41780</v>
      </c>
      <c r="J122">
        <v>21.02</v>
      </c>
      <c r="K122">
        <v>21.18</v>
      </c>
      <c r="L122">
        <v>21.01</v>
      </c>
      <c r="M122">
        <v>21.17</v>
      </c>
    </row>
    <row r="123" spans="1:13">
      <c r="A123" s="346">
        <v>41781</v>
      </c>
      <c r="B123">
        <v>24.610001</v>
      </c>
      <c r="C123">
        <v>24.75</v>
      </c>
      <c r="D123">
        <v>24.41</v>
      </c>
      <c r="E123">
        <v>24.52</v>
      </c>
      <c r="F123">
        <v>24.52</v>
      </c>
      <c r="G123">
        <v>266900</v>
      </c>
      <c r="I123" s="346">
        <v>41781</v>
      </c>
      <c r="J123">
        <v>21.219999000000001</v>
      </c>
      <c r="K123">
        <v>21.32</v>
      </c>
      <c r="L123">
        <v>21.200001</v>
      </c>
      <c r="M123">
        <v>21.23</v>
      </c>
    </row>
    <row r="124" spans="1:13">
      <c r="A124" s="346">
        <v>41782</v>
      </c>
      <c r="B124">
        <v>24.57</v>
      </c>
      <c r="C124">
        <v>25.040001</v>
      </c>
      <c r="D124">
        <v>24.5</v>
      </c>
      <c r="E124">
        <v>24.67</v>
      </c>
      <c r="F124">
        <v>24.67</v>
      </c>
      <c r="G124">
        <v>303500</v>
      </c>
      <c r="I124" s="346">
        <v>41782</v>
      </c>
      <c r="J124">
        <v>21.24</v>
      </c>
      <c r="K124">
        <v>21.27</v>
      </c>
      <c r="L124">
        <v>21.219999000000001</v>
      </c>
      <c r="M124">
        <v>21.23</v>
      </c>
    </row>
    <row r="125" spans="1:13">
      <c r="A125" s="346">
        <v>41785</v>
      </c>
      <c r="B125">
        <v>24.549999</v>
      </c>
      <c r="C125">
        <v>24.85</v>
      </c>
      <c r="D125">
        <v>24.549999</v>
      </c>
      <c r="E125">
        <v>24.68</v>
      </c>
      <c r="F125">
        <v>24.68</v>
      </c>
      <c r="G125">
        <v>47400</v>
      </c>
      <c r="I125" s="346">
        <v>41785</v>
      </c>
      <c r="J125">
        <v>21.27</v>
      </c>
      <c r="K125">
        <v>21.360001</v>
      </c>
      <c r="L125">
        <v>21.23</v>
      </c>
      <c r="M125">
        <v>21.27</v>
      </c>
    </row>
    <row r="126" spans="1:13">
      <c r="A126" s="346">
        <v>41786</v>
      </c>
      <c r="B126">
        <v>24.709999</v>
      </c>
      <c r="C126">
        <v>24.75</v>
      </c>
      <c r="D126">
        <v>24.25</v>
      </c>
      <c r="E126">
        <v>24.309999000000001</v>
      </c>
      <c r="F126">
        <v>24.309999000000001</v>
      </c>
      <c r="G126">
        <v>401600</v>
      </c>
      <c r="I126" s="346">
        <v>41786</v>
      </c>
      <c r="J126">
        <v>21.280000999999999</v>
      </c>
      <c r="K126">
        <v>21.280000999999999</v>
      </c>
      <c r="L126">
        <v>21.129999000000002</v>
      </c>
      <c r="M126">
        <v>21.17</v>
      </c>
    </row>
    <row r="127" spans="1:13">
      <c r="A127" s="346">
        <v>41787</v>
      </c>
      <c r="B127">
        <v>24.190000999999999</v>
      </c>
      <c r="C127">
        <v>24.290001</v>
      </c>
      <c r="D127">
        <v>23.790001</v>
      </c>
      <c r="E127">
        <v>24.190000999999999</v>
      </c>
      <c r="F127">
        <v>24.190000999999999</v>
      </c>
      <c r="G127">
        <v>379000</v>
      </c>
      <c r="I127" s="346">
        <v>41787</v>
      </c>
      <c r="J127">
        <v>21.190000999999999</v>
      </c>
      <c r="K127">
        <v>21.190000999999999</v>
      </c>
      <c r="L127">
        <v>21.040001</v>
      </c>
      <c r="M127">
        <v>21.09</v>
      </c>
    </row>
    <row r="128" spans="1:13">
      <c r="A128" s="346">
        <v>41788</v>
      </c>
      <c r="B128">
        <v>24.02</v>
      </c>
      <c r="C128">
        <v>24.129999000000002</v>
      </c>
      <c r="D128">
        <v>23.629999000000002</v>
      </c>
      <c r="E128">
        <v>24.07</v>
      </c>
      <c r="F128">
        <v>24.07</v>
      </c>
      <c r="G128">
        <v>340500</v>
      </c>
      <c r="I128" s="346">
        <v>41788</v>
      </c>
      <c r="J128">
        <v>21.129999000000002</v>
      </c>
      <c r="K128">
        <v>21.15</v>
      </c>
      <c r="L128">
        <v>20.98</v>
      </c>
      <c r="M128">
        <v>21.059999000000001</v>
      </c>
    </row>
    <row r="129" spans="1:13">
      <c r="A129" s="346">
        <v>41789</v>
      </c>
      <c r="B129">
        <v>24.110001</v>
      </c>
      <c r="C129">
        <v>24.110001</v>
      </c>
      <c r="D129">
        <v>23.76</v>
      </c>
      <c r="E129">
        <v>23.93</v>
      </c>
      <c r="F129">
        <v>23.93</v>
      </c>
      <c r="G129">
        <v>329800</v>
      </c>
      <c r="I129" s="346">
        <v>41789</v>
      </c>
      <c r="J129">
        <v>21.049999</v>
      </c>
      <c r="K129">
        <v>21.16</v>
      </c>
      <c r="L129">
        <v>20.99</v>
      </c>
      <c r="M129">
        <v>21.129999000000002</v>
      </c>
    </row>
    <row r="130" spans="1:13">
      <c r="A130" s="346">
        <v>41792</v>
      </c>
      <c r="B130">
        <v>23.83</v>
      </c>
      <c r="C130">
        <v>23.91</v>
      </c>
      <c r="D130">
        <v>23.4</v>
      </c>
      <c r="E130">
        <v>23.51</v>
      </c>
      <c r="F130">
        <v>23.51</v>
      </c>
      <c r="G130">
        <v>300700</v>
      </c>
      <c r="I130" s="346">
        <v>41792</v>
      </c>
      <c r="J130">
        <v>21.139999</v>
      </c>
      <c r="K130">
        <v>21.23</v>
      </c>
      <c r="L130">
        <v>21.139999</v>
      </c>
      <c r="M130">
        <v>21.23</v>
      </c>
    </row>
    <row r="131" spans="1:13">
      <c r="A131" s="346">
        <v>41793</v>
      </c>
      <c r="B131">
        <v>23.41</v>
      </c>
      <c r="C131">
        <v>23.67</v>
      </c>
      <c r="D131">
        <v>22.76</v>
      </c>
      <c r="E131">
        <v>22.889999</v>
      </c>
      <c r="F131">
        <v>22.889999</v>
      </c>
      <c r="G131">
        <v>390100</v>
      </c>
      <c r="I131" s="346">
        <v>41793</v>
      </c>
      <c r="J131">
        <v>21.219999000000001</v>
      </c>
      <c r="K131">
        <v>21.32</v>
      </c>
      <c r="L131">
        <v>21.18</v>
      </c>
      <c r="M131">
        <v>21.299999</v>
      </c>
    </row>
    <row r="132" spans="1:13">
      <c r="A132" s="346">
        <v>41794</v>
      </c>
      <c r="B132">
        <v>22.700001</v>
      </c>
      <c r="C132">
        <v>23.110001</v>
      </c>
      <c r="D132">
        <v>22.309999000000001</v>
      </c>
      <c r="E132">
        <v>23.01</v>
      </c>
      <c r="F132">
        <v>23.01</v>
      </c>
      <c r="G132">
        <v>413500</v>
      </c>
      <c r="I132" s="346">
        <v>41794</v>
      </c>
      <c r="J132">
        <v>21.27</v>
      </c>
      <c r="K132">
        <v>21.389999</v>
      </c>
      <c r="L132">
        <v>21.190000999999999</v>
      </c>
      <c r="M132">
        <v>21.370000999999998</v>
      </c>
    </row>
    <row r="133" spans="1:13">
      <c r="A133" s="346">
        <v>41795</v>
      </c>
      <c r="B133">
        <v>23.120000999999998</v>
      </c>
      <c r="C133">
        <v>23.16</v>
      </c>
      <c r="D133">
        <v>22.74</v>
      </c>
      <c r="E133">
        <v>22.84</v>
      </c>
      <c r="F133">
        <v>22.84</v>
      </c>
      <c r="G133">
        <v>211300</v>
      </c>
      <c r="I133" s="346">
        <v>41795</v>
      </c>
      <c r="J133">
        <v>21.379999000000002</v>
      </c>
      <c r="K133">
        <v>21.4</v>
      </c>
      <c r="L133">
        <v>21.26</v>
      </c>
      <c r="M133">
        <v>21.33</v>
      </c>
    </row>
    <row r="134" spans="1:13">
      <c r="A134" s="346">
        <v>41796</v>
      </c>
      <c r="B134">
        <v>22.809999000000001</v>
      </c>
      <c r="C134">
        <v>23.379999000000002</v>
      </c>
      <c r="D134">
        <v>22.76</v>
      </c>
      <c r="E134">
        <v>23.040001</v>
      </c>
      <c r="F134">
        <v>23.040001</v>
      </c>
      <c r="G134">
        <v>240400</v>
      </c>
      <c r="I134" s="346">
        <v>41796</v>
      </c>
      <c r="J134">
        <v>21.370000999999998</v>
      </c>
      <c r="K134">
        <v>21.41</v>
      </c>
      <c r="L134">
        <v>21.33</v>
      </c>
      <c r="M134">
        <v>21.41</v>
      </c>
    </row>
    <row r="135" spans="1:13">
      <c r="A135" s="346">
        <v>41799</v>
      </c>
      <c r="B135">
        <v>23</v>
      </c>
      <c r="C135">
        <v>24.549999</v>
      </c>
      <c r="D135">
        <v>23</v>
      </c>
      <c r="E135">
        <v>24.09</v>
      </c>
      <c r="F135">
        <v>24.09</v>
      </c>
      <c r="G135">
        <v>478800</v>
      </c>
      <c r="I135" s="346">
        <v>41799</v>
      </c>
      <c r="J135">
        <v>21.41</v>
      </c>
      <c r="K135">
        <v>21.5</v>
      </c>
      <c r="L135">
        <v>21.4</v>
      </c>
      <c r="M135">
        <v>21.440000999999999</v>
      </c>
    </row>
    <row r="136" spans="1:13">
      <c r="A136" s="346">
        <v>41800</v>
      </c>
      <c r="B136">
        <v>24.120000999999998</v>
      </c>
      <c r="C136">
        <v>24.5</v>
      </c>
      <c r="D136">
        <v>23.950001</v>
      </c>
      <c r="E136">
        <v>24.059999000000001</v>
      </c>
      <c r="F136">
        <v>24.059999000000001</v>
      </c>
      <c r="G136">
        <v>391700</v>
      </c>
      <c r="I136" s="346">
        <v>41800</v>
      </c>
      <c r="J136">
        <v>21.42</v>
      </c>
      <c r="K136">
        <v>21.530000999999999</v>
      </c>
      <c r="L136">
        <v>21.42</v>
      </c>
      <c r="M136">
        <v>21.5</v>
      </c>
    </row>
    <row r="137" spans="1:13">
      <c r="A137" s="346">
        <v>41801</v>
      </c>
      <c r="B137">
        <v>23.91</v>
      </c>
      <c r="C137">
        <v>24.07</v>
      </c>
      <c r="D137">
        <v>23.51</v>
      </c>
      <c r="E137">
        <v>23.870000999999998</v>
      </c>
      <c r="F137">
        <v>23.870000999999998</v>
      </c>
      <c r="G137">
        <v>200400</v>
      </c>
      <c r="I137" s="346">
        <v>41801</v>
      </c>
      <c r="J137">
        <v>21.48</v>
      </c>
      <c r="K137">
        <v>21.49</v>
      </c>
      <c r="L137">
        <v>21.43</v>
      </c>
      <c r="M137">
        <v>21.459999</v>
      </c>
    </row>
    <row r="138" spans="1:13">
      <c r="A138" s="346">
        <v>41802</v>
      </c>
      <c r="B138">
        <v>23.809999000000001</v>
      </c>
      <c r="C138">
        <v>24.049999</v>
      </c>
      <c r="D138">
        <v>23.540001</v>
      </c>
      <c r="E138">
        <v>23.67</v>
      </c>
      <c r="F138">
        <v>23.67</v>
      </c>
      <c r="G138">
        <v>248100</v>
      </c>
      <c r="I138" s="346">
        <v>41802</v>
      </c>
      <c r="J138">
        <v>21.49</v>
      </c>
      <c r="K138">
        <v>21.530000999999999</v>
      </c>
      <c r="L138">
        <v>21.43</v>
      </c>
      <c r="M138">
        <v>21.52</v>
      </c>
    </row>
    <row r="139" spans="1:13">
      <c r="A139" s="346">
        <v>41803</v>
      </c>
      <c r="B139">
        <v>23.629999000000002</v>
      </c>
      <c r="C139">
        <v>24.030000999999999</v>
      </c>
      <c r="D139">
        <v>23.32</v>
      </c>
      <c r="E139">
        <v>23.639999</v>
      </c>
      <c r="F139">
        <v>23.639999</v>
      </c>
      <c r="G139">
        <v>285000</v>
      </c>
      <c r="I139" s="346">
        <v>41803</v>
      </c>
      <c r="J139">
        <v>21.51</v>
      </c>
      <c r="K139">
        <v>21.700001</v>
      </c>
      <c r="L139">
        <v>21.5</v>
      </c>
      <c r="M139">
        <v>21.67</v>
      </c>
    </row>
    <row r="140" spans="1:13">
      <c r="A140" s="346">
        <v>41806</v>
      </c>
      <c r="B140">
        <v>23.559999000000001</v>
      </c>
      <c r="C140">
        <v>24.799999</v>
      </c>
      <c r="D140">
        <v>23.559999000000001</v>
      </c>
      <c r="E140">
        <v>24.76</v>
      </c>
      <c r="F140">
        <v>24.76</v>
      </c>
      <c r="G140">
        <v>253000</v>
      </c>
      <c r="I140" s="346">
        <v>41806</v>
      </c>
      <c r="J140">
        <v>21.66</v>
      </c>
      <c r="K140">
        <v>21.77</v>
      </c>
      <c r="L140">
        <v>21.65</v>
      </c>
      <c r="M140">
        <v>21.73</v>
      </c>
    </row>
    <row r="141" spans="1:13">
      <c r="A141" s="346">
        <v>41807</v>
      </c>
      <c r="B141">
        <v>24.68</v>
      </c>
      <c r="C141">
        <v>24.68</v>
      </c>
      <c r="D141">
        <v>24.040001</v>
      </c>
      <c r="E141">
        <v>24.09</v>
      </c>
      <c r="F141">
        <v>24.09</v>
      </c>
      <c r="G141">
        <v>289400</v>
      </c>
      <c r="I141" s="346">
        <v>41807</v>
      </c>
      <c r="J141">
        <v>21.719999000000001</v>
      </c>
      <c r="K141">
        <v>21.77</v>
      </c>
      <c r="L141">
        <v>21.67</v>
      </c>
      <c r="M141">
        <v>21.75</v>
      </c>
    </row>
    <row r="142" spans="1:13">
      <c r="A142" s="346">
        <v>41808</v>
      </c>
      <c r="B142">
        <v>24.09</v>
      </c>
      <c r="C142">
        <v>24.25</v>
      </c>
      <c r="D142">
        <v>23.860001</v>
      </c>
      <c r="E142">
        <v>23.9</v>
      </c>
      <c r="F142">
        <v>23.9</v>
      </c>
      <c r="G142">
        <v>242900</v>
      </c>
      <c r="I142" s="346">
        <v>41808</v>
      </c>
      <c r="J142">
        <v>21.6</v>
      </c>
      <c r="K142">
        <v>21.68</v>
      </c>
      <c r="L142">
        <v>21.59</v>
      </c>
      <c r="M142">
        <v>21.68</v>
      </c>
    </row>
    <row r="143" spans="1:13">
      <c r="A143" s="346">
        <v>41809</v>
      </c>
      <c r="B143">
        <v>23.780000999999999</v>
      </c>
      <c r="C143">
        <v>23.91</v>
      </c>
      <c r="D143">
        <v>23.299999</v>
      </c>
      <c r="E143">
        <v>23.41</v>
      </c>
      <c r="F143">
        <v>23.41</v>
      </c>
      <c r="G143">
        <v>375300</v>
      </c>
      <c r="I143" s="346">
        <v>41809</v>
      </c>
      <c r="J143">
        <v>21.690000999999999</v>
      </c>
      <c r="K143">
        <v>21.690000999999999</v>
      </c>
      <c r="L143">
        <v>21.6</v>
      </c>
      <c r="M143">
        <v>21.68</v>
      </c>
    </row>
    <row r="144" spans="1:13">
      <c r="A144" s="346">
        <v>41810</v>
      </c>
      <c r="B144">
        <v>23.4</v>
      </c>
      <c r="C144">
        <v>23.790001</v>
      </c>
      <c r="D144">
        <v>22.719999000000001</v>
      </c>
      <c r="E144">
        <v>23.059999000000001</v>
      </c>
      <c r="F144">
        <v>23.059999000000001</v>
      </c>
      <c r="G144">
        <v>1911000</v>
      </c>
      <c r="I144" s="346">
        <v>41810</v>
      </c>
      <c r="J144">
        <v>21.709999</v>
      </c>
      <c r="K144">
        <v>21.709999</v>
      </c>
      <c r="L144">
        <v>21.620000999999998</v>
      </c>
      <c r="M144">
        <v>21.700001</v>
      </c>
    </row>
    <row r="145" spans="1:13">
      <c r="A145" s="346">
        <v>41813</v>
      </c>
      <c r="B145">
        <v>22.99</v>
      </c>
      <c r="C145">
        <v>23.5</v>
      </c>
      <c r="D145">
        <v>22.809999000000001</v>
      </c>
      <c r="E145">
        <v>23.469999000000001</v>
      </c>
      <c r="F145">
        <v>23.469999000000001</v>
      </c>
      <c r="G145">
        <v>523600</v>
      </c>
      <c r="I145" s="346">
        <v>41813</v>
      </c>
      <c r="J145">
        <v>21.68</v>
      </c>
      <c r="K145">
        <v>21.709999</v>
      </c>
      <c r="L145">
        <v>21.629999000000002</v>
      </c>
      <c r="M145">
        <v>21.709999</v>
      </c>
    </row>
    <row r="146" spans="1:13">
      <c r="A146" s="346">
        <v>41814</v>
      </c>
      <c r="B146">
        <v>23.379999000000002</v>
      </c>
      <c r="C146">
        <v>23.379999000000002</v>
      </c>
      <c r="D146">
        <v>22.57</v>
      </c>
      <c r="E146">
        <v>22.790001</v>
      </c>
      <c r="F146">
        <v>22.790001</v>
      </c>
      <c r="G146">
        <v>461500</v>
      </c>
      <c r="I146" s="346">
        <v>41814</v>
      </c>
      <c r="J146">
        <v>21.709999</v>
      </c>
      <c r="K146">
        <v>21.73</v>
      </c>
      <c r="L146">
        <v>21.48</v>
      </c>
      <c r="M146">
        <v>21.49</v>
      </c>
    </row>
    <row r="147" spans="1:13">
      <c r="A147" s="346">
        <v>41815</v>
      </c>
      <c r="B147">
        <v>22.57</v>
      </c>
      <c r="C147">
        <v>23.07</v>
      </c>
      <c r="D147">
        <v>22.559999000000001</v>
      </c>
      <c r="E147">
        <v>22.940000999999999</v>
      </c>
      <c r="F147">
        <v>22.940000999999999</v>
      </c>
      <c r="G147">
        <v>938100</v>
      </c>
      <c r="I147" s="346">
        <v>41815</v>
      </c>
      <c r="J147">
        <v>21.49</v>
      </c>
      <c r="K147">
        <v>21.59</v>
      </c>
      <c r="L147">
        <v>21.48</v>
      </c>
      <c r="M147">
        <v>21.5</v>
      </c>
    </row>
    <row r="148" spans="1:13">
      <c r="A148" s="346">
        <v>41816</v>
      </c>
      <c r="B148">
        <v>22.9</v>
      </c>
      <c r="C148">
        <v>23.35</v>
      </c>
      <c r="D148">
        <v>22.85</v>
      </c>
      <c r="E148">
        <v>23.049999</v>
      </c>
      <c r="F148">
        <v>23.049999</v>
      </c>
      <c r="G148">
        <v>470100</v>
      </c>
      <c r="I148" s="346">
        <v>41816</v>
      </c>
      <c r="J148">
        <v>21.530000999999999</v>
      </c>
      <c r="K148">
        <v>21.629999000000002</v>
      </c>
      <c r="L148">
        <v>21.469999000000001</v>
      </c>
      <c r="M148">
        <v>21.610001</v>
      </c>
    </row>
    <row r="149" spans="1:13">
      <c r="A149" s="346">
        <v>41817</v>
      </c>
      <c r="B149">
        <v>22.92</v>
      </c>
      <c r="C149">
        <v>22.93</v>
      </c>
      <c r="D149">
        <v>22.58</v>
      </c>
      <c r="E149">
        <v>22.85</v>
      </c>
      <c r="F149">
        <v>22.85</v>
      </c>
      <c r="G149">
        <v>469300</v>
      </c>
      <c r="I149" s="346">
        <v>41817</v>
      </c>
      <c r="J149">
        <v>21.6</v>
      </c>
      <c r="K149">
        <v>21.73</v>
      </c>
      <c r="L149">
        <v>21.6</v>
      </c>
      <c r="M149">
        <v>21.709999</v>
      </c>
    </row>
    <row r="150" spans="1:13">
      <c r="A150" s="346">
        <v>41820</v>
      </c>
      <c r="B150">
        <v>23</v>
      </c>
      <c r="C150">
        <v>23.41</v>
      </c>
      <c r="D150">
        <v>22.98</v>
      </c>
      <c r="E150">
        <v>23.360001</v>
      </c>
      <c r="F150">
        <v>23.360001</v>
      </c>
      <c r="G150">
        <v>237600</v>
      </c>
      <c r="I150" s="346">
        <v>41820</v>
      </c>
      <c r="J150">
        <v>21.709999</v>
      </c>
      <c r="K150">
        <v>21.809999000000001</v>
      </c>
      <c r="L150">
        <v>21.68</v>
      </c>
      <c r="M150">
        <v>21.76</v>
      </c>
    </row>
    <row r="151" spans="1:13">
      <c r="A151" s="346">
        <v>41822</v>
      </c>
      <c r="B151">
        <v>23.6</v>
      </c>
      <c r="C151">
        <v>23.700001</v>
      </c>
      <c r="D151">
        <v>23.23</v>
      </c>
      <c r="E151">
        <v>23.459999</v>
      </c>
      <c r="F151">
        <v>23.459999</v>
      </c>
      <c r="G151">
        <v>365500</v>
      </c>
      <c r="I151" s="346">
        <v>41822</v>
      </c>
      <c r="J151">
        <v>21.82</v>
      </c>
      <c r="K151">
        <v>21.9</v>
      </c>
      <c r="L151">
        <v>21.77</v>
      </c>
      <c r="M151">
        <v>21.860001</v>
      </c>
    </row>
    <row r="152" spans="1:13">
      <c r="A152" s="346">
        <v>41823</v>
      </c>
      <c r="B152">
        <v>23.57</v>
      </c>
      <c r="C152">
        <v>23.629999000000002</v>
      </c>
      <c r="D152">
        <v>23.049999</v>
      </c>
      <c r="E152">
        <v>23.17</v>
      </c>
      <c r="F152">
        <v>23.17</v>
      </c>
      <c r="G152">
        <v>224700</v>
      </c>
      <c r="I152" s="346">
        <v>41823</v>
      </c>
      <c r="J152">
        <v>21.92</v>
      </c>
      <c r="K152">
        <v>21.940000999999999</v>
      </c>
      <c r="L152">
        <v>21.84</v>
      </c>
      <c r="M152">
        <v>21.879999000000002</v>
      </c>
    </row>
    <row r="153" spans="1:13">
      <c r="A153" s="346">
        <v>41824</v>
      </c>
      <c r="B153">
        <v>23.200001</v>
      </c>
      <c r="C153">
        <v>23.450001</v>
      </c>
      <c r="D153">
        <v>23.01</v>
      </c>
      <c r="E153">
        <v>23.190000999999999</v>
      </c>
      <c r="F153">
        <v>23.190000999999999</v>
      </c>
      <c r="G153">
        <v>60500</v>
      </c>
      <c r="I153" s="346">
        <v>41824</v>
      </c>
      <c r="J153">
        <v>21.85</v>
      </c>
      <c r="K153">
        <v>21.940000999999999</v>
      </c>
      <c r="L153">
        <v>21.85</v>
      </c>
      <c r="M153">
        <v>21.91</v>
      </c>
    </row>
    <row r="154" spans="1:13">
      <c r="A154" s="346">
        <v>41827</v>
      </c>
      <c r="B154">
        <v>23.07</v>
      </c>
      <c r="C154">
        <v>23.379999000000002</v>
      </c>
      <c r="D154">
        <v>23.07</v>
      </c>
      <c r="E154">
        <v>23.24</v>
      </c>
      <c r="F154">
        <v>23.24</v>
      </c>
      <c r="G154">
        <v>160000</v>
      </c>
      <c r="I154" s="346">
        <v>41827</v>
      </c>
      <c r="J154">
        <v>21.85</v>
      </c>
      <c r="K154">
        <v>21.879999000000002</v>
      </c>
      <c r="L154">
        <v>21.74</v>
      </c>
      <c r="M154">
        <v>21.879999000000002</v>
      </c>
    </row>
    <row r="155" spans="1:13">
      <c r="A155" s="346">
        <v>41828</v>
      </c>
      <c r="B155">
        <v>23.24</v>
      </c>
      <c r="C155">
        <v>23.25</v>
      </c>
      <c r="D155">
        <v>22.690000999999999</v>
      </c>
      <c r="E155">
        <v>23.02</v>
      </c>
      <c r="F155">
        <v>23.02</v>
      </c>
      <c r="G155">
        <v>256900</v>
      </c>
      <c r="I155" s="346">
        <v>41828</v>
      </c>
      <c r="J155">
        <v>21.799999</v>
      </c>
      <c r="K155">
        <v>21.860001</v>
      </c>
      <c r="L155">
        <v>21.66</v>
      </c>
      <c r="M155">
        <v>21.85</v>
      </c>
    </row>
    <row r="156" spans="1:13">
      <c r="A156" s="346">
        <v>41829</v>
      </c>
      <c r="B156">
        <v>23.190000999999999</v>
      </c>
      <c r="C156">
        <v>24.059999000000001</v>
      </c>
      <c r="D156">
        <v>23.15</v>
      </c>
      <c r="E156">
        <v>23.879999000000002</v>
      </c>
      <c r="F156">
        <v>23.879999000000002</v>
      </c>
      <c r="G156">
        <v>433300</v>
      </c>
      <c r="I156" s="346">
        <v>41829</v>
      </c>
      <c r="J156">
        <v>21.879999000000002</v>
      </c>
      <c r="K156">
        <v>21.950001</v>
      </c>
      <c r="L156">
        <v>21.809999000000001</v>
      </c>
      <c r="M156">
        <v>21.940000999999999</v>
      </c>
    </row>
    <row r="157" spans="1:13">
      <c r="A157" s="346">
        <v>41830</v>
      </c>
      <c r="B157">
        <v>23.629999000000002</v>
      </c>
      <c r="C157">
        <v>23.629999000000002</v>
      </c>
      <c r="D157">
        <v>23.42</v>
      </c>
      <c r="E157">
        <v>23.48</v>
      </c>
      <c r="F157">
        <v>23.48</v>
      </c>
      <c r="G157">
        <v>178300</v>
      </c>
      <c r="I157" s="346">
        <v>41830</v>
      </c>
      <c r="J157">
        <v>21.790001</v>
      </c>
      <c r="K157">
        <v>21.889999</v>
      </c>
      <c r="L157">
        <v>21.76</v>
      </c>
      <c r="M157">
        <v>21.82</v>
      </c>
    </row>
    <row r="158" spans="1:13">
      <c r="A158" s="346">
        <v>41831</v>
      </c>
      <c r="B158">
        <v>23.540001</v>
      </c>
      <c r="C158">
        <v>23.59</v>
      </c>
      <c r="D158">
        <v>23.059999000000001</v>
      </c>
      <c r="E158">
        <v>23.059999000000001</v>
      </c>
      <c r="F158">
        <v>23.059999000000001</v>
      </c>
      <c r="G158">
        <v>255500</v>
      </c>
      <c r="I158" s="346">
        <v>41831</v>
      </c>
      <c r="J158">
        <v>21.85</v>
      </c>
      <c r="K158">
        <v>21.879999000000002</v>
      </c>
      <c r="L158">
        <v>21.780000999999999</v>
      </c>
      <c r="M158">
        <v>21.860001</v>
      </c>
    </row>
    <row r="159" spans="1:13">
      <c r="A159" s="346">
        <v>41834</v>
      </c>
      <c r="B159">
        <v>23.09</v>
      </c>
      <c r="C159">
        <v>23.26</v>
      </c>
      <c r="D159">
        <v>22.950001</v>
      </c>
      <c r="E159">
        <v>23.059999000000001</v>
      </c>
      <c r="F159">
        <v>23.059999000000001</v>
      </c>
      <c r="G159">
        <v>138900</v>
      </c>
      <c r="I159" s="346">
        <v>41834</v>
      </c>
      <c r="J159">
        <v>21.860001</v>
      </c>
      <c r="K159">
        <v>21.940000999999999</v>
      </c>
      <c r="L159">
        <v>21.860001</v>
      </c>
      <c r="M159">
        <v>21.92</v>
      </c>
    </row>
    <row r="160" spans="1:13">
      <c r="A160" s="346">
        <v>41835</v>
      </c>
      <c r="B160">
        <v>23.049999</v>
      </c>
      <c r="C160">
        <v>23.09</v>
      </c>
      <c r="D160">
        <v>22.85</v>
      </c>
      <c r="E160">
        <v>22.860001</v>
      </c>
      <c r="F160">
        <v>22.860001</v>
      </c>
      <c r="G160">
        <v>104500</v>
      </c>
      <c r="I160" s="346">
        <v>41835</v>
      </c>
      <c r="J160">
        <v>21.889999</v>
      </c>
      <c r="K160">
        <v>21.969999000000001</v>
      </c>
      <c r="L160">
        <v>21.799999</v>
      </c>
      <c r="M160">
        <v>21.84</v>
      </c>
    </row>
    <row r="161" spans="1:13">
      <c r="A161" s="346">
        <v>41836</v>
      </c>
      <c r="B161">
        <v>23.01</v>
      </c>
      <c r="C161">
        <v>23.41</v>
      </c>
      <c r="D161">
        <v>22.9</v>
      </c>
      <c r="E161">
        <v>23.360001</v>
      </c>
      <c r="F161">
        <v>23.360001</v>
      </c>
      <c r="G161">
        <v>315300</v>
      </c>
      <c r="I161" s="346">
        <v>41836</v>
      </c>
      <c r="J161">
        <v>21.92</v>
      </c>
      <c r="K161">
        <v>22.08</v>
      </c>
      <c r="L161">
        <v>21.92</v>
      </c>
      <c r="M161">
        <v>22.040001</v>
      </c>
    </row>
    <row r="162" spans="1:13">
      <c r="A162" s="346">
        <v>41837</v>
      </c>
      <c r="B162">
        <v>23.290001</v>
      </c>
      <c r="C162">
        <v>23.290001</v>
      </c>
      <c r="D162">
        <v>22.74</v>
      </c>
      <c r="E162">
        <v>22.780000999999999</v>
      </c>
      <c r="F162">
        <v>22.780000999999999</v>
      </c>
      <c r="G162">
        <v>354200</v>
      </c>
      <c r="I162" s="346">
        <v>41837</v>
      </c>
      <c r="J162">
        <v>22.040001</v>
      </c>
      <c r="K162">
        <v>22.129999000000002</v>
      </c>
      <c r="L162">
        <v>22</v>
      </c>
      <c r="M162">
        <v>22.030000999999999</v>
      </c>
    </row>
    <row r="163" spans="1:13">
      <c r="A163" s="346">
        <v>41838</v>
      </c>
      <c r="B163">
        <v>22.809999000000001</v>
      </c>
      <c r="C163">
        <v>22.9</v>
      </c>
      <c r="D163">
        <v>22.440000999999999</v>
      </c>
      <c r="E163">
        <v>22.74</v>
      </c>
      <c r="F163">
        <v>22.74</v>
      </c>
      <c r="G163">
        <v>300000</v>
      </c>
      <c r="I163" s="346">
        <v>41838</v>
      </c>
      <c r="J163">
        <v>21.98</v>
      </c>
      <c r="K163">
        <v>22.16</v>
      </c>
      <c r="L163">
        <v>21.98</v>
      </c>
      <c r="M163">
        <v>22.120000999999998</v>
      </c>
    </row>
    <row r="164" spans="1:13">
      <c r="A164" s="346">
        <v>41841</v>
      </c>
      <c r="B164">
        <v>22.809999000000001</v>
      </c>
      <c r="C164">
        <v>22.809999000000001</v>
      </c>
      <c r="D164">
        <v>22.459999</v>
      </c>
      <c r="E164">
        <v>22.620000999999998</v>
      </c>
      <c r="F164">
        <v>22.620000999999998</v>
      </c>
      <c r="G164">
        <v>135400</v>
      </c>
      <c r="I164" s="346">
        <v>41841</v>
      </c>
      <c r="J164">
        <v>22.110001</v>
      </c>
      <c r="K164">
        <v>22.120000999999998</v>
      </c>
      <c r="L164">
        <v>22.049999</v>
      </c>
      <c r="M164">
        <v>22.120000999999998</v>
      </c>
    </row>
    <row r="165" spans="1:13">
      <c r="A165" s="346">
        <v>41842</v>
      </c>
      <c r="B165">
        <v>22.67</v>
      </c>
      <c r="C165">
        <v>22.799999</v>
      </c>
      <c r="D165">
        <v>22.5</v>
      </c>
      <c r="E165">
        <v>22.719999000000001</v>
      </c>
      <c r="F165">
        <v>22.719999000000001</v>
      </c>
      <c r="G165">
        <v>295100</v>
      </c>
      <c r="I165" s="346">
        <v>41842</v>
      </c>
      <c r="J165">
        <v>22.16</v>
      </c>
      <c r="K165">
        <v>22.26</v>
      </c>
      <c r="L165">
        <v>22.15</v>
      </c>
      <c r="M165">
        <v>22.209999</v>
      </c>
    </row>
    <row r="166" spans="1:13">
      <c r="A166" s="346">
        <v>41843</v>
      </c>
      <c r="B166">
        <v>22.719999000000001</v>
      </c>
      <c r="C166">
        <v>22.950001</v>
      </c>
      <c r="D166">
        <v>22.6</v>
      </c>
      <c r="E166">
        <v>22.9</v>
      </c>
      <c r="F166">
        <v>22.9</v>
      </c>
      <c r="G166">
        <v>224100</v>
      </c>
      <c r="I166" s="346">
        <v>41843</v>
      </c>
      <c r="J166">
        <v>22.25</v>
      </c>
      <c r="K166">
        <v>22.33</v>
      </c>
      <c r="L166">
        <v>22.190000999999999</v>
      </c>
      <c r="M166">
        <v>22.33</v>
      </c>
    </row>
    <row r="167" spans="1:13">
      <c r="A167" s="346">
        <v>41844</v>
      </c>
      <c r="B167">
        <v>22.93</v>
      </c>
      <c r="C167">
        <v>23.030000999999999</v>
      </c>
      <c r="D167">
        <v>22.719999000000001</v>
      </c>
      <c r="E167">
        <v>22.84</v>
      </c>
      <c r="F167">
        <v>22.84</v>
      </c>
      <c r="G167">
        <v>145800</v>
      </c>
      <c r="I167" s="346">
        <v>41844</v>
      </c>
      <c r="J167">
        <v>22.360001</v>
      </c>
      <c r="K167">
        <v>22.370000999999998</v>
      </c>
      <c r="L167">
        <v>22.290001</v>
      </c>
      <c r="M167">
        <v>22.32</v>
      </c>
    </row>
    <row r="168" spans="1:13">
      <c r="A168" s="346">
        <v>41845</v>
      </c>
      <c r="B168">
        <v>23.059999000000001</v>
      </c>
      <c r="C168">
        <v>23.059999000000001</v>
      </c>
      <c r="D168">
        <v>22.52</v>
      </c>
      <c r="E168">
        <v>22.639999</v>
      </c>
      <c r="F168">
        <v>22.639999</v>
      </c>
      <c r="G168">
        <v>376800</v>
      </c>
      <c r="I168" s="346">
        <v>41845</v>
      </c>
      <c r="J168">
        <v>22.33</v>
      </c>
      <c r="K168">
        <v>22.52</v>
      </c>
      <c r="L168">
        <v>22.309999000000001</v>
      </c>
      <c r="M168">
        <v>22.440000999999999</v>
      </c>
    </row>
    <row r="169" spans="1:13">
      <c r="A169" s="346">
        <v>41848</v>
      </c>
      <c r="B169">
        <v>22.780000999999999</v>
      </c>
      <c r="C169">
        <v>23.120000999999998</v>
      </c>
      <c r="D169">
        <v>22.75</v>
      </c>
      <c r="E169">
        <v>23.01</v>
      </c>
      <c r="F169">
        <v>23.01</v>
      </c>
      <c r="G169">
        <v>327200</v>
      </c>
      <c r="I169" s="346">
        <v>41848</v>
      </c>
      <c r="J169">
        <v>22.4</v>
      </c>
      <c r="K169">
        <v>22.459999</v>
      </c>
      <c r="L169">
        <v>22.370000999999998</v>
      </c>
      <c r="M169">
        <v>22.440000999999999</v>
      </c>
    </row>
    <row r="170" spans="1:13">
      <c r="A170" s="346">
        <v>41849</v>
      </c>
      <c r="B170">
        <v>23.1</v>
      </c>
      <c r="C170">
        <v>23.48</v>
      </c>
      <c r="D170">
        <v>23.09</v>
      </c>
      <c r="E170">
        <v>23.209999</v>
      </c>
      <c r="F170">
        <v>23.209999</v>
      </c>
      <c r="G170">
        <v>757400</v>
      </c>
      <c r="I170" s="346">
        <v>41849</v>
      </c>
      <c r="J170">
        <v>22.469999000000001</v>
      </c>
      <c r="K170">
        <v>22.530000999999999</v>
      </c>
      <c r="L170">
        <v>22.41</v>
      </c>
      <c r="M170">
        <v>22.41</v>
      </c>
    </row>
    <row r="171" spans="1:13">
      <c r="A171" s="346">
        <v>41850</v>
      </c>
      <c r="B171">
        <v>23.290001</v>
      </c>
      <c r="C171">
        <v>23.49</v>
      </c>
      <c r="D171">
        <v>23</v>
      </c>
      <c r="E171">
        <v>23.35</v>
      </c>
      <c r="F171">
        <v>23.35</v>
      </c>
      <c r="G171">
        <v>437300</v>
      </c>
      <c r="I171" s="346">
        <v>41850</v>
      </c>
      <c r="J171">
        <v>22.48</v>
      </c>
      <c r="K171">
        <v>22.59</v>
      </c>
      <c r="L171">
        <v>22.48</v>
      </c>
      <c r="M171">
        <v>22.58</v>
      </c>
    </row>
    <row r="172" spans="1:13">
      <c r="A172" s="346">
        <v>41851</v>
      </c>
      <c r="B172">
        <v>23.15</v>
      </c>
      <c r="C172">
        <v>23.299999</v>
      </c>
      <c r="D172">
        <v>23.09</v>
      </c>
      <c r="E172">
        <v>23.09</v>
      </c>
      <c r="F172">
        <v>23.09</v>
      </c>
      <c r="G172">
        <v>218100</v>
      </c>
      <c r="I172" s="346">
        <v>41851</v>
      </c>
      <c r="J172">
        <v>22.49</v>
      </c>
      <c r="K172">
        <v>22.530000999999999</v>
      </c>
      <c r="L172">
        <v>22.209999</v>
      </c>
      <c r="M172">
        <v>22.290001</v>
      </c>
    </row>
    <row r="173" spans="1:13">
      <c r="A173" s="346">
        <v>41852</v>
      </c>
      <c r="B173">
        <v>23.01</v>
      </c>
      <c r="C173">
        <v>23.1</v>
      </c>
      <c r="D173">
        <v>22.700001</v>
      </c>
      <c r="E173">
        <v>22.77</v>
      </c>
      <c r="F173">
        <v>22.77</v>
      </c>
      <c r="G173">
        <v>242200</v>
      </c>
      <c r="I173" s="346">
        <v>41852</v>
      </c>
      <c r="J173">
        <v>22.280000999999999</v>
      </c>
      <c r="K173">
        <v>22.35</v>
      </c>
      <c r="L173">
        <v>21.959999</v>
      </c>
      <c r="M173">
        <v>22.08</v>
      </c>
    </row>
    <row r="174" spans="1:13">
      <c r="A174" s="346">
        <v>41856</v>
      </c>
      <c r="B174">
        <v>22.73</v>
      </c>
      <c r="C174">
        <v>22.91</v>
      </c>
      <c r="D174">
        <v>22.530000999999999</v>
      </c>
      <c r="E174">
        <v>22.610001</v>
      </c>
      <c r="F174">
        <v>22.610001</v>
      </c>
      <c r="G174">
        <v>315300</v>
      </c>
      <c r="I174" s="346">
        <v>41856</v>
      </c>
      <c r="J174">
        <v>22.15</v>
      </c>
      <c r="K174">
        <v>22.15</v>
      </c>
      <c r="L174">
        <v>21.969999000000001</v>
      </c>
      <c r="M174">
        <v>22.049999</v>
      </c>
    </row>
    <row r="175" spans="1:13">
      <c r="A175" s="346">
        <v>41857</v>
      </c>
      <c r="B175">
        <v>22.6</v>
      </c>
      <c r="C175">
        <v>22.620000999999998</v>
      </c>
      <c r="D175">
        <v>22.129999000000002</v>
      </c>
      <c r="E175">
        <v>22.290001</v>
      </c>
      <c r="F175">
        <v>22.290001</v>
      </c>
      <c r="G175">
        <v>265500</v>
      </c>
      <c r="I175" s="346">
        <v>41857</v>
      </c>
      <c r="J175">
        <v>21.98</v>
      </c>
      <c r="K175">
        <v>22.1</v>
      </c>
      <c r="L175">
        <v>21.93</v>
      </c>
      <c r="M175">
        <v>22.049999</v>
      </c>
    </row>
    <row r="176" spans="1:13">
      <c r="A176" s="346">
        <v>41858</v>
      </c>
      <c r="B176">
        <v>22.33</v>
      </c>
      <c r="C176">
        <v>22.49</v>
      </c>
      <c r="D176">
        <v>21.9</v>
      </c>
      <c r="E176">
        <v>21.92</v>
      </c>
      <c r="F176">
        <v>21.92</v>
      </c>
      <c r="G176">
        <v>199400</v>
      </c>
      <c r="I176" s="346">
        <v>41858</v>
      </c>
      <c r="J176">
        <v>22.110001</v>
      </c>
      <c r="K176">
        <v>22.120000999999998</v>
      </c>
      <c r="L176">
        <v>21.780000999999999</v>
      </c>
      <c r="M176">
        <v>21.889999</v>
      </c>
    </row>
    <row r="177" spans="1:13">
      <c r="A177" s="346">
        <v>41859</v>
      </c>
      <c r="B177">
        <v>21.93</v>
      </c>
      <c r="C177">
        <v>22</v>
      </c>
      <c r="D177">
        <v>21.75</v>
      </c>
      <c r="E177">
        <v>21.969999000000001</v>
      </c>
      <c r="F177">
        <v>21.969999000000001</v>
      </c>
      <c r="G177">
        <v>260900</v>
      </c>
      <c r="I177" s="346">
        <v>41859</v>
      </c>
      <c r="J177">
        <v>21.93</v>
      </c>
      <c r="K177">
        <v>22.01</v>
      </c>
      <c r="L177">
        <v>21.84</v>
      </c>
      <c r="M177">
        <v>22.01</v>
      </c>
    </row>
    <row r="178" spans="1:13">
      <c r="A178" s="346">
        <v>41862</v>
      </c>
      <c r="B178">
        <v>22.209999</v>
      </c>
      <c r="C178">
        <v>22.68</v>
      </c>
      <c r="D178">
        <v>22.139999</v>
      </c>
      <c r="E178">
        <v>22.549999</v>
      </c>
      <c r="F178">
        <v>22.549999</v>
      </c>
      <c r="G178">
        <v>273900</v>
      </c>
      <c r="I178" s="346">
        <v>41862</v>
      </c>
      <c r="J178">
        <v>22.040001</v>
      </c>
      <c r="K178">
        <v>22.15</v>
      </c>
      <c r="L178">
        <v>22.040001</v>
      </c>
      <c r="M178">
        <v>22.1</v>
      </c>
    </row>
    <row r="179" spans="1:13">
      <c r="A179" s="346">
        <v>41863</v>
      </c>
      <c r="B179">
        <v>22.67</v>
      </c>
      <c r="C179">
        <v>22.67</v>
      </c>
      <c r="D179">
        <v>22.32</v>
      </c>
      <c r="E179">
        <v>22.5</v>
      </c>
      <c r="F179">
        <v>22.5</v>
      </c>
      <c r="G179">
        <v>199000</v>
      </c>
      <c r="I179" s="346">
        <v>41863</v>
      </c>
      <c r="J179">
        <v>22.09</v>
      </c>
      <c r="K179">
        <v>22.190000999999999</v>
      </c>
      <c r="L179">
        <v>22.049999</v>
      </c>
      <c r="M179">
        <v>22.09</v>
      </c>
    </row>
    <row r="180" spans="1:13">
      <c r="A180" s="346">
        <v>41864</v>
      </c>
      <c r="B180">
        <v>22.5</v>
      </c>
      <c r="C180">
        <v>22.59</v>
      </c>
      <c r="D180">
        <v>22.219999000000001</v>
      </c>
      <c r="E180">
        <v>22.540001</v>
      </c>
      <c r="F180">
        <v>22.540001</v>
      </c>
      <c r="G180">
        <v>220500</v>
      </c>
      <c r="I180" s="346">
        <v>41864</v>
      </c>
      <c r="J180">
        <v>22.200001</v>
      </c>
      <c r="K180">
        <v>22.200001</v>
      </c>
      <c r="L180">
        <v>22.059999000000001</v>
      </c>
      <c r="M180">
        <v>22.08</v>
      </c>
    </row>
    <row r="181" spans="1:13">
      <c r="A181" s="346">
        <v>41865</v>
      </c>
      <c r="B181">
        <v>22.51</v>
      </c>
      <c r="C181">
        <v>22.549999</v>
      </c>
      <c r="D181">
        <v>22.33</v>
      </c>
      <c r="E181">
        <v>22.540001</v>
      </c>
      <c r="F181">
        <v>22.540001</v>
      </c>
      <c r="G181">
        <v>183100</v>
      </c>
      <c r="I181" s="346">
        <v>41865</v>
      </c>
      <c r="J181">
        <v>22.129999000000002</v>
      </c>
      <c r="K181">
        <v>22.190000999999999</v>
      </c>
      <c r="L181">
        <v>22.110001</v>
      </c>
      <c r="M181">
        <v>22.190000999999999</v>
      </c>
    </row>
    <row r="182" spans="1:13">
      <c r="A182" s="346">
        <v>41866</v>
      </c>
      <c r="B182">
        <v>22.51</v>
      </c>
      <c r="C182">
        <v>22.889999</v>
      </c>
      <c r="D182">
        <v>22.48</v>
      </c>
      <c r="E182">
        <v>22.870000999999998</v>
      </c>
      <c r="F182">
        <v>22.870000999999998</v>
      </c>
      <c r="G182">
        <v>185400</v>
      </c>
      <c r="I182" s="346">
        <v>41866</v>
      </c>
      <c r="J182">
        <v>22.18</v>
      </c>
      <c r="K182">
        <v>22.190000999999999</v>
      </c>
      <c r="L182">
        <v>21.98</v>
      </c>
      <c r="M182">
        <v>22.17</v>
      </c>
    </row>
    <row r="183" spans="1:13">
      <c r="A183" s="346">
        <v>41869</v>
      </c>
      <c r="B183">
        <v>22.99</v>
      </c>
      <c r="C183">
        <v>23.57</v>
      </c>
      <c r="D183">
        <v>22.889999</v>
      </c>
      <c r="E183">
        <v>23.57</v>
      </c>
      <c r="F183">
        <v>23.57</v>
      </c>
      <c r="G183">
        <v>427400</v>
      </c>
      <c r="I183" s="346">
        <v>41869</v>
      </c>
      <c r="J183">
        <v>22.24</v>
      </c>
      <c r="K183">
        <v>22.290001</v>
      </c>
      <c r="L183">
        <v>22.190000999999999</v>
      </c>
      <c r="M183">
        <v>22.23</v>
      </c>
    </row>
    <row r="184" spans="1:13">
      <c r="A184" s="346">
        <v>41870</v>
      </c>
      <c r="B184">
        <v>24</v>
      </c>
      <c r="C184">
        <v>25.1</v>
      </c>
      <c r="D184">
        <v>23.870000999999998</v>
      </c>
      <c r="E184">
        <v>25.09</v>
      </c>
      <c r="F184">
        <v>25.09</v>
      </c>
      <c r="G184">
        <v>920800</v>
      </c>
      <c r="I184" s="346">
        <v>41870</v>
      </c>
      <c r="J184">
        <v>22.290001</v>
      </c>
      <c r="K184">
        <v>22.469999000000001</v>
      </c>
      <c r="L184">
        <v>22.27</v>
      </c>
      <c r="M184">
        <v>22.440000999999999</v>
      </c>
    </row>
    <row r="185" spans="1:13">
      <c r="A185" s="346">
        <v>41871</v>
      </c>
      <c r="B185">
        <v>25.120000999999998</v>
      </c>
      <c r="C185">
        <v>25.120000999999998</v>
      </c>
      <c r="D185">
        <v>24.74</v>
      </c>
      <c r="E185">
        <v>25.030000999999999</v>
      </c>
      <c r="F185">
        <v>25.030000999999999</v>
      </c>
      <c r="G185">
        <v>675000</v>
      </c>
      <c r="I185" s="346">
        <v>41871</v>
      </c>
      <c r="J185">
        <v>22.42</v>
      </c>
      <c r="K185">
        <v>22.57</v>
      </c>
      <c r="L185">
        <v>22.34</v>
      </c>
      <c r="M185">
        <v>22.57</v>
      </c>
    </row>
    <row r="186" spans="1:13">
      <c r="A186" s="346">
        <v>41872</v>
      </c>
      <c r="B186">
        <v>25.280000999999999</v>
      </c>
      <c r="C186">
        <v>25.290001</v>
      </c>
      <c r="D186">
        <v>24.879999000000002</v>
      </c>
      <c r="E186">
        <v>25.15</v>
      </c>
      <c r="F186">
        <v>25.15</v>
      </c>
      <c r="G186">
        <v>339100</v>
      </c>
      <c r="I186" s="346">
        <v>41872</v>
      </c>
      <c r="J186">
        <v>22.540001</v>
      </c>
      <c r="K186">
        <v>22.57</v>
      </c>
      <c r="L186">
        <v>22.5</v>
      </c>
      <c r="M186">
        <v>22.549999</v>
      </c>
    </row>
    <row r="187" spans="1:13">
      <c r="A187" s="346">
        <v>41873</v>
      </c>
      <c r="B187">
        <v>25.23</v>
      </c>
      <c r="C187">
        <v>25.870000999999998</v>
      </c>
      <c r="D187">
        <v>25.23</v>
      </c>
      <c r="E187">
        <v>25.35</v>
      </c>
      <c r="F187">
        <v>25.35</v>
      </c>
      <c r="G187">
        <v>865500</v>
      </c>
      <c r="I187" s="346">
        <v>41873</v>
      </c>
      <c r="J187">
        <v>22.559999000000001</v>
      </c>
      <c r="K187">
        <v>22.58</v>
      </c>
      <c r="L187">
        <v>22.450001</v>
      </c>
      <c r="M187">
        <v>22.51</v>
      </c>
    </row>
    <row r="188" spans="1:13">
      <c r="A188" s="346">
        <v>41876</v>
      </c>
      <c r="B188">
        <v>25.49</v>
      </c>
      <c r="C188">
        <v>25.790001</v>
      </c>
      <c r="D188">
        <v>25.049999</v>
      </c>
      <c r="E188">
        <v>25.41</v>
      </c>
      <c r="F188">
        <v>25.41</v>
      </c>
      <c r="G188">
        <v>341700</v>
      </c>
      <c r="I188" s="346">
        <v>41876</v>
      </c>
      <c r="J188">
        <v>22.540001</v>
      </c>
      <c r="K188">
        <v>22.68</v>
      </c>
      <c r="L188">
        <v>22.540001</v>
      </c>
      <c r="M188">
        <v>22.629999000000002</v>
      </c>
    </row>
    <row r="189" spans="1:13">
      <c r="A189" s="346">
        <v>41877</v>
      </c>
      <c r="B189">
        <v>25.48</v>
      </c>
      <c r="C189">
        <v>25.74</v>
      </c>
      <c r="D189">
        <v>25.41</v>
      </c>
      <c r="E189">
        <v>25.65</v>
      </c>
      <c r="F189">
        <v>25.65</v>
      </c>
      <c r="G189">
        <v>442100</v>
      </c>
      <c r="I189" s="346">
        <v>41877</v>
      </c>
      <c r="J189">
        <v>22.66</v>
      </c>
      <c r="K189">
        <v>22.709999</v>
      </c>
      <c r="L189">
        <v>22.620000999999998</v>
      </c>
      <c r="M189">
        <v>22.620000999999998</v>
      </c>
    </row>
    <row r="190" spans="1:13">
      <c r="A190" s="346">
        <v>41878</v>
      </c>
      <c r="B190">
        <v>25.65</v>
      </c>
      <c r="C190">
        <v>25.65</v>
      </c>
      <c r="D190">
        <v>25.08</v>
      </c>
      <c r="E190">
        <v>25.190000999999999</v>
      </c>
      <c r="F190">
        <v>25.190000999999999</v>
      </c>
      <c r="G190">
        <v>225700</v>
      </c>
      <c r="I190" s="346">
        <v>41878</v>
      </c>
      <c r="J190">
        <v>22.629999000000002</v>
      </c>
      <c r="K190">
        <v>22.68</v>
      </c>
      <c r="L190">
        <v>22.559999000000001</v>
      </c>
      <c r="M190">
        <v>22.639999</v>
      </c>
    </row>
    <row r="191" spans="1:13">
      <c r="A191" s="346">
        <v>41879</v>
      </c>
      <c r="B191">
        <v>25.02</v>
      </c>
      <c r="C191">
        <v>25.200001</v>
      </c>
      <c r="D191">
        <v>24.75</v>
      </c>
      <c r="E191">
        <v>25.17</v>
      </c>
      <c r="F191">
        <v>25.17</v>
      </c>
      <c r="G191">
        <v>197500</v>
      </c>
      <c r="I191" s="346">
        <v>41879</v>
      </c>
      <c r="J191">
        <v>22.57</v>
      </c>
      <c r="K191">
        <v>22.620000999999998</v>
      </c>
      <c r="L191">
        <v>22.52</v>
      </c>
      <c r="M191">
        <v>22.59</v>
      </c>
    </row>
    <row r="192" spans="1:13">
      <c r="A192" s="346">
        <v>41880</v>
      </c>
      <c r="B192">
        <v>25.24</v>
      </c>
      <c r="C192">
        <v>25.52</v>
      </c>
      <c r="D192">
        <v>25.1</v>
      </c>
      <c r="E192">
        <v>25.219999000000001</v>
      </c>
      <c r="F192">
        <v>25.219999000000001</v>
      </c>
      <c r="G192">
        <v>207000</v>
      </c>
      <c r="I192" s="346">
        <v>41880</v>
      </c>
      <c r="J192">
        <v>22.57</v>
      </c>
      <c r="K192">
        <v>22.68</v>
      </c>
      <c r="L192">
        <v>22.49</v>
      </c>
      <c r="M192">
        <v>22.65</v>
      </c>
    </row>
    <row r="193" spans="1:13">
      <c r="A193" s="346">
        <v>41884</v>
      </c>
      <c r="B193">
        <v>25.200001</v>
      </c>
      <c r="C193">
        <v>25.549999</v>
      </c>
      <c r="D193">
        <v>25.200001</v>
      </c>
      <c r="E193">
        <v>25.4</v>
      </c>
      <c r="F193">
        <v>25.4</v>
      </c>
      <c r="G193">
        <v>122500</v>
      </c>
      <c r="I193" s="346">
        <v>41884</v>
      </c>
      <c r="J193">
        <v>22.66</v>
      </c>
      <c r="K193">
        <v>22.690000999999999</v>
      </c>
      <c r="L193">
        <v>22.58</v>
      </c>
      <c r="M193">
        <v>22.65</v>
      </c>
    </row>
    <row r="194" spans="1:13">
      <c r="A194" s="346">
        <v>41885</v>
      </c>
      <c r="B194">
        <v>25.450001</v>
      </c>
      <c r="C194">
        <v>25.52</v>
      </c>
      <c r="D194">
        <v>25.17</v>
      </c>
      <c r="E194">
        <v>25.41</v>
      </c>
      <c r="F194">
        <v>25.41</v>
      </c>
      <c r="G194">
        <v>132200</v>
      </c>
      <c r="I194" s="346">
        <v>41885</v>
      </c>
      <c r="J194">
        <v>22.73</v>
      </c>
      <c r="K194">
        <v>22.780000999999999</v>
      </c>
      <c r="L194">
        <v>22.68</v>
      </c>
      <c r="M194">
        <v>22.75</v>
      </c>
    </row>
    <row r="195" spans="1:13">
      <c r="A195" s="346">
        <v>41886</v>
      </c>
      <c r="B195">
        <v>25.41</v>
      </c>
      <c r="C195">
        <v>25.85</v>
      </c>
      <c r="D195">
        <v>25.41</v>
      </c>
      <c r="E195">
        <v>25.74</v>
      </c>
      <c r="F195">
        <v>25.74</v>
      </c>
      <c r="G195">
        <v>1183400</v>
      </c>
      <c r="I195" s="346">
        <v>41886</v>
      </c>
      <c r="J195">
        <v>22.74</v>
      </c>
      <c r="K195">
        <v>22.76</v>
      </c>
      <c r="L195">
        <v>22.57</v>
      </c>
      <c r="M195">
        <v>22.65</v>
      </c>
    </row>
    <row r="196" spans="1:13">
      <c r="A196" s="346">
        <v>41887</v>
      </c>
      <c r="B196">
        <v>25.6</v>
      </c>
      <c r="C196">
        <v>25.74</v>
      </c>
      <c r="D196">
        <v>25.42</v>
      </c>
      <c r="E196">
        <v>25.74</v>
      </c>
      <c r="F196">
        <v>25.74</v>
      </c>
      <c r="G196">
        <v>172100</v>
      </c>
      <c r="I196" s="346">
        <v>41887</v>
      </c>
      <c r="J196">
        <v>22.610001</v>
      </c>
      <c r="K196">
        <v>22.68</v>
      </c>
      <c r="L196">
        <v>22.559999000000001</v>
      </c>
      <c r="M196">
        <v>22.68</v>
      </c>
    </row>
    <row r="197" spans="1:13">
      <c r="A197" s="346">
        <v>41890</v>
      </c>
      <c r="B197">
        <v>25.75</v>
      </c>
      <c r="C197">
        <v>25.77</v>
      </c>
      <c r="D197">
        <v>25.24</v>
      </c>
      <c r="E197">
        <v>25.370000999999998</v>
      </c>
      <c r="F197">
        <v>25.370000999999998</v>
      </c>
      <c r="G197">
        <v>113000</v>
      </c>
      <c r="I197" s="346">
        <v>41890</v>
      </c>
      <c r="J197">
        <v>22.6</v>
      </c>
      <c r="K197">
        <v>22.629999000000002</v>
      </c>
      <c r="L197">
        <v>22.52</v>
      </c>
      <c r="M197">
        <v>22.59</v>
      </c>
    </row>
    <row r="198" spans="1:13">
      <c r="A198" s="346">
        <v>41891</v>
      </c>
      <c r="B198">
        <v>25.370000999999998</v>
      </c>
      <c r="C198">
        <v>25.549999</v>
      </c>
      <c r="D198">
        <v>24.98</v>
      </c>
      <c r="E198">
        <v>25.530000999999999</v>
      </c>
      <c r="F198">
        <v>25.530000999999999</v>
      </c>
      <c r="G198">
        <v>188100</v>
      </c>
      <c r="I198" s="346">
        <v>41891</v>
      </c>
      <c r="J198">
        <v>22.58</v>
      </c>
      <c r="K198">
        <v>22.690000999999999</v>
      </c>
      <c r="L198">
        <v>22.57</v>
      </c>
      <c r="M198">
        <v>22.629999000000002</v>
      </c>
    </row>
    <row r="199" spans="1:13">
      <c r="A199" s="346">
        <v>41892</v>
      </c>
      <c r="B199">
        <v>25.450001</v>
      </c>
      <c r="C199">
        <v>25.82</v>
      </c>
      <c r="D199">
        <v>25.43</v>
      </c>
      <c r="E199">
        <v>25.809999000000001</v>
      </c>
      <c r="F199">
        <v>25.809999000000001</v>
      </c>
      <c r="G199">
        <v>228500</v>
      </c>
      <c r="I199" s="346">
        <v>41892</v>
      </c>
      <c r="J199">
        <v>22.6</v>
      </c>
      <c r="K199">
        <v>22.620000999999998</v>
      </c>
      <c r="L199">
        <v>22.469999000000001</v>
      </c>
      <c r="M199">
        <v>22.549999</v>
      </c>
    </row>
    <row r="200" spans="1:13">
      <c r="A200" s="346">
        <v>41893</v>
      </c>
      <c r="B200">
        <v>25.66</v>
      </c>
      <c r="C200">
        <v>25.82</v>
      </c>
      <c r="D200">
        <v>25.549999</v>
      </c>
      <c r="E200">
        <v>25.719999000000001</v>
      </c>
      <c r="F200">
        <v>25.719999000000001</v>
      </c>
      <c r="G200">
        <v>588700</v>
      </c>
      <c r="I200" s="346">
        <v>41893</v>
      </c>
      <c r="J200">
        <v>22.51</v>
      </c>
      <c r="K200">
        <v>22.68</v>
      </c>
      <c r="L200">
        <v>22.5</v>
      </c>
      <c r="M200">
        <v>22.65</v>
      </c>
    </row>
    <row r="201" spans="1:13">
      <c r="A201" s="346">
        <v>41894</v>
      </c>
      <c r="B201">
        <v>25.67</v>
      </c>
      <c r="C201">
        <v>25.92</v>
      </c>
      <c r="D201">
        <v>25.549999</v>
      </c>
      <c r="E201">
        <v>25.76</v>
      </c>
      <c r="F201">
        <v>25.76</v>
      </c>
      <c r="G201">
        <v>163000</v>
      </c>
      <c r="I201" s="346">
        <v>41894</v>
      </c>
      <c r="J201">
        <v>22.629999000000002</v>
      </c>
      <c r="K201">
        <v>22.74</v>
      </c>
      <c r="L201">
        <v>22.610001</v>
      </c>
      <c r="M201">
        <v>22.709999</v>
      </c>
    </row>
    <row r="202" spans="1:13">
      <c r="A202" s="346">
        <v>41897</v>
      </c>
      <c r="B202">
        <v>25.75</v>
      </c>
      <c r="C202">
        <v>25.82</v>
      </c>
      <c r="D202">
        <v>25.6</v>
      </c>
      <c r="E202">
        <v>25.66</v>
      </c>
      <c r="F202">
        <v>25.66</v>
      </c>
      <c r="G202">
        <v>92700</v>
      </c>
      <c r="I202" s="346">
        <v>41897</v>
      </c>
      <c r="J202">
        <v>22.66</v>
      </c>
      <c r="K202">
        <v>22.66</v>
      </c>
      <c r="L202">
        <v>22.52</v>
      </c>
      <c r="M202">
        <v>22.59</v>
      </c>
    </row>
    <row r="203" spans="1:13">
      <c r="A203" s="346">
        <v>41898</v>
      </c>
      <c r="B203">
        <v>25.6</v>
      </c>
      <c r="C203">
        <v>26.07</v>
      </c>
      <c r="D203">
        <v>25.559999000000001</v>
      </c>
      <c r="E203">
        <v>25.950001</v>
      </c>
      <c r="F203">
        <v>25.950001</v>
      </c>
      <c r="G203">
        <v>137900</v>
      </c>
      <c r="I203" s="346">
        <v>41898</v>
      </c>
      <c r="J203">
        <v>22.57</v>
      </c>
      <c r="K203">
        <v>22.75</v>
      </c>
      <c r="L203">
        <v>22.540001</v>
      </c>
      <c r="M203">
        <v>22.700001</v>
      </c>
    </row>
    <row r="204" spans="1:13">
      <c r="A204" s="346">
        <v>41899</v>
      </c>
      <c r="B204">
        <v>26</v>
      </c>
      <c r="C204">
        <v>26.32</v>
      </c>
      <c r="D204">
        <v>25.9</v>
      </c>
      <c r="E204">
        <v>26.18</v>
      </c>
      <c r="F204">
        <v>26.18</v>
      </c>
      <c r="G204">
        <v>159300</v>
      </c>
      <c r="I204" s="346">
        <v>41899</v>
      </c>
      <c r="J204">
        <v>22.559999000000001</v>
      </c>
      <c r="K204">
        <v>22.57</v>
      </c>
      <c r="L204">
        <v>22.41</v>
      </c>
      <c r="M204">
        <v>22.469999000000001</v>
      </c>
    </row>
    <row r="205" spans="1:13">
      <c r="A205" s="346">
        <v>41900</v>
      </c>
      <c r="B205">
        <v>26.209999</v>
      </c>
      <c r="C205">
        <v>26.360001</v>
      </c>
      <c r="D205">
        <v>26.129999000000002</v>
      </c>
      <c r="E205">
        <v>26.32</v>
      </c>
      <c r="F205">
        <v>26.32</v>
      </c>
      <c r="G205">
        <v>159700</v>
      </c>
      <c r="I205" s="346">
        <v>41900</v>
      </c>
      <c r="J205">
        <v>22.49</v>
      </c>
      <c r="K205">
        <v>22.5</v>
      </c>
      <c r="L205">
        <v>22.41</v>
      </c>
      <c r="M205">
        <v>22.5</v>
      </c>
    </row>
    <row r="206" spans="1:13">
      <c r="A206" s="346">
        <v>41901</v>
      </c>
      <c r="B206">
        <v>26.299999</v>
      </c>
      <c r="C206">
        <v>26.370000999999998</v>
      </c>
      <c r="D206">
        <v>25.92</v>
      </c>
      <c r="E206">
        <v>25.98</v>
      </c>
      <c r="F206">
        <v>25.98</v>
      </c>
      <c r="G206">
        <v>570500</v>
      </c>
      <c r="I206" s="346">
        <v>41901</v>
      </c>
      <c r="J206">
        <v>22.42</v>
      </c>
      <c r="K206">
        <v>22.43</v>
      </c>
      <c r="L206">
        <v>22.110001</v>
      </c>
      <c r="M206">
        <v>22.17</v>
      </c>
    </row>
    <row r="207" spans="1:13">
      <c r="A207" s="346">
        <v>41904</v>
      </c>
      <c r="B207">
        <v>25.98</v>
      </c>
      <c r="C207">
        <v>26.17</v>
      </c>
      <c r="D207">
        <v>25.059999000000001</v>
      </c>
      <c r="E207">
        <v>25.17</v>
      </c>
      <c r="F207">
        <v>25.17</v>
      </c>
      <c r="G207">
        <v>228400</v>
      </c>
      <c r="I207" s="346">
        <v>41904</v>
      </c>
      <c r="J207">
        <v>22.16</v>
      </c>
      <c r="K207">
        <v>22.17</v>
      </c>
      <c r="L207">
        <v>21.98</v>
      </c>
      <c r="M207">
        <v>22.030000999999999</v>
      </c>
    </row>
    <row r="208" spans="1:13">
      <c r="A208" s="346">
        <v>41905</v>
      </c>
      <c r="B208">
        <v>25.17</v>
      </c>
      <c r="C208">
        <v>25.33</v>
      </c>
      <c r="D208">
        <v>24.91</v>
      </c>
      <c r="E208">
        <v>25.059999000000001</v>
      </c>
      <c r="F208">
        <v>25.059999000000001</v>
      </c>
      <c r="G208">
        <v>338400</v>
      </c>
      <c r="I208" s="346">
        <v>41905</v>
      </c>
      <c r="J208">
        <v>21.969999000000001</v>
      </c>
      <c r="K208">
        <v>22.07</v>
      </c>
      <c r="L208">
        <v>21.950001</v>
      </c>
      <c r="M208">
        <v>22.02</v>
      </c>
    </row>
    <row r="209" spans="1:13">
      <c r="A209" s="346">
        <v>41906</v>
      </c>
      <c r="B209">
        <v>25.1</v>
      </c>
      <c r="C209">
        <v>25.35</v>
      </c>
      <c r="D209">
        <v>25.049999</v>
      </c>
      <c r="E209">
        <v>25.299999</v>
      </c>
      <c r="F209">
        <v>25.299999</v>
      </c>
      <c r="G209">
        <v>252700</v>
      </c>
      <c r="I209" s="346">
        <v>41906</v>
      </c>
      <c r="J209">
        <v>22.049999</v>
      </c>
      <c r="K209">
        <v>22.059999000000001</v>
      </c>
      <c r="L209">
        <v>21.809999000000001</v>
      </c>
      <c r="M209">
        <v>21.99</v>
      </c>
    </row>
    <row r="210" spans="1:13">
      <c r="A210" s="346">
        <v>41907</v>
      </c>
      <c r="B210">
        <v>25.25</v>
      </c>
      <c r="C210">
        <v>25.309999000000001</v>
      </c>
      <c r="D210">
        <v>24.77</v>
      </c>
      <c r="E210">
        <v>25.07</v>
      </c>
      <c r="F210">
        <v>25.07</v>
      </c>
      <c r="G210">
        <v>127200</v>
      </c>
      <c r="I210" s="346">
        <v>41907</v>
      </c>
      <c r="J210">
        <v>22</v>
      </c>
      <c r="K210">
        <v>22</v>
      </c>
      <c r="L210">
        <v>21.58</v>
      </c>
      <c r="M210">
        <v>21.58</v>
      </c>
    </row>
    <row r="211" spans="1:13">
      <c r="A211" s="346">
        <v>41908</v>
      </c>
      <c r="B211">
        <v>24.76</v>
      </c>
      <c r="C211">
        <v>25.190000999999999</v>
      </c>
      <c r="D211">
        <v>24.66</v>
      </c>
      <c r="E211">
        <v>25.030000999999999</v>
      </c>
      <c r="F211">
        <v>25.030000999999999</v>
      </c>
      <c r="G211">
        <v>154300</v>
      </c>
      <c r="I211" s="346">
        <v>41908</v>
      </c>
      <c r="J211">
        <v>21.58</v>
      </c>
      <c r="K211">
        <v>21.889999</v>
      </c>
      <c r="L211">
        <v>21.51</v>
      </c>
      <c r="M211">
        <v>21.82</v>
      </c>
    </row>
    <row r="212" spans="1:13">
      <c r="A212" s="346">
        <v>41911</v>
      </c>
      <c r="B212">
        <v>24.84</v>
      </c>
      <c r="C212">
        <v>25.290001</v>
      </c>
      <c r="D212">
        <v>24.74</v>
      </c>
      <c r="E212">
        <v>25.23</v>
      </c>
      <c r="F212">
        <v>25.23</v>
      </c>
      <c r="G212">
        <v>259200</v>
      </c>
      <c r="I212" s="346">
        <v>41911</v>
      </c>
      <c r="J212">
        <v>21.719999000000001</v>
      </c>
      <c r="K212">
        <v>21.780000999999999</v>
      </c>
      <c r="L212">
        <v>21.549999</v>
      </c>
      <c r="M212">
        <v>21.75</v>
      </c>
    </row>
    <row r="213" spans="1:13">
      <c r="A213" s="346">
        <v>41912</v>
      </c>
      <c r="B213">
        <v>25.200001</v>
      </c>
      <c r="C213">
        <v>25.24</v>
      </c>
      <c r="D213">
        <v>24.99</v>
      </c>
      <c r="E213">
        <v>25.08</v>
      </c>
      <c r="F213">
        <v>25.08</v>
      </c>
      <c r="G213">
        <v>151600</v>
      </c>
      <c r="I213" s="346">
        <v>41912</v>
      </c>
      <c r="J213">
        <v>21.700001</v>
      </c>
      <c r="K213">
        <v>21.85</v>
      </c>
      <c r="L213">
        <v>21.6</v>
      </c>
      <c r="M213">
        <v>21.74</v>
      </c>
    </row>
    <row r="214" spans="1:13">
      <c r="A214" s="346">
        <v>41913</v>
      </c>
      <c r="B214">
        <v>24.83</v>
      </c>
      <c r="C214">
        <v>25.25</v>
      </c>
      <c r="D214">
        <v>24.83</v>
      </c>
      <c r="E214">
        <v>25.02</v>
      </c>
      <c r="F214">
        <v>25.02</v>
      </c>
      <c r="G214">
        <v>429700</v>
      </c>
      <c r="I214" s="346">
        <v>41913</v>
      </c>
      <c r="J214">
        <v>21.719999000000001</v>
      </c>
      <c r="K214">
        <v>21.719999000000001</v>
      </c>
      <c r="L214">
        <v>21.450001</v>
      </c>
      <c r="M214">
        <v>21.540001</v>
      </c>
    </row>
    <row r="215" spans="1:13">
      <c r="A215" s="346">
        <v>41914</v>
      </c>
      <c r="B215">
        <v>24.98</v>
      </c>
      <c r="C215">
        <v>25.059999000000001</v>
      </c>
      <c r="D215">
        <v>24.68</v>
      </c>
      <c r="E215">
        <v>24.92</v>
      </c>
      <c r="F215">
        <v>24.92</v>
      </c>
      <c r="G215">
        <v>124500</v>
      </c>
      <c r="I215" s="346">
        <v>41914</v>
      </c>
      <c r="J215">
        <v>21.450001</v>
      </c>
      <c r="K215">
        <v>21.48</v>
      </c>
      <c r="L215">
        <v>21.139999</v>
      </c>
      <c r="M215">
        <v>21.48</v>
      </c>
    </row>
    <row r="216" spans="1:13">
      <c r="A216" s="346">
        <v>41915</v>
      </c>
      <c r="B216">
        <v>25.030000999999999</v>
      </c>
      <c r="C216">
        <v>25.610001</v>
      </c>
      <c r="D216">
        <v>25.030000999999999</v>
      </c>
      <c r="E216">
        <v>25.4</v>
      </c>
      <c r="F216">
        <v>25.4</v>
      </c>
      <c r="G216">
        <v>1112400</v>
      </c>
      <c r="I216" s="346">
        <v>41915</v>
      </c>
      <c r="J216">
        <v>21.48</v>
      </c>
      <c r="K216">
        <v>21.639999</v>
      </c>
      <c r="L216">
        <v>21.469999000000001</v>
      </c>
      <c r="M216">
        <v>21.540001</v>
      </c>
    </row>
    <row r="217" spans="1:13">
      <c r="A217" s="346">
        <v>41918</v>
      </c>
      <c r="B217">
        <v>25.469999000000001</v>
      </c>
      <c r="C217">
        <v>25.559999000000001</v>
      </c>
      <c r="D217">
        <v>25.25</v>
      </c>
      <c r="E217">
        <v>25.41</v>
      </c>
      <c r="F217">
        <v>25.41</v>
      </c>
      <c r="G217">
        <v>156200</v>
      </c>
      <c r="I217" s="346">
        <v>41918</v>
      </c>
      <c r="J217">
        <v>21.629999000000002</v>
      </c>
      <c r="K217">
        <v>21.67</v>
      </c>
      <c r="L217">
        <v>21.42</v>
      </c>
      <c r="M217">
        <v>21.42</v>
      </c>
    </row>
    <row r="218" spans="1:13">
      <c r="A218" s="346">
        <v>41919</v>
      </c>
      <c r="B218">
        <v>25.4</v>
      </c>
      <c r="C218">
        <v>25.629999000000002</v>
      </c>
      <c r="D218">
        <v>24.889999</v>
      </c>
      <c r="E218">
        <v>25.02</v>
      </c>
      <c r="F218">
        <v>25.02</v>
      </c>
      <c r="G218">
        <v>184700</v>
      </c>
      <c r="I218" s="346">
        <v>41919</v>
      </c>
      <c r="J218">
        <v>21.379999000000002</v>
      </c>
      <c r="K218">
        <v>21.469999000000001</v>
      </c>
      <c r="L218">
        <v>21.17</v>
      </c>
      <c r="M218">
        <v>21.190000999999999</v>
      </c>
    </row>
    <row r="219" spans="1:13">
      <c r="A219" s="346">
        <v>41920</v>
      </c>
      <c r="B219">
        <v>25</v>
      </c>
      <c r="C219">
        <v>25</v>
      </c>
      <c r="D219">
        <v>24.48</v>
      </c>
      <c r="E219">
        <v>24.879999000000002</v>
      </c>
      <c r="F219">
        <v>24.879999000000002</v>
      </c>
      <c r="G219">
        <v>230300</v>
      </c>
      <c r="I219" s="346">
        <v>41920</v>
      </c>
      <c r="J219">
        <v>21.15</v>
      </c>
      <c r="K219">
        <v>21.33</v>
      </c>
      <c r="L219">
        <v>21</v>
      </c>
      <c r="M219">
        <v>21.309999000000001</v>
      </c>
    </row>
    <row r="220" spans="1:13">
      <c r="A220" s="346">
        <v>41921</v>
      </c>
      <c r="B220">
        <v>24.76</v>
      </c>
      <c r="C220">
        <v>24.76</v>
      </c>
      <c r="D220">
        <v>23.629999000000002</v>
      </c>
      <c r="E220">
        <v>23.809999000000001</v>
      </c>
      <c r="F220">
        <v>23.809999000000001</v>
      </c>
      <c r="G220">
        <v>244000</v>
      </c>
      <c r="I220" s="346">
        <v>41921</v>
      </c>
      <c r="J220">
        <v>21.299999</v>
      </c>
      <c r="K220">
        <v>21.299999</v>
      </c>
      <c r="L220">
        <v>20.93</v>
      </c>
      <c r="M220">
        <v>21.01</v>
      </c>
    </row>
    <row r="221" spans="1:13">
      <c r="A221" s="346">
        <v>41922</v>
      </c>
      <c r="B221">
        <v>23.85</v>
      </c>
      <c r="C221">
        <v>23.93</v>
      </c>
      <c r="D221">
        <v>22.91</v>
      </c>
      <c r="E221">
        <v>23.440000999999999</v>
      </c>
      <c r="F221">
        <v>23.440000999999999</v>
      </c>
      <c r="G221">
        <v>306200</v>
      </c>
      <c r="I221" s="346">
        <v>41922</v>
      </c>
      <c r="J221">
        <v>20.93</v>
      </c>
      <c r="K221">
        <v>21.02</v>
      </c>
      <c r="L221">
        <v>20.66</v>
      </c>
      <c r="M221">
        <v>20.709999</v>
      </c>
    </row>
    <row r="222" spans="1:13">
      <c r="A222" s="346">
        <v>41926</v>
      </c>
      <c r="B222">
        <v>23.200001</v>
      </c>
      <c r="C222">
        <v>23.440000999999999</v>
      </c>
      <c r="D222">
        <v>22.959999</v>
      </c>
      <c r="E222">
        <v>23.129999000000002</v>
      </c>
      <c r="F222">
        <v>23.129999000000002</v>
      </c>
      <c r="G222">
        <v>223700</v>
      </c>
      <c r="I222" s="346">
        <v>41926</v>
      </c>
      <c r="J222">
        <v>20.5</v>
      </c>
      <c r="K222">
        <v>20.639999</v>
      </c>
      <c r="L222">
        <v>20.329999999999998</v>
      </c>
      <c r="M222">
        <v>20.399999999999999</v>
      </c>
    </row>
    <row r="223" spans="1:13">
      <c r="A223" s="346">
        <v>41927</v>
      </c>
      <c r="B223">
        <v>23</v>
      </c>
      <c r="C223">
        <v>23.33</v>
      </c>
      <c r="D223">
        <v>22.639999</v>
      </c>
      <c r="E223">
        <v>22.91</v>
      </c>
      <c r="F223">
        <v>22.91</v>
      </c>
      <c r="G223">
        <v>375700</v>
      </c>
      <c r="I223" s="346">
        <v>41927</v>
      </c>
      <c r="J223">
        <v>20.280000999999999</v>
      </c>
      <c r="K223">
        <v>20.290001</v>
      </c>
      <c r="L223">
        <v>19.889999</v>
      </c>
      <c r="M223">
        <v>20.209999</v>
      </c>
    </row>
    <row r="224" spans="1:13">
      <c r="A224" s="346">
        <v>41928</v>
      </c>
      <c r="B224">
        <v>22.610001</v>
      </c>
      <c r="C224">
        <v>23.030000999999999</v>
      </c>
      <c r="D224">
        <v>22.57</v>
      </c>
      <c r="E224">
        <v>22.82</v>
      </c>
      <c r="F224">
        <v>22.82</v>
      </c>
      <c r="G224">
        <v>374100</v>
      </c>
      <c r="I224" s="346">
        <v>41928</v>
      </c>
      <c r="J224">
        <v>19.899999999999999</v>
      </c>
      <c r="K224">
        <v>20.620000999999998</v>
      </c>
      <c r="L224">
        <v>19.719999000000001</v>
      </c>
      <c r="M224">
        <v>20.43</v>
      </c>
    </row>
    <row r="225" spans="1:13">
      <c r="A225" s="346">
        <v>41929</v>
      </c>
      <c r="B225">
        <v>23.17</v>
      </c>
      <c r="C225">
        <v>24.18</v>
      </c>
      <c r="D225">
        <v>23.17</v>
      </c>
      <c r="E225">
        <v>24.120000999999998</v>
      </c>
      <c r="F225">
        <v>24.120000999999998</v>
      </c>
      <c r="G225">
        <v>261600</v>
      </c>
      <c r="I225" s="346">
        <v>41929</v>
      </c>
      <c r="J225">
        <v>20.77</v>
      </c>
      <c r="K225">
        <v>20.799999</v>
      </c>
      <c r="L225">
        <v>20.540001</v>
      </c>
      <c r="M225">
        <v>20.700001</v>
      </c>
    </row>
    <row r="226" spans="1:13">
      <c r="A226" s="346">
        <v>41932</v>
      </c>
      <c r="B226">
        <v>24.190000999999999</v>
      </c>
      <c r="C226">
        <v>24.809999000000001</v>
      </c>
      <c r="D226">
        <v>24.059999000000001</v>
      </c>
      <c r="E226">
        <v>24.780000999999999</v>
      </c>
      <c r="F226">
        <v>24.780000999999999</v>
      </c>
      <c r="G226">
        <v>346100</v>
      </c>
      <c r="I226" s="346">
        <v>41932</v>
      </c>
      <c r="J226">
        <v>20.790001</v>
      </c>
      <c r="K226">
        <v>20.860001</v>
      </c>
      <c r="L226">
        <v>20.6</v>
      </c>
      <c r="M226">
        <v>20.860001</v>
      </c>
    </row>
    <row r="227" spans="1:13">
      <c r="A227" s="346">
        <v>41933</v>
      </c>
      <c r="B227">
        <v>24.83</v>
      </c>
      <c r="C227">
        <v>25.370000999999998</v>
      </c>
      <c r="D227">
        <v>24.799999</v>
      </c>
      <c r="E227">
        <v>25.32</v>
      </c>
      <c r="F227">
        <v>25.32</v>
      </c>
      <c r="G227">
        <v>197700</v>
      </c>
      <c r="I227" s="346">
        <v>41933</v>
      </c>
      <c r="J227">
        <v>20.950001</v>
      </c>
      <c r="K227">
        <v>21.17</v>
      </c>
      <c r="L227">
        <v>20.84</v>
      </c>
      <c r="M227">
        <v>21.17</v>
      </c>
    </row>
    <row r="228" spans="1:13">
      <c r="A228" s="346">
        <v>41934</v>
      </c>
      <c r="B228">
        <v>25.370000999999998</v>
      </c>
      <c r="C228">
        <v>25.370000999999998</v>
      </c>
      <c r="D228">
        <v>24.719999000000001</v>
      </c>
      <c r="E228">
        <v>24.77</v>
      </c>
      <c r="F228">
        <v>24.77</v>
      </c>
      <c r="G228">
        <v>194900</v>
      </c>
      <c r="I228" s="346">
        <v>41934</v>
      </c>
      <c r="J228">
        <v>21.219999000000001</v>
      </c>
      <c r="K228">
        <v>21.219999000000001</v>
      </c>
      <c r="L228">
        <v>20.799999</v>
      </c>
      <c r="M228">
        <v>20.84</v>
      </c>
    </row>
    <row r="229" spans="1:13">
      <c r="A229" s="346">
        <v>41935</v>
      </c>
      <c r="B229">
        <v>25.110001</v>
      </c>
      <c r="C229">
        <v>25.559999000000001</v>
      </c>
      <c r="D229">
        <v>24.92</v>
      </c>
      <c r="E229">
        <v>25.32</v>
      </c>
      <c r="F229">
        <v>25.32</v>
      </c>
      <c r="G229">
        <v>266400</v>
      </c>
      <c r="I229" s="346">
        <v>41935</v>
      </c>
      <c r="J229">
        <v>21</v>
      </c>
      <c r="K229">
        <v>21.18</v>
      </c>
      <c r="L229">
        <v>20.940000999999999</v>
      </c>
      <c r="M229">
        <v>21.129999000000002</v>
      </c>
    </row>
    <row r="230" spans="1:13">
      <c r="A230" s="346">
        <v>41936</v>
      </c>
      <c r="B230">
        <v>25.309999000000001</v>
      </c>
      <c r="C230">
        <v>25.360001</v>
      </c>
      <c r="D230">
        <v>25.030000999999999</v>
      </c>
      <c r="E230">
        <v>25.24</v>
      </c>
      <c r="F230">
        <v>25.24</v>
      </c>
      <c r="G230">
        <v>188600</v>
      </c>
      <c r="I230" s="346">
        <v>41936</v>
      </c>
      <c r="J230">
        <v>21.120000999999998</v>
      </c>
      <c r="K230">
        <v>21.26</v>
      </c>
      <c r="L230">
        <v>21.040001</v>
      </c>
      <c r="M230">
        <v>21.23</v>
      </c>
    </row>
    <row r="231" spans="1:13">
      <c r="A231" s="346">
        <v>41939</v>
      </c>
      <c r="B231">
        <v>25.07</v>
      </c>
      <c r="C231">
        <v>25.209999</v>
      </c>
      <c r="D231">
        <v>24.73</v>
      </c>
      <c r="E231">
        <v>24.889999</v>
      </c>
      <c r="F231">
        <v>24.889999</v>
      </c>
      <c r="G231">
        <v>109200</v>
      </c>
      <c r="I231" s="346">
        <v>41939</v>
      </c>
      <c r="J231">
        <v>21.040001</v>
      </c>
      <c r="K231">
        <v>21.190000999999999</v>
      </c>
      <c r="L231">
        <v>21.01</v>
      </c>
      <c r="M231">
        <v>21.17</v>
      </c>
    </row>
    <row r="232" spans="1:13">
      <c r="A232" s="346">
        <v>41940</v>
      </c>
      <c r="B232">
        <v>24.98</v>
      </c>
      <c r="C232">
        <v>26.120000999999998</v>
      </c>
      <c r="D232">
        <v>24.98</v>
      </c>
      <c r="E232">
        <v>25.66</v>
      </c>
      <c r="F232">
        <v>25.66</v>
      </c>
      <c r="G232">
        <v>213500</v>
      </c>
      <c r="I232" s="346">
        <v>41940</v>
      </c>
      <c r="J232">
        <v>21.23</v>
      </c>
      <c r="K232">
        <v>21.379999000000002</v>
      </c>
      <c r="L232">
        <v>21.16</v>
      </c>
      <c r="M232">
        <v>21.370000999999998</v>
      </c>
    </row>
    <row r="233" spans="1:13">
      <c r="A233" s="346">
        <v>41941</v>
      </c>
      <c r="B233">
        <v>25.620000999999998</v>
      </c>
      <c r="C233">
        <v>25.700001</v>
      </c>
      <c r="D233">
        <v>24.780000999999999</v>
      </c>
      <c r="E233">
        <v>25</v>
      </c>
      <c r="F233">
        <v>25</v>
      </c>
      <c r="G233">
        <v>214900</v>
      </c>
      <c r="I233" s="346">
        <v>41941</v>
      </c>
      <c r="J233">
        <v>21.42</v>
      </c>
      <c r="K233">
        <v>21.42</v>
      </c>
      <c r="L233">
        <v>21.129999000000002</v>
      </c>
      <c r="M233">
        <v>21.209999</v>
      </c>
    </row>
    <row r="234" spans="1:13">
      <c r="A234" s="346">
        <v>41942</v>
      </c>
      <c r="B234">
        <v>24.82</v>
      </c>
      <c r="C234">
        <v>25.91</v>
      </c>
      <c r="D234">
        <v>24.809999000000001</v>
      </c>
      <c r="E234">
        <v>25.530000999999999</v>
      </c>
      <c r="F234">
        <v>25.530000999999999</v>
      </c>
      <c r="G234">
        <v>244600</v>
      </c>
      <c r="I234" s="346">
        <v>41942</v>
      </c>
      <c r="J234">
        <v>21.23</v>
      </c>
      <c r="K234">
        <v>21.299999</v>
      </c>
      <c r="L234">
        <v>21.08</v>
      </c>
      <c r="M234">
        <v>21.17</v>
      </c>
    </row>
    <row r="235" spans="1:13">
      <c r="A235" s="346">
        <v>41943</v>
      </c>
      <c r="B235">
        <v>25.4</v>
      </c>
      <c r="C235">
        <v>26.34</v>
      </c>
      <c r="D235">
        <v>25.33</v>
      </c>
      <c r="E235">
        <v>26.24</v>
      </c>
      <c r="F235">
        <v>26.24</v>
      </c>
      <c r="G235">
        <v>353600</v>
      </c>
      <c r="I235" s="346">
        <v>41943</v>
      </c>
      <c r="J235">
        <v>21.290001</v>
      </c>
      <c r="K235">
        <v>21.459999</v>
      </c>
      <c r="L235">
        <v>21.280000999999999</v>
      </c>
      <c r="M235">
        <v>21.459999</v>
      </c>
    </row>
    <row r="236" spans="1:13">
      <c r="A236" s="346">
        <v>41946</v>
      </c>
      <c r="B236">
        <v>26.32</v>
      </c>
      <c r="C236">
        <v>26.969999000000001</v>
      </c>
      <c r="D236">
        <v>26</v>
      </c>
      <c r="E236">
        <v>26.6</v>
      </c>
      <c r="F236">
        <v>26.6</v>
      </c>
      <c r="G236">
        <v>366300</v>
      </c>
      <c r="I236" s="346">
        <v>41946</v>
      </c>
      <c r="J236">
        <v>21.459999</v>
      </c>
      <c r="K236">
        <v>21.459999</v>
      </c>
      <c r="L236">
        <v>21.24</v>
      </c>
      <c r="M236">
        <v>21.27</v>
      </c>
    </row>
    <row r="237" spans="1:13">
      <c r="A237" s="346">
        <v>41947</v>
      </c>
      <c r="B237">
        <v>26.620000999999998</v>
      </c>
      <c r="C237">
        <v>27.16</v>
      </c>
      <c r="D237">
        <v>26.43</v>
      </c>
      <c r="E237">
        <v>26.690000999999999</v>
      </c>
      <c r="F237">
        <v>26.690000999999999</v>
      </c>
      <c r="G237">
        <v>200400</v>
      </c>
      <c r="I237" s="346">
        <v>41947</v>
      </c>
      <c r="J237">
        <v>21.219999000000001</v>
      </c>
      <c r="K237">
        <v>21.25</v>
      </c>
      <c r="L237">
        <v>20.98</v>
      </c>
      <c r="M237">
        <v>21.110001</v>
      </c>
    </row>
    <row r="238" spans="1:13">
      <c r="A238" s="346">
        <v>41948</v>
      </c>
      <c r="B238">
        <v>26.969999000000001</v>
      </c>
      <c r="C238">
        <v>27.08</v>
      </c>
      <c r="D238">
        <v>26.5</v>
      </c>
      <c r="E238">
        <v>26.530000999999999</v>
      </c>
      <c r="F238">
        <v>26.530000999999999</v>
      </c>
      <c r="G238">
        <v>295600</v>
      </c>
      <c r="I238" s="346">
        <v>41948</v>
      </c>
      <c r="J238">
        <v>21.17</v>
      </c>
      <c r="K238">
        <v>21.4</v>
      </c>
      <c r="L238">
        <v>21.15</v>
      </c>
      <c r="M238">
        <v>21.33</v>
      </c>
    </row>
    <row r="239" spans="1:13">
      <c r="A239" s="346">
        <v>41949</v>
      </c>
      <c r="B239">
        <v>26.83</v>
      </c>
      <c r="C239">
        <v>26.83</v>
      </c>
      <c r="D239">
        <v>26.309999000000001</v>
      </c>
      <c r="E239">
        <v>26.77</v>
      </c>
      <c r="F239">
        <v>26.77</v>
      </c>
      <c r="G239">
        <v>264000</v>
      </c>
      <c r="I239" s="346">
        <v>41949</v>
      </c>
      <c r="J239">
        <v>21.389999</v>
      </c>
      <c r="K239">
        <v>21.48</v>
      </c>
      <c r="L239">
        <v>21.23</v>
      </c>
      <c r="M239">
        <v>21.299999</v>
      </c>
    </row>
    <row r="240" spans="1:13">
      <c r="A240" s="346">
        <v>41950</v>
      </c>
      <c r="B240">
        <v>26.959999</v>
      </c>
      <c r="C240">
        <v>27.219999000000001</v>
      </c>
      <c r="D240">
        <v>26.700001</v>
      </c>
      <c r="E240">
        <v>26.99</v>
      </c>
      <c r="F240">
        <v>26.99</v>
      </c>
      <c r="G240">
        <v>359900</v>
      </c>
      <c r="I240" s="346">
        <v>41950</v>
      </c>
      <c r="J240">
        <v>21.360001</v>
      </c>
      <c r="K240">
        <v>21.530000999999999</v>
      </c>
      <c r="L240">
        <v>21.32</v>
      </c>
      <c r="M240">
        <v>21.48</v>
      </c>
    </row>
    <row r="241" spans="1:13">
      <c r="A241" s="346">
        <v>41953</v>
      </c>
      <c r="B241">
        <v>27.09</v>
      </c>
      <c r="C241">
        <v>27.379999000000002</v>
      </c>
      <c r="D241">
        <v>26.6</v>
      </c>
      <c r="E241">
        <v>27.25</v>
      </c>
      <c r="F241">
        <v>27.25</v>
      </c>
      <c r="G241">
        <v>204400</v>
      </c>
      <c r="I241" s="346">
        <v>41953</v>
      </c>
      <c r="J241">
        <v>21.559999000000001</v>
      </c>
      <c r="K241">
        <v>21.59</v>
      </c>
      <c r="L241">
        <v>21.48</v>
      </c>
      <c r="M241">
        <v>21.57</v>
      </c>
    </row>
    <row r="242" spans="1:13">
      <c r="A242" s="346">
        <v>41954</v>
      </c>
      <c r="B242" t="s">
        <v>520</v>
      </c>
      <c r="C242" t="s">
        <v>520</v>
      </c>
      <c r="D242" t="s">
        <v>520</v>
      </c>
      <c r="E242" t="s">
        <v>520</v>
      </c>
      <c r="F242" t="s">
        <v>520</v>
      </c>
      <c r="G242" t="s">
        <v>520</v>
      </c>
      <c r="I242" s="346">
        <v>41954</v>
      </c>
      <c r="J242" t="s">
        <v>520</v>
      </c>
      <c r="K242" t="s">
        <v>520</v>
      </c>
      <c r="L242" t="s">
        <v>520</v>
      </c>
      <c r="M242" t="s">
        <v>520</v>
      </c>
    </row>
    <row r="243" spans="1:13">
      <c r="A243" s="346">
        <v>41955</v>
      </c>
      <c r="B243">
        <v>27.129999000000002</v>
      </c>
      <c r="C243">
        <v>27.83</v>
      </c>
      <c r="D243">
        <v>26.91</v>
      </c>
      <c r="E243">
        <v>27.26</v>
      </c>
      <c r="F243">
        <v>27.26</v>
      </c>
      <c r="G243">
        <v>299000</v>
      </c>
      <c r="I243" s="346">
        <v>41955</v>
      </c>
      <c r="J243">
        <v>21.559999000000001</v>
      </c>
      <c r="K243">
        <v>21.76</v>
      </c>
      <c r="L243">
        <v>21.51</v>
      </c>
      <c r="M243">
        <v>21.709999</v>
      </c>
    </row>
    <row r="244" spans="1:13">
      <c r="A244" s="346">
        <v>41956</v>
      </c>
      <c r="B244">
        <v>27.26</v>
      </c>
      <c r="C244">
        <v>27.33</v>
      </c>
      <c r="D244">
        <v>27</v>
      </c>
      <c r="E244">
        <v>27.129999000000002</v>
      </c>
      <c r="F244">
        <v>27.129999000000002</v>
      </c>
      <c r="G244">
        <v>83500</v>
      </c>
      <c r="I244" s="346">
        <v>41956</v>
      </c>
      <c r="J244">
        <v>21.799999</v>
      </c>
      <c r="K244">
        <v>21.83</v>
      </c>
      <c r="L244">
        <v>21.620000999999998</v>
      </c>
      <c r="M244">
        <v>21.709999</v>
      </c>
    </row>
    <row r="245" spans="1:13">
      <c r="A245" s="346">
        <v>41957</v>
      </c>
      <c r="B245">
        <v>26.98</v>
      </c>
      <c r="C245">
        <v>27.200001</v>
      </c>
      <c r="D245">
        <v>26.780000999999999</v>
      </c>
      <c r="E245">
        <v>27.08</v>
      </c>
      <c r="F245">
        <v>27.08</v>
      </c>
      <c r="G245">
        <v>247700</v>
      </c>
      <c r="I245" s="346">
        <v>41957</v>
      </c>
      <c r="J245">
        <v>21.709999</v>
      </c>
      <c r="K245">
        <v>21.75</v>
      </c>
      <c r="L245">
        <v>21.629999000000002</v>
      </c>
      <c r="M245">
        <v>21.719999000000001</v>
      </c>
    </row>
    <row r="246" spans="1:13">
      <c r="A246" s="346">
        <v>41960</v>
      </c>
      <c r="B246">
        <v>27.09</v>
      </c>
      <c r="C246">
        <v>27.370000999999998</v>
      </c>
      <c r="D246">
        <v>27</v>
      </c>
      <c r="E246">
        <v>27.190000999999999</v>
      </c>
      <c r="F246">
        <v>27.190000999999999</v>
      </c>
      <c r="G246">
        <v>262600</v>
      </c>
      <c r="I246" s="346">
        <v>41960</v>
      </c>
      <c r="J246">
        <v>21.75</v>
      </c>
      <c r="K246">
        <v>21.92</v>
      </c>
      <c r="L246">
        <v>21.73</v>
      </c>
      <c r="M246">
        <v>21.77</v>
      </c>
    </row>
    <row r="247" spans="1:13">
      <c r="A247" s="346">
        <v>41961</v>
      </c>
      <c r="B247">
        <v>27.120000999999998</v>
      </c>
      <c r="C247">
        <v>27.26</v>
      </c>
      <c r="D247">
        <v>26.889999</v>
      </c>
      <c r="E247">
        <v>27.040001</v>
      </c>
      <c r="F247">
        <v>27.040001</v>
      </c>
      <c r="G247">
        <v>249400</v>
      </c>
      <c r="I247" s="346">
        <v>41961</v>
      </c>
      <c r="J247">
        <v>21.860001</v>
      </c>
      <c r="K247">
        <v>21.98</v>
      </c>
      <c r="L247">
        <v>21.860001</v>
      </c>
      <c r="M247">
        <v>21.959999</v>
      </c>
    </row>
    <row r="248" spans="1:13">
      <c r="A248" s="346">
        <v>41962</v>
      </c>
      <c r="B248">
        <v>27.059999000000001</v>
      </c>
      <c r="C248">
        <v>27.34</v>
      </c>
      <c r="D248">
        <v>26.700001</v>
      </c>
      <c r="E248">
        <v>26.860001</v>
      </c>
      <c r="F248">
        <v>26.860001</v>
      </c>
      <c r="G248">
        <v>152100</v>
      </c>
      <c r="I248" s="346">
        <v>41962</v>
      </c>
      <c r="J248">
        <v>22</v>
      </c>
      <c r="K248">
        <v>22.030000999999999</v>
      </c>
      <c r="L248">
        <v>21.879999000000002</v>
      </c>
      <c r="M248">
        <v>22</v>
      </c>
    </row>
    <row r="249" spans="1:13">
      <c r="A249" s="346">
        <v>41963</v>
      </c>
      <c r="B249">
        <v>26.870000999999998</v>
      </c>
      <c r="C249">
        <v>27.059999000000001</v>
      </c>
      <c r="D249">
        <v>26.82</v>
      </c>
      <c r="E249">
        <v>26.98</v>
      </c>
      <c r="F249">
        <v>26.98</v>
      </c>
      <c r="G249">
        <v>109900</v>
      </c>
      <c r="I249" s="346">
        <v>41963</v>
      </c>
      <c r="J249">
        <v>21.969999000000001</v>
      </c>
      <c r="K249">
        <v>22.110001</v>
      </c>
      <c r="L249">
        <v>21.940000999999999</v>
      </c>
      <c r="M249">
        <v>22.1</v>
      </c>
    </row>
    <row r="250" spans="1:13">
      <c r="A250" s="346">
        <v>41964</v>
      </c>
      <c r="B250">
        <v>27.07</v>
      </c>
      <c r="C250">
        <v>27.75</v>
      </c>
      <c r="D250">
        <v>26.9</v>
      </c>
      <c r="E250">
        <v>27.49</v>
      </c>
      <c r="F250">
        <v>27.49</v>
      </c>
      <c r="G250">
        <v>199900</v>
      </c>
      <c r="I250" s="346">
        <v>41964</v>
      </c>
      <c r="J250">
        <v>22.24</v>
      </c>
      <c r="K250">
        <v>22.27</v>
      </c>
      <c r="L250">
        <v>22.139999</v>
      </c>
      <c r="M250">
        <v>22.18</v>
      </c>
    </row>
    <row r="251" spans="1:13">
      <c r="A251" s="346">
        <v>41967</v>
      </c>
      <c r="B251">
        <v>27.6</v>
      </c>
      <c r="C251">
        <v>27.6</v>
      </c>
      <c r="D251">
        <v>27.23</v>
      </c>
      <c r="E251">
        <v>27.379999000000002</v>
      </c>
      <c r="F251">
        <v>27.379999000000002</v>
      </c>
      <c r="G251">
        <v>216600</v>
      </c>
      <c r="I251" s="346">
        <v>41967</v>
      </c>
      <c r="J251">
        <v>22.190000999999999</v>
      </c>
      <c r="K251">
        <v>22.209999</v>
      </c>
      <c r="L251">
        <v>21.99</v>
      </c>
      <c r="M251">
        <v>22.07</v>
      </c>
    </row>
    <row r="252" spans="1:13">
      <c r="A252" s="346">
        <v>41968</v>
      </c>
      <c r="B252">
        <v>27.16</v>
      </c>
      <c r="C252">
        <v>27.49</v>
      </c>
      <c r="D252">
        <v>26.889999</v>
      </c>
      <c r="E252">
        <v>26.889999</v>
      </c>
      <c r="F252">
        <v>26.889999</v>
      </c>
      <c r="G252">
        <v>240800</v>
      </c>
      <c r="I252" s="346">
        <v>41968</v>
      </c>
      <c r="J252">
        <v>22.08</v>
      </c>
      <c r="K252">
        <v>22.209999</v>
      </c>
      <c r="L252">
        <v>22.07</v>
      </c>
      <c r="M252">
        <v>22.139999</v>
      </c>
    </row>
    <row r="253" spans="1:13">
      <c r="A253" s="346">
        <v>41969</v>
      </c>
      <c r="B253">
        <v>26.82</v>
      </c>
      <c r="C253">
        <v>26.940000999999999</v>
      </c>
      <c r="D253">
        <v>26.620000999999998</v>
      </c>
      <c r="E253">
        <v>26.780000999999999</v>
      </c>
      <c r="F253">
        <v>26.780000999999999</v>
      </c>
      <c r="G253">
        <v>174500</v>
      </c>
      <c r="I253" s="346">
        <v>41969</v>
      </c>
      <c r="J253">
        <v>22.1</v>
      </c>
      <c r="K253">
        <v>22.15</v>
      </c>
      <c r="L253">
        <v>22.059999000000001</v>
      </c>
      <c r="M253">
        <v>22.129999000000002</v>
      </c>
    </row>
    <row r="254" spans="1:13">
      <c r="A254" s="346">
        <v>41970</v>
      </c>
      <c r="B254">
        <v>26.66</v>
      </c>
      <c r="C254">
        <v>27.290001</v>
      </c>
      <c r="D254">
        <v>26.66</v>
      </c>
      <c r="E254">
        <v>27.27</v>
      </c>
      <c r="F254">
        <v>27.27</v>
      </c>
      <c r="G254">
        <v>135300</v>
      </c>
      <c r="I254" s="346">
        <v>41970</v>
      </c>
      <c r="J254">
        <v>22.120000999999998</v>
      </c>
      <c r="K254">
        <v>22.16</v>
      </c>
      <c r="L254">
        <v>21.9</v>
      </c>
      <c r="M254">
        <v>22</v>
      </c>
    </row>
    <row r="255" spans="1:13">
      <c r="A255" s="346">
        <v>41971</v>
      </c>
      <c r="B255">
        <v>27.33</v>
      </c>
      <c r="C255">
        <v>27.59</v>
      </c>
      <c r="D255">
        <v>27</v>
      </c>
      <c r="E255">
        <v>27.48</v>
      </c>
      <c r="F255">
        <v>27.48</v>
      </c>
      <c r="G255">
        <v>219700</v>
      </c>
      <c r="I255" s="346">
        <v>41971</v>
      </c>
      <c r="J255">
        <v>21.92</v>
      </c>
      <c r="K255">
        <v>21.959999</v>
      </c>
      <c r="L255">
        <v>21.709999</v>
      </c>
      <c r="M255">
        <v>21.709999</v>
      </c>
    </row>
    <row r="256" spans="1:13">
      <c r="A256" s="346">
        <v>41974</v>
      </c>
      <c r="B256">
        <v>27.43</v>
      </c>
      <c r="C256">
        <v>27.6</v>
      </c>
      <c r="D256">
        <v>27.17</v>
      </c>
      <c r="E256">
        <v>27.25</v>
      </c>
      <c r="F256">
        <v>27.25</v>
      </c>
      <c r="G256">
        <v>228000</v>
      </c>
      <c r="I256" s="346">
        <v>41974</v>
      </c>
      <c r="J256">
        <v>21.73</v>
      </c>
      <c r="K256">
        <v>21.84</v>
      </c>
      <c r="L256">
        <v>21.530000999999999</v>
      </c>
      <c r="M256">
        <v>21.65</v>
      </c>
    </row>
    <row r="257" spans="1:13">
      <c r="A257" s="346">
        <v>41975</v>
      </c>
      <c r="B257">
        <v>27.23</v>
      </c>
      <c r="C257">
        <v>27.450001</v>
      </c>
      <c r="D257">
        <v>27.030000999999999</v>
      </c>
      <c r="E257">
        <v>27.450001</v>
      </c>
      <c r="F257">
        <v>27.450001</v>
      </c>
      <c r="G257">
        <v>150600</v>
      </c>
      <c r="I257" s="346">
        <v>41975</v>
      </c>
      <c r="J257">
        <v>21.57</v>
      </c>
      <c r="K257">
        <v>21.74</v>
      </c>
      <c r="L257">
        <v>21.57</v>
      </c>
      <c r="M257">
        <v>21.639999</v>
      </c>
    </row>
    <row r="258" spans="1:13">
      <c r="A258" s="346">
        <v>41976</v>
      </c>
      <c r="B258">
        <v>27.42</v>
      </c>
      <c r="C258">
        <v>28.09</v>
      </c>
      <c r="D258">
        <v>27.309999000000001</v>
      </c>
      <c r="E258">
        <v>27.9</v>
      </c>
      <c r="F258">
        <v>27.9</v>
      </c>
      <c r="G258">
        <v>240700</v>
      </c>
      <c r="I258" s="346">
        <v>41976</v>
      </c>
      <c r="J258">
        <v>21.66</v>
      </c>
      <c r="K258">
        <v>21.82</v>
      </c>
      <c r="L258">
        <v>21.620000999999998</v>
      </c>
      <c r="M258">
        <v>21.82</v>
      </c>
    </row>
    <row r="259" spans="1:13">
      <c r="A259" s="346">
        <v>41977</v>
      </c>
      <c r="B259">
        <v>27.93</v>
      </c>
      <c r="C259">
        <v>28.1</v>
      </c>
      <c r="D259">
        <v>27.610001</v>
      </c>
      <c r="E259">
        <v>27.77</v>
      </c>
      <c r="F259">
        <v>27.77</v>
      </c>
      <c r="G259">
        <v>151500</v>
      </c>
      <c r="I259" s="346">
        <v>41977</v>
      </c>
      <c r="J259">
        <v>21.799999</v>
      </c>
      <c r="K259">
        <v>21.84</v>
      </c>
      <c r="L259">
        <v>21.309999000000001</v>
      </c>
      <c r="M259">
        <v>21.41</v>
      </c>
    </row>
    <row r="260" spans="1:13">
      <c r="A260" s="346">
        <v>41978</v>
      </c>
      <c r="B260">
        <v>27.93</v>
      </c>
      <c r="C260">
        <v>29.5</v>
      </c>
      <c r="D260">
        <v>27.76</v>
      </c>
      <c r="E260">
        <v>28.98</v>
      </c>
      <c r="F260">
        <v>28.98</v>
      </c>
      <c r="G260">
        <v>380100</v>
      </c>
      <c r="I260" s="346">
        <v>41978</v>
      </c>
      <c r="J260">
        <v>21.379999000000002</v>
      </c>
      <c r="K260">
        <v>21.49</v>
      </c>
      <c r="L260">
        <v>21.290001</v>
      </c>
      <c r="M260">
        <v>21.379999000000002</v>
      </c>
    </row>
    <row r="261" spans="1:13">
      <c r="A261" s="346">
        <v>41981</v>
      </c>
      <c r="B261">
        <v>29.030000999999999</v>
      </c>
      <c r="C261">
        <v>29.23</v>
      </c>
      <c r="D261">
        <v>28.77</v>
      </c>
      <c r="E261">
        <v>28.98</v>
      </c>
      <c r="F261">
        <v>28.98</v>
      </c>
      <c r="G261">
        <v>328900</v>
      </c>
      <c r="I261" s="346">
        <v>41981</v>
      </c>
      <c r="J261">
        <v>21.219999000000001</v>
      </c>
      <c r="K261">
        <v>21.25</v>
      </c>
      <c r="L261">
        <v>20.629999000000002</v>
      </c>
      <c r="M261">
        <v>20.940000999999999</v>
      </c>
    </row>
    <row r="262" spans="1:13">
      <c r="A262" s="346">
        <v>41982</v>
      </c>
      <c r="B262">
        <v>28.65</v>
      </c>
      <c r="C262">
        <v>28.870000999999998</v>
      </c>
      <c r="D262">
        <v>28.57</v>
      </c>
      <c r="E262">
        <v>28.67</v>
      </c>
      <c r="F262">
        <v>28.67</v>
      </c>
      <c r="G262">
        <v>170600</v>
      </c>
      <c r="I262" s="346">
        <v>41982</v>
      </c>
      <c r="J262">
        <v>20.719999000000001</v>
      </c>
      <c r="K262">
        <v>20.98</v>
      </c>
      <c r="L262">
        <v>20.67</v>
      </c>
      <c r="M262">
        <v>20.969999000000001</v>
      </c>
    </row>
    <row r="263" spans="1:13">
      <c r="A263" s="346">
        <v>41983</v>
      </c>
      <c r="B263">
        <v>28.65</v>
      </c>
      <c r="C263">
        <v>28.65</v>
      </c>
      <c r="D263">
        <v>27.51</v>
      </c>
      <c r="E263">
        <v>27.690000999999999</v>
      </c>
      <c r="F263">
        <v>27.690000999999999</v>
      </c>
      <c r="G263">
        <v>237400</v>
      </c>
      <c r="I263" s="346">
        <v>41983</v>
      </c>
      <c r="J263">
        <v>20.860001</v>
      </c>
      <c r="K263">
        <v>20.9</v>
      </c>
      <c r="L263">
        <v>20.350000000000001</v>
      </c>
      <c r="M263">
        <v>20.48</v>
      </c>
    </row>
    <row r="264" spans="1:13">
      <c r="A264" s="346">
        <v>41984</v>
      </c>
      <c r="B264">
        <v>27.75</v>
      </c>
      <c r="C264">
        <v>28.49</v>
      </c>
      <c r="D264">
        <v>27.68</v>
      </c>
      <c r="E264">
        <v>28.26</v>
      </c>
      <c r="F264">
        <v>28.26</v>
      </c>
      <c r="G264">
        <v>167400</v>
      </c>
      <c r="I264" s="346">
        <v>41984</v>
      </c>
      <c r="J264">
        <v>20.440000999999999</v>
      </c>
      <c r="K264">
        <v>20.84</v>
      </c>
      <c r="L264">
        <v>20.440000999999999</v>
      </c>
      <c r="M264">
        <v>20.59</v>
      </c>
    </row>
    <row r="265" spans="1:13">
      <c r="A265" s="346">
        <v>41985</v>
      </c>
      <c r="B265">
        <v>28.209999</v>
      </c>
      <c r="C265">
        <v>28.74</v>
      </c>
      <c r="D265">
        <v>28.15</v>
      </c>
      <c r="E265">
        <v>28.58</v>
      </c>
      <c r="F265">
        <v>28.58</v>
      </c>
      <c r="G265">
        <v>246600</v>
      </c>
      <c r="I265" s="346">
        <v>41985</v>
      </c>
      <c r="J265">
        <v>20.450001</v>
      </c>
      <c r="K265">
        <v>20.559999000000001</v>
      </c>
      <c r="L265">
        <v>20.280000999999999</v>
      </c>
      <c r="M265">
        <v>20.329999999999998</v>
      </c>
    </row>
    <row r="266" spans="1:13">
      <c r="A266" s="346">
        <v>41988</v>
      </c>
      <c r="B266">
        <v>28.700001</v>
      </c>
      <c r="C266">
        <v>28.92</v>
      </c>
      <c r="D266">
        <v>28.1</v>
      </c>
      <c r="E266">
        <v>28.629999000000002</v>
      </c>
      <c r="F266">
        <v>28.629999000000002</v>
      </c>
      <c r="G266">
        <v>301900</v>
      </c>
      <c r="I266" s="346">
        <v>41988</v>
      </c>
      <c r="J266">
        <v>20.399999999999999</v>
      </c>
      <c r="K266">
        <v>20.48</v>
      </c>
      <c r="L266">
        <v>20.129999000000002</v>
      </c>
      <c r="M266">
        <v>20.280000999999999</v>
      </c>
    </row>
    <row r="267" spans="1:13">
      <c r="A267" s="346">
        <v>41989</v>
      </c>
      <c r="B267">
        <v>28.35</v>
      </c>
      <c r="C267">
        <v>28.690000999999999</v>
      </c>
      <c r="D267">
        <v>27.870000999999998</v>
      </c>
      <c r="E267">
        <v>28.24</v>
      </c>
      <c r="F267">
        <v>28.24</v>
      </c>
      <c r="G267">
        <v>300700</v>
      </c>
      <c r="I267" s="346">
        <v>41989</v>
      </c>
      <c r="J267">
        <v>20.23</v>
      </c>
      <c r="K267">
        <v>20.82</v>
      </c>
      <c r="L267">
        <v>20.209999</v>
      </c>
      <c r="M267">
        <v>20.49</v>
      </c>
    </row>
    <row r="268" spans="1:13">
      <c r="A268" s="346">
        <v>41990</v>
      </c>
      <c r="B268">
        <v>28.24</v>
      </c>
      <c r="C268">
        <v>28.4</v>
      </c>
      <c r="D268">
        <v>27.76</v>
      </c>
      <c r="E268">
        <v>28.34</v>
      </c>
      <c r="F268">
        <v>28.34</v>
      </c>
      <c r="G268">
        <v>234200</v>
      </c>
      <c r="I268" s="346">
        <v>41990</v>
      </c>
      <c r="J268">
        <v>20.51</v>
      </c>
      <c r="K268">
        <v>21.030000999999999</v>
      </c>
      <c r="L268">
        <v>20.41</v>
      </c>
      <c r="M268">
        <v>21.030000999999999</v>
      </c>
    </row>
    <row r="269" spans="1:13">
      <c r="A269" s="346">
        <v>41991</v>
      </c>
      <c r="B269">
        <v>28.58</v>
      </c>
      <c r="C269">
        <v>28.870000999999998</v>
      </c>
      <c r="D269">
        <v>28.27</v>
      </c>
      <c r="E269">
        <v>28.49</v>
      </c>
      <c r="F269">
        <v>28.49</v>
      </c>
      <c r="G269">
        <v>191600</v>
      </c>
      <c r="I269" s="346">
        <v>41991</v>
      </c>
      <c r="J269">
        <v>21.41</v>
      </c>
      <c r="K269">
        <v>21.42</v>
      </c>
      <c r="L269">
        <v>20.93</v>
      </c>
      <c r="M269">
        <v>21.209999</v>
      </c>
    </row>
    <row r="270" spans="1:13">
      <c r="A270" s="346">
        <v>41992</v>
      </c>
      <c r="B270">
        <v>28.41</v>
      </c>
      <c r="C270">
        <v>28.870000999999998</v>
      </c>
      <c r="D270">
        <v>28.290001</v>
      </c>
      <c r="E270">
        <v>28.799999</v>
      </c>
      <c r="F270">
        <v>28.799999</v>
      </c>
      <c r="G270">
        <v>310400</v>
      </c>
      <c r="I270" s="346">
        <v>41992</v>
      </c>
      <c r="J270">
        <v>21.309999000000001</v>
      </c>
      <c r="K270">
        <v>21.469999000000001</v>
      </c>
      <c r="L270">
        <v>21.190000999999999</v>
      </c>
      <c r="M270">
        <v>21.379999000000002</v>
      </c>
    </row>
    <row r="271" spans="1:13">
      <c r="A271" s="346">
        <v>41995</v>
      </c>
      <c r="B271">
        <v>28.9</v>
      </c>
      <c r="C271">
        <v>28.9</v>
      </c>
      <c r="D271">
        <v>28.209999</v>
      </c>
      <c r="E271">
        <v>28.459999</v>
      </c>
      <c r="F271">
        <v>28.459999</v>
      </c>
      <c r="G271">
        <v>118600</v>
      </c>
      <c r="I271" s="346">
        <v>41995</v>
      </c>
      <c r="J271">
        <v>21.469999000000001</v>
      </c>
      <c r="K271">
        <v>21.5</v>
      </c>
      <c r="L271">
        <v>21.27</v>
      </c>
      <c r="M271">
        <v>21.41</v>
      </c>
    </row>
    <row r="272" spans="1:13">
      <c r="A272" s="346">
        <v>41996</v>
      </c>
      <c r="B272">
        <v>28.6</v>
      </c>
      <c r="C272">
        <v>29.08</v>
      </c>
      <c r="D272">
        <v>28.42</v>
      </c>
      <c r="E272">
        <v>29.01</v>
      </c>
      <c r="F272">
        <v>29.01</v>
      </c>
      <c r="G272">
        <v>146500</v>
      </c>
      <c r="I272" s="346">
        <v>41996</v>
      </c>
      <c r="J272">
        <v>21.459999</v>
      </c>
      <c r="K272">
        <v>21.6</v>
      </c>
      <c r="L272">
        <v>21.4</v>
      </c>
      <c r="M272">
        <v>21.549999</v>
      </c>
    </row>
    <row r="273" spans="1:13">
      <c r="A273" s="346">
        <v>41997</v>
      </c>
      <c r="B273">
        <v>29.049999</v>
      </c>
      <c r="C273">
        <v>29.15</v>
      </c>
      <c r="D273">
        <v>28.860001</v>
      </c>
      <c r="E273">
        <v>29.15</v>
      </c>
      <c r="F273">
        <v>29.15</v>
      </c>
      <c r="G273">
        <v>43100</v>
      </c>
      <c r="I273" s="346">
        <v>41997</v>
      </c>
      <c r="J273">
        <v>21.610001</v>
      </c>
      <c r="K273">
        <v>21.66</v>
      </c>
      <c r="L273">
        <v>21.450001</v>
      </c>
      <c r="M273">
        <v>21.58</v>
      </c>
    </row>
    <row r="274" spans="1:13">
      <c r="A274" s="346">
        <v>42002</v>
      </c>
      <c r="B274">
        <v>29.1</v>
      </c>
      <c r="C274">
        <v>29.790001</v>
      </c>
      <c r="D274">
        <v>29.02</v>
      </c>
      <c r="E274">
        <v>29.6</v>
      </c>
      <c r="F274">
        <v>29.6</v>
      </c>
      <c r="G274">
        <v>196400</v>
      </c>
      <c r="I274" s="346">
        <v>42002</v>
      </c>
      <c r="J274">
        <v>21.52</v>
      </c>
      <c r="K274">
        <v>21.67</v>
      </c>
      <c r="L274">
        <v>21.49</v>
      </c>
      <c r="M274">
        <v>21.530000999999999</v>
      </c>
    </row>
    <row r="275" spans="1:13">
      <c r="A275" s="346">
        <v>42003</v>
      </c>
      <c r="B275">
        <v>29.66</v>
      </c>
      <c r="C275">
        <v>29.9</v>
      </c>
      <c r="D275">
        <v>29.4</v>
      </c>
      <c r="E275">
        <v>29.559999000000001</v>
      </c>
      <c r="F275">
        <v>29.559999000000001</v>
      </c>
      <c r="G275">
        <v>132100</v>
      </c>
      <c r="I275" s="346">
        <v>42003</v>
      </c>
      <c r="J275">
        <v>21.57</v>
      </c>
      <c r="K275">
        <v>21.6</v>
      </c>
      <c r="L275">
        <v>21.459999</v>
      </c>
      <c r="M275">
        <v>21.549999</v>
      </c>
    </row>
    <row r="276" spans="1:13">
      <c r="A276" s="346">
        <v>42004</v>
      </c>
      <c r="B276">
        <v>29.629999000000002</v>
      </c>
      <c r="C276">
        <v>29.790001</v>
      </c>
      <c r="D276">
        <v>29.32</v>
      </c>
      <c r="E276">
        <v>29.639999</v>
      </c>
      <c r="F276">
        <v>29.639999</v>
      </c>
      <c r="G276">
        <v>145200</v>
      </c>
      <c r="I276" s="346">
        <v>42004</v>
      </c>
      <c r="J276">
        <v>21.530000999999999</v>
      </c>
      <c r="K276">
        <v>21.549999</v>
      </c>
      <c r="L276">
        <v>21.360001</v>
      </c>
      <c r="M276">
        <v>21.469999000000001</v>
      </c>
    </row>
    <row r="277" spans="1:13">
      <c r="A277" s="346">
        <v>42006</v>
      </c>
      <c r="B277">
        <v>29.75</v>
      </c>
      <c r="C277">
        <v>29.85</v>
      </c>
      <c r="D277">
        <v>29.08</v>
      </c>
      <c r="E277">
        <v>29.73</v>
      </c>
      <c r="F277">
        <v>29.73</v>
      </c>
      <c r="G277">
        <v>148800</v>
      </c>
      <c r="I277" s="346">
        <v>42006</v>
      </c>
      <c r="J277">
        <v>21.540001</v>
      </c>
      <c r="K277">
        <v>21.68</v>
      </c>
      <c r="L277">
        <v>21.5</v>
      </c>
      <c r="M277">
        <v>21.68</v>
      </c>
    </row>
    <row r="278" spans="1:13">
      <c r="A278" s="346">
        <v>42009</v>
      </c>
      <c r="B278">
        <v>29.51</v>
      </c>
      <c r="C278">
        <v>29.790001</v>
      </c>
      <c r="D278">
        <v>28.76</v>
      </c>
      <c r="E278">
        <v>29.049999</v>
      </c>
      <c r="F278">
        <v>29.049999</v>
      </c>
      <c r="G278">
        <v>171300</v>
      </c>
      <c r="I278" s="346">
        <v>42009</v>
      </c>
      <c r="J278">
        <v>21.549999</v>
      </c>
      <c r="K278">
        <v>21.57</v>
      </c>
      <c r="L278">
        <v>21.030000999999999</v>
      </c>
      <c r="M278">
        <v>21.110001</v>
      </c>
    </row>
    <row r="279" spans="1:13">
      <c r="A279" s="346">
        <v>42010</v>
      </c>
      <c r="B279">
        <v>29.200001</v>
      </c>
      <c r="C279">
        <v>29.32</v>
      </c>
      <c r="D279">
        <v>28.09</v>
      </c>
      <c r="E279">
        <v>28.65</v>
      </c>
      <c r="F279">
        <v>28.65</v>
      </c>
      <c r="G279">
        <v>294100</v>
      </c>
      <c r="I279" s="346">
        <v>42010</v>
      </c>
      <c r="J279">
        <v>21.02</v>
      </c>
      <c r="K279">
        <v>21.08</v>
      </c>
      <c r="L279">
        <v>20.780000999999999</v>
      </c>
      <c r="M279">
        <v>20.93</v>
      </c>
    </row>
    <row r="280" spans="1:13">
      <c r="A280" s="346">
        <v>42011</v>
      </c>
      <c r="B280">
        <v>28.67</v>
      </c>
      <c r="C280">
        <v>29.08</v>
      </c>
      <c r="D280">
        <v>28.59</v>
      </c>
      <c r="E280">
        <v>28.85</v>
      </c>
      <c r="F280">
        <v>28.85</v>
      </c>
      <c r="G280">
        <v>211000</v>
      </c>
      <c r="I280" s="346">
        <v>42011</v>
      </c>
      <c r="J280">
        <v>21.040001</v>
      </c>
      <c r="K280">
        <v>21.200001</v>
      </c>
      <c r="L280">
        <v>20.940000999999999</v>
      </c>
      <c r="M280">
        <v>20.99</v>
      </c>
    </row>
    <row r="281" spans="1:13">
      <c r="A281" s="346">
        <v>42012</v>
      </c>
      <c r="B281">
        <v>29.059999000000001</v>
      </c>
      <c r="C281">
        <v>29.77</v>
      </c>
      <c r="D281">
        <v>29.040001</v>
      </c>
      <c r="E281">
        <v>29.41</v>
      </c>
      <c r="F281">
        <v>29.41</v>
      </c>
      <c r="G281">
        <v>179200</v>
      </c>
      <c r="I281" s="346">
        <v>42012</v>
      </c>
      <c r="J281">
        <v>21.190000999999999</v>
      </c>
      <c r="K281">
        <v>21.33</v>
      </c>
      <c r="L281">
        <v>21.16</v>
      </c>
      <c r="M281">
        <v>21.290001</v>
      </c>
    </row>
    <row r="282" spans="1:13">
      <c r="A282" s="346">
        <v>42013</v>
      </c>
      <c r="B282">
        <v>29.629999000000002</v>
      </c>
      <c r="C282">
        <v>29.629999000000002</v>
      </c>
      <c r="D282">
        <v>28.99</v>
      </c>
      <c r="E282">
        <v>29.309999000000001</v>
      </c>
      <c r="F282">
        <v>29.309999000000001</v>
      </c>
      <c r="G282">
        <v>94500</v>
      </c>
      <c r="I282" s="346">
        <v>42013</v>
      </c>
      <c r="J282">
        <v>21.309999000000001</v>
      </c>
      <c r="K282">
        <v>21.33</v>
      </c>
      <c r="L282">
        <v>21.049999</v>
      </c>
      <c r="M282">
        <v>21.1</v>
      </c>
    </row>
    <row r="283" spans="1:13">
      <c r="A283" s="346">
        <v>42016</v>
      </c>
      <c r="B283">
        <v>29.120000999999998</v>
      </c>
      <c r="C283">
        <v>29.4</v>
      </c>
      <c r="D283">
        <v>28.5</v>
      </c>
      <c r="E283">
        <v>28.559999000000001</v>
      </c>
      <c r="F283">
        <v>28.559999000000001</v>
      </c>
      <c r="G283">
        <v>131900</v>
      </c>
      <c r="I283" s="346">
        <v>42016</v>
      </c>
      <c r="J283">
        <v>21.059999000000001</v>
      </c>
      <c r="K283">
        <v>21.07</v>
      </c>
      <c r="L283">
        <v>20.74</v>
      </c>
      <c r="M283">
        <v>20.99</v>
      </c>
    </row>
    <row r="284" spans="1:13">
      <c r="A284" s="346">
        <v>42017</v>
      </c>
      <c r="B284">
        <v>28.75</v>
      </c>
      <c r="C284">
        <v>28.959999</v>
      </c>
      <c r="D284">
        <v>27.75</v>
      </c>
      <c r="E284">
        <v>27.780000999999999</v>
      </c>
      <c r="F284">
        <v>27.780000999999999</v>
      </c>
      <c r="G284">
        <v>292100</v>
      </c>
      <c r="I284" s="346">
        <v>42017</v>
      </c>
      <c r="J284">
        <v>21.01</v>
      </c>
      <c r="K284">
        <v>21.16</v>
      </c>
      <c r="L284">
        <v>20.68</v>
      </c>
      <c r="M284">
        <v>20.82</v>
      </c>
    </row>
    <row r="285" spans="1:13">
      <c r="A285" s="346">
        <v>42018</v>
      </c>
      <c r="B285">
        <v>27.360001</v>
      </c>
      <c r="C285">
        <v>27.85</v>
      </c>
      <c r="D285">
        <v>27.139999</v>
      </c>
      <c r="E285">
        <v>27.83</v>
      </c>
      <c r="F285">
        <v>27.83</v>
      </c>
      <c r="G285">
        <v>381700</v>
      </c>
      <c r="I285" s="346">
        <v>42018</v>
      </c>
      <c r="J285">
        <v>20.629999000000002</v>
      </c>
      <c r="K285">
        <v>20.709999</v>
      </c>
      <c r="L285">
        <v>20.399999999999999</v>
      </c>
      <c r="M285">
        <v>20.67</v>
      </c>
    </row>
    <row r="286" spans="1:13">
      <c r="A286" s="346">
        <v>42019</v>
      </c>
      <c r="B286">
        <v>27.85</v>
      </c>
      <c r="C286">
        <v>28</v>
      </c>
      <c r="D286">
        <v>27.07</v>
      </c>
      <c r="E286">
        <v>27.1</v>
      </c>
      <c r="F286">
        <v>27.1</v>
      </c>
      <c r="G286">
        <v>453600</v>
      </c>
      <c r="I286" s="346">
        <v>42019</v>
      </c>
      <c r="J286">
        <v>20.83</v>
      </c>
      <c r="K286">
        <v>20.83</v>
      </c>
      <c r="L286">
        <v>20.549999</v>
      </c>
      <c r="M286">
        <v>20.559999000000001</v>
      </c>
    </row>
    <row r="287" spans="1:13">
      <c r="A287" s="346">
        <v>42020</v>
      </c>
      <c r="B287">
        <v>27.1</v>
      </c>
      <c r="C287">
        <v>27.540001</v>
      </c>
      <c r="D287">
        <v>26.799999</v>
      </c>
      <c r="E287">
        <v>26.92</v>
      </c>
      <c r="F287">
        <v>26.92</v>
      </c>
      <c r="G287">
        <v>131500</v>
      </c>
      <c r="I287" s="346">
        <v>42020</v>
      </c>
      <c r="J287">
        <v>20.58</v>
      </c>
      <c r="K287">
        <v>21.040001</v>
      </c>
      <c r="L287">
        <v>20.58</v>
      </c>
      <c r="M287">
        <v>21.01</v>
      </c>
    </row>
    <row r="288" spans="1:13">
      <c r="A288" s="346">
        <v>42023</v>
      </c>
      <c r="B288">
        <v>26.610001</v>
      </c>
      <c r="C288">
        <v>26.91</v>
      </c>
      <c r="D288">
        <v>26.34</v>
      </c>
      <c r="E288">
        <v>26.91</v>
      </c>
      <c r="F288">
        <v>26.91</v>
      </c>
      <c r="G288">
        <v>100600</v>
      </c>
      <c r="I288" s="346">
        <v>42023</v>
      </c>
      <c r="J288">
        <v>21</v>
      </c>
      <c r="K288">
        <v>21.049999</v>
      </c>
      <c r="L288">
        <v>20.790001</v>
      </c>
      <c r="M288">
        <v>20.98</v>
      </c>
    </row>
    <row r="289" spans="1:13">
      <c r="A289" s="346">
        <v>42024</v>
      </c>
      <c r="B289">
        <v>26.99</v>
      </c>
      <c r="C289">
        <v>26.99</v>
      </c>
      <c r="D289">
        <v>25.35</v>
      </c>
      <c r="E289">
        <v>25.969999000000001</v>
      </c>
      <c r="F289">
        <v>25.969999000000001</v>
      </c>
      <c r="G289">
        <v>326700</v>
      </c>
      <c r="I289" s="346">
        <v>42024</v>
      </c>
      <c r="J289">
        <v>21.129999000000002</v>
      </c>
      <c r="K289">
        <v>21.129999000000002</v>
      </c>
      <c r="L289">
        <v>20.93</v>
      </c>
      <c r="M289">
        <v>21.01</v>
      </c>
    </row>
    <row r="290" spans="1:13">
      <c r="A290" s="346">
        <v>42025</v>
      </c>
      <c r="B290">
        <v>25.9</v>
      </c>
      <c r="C290">
        <v>27.77</v>
      </c>
      <c r="D290">
        <v>25.450001</v>
      </c>
      <c r="E290">
        <v>27.75</v>
      </c>
      <c r="F290">
        <v>27.75</v>
      </c>
      <c r="G290">
        <v>565700</v>
      </c>
      <c r="I290" s="346">
        <v>42025</v>
      </c>
      <c r="J290">
        <v>21.030000999999999</v>
      </c>
      <c r="K290">
        <v>21.549999</v>
      </c>
      <c r="L290">
        <v>20.950001</v>
      </c>
      <c r="M290">
        <v>21.440000999999999</v>
      </c>
    </row>
    <row r="291" spans="1:13">
      <c r="A291" s="346">
        <v>42026</v>
      </c>
      <c r="B291">
        <v>28</v>
      </c>
      <c r="C291">
        <v>28.76</v>
      </c>
      <c r="D291">
        <v>28</v>
      </c>
      <c r="E291">
        <v>28.5</v>
      </c>
      <c r="F291">
        <v>28.5</v>
      </c>
      <c r="G291">
        <v>483800</v>
      </c>
      <c r="I291" s="346">
        <v>42026</v>
      </c>
      <c r="J291">
        <v>21.52</v>
      </c>
      <c r="K291">
        <v>21.85</v>
      </c>
      <c r="L291">
        <v>21.51</v>
      </c>
      <c r="M291">
        <v>21.780000999999999</v>
      </c>
    </row>
    <row r="292" spans="1:13">
      <c r="A292" s="346">
        <v>42027</v>
      </c>
      <c r="B292">
        <v>28.41</v>
      </c>
      <c r="C292">
        <v>28.540001</v>
      </c>
      <c r="D292">
        <v>28</v>
      </c>
      <c r="E292">
        <v>28.440000999999999</v>
      </c>
      <c r="F292">
        <v>28.440000999999999</v>
      </c>
      <c r="G292">
        <v>418300</v>
      </c>
      <c r="I292" s="346">
        <v>42027</v>
      </c>
      <c r="J292">
        <v>21.809999000000001</v>
      </c>
      <c r="K292">
        <v>21.93</v>
      </c>
      <c r="L292">
        <v>21.75</v>
      </c>
      <c r="M292">
        <v>21.790001</v>
      </c>
    </row>
    <row r="293" spans="1:13">
      <c r="A293" s="346">
        <v>42030</v>
      </c>
      <c r="B293">
        <v>28.52</v>
      </c>
      <c r="C293">
        <v>29.09</v>
      </c>
      <c r="D293">
        <v>28.41</v>
      </c>
      <c r="E293">
        <v>29.09</v>
      </c>
      <c r="F293">
        <v>29.09</v>
      </c>
      <c r="G293">
        <v>178700</v>
      </c>
      <c r="I293" s="346">
        <v>42030</v>
      </c>
      <c r="J293">
        <v>21.799999</v>
      </c>
      <c r="K293">
        <v>21.82</v>
      </c>
      <c r="L293">
        <v>21.68</v>
      </c>
      <c r="M293">
        <v>21.77</v>
      </c>
    </row>
    <row r="294" spans="1:13">
      <c r="A294" s="346">
        <v>42031</v>
      </c>
      <c r="B294">
        <v>28.83</v>
      </c>
      <c r="C294">
        <v>29.360001</v>
      </c>
      <c r="D294">
        <v>28.4</v>
      </c>
      <c r="E294">
        <v>28.870000999999998</v>
      </c>
      <c r="F294">
        <v>28.870000999999998</v>
      </c>
      <c r="G294">
        <v>264800</v>
      </c>
      <c r="I294" s="346">
        <v>42031</v>
      </c>
      <c r="J294">
        <v>21.68</v>
      </c>
      <c r="K294">
        <v>21.85</v>
      </c>
      <c r="L294">
        <v>21.549999</v>
      </c>
      <c r="M294">
        <v>21.84</v>
      </c>
    </row>
    <row r="295" spans="1:13">
      <c r="A295" s="346">
        <v>42032</v>
      </c>
      <c r="B295">
        <v>29.209999</v>
      </c>
      <c r="C295">
        <v>29.41</v>
      </c>
      <c r="D295">
        <v>28.870000999999998</v>
      </c>
      <c r="E295">
        <v>29.16</v>
      </c>
      <c r="F295">
        <v>29.16</v>
      </c>
      <c r="G295">
        <v>159500</v>
      </c>
      <c r="I295" s="346">
        <v>42032</v>
      </c>
      <c r="J295">
        <v>21.940000999999999</v>
      </c>
      <c r="K295">
        <v>21.940000999999999</v>
      </c>
      <c r="L295">
        <v>21.51</v>
      </c>
      <c r="M295">
        <v>21.51</v>
      </c>
    </row>
    <row r="296" spans="1:13">
      <c r="A296" s="346">
        <v>42033</v>
      </c>
      <c r="B296">
        <v>29.27</v>
      </c>
      <c r="C296">
        <v>30.360001</v>
      </c>
      <c r="D296">
        <v>29.23</v>
      </c>
      <c r="E296">
        <v>30.35</v>
      </c>
      <c r="F296">
        <v>30.35</v>
      </c>
      <c r="G296">
        <v>294600</v>
      </c>
      <c r="I296" s="346">
        <v>42033</v>
      </c>
      <c r="J296">
        <v>21.57</v>
      </c>
      <c r="K296">
        <v>21.68</v>
      </c>
      <c r="L296">
        <v>21.23</v>
      </c>
      <c r="M296">
        <v>21.6</v>
      </c>
    </row>
    <row r="297" spans="1:13">
      <c r="A297" s="346">
        <v>42034</v>
      </c>
      <c r="B297">
        <v>30.280000999999999</v>
      </c>
      <c r="C297">
        <v>31.879999000000002</v>
      </c>
      <c r="D297">
        <v>30.280000999999999</v>
      </c>
      <c r="E297">
        <v>31.75</v>
      </c>
      <c r="F297">
        <v>31.75</v>
      </c>
      <c r="G297">
        <v>451000</v>
      </c>
      <c r="I297" s="346">
        <v>42034</v>
      </c>
      <c r="J297">
        <v>21.49</v>
      </c>
      <c r="K297">
        <v>21.860001</v>
      </c>
      <c r="L297">
        <v>21.4</v>
      </c>
      <c r="M297">
        <v>21.68</v>
      </c>
    </row>
    <row r="298" spans="1:13">
      <c r="A298" s="346">
        <v>42037</v>
      </c>
      <c r="B298">
        <v>31.67</v>
      </c>
      <c r="C298">
        <v>31.799999</v>
      </c>
      <c r="D298">
        <v>30.469999000000001</v>
      </c>
      <c r="E298">
        <v>30.57</v>
      </c>
      <c r="F298">
        <v>30.57</v>
      </c>
      <c r="G298">
        <v>419600</v>
      </c>
      <c r="I298" s="346">
        <v>42037</v>
      </c>
      <c r="J298">
        <v>21.83</v>
      </c>
      <c r="K298">
        <v>22.01</v>
      </c>
      <c r="L298">
        <v>21.700001</v>
      </c>
      <c r="M298">
        <v>22</v>
      </c>
    </row>
    <row r="299" spans="1:13">
      <c r="A299" s="346">
        <v>42038</v>
      </c>
      <c r="B299">
        <v>30.639999</v>
      </c>
      <c r="C299">
        <v>31</v>
      </c>
      <c r="D299">
        <v>29.719999000000001</v>
      </c>
      <c r="E299">
        <v>29.719999000000001</v>
      </c>
      <c r="F299">
        <v>29.719999000000001</v>
      </c>
      <c r="G299">
        <v>524500</v>
      </c>
      <c r="I299" s="346">
        <v>42038</v>
      </c>
      <c r="J299">
        <v>22.139999</v>
      </c>
      <c r="K299">
        <v>22.290001</v>
      </c>
      <c r="L299">
        <v>22.049999</v>
      </c>
      <c r="M299">
        <v>22.17</v>
      </c>
    </row>
    <row r="300" spans="1:13">
      <c r="A300" s="346">
        <v>42039</v>
      </c>
      <c r="B300">
        <v>29.75</v>
      </c>
      <c r="C300">
        <v>31.1</v>
      </c>
      <c r="D300">
        <v>29.75</v>
      </c>
      <c r="E300">
        <v>30.92</v>
      </c>
      <c r="F300">
        <v>30.92</v>
      </c>
      <c r="G300">
        <v>298200</v>
      </c>
      <c r="I300" s="346">
        <v>42039</v>
      </c>
      <c r="J300">
        <v>22.120000999999998</v>
      </c>
      <c r="K300">
        <v>22.17</v>
      </c>
      <c r="L300">
        <v>21.99</v>
      </c>
      <c r="M300">
        <v>22.09</v>
      </c>
    </row>
    <row r="301" spans="1:13">
      <c r="A301" s="346">
        <v>42040</v>
      </c>
      <c r="B301">
        <v>30.68</v>
      </c>
      <c r="C301">
        <v>30.77</v>
      </c>
      <c r="D301">
        <v>28.549999</v>
      </c>
      <c r="E301">
        <v>28.82</v>
      </c>
      <c r="F301">
        <v>28.82</v>
      </c>
      <c r="G301">
        <v>1204400</v>
      </c>
      <c r="I301" s="346">
        <v>42040</v>
      </c>
      <c r="J301">
        <v>22.190000999999999</v>
      </c>
      <c r="K301">
        <v>22.34</v>
      </c>
      <c r="L301">
        <v>22.120000999999998</v>
      </c>
      <c r="M301">
        <v>22.280000999999999</v>
      </c>
    </row>
    <row r="302" spans="1:13">
      <c r="A302" s="346">
        <v>42041</v>
      </c>
      <c r="B302">
        <v>29.01</v>
      </c>
      <c r="C302">
        <v>30.49</v>
      </c>
      <c r="D302">
        <v>29</v>
      </c>
      <c r="E302">
        <v>30.120000999999998</v>
      </c>
      <c r="F302">
        <v>30.120000999999998</v>
      </c>
      <c r="G302">
        <v>727800</v>
      </c>
      <c r="I302" s="346">
        <v>42041</v>
      </c>
      <c r="J302">
        <v>22.360001</v>
      </c>
      <c r="K302">
        <v>22.4</v>
      </c>
      <c r="L302">
        <v>22.120000999999998</v>
      </c>
      <c r="M302">
        <v>22.24</v>
      </c>
    </row>
    <row r="303" spans="1:13">
      <c r="A303" s="346">
        <v>42044</v>
      </c>
      <c r="B303">
        <v>29.01</v>
      </c>
      <c r="C303">
        <v>31.059999000000001</v>
      </c>
      <c r="D303">
        <v>29</v>
      </c>
      <c r="E303">
        <v>30.74</v>
      </c>
      <c r="F303">
        <v>30.74</v>
      </c>
      <c r="G303">
        <v>740700</v>
      </c>
      <c r="I303" s="346">
        <v>42044</v>
      </c>
      <c r="J303">
        <v>22.360001</v>
      </c>
      <c r="K303">
        <v>22.360001</v>
      </c>
      <c r="L303">
        <v>22.120000999999998</v>
      </c>
      <c r="M303">
        <v>22.219999000000001</v>
      </c>
    </row>
    <row r="304" spans="1:13">
      <c r="A304" s="346">
        <v>42045</v>
      </c>
      <c r="B304">
        <v>30.950001</v>
      </c>
      <c r="C304">
        <v>31.299999</v>
      </c>
      <c r="D304">
        <v>30.280000999999999</v>
      </c>
      <c r="E304">
        <v>30.860001</v>
      </c>
      <c r="F304">
        <v>30.860001</v>
      </c>
      <c r="G304">
        <v>554300</v>
      </c>
      <c r="I304" s="346">
        <v>42045</v>
      </c>
      <c r="J304">
        <v>22.33</v>
      </c>
      <c r="K304">
        <v>22.33</v>
      </c>
      <c r="L304">
        <v>22.059999000000001</v>
      </c>
      <c r="M304">
        <v>22.290001</v>
      </c>
    </row>
    <row r="305" spans="1:13">
      <c r="A305" s="346">
        <v>42046</v>
      </c>
      <c r="B305">
        <v>31.27</v>
      </c>
      <c r="C305">
        <v>31.379999000000002</v>
      </c>
      <c r="D305">
        <v>30.75</v>
      </c>
      <c r="E305">
        <v>31.09</v>
      </c>
      <c r="F305">
        <v>31.09</v>
      </c>
      <c r="G305">
        <v>378600</v>
      </c>
      <c r="I305" s="346">
        <v>42046</v>
      </c>
      <c r="J305">
        <v>22.25</v>
      </c>
      <c r="K305">
        <v>22.4</v>
      </c>
      <c r="L305">
        <v>22.24</v>
      </c>
      <c r="M305">
        <v>22.34</v>
      </c>
    </row>
    <row r="306" spans="1:13">
      <c r="A306" s="346">
        <v>42047</v>
      </c>
      <c r="B306">
        <v>31.309999000000001</v>
      </c>
      <c r="C306">
        <v>31.93</v>
      </c>
      <c r="D306">
        <v>31.190000999999999</v>
      </c>
      <c r="E306">
        <v>31.889999</v>
      </c>
      <c r="F306">
        <v>31.889999</v>
      </c>
      <c r="G306">
        <v>587300</v>
      </c>
      <c r="I306" s="346">
        <v>42047</v>
      </c>
      <c r="J306">
        <v>22.41</v>
      </c>
      <c r="K306">
        <v>22.440000999999999</v>
      </c>
      <c r="L306">
        <v>22.23</v>
      </c>
      <c r="M306">
        <v>22.4</v>
      </c>
    </row>
    <row r="307" spans="1:13">
      <c r="A307" s="346">
        <v>42048</v>
      </c>
      <c r="B307">
        <v>31.73</v>
      </c>
      <c r="C307">
        <v>31.879999000000002</v>
      </c>
      <c r="D307">
        <v>31.309999000000001</v>
      </c>
      <c r="E307">
        <v>31.83</v>
      </c>
      <c r="F307">
        <v>31.83</v>
      </c>
      <c r="G307">
        <v>266800</v>
      </c>
      <c r="I307" s="346">
        <v>42048</v>
      </c>
      <c r="J307">
        <v>22.309999000000001</v>
      </c>
      <c r="K307">
        <v>22.57</v>
      </c>
      <c r="L307">
        <v>22.309999000000001</v>
      </c>
      <c r="M307">
        <v>22.459999</v>
      </c>
    </row>
    <row r="308" spans="1:13">
      <c r="A308" s="346">
        <v>42052</v>
      </c>
      <c r="B308">
        <v>31.43</v>
      </c>
      <c r="C308">
        <v>31.639999</v>
      </c>
      <c r="D308">
        <v>30.75</v>
      </c>
      <c r="E308">
        <v>30.84</v>
      </c>
      <c r="F308">
        <v>30.84</v>
      </c>
      <c r="G308">
        <v>366600</v>
      </c>
      <c r="I308" s="346">
        <v>42052</v>
      </c>
      <c r="J308">
        <v>22.43</v>
      </c>
      <c r="K308">
        <v>22.59</v>
      </c>
      <c r="L308">
        <v>22.360001</v>
      </c>
      <c r="M308">
        <v>22.5</v>
      </c>
    </row>
    <row r="309" spans="1:13">
      <c r="A309" s="346">
        <v>42053</v>
      </c>
      <c r="B309">
        <v>30.76</v>
      </c>
      <c r="C309">
        <v>30.76</v>
      </c>
      <c r="D309">
        <v>30.200001</v>
      </c>
      <c r="E309">
        <v>30.280000999999999</v>
      </c>
      <c r="F309">
        <v>30.280000999999999</v>
      </c>
      <c r="G309">
        <v>389000</v>
      </c>
      <c r="I309" s="346">
        <v>42053</v>
      </c>
      <c r="J309">
        <v>22.450001</v>
      </c>
      <c r="K309">
        <v>22.469999000000001</v>
      </c>
      <c r="L309">
        <v>22.299999</v>
      </c>
      <c r="M309">
        <v>22.360001</v>
      </c>
    </row>
    <row r="310" spans="1:13">
      <c r="A310" s="346">
        <v>42054</v>
      </c>
      <c r="B310">
        <v>30.110001</v>
      </c>
      <c r="C310">
        <v>30.719999000000001</v>
      </c>
      <c r="D310">
        <v>29.83</v>
      </c>
      <c r="E310">
        <v>30.059999000000001</v>
      </c>
      <c r="F310">
        <v>30.059999000000001</v>
      </c>
      <c r="G310">
        <v>199100</v>
      </c>
      <c r="I310" s="346">
        <v>42054</v>
      </c>
      <c r="J310">
        <v>22.32</v>
      </c>
      <c r="K310">
        <v>22.370000999999998</v>
      </c>
      <c r="L310">
        <v>22.209999</v>
      </c>
      <c r="M310">
        <v>22.32</v>
      </c>
    </row>
    <row r="311" spans="1:13">
      <c r="A311" s="346">
        <v>42055</v>
      </c>
      <c r="B311">
        <v>29.98</v>
      </c>
      <c r="C311">
        <v>30.17</v>
      </c>
      <c r="D311">
        <v>29.139999</v>
      </c>
      <c r="E311">
        <v>30.1</v>
      </c>
      <c r="F311">
        <v>30.1</v>
      </c>
      <c r="G311">
        <v>306200</v>
      </c>
      <c r="I311" s="346">
        <v>42055</v>
      </c>
      <c r="J311">
        <v>22.33</v>
      </c>
      <c r="K311">
        <v>22.41</v>
      </c>
      <c r="L311">
        <v>22.23</v>
      </c>
      <c r="M311">
        <v>22.34</v>
      </c>
    </row>
    <row r="312" spans="1:13">
      <c r="A312" s="346">
        <v>42058</v>
      </c>
      <c r="B312">
        <v>29.99</v>
      </c>
      <c r="C312">
        <v>30.42</v>
      </c>
      <c r="D312">
        <v>29.639999</v>
      </c>
      <c r="E312">
        <v>30.27</v>
      </c>
      <c r="F312">
        <v>30.27</v>
      </c>
      <c r="G312">
        <v>423800</v>
      </c>
      <c r="I312" s="346">
        <v>42058</v>
      </c>
      <c r="J312">
        <v>22.27</v>
      </c>
      <c r="K312">
        <v>22.41</v>
      </c>
      <c r="L312">
        <v>22.27</v>
      </c>
      <c r="M312">
        <v>22.389999</v>
      </c>
    </row>
    <row r="313" spans="1:13">
      <c r="A313" s="346">
        <v>42059</v>
      </c>
      <c r="B313">
        <v>30.18</v>
      </c>
      <c r="C313">
        <v>30.940000999999999</v>
      </c>
      <c r="D313">
        <v>29.9</v>
      </c>
      <c r="E313">
        <v>30.07</v>
      </c>
      <c r="F313">
        <v>30.07</v>
      </c>
      <c r="G313">
        <v>367300</v>
      </c>
      <c r="I313" s="346">
        <v>42059</v>
      </c>
      <c r="J313">
        <v>22.43</v>
      </c>
      <c r="K313">
        <v>22.540001</v>
      </c>
      <c r="L313">
        <v>22.34</v>
      </c>
      <c r="M313">
        <v>22.35</v>
      </c>
    </row>
    <row r="314" spans="1:13">
      <c r="A314" s="346">
        <v>42060</v>
      </c>
      <c r="B314">
        <v>30.049999</v>
      </c>
      <c r="C314">
        <v>30.07</v>
      </c>
      <c r="D314">
        <v>29.040001</v>
      </c>
      <c r="E314">
        <v>29.15</v>
      </c>
      <c r="F314">
        <v>29.15</v>
      </c>
      <c r="G314">
        <v>324700</v>
      </c>
      <c r="I314" s="346">
        <v>42060</v>
      </c>
      <c r="J314">
        <v>22.42</v>
      </c>
      <c r="K314">
        <v>22.5</v>
      </c>
      <c r="L314">
        <v>22.34</v>
      </c>
      <c r="M314">
        <v>22.450001</v>
      </c>
    </row>
    <row r="315" spans="1:13">
      <c r="A315" s="346">
        <v>42061</v>
      </c>
      <c r="B315">
        <v>29.139999</v>
      </c>
      <c r="C315">
        <v>29.440000999999999</v>
      </c>
      <c r="D315">
        <v>28.540001</v>
      </c>
      <c r="E315">
        <v>28.799999</v>
      </c>
      <c r="F315">
        <v>28.799999</v>
      </c>
      <c r="G315">
        <v>460800</v>
      </c>
      <c r="I315" s="346">
        <v>42061</v>
      </c>
      <c r="J315">
        <v>22.51</v>
      </c>
      <c r="K315">
        <v>22.620000999999998</v>
      </c>
      <c r="L315">
        <v>22.469999000000001</v>
      </c>
      <c r="M315">
        <v>22.49</v>
      </c>
    </row>
    <row r="316" spans="1:13">
      <c r="A316" s="346">
        <v>42062</v>
      </c>
      <c r="B316">
        <v>28.43</v>
      </c>
      <c r="C316">
        <v>28.9</v>
      </c>
      <c r="D316">
        <v>28.24</v>
      </c>
      <c r="E316">
        <v>28.700001</v>
      </c>
      <c r="F316">
        <v>28.700001</v>
      </c>
      <c r="G316">
        <v>766000</v>
      </c>
      <c r="I316" s="346">
        <v>42062</v>
      </c>
      <c r="J316">
        <v>22.5</v>
      </c>
      <c r="K316">
        <v>22.66</v>
      </c>
      <c r="L316">
        <v>22.459999</v>
      </c>
      <c r="M316">
        <v>22.51</v>
      </c>
    </row>
    <row r="317" spans="1:13">
      <c r="A317" s="346">
        <v>42065</v>
      </c>
      <c r="B317">
        <v>28.719999000000001</v>
      </c>
      <c r="C317">
        <v>28.85</v>
      </c>
      <c r="D317">
        <v>28.190000999999999</v>
      </c>
      <c r="E317">
        <v>28.459999</v>
      </c>
      <c r="F317">
        <v>28.459999</v>
      </c>
      <c r="G317">
        <v>543600</v>
      </c>
      <c r="I317" s="346">
        <v>42065</v>
      </c>
      <c r="J317">
        <v>22.48</v>
      </c>
      <c r="K317">
        <v>22.57</v>
      </c>
      <c r="L317">
        <v>22.450001</v>
      </c>
      <c r="M317">
        <v>22.549999</v>
      </c>
    </row>
    <row r="318" spans="1:13">
      <c r="A318" s="346">
        <v>42066</v>
      </c>
      <c r="B318">
        <v>28.389999</v>
      </c>
      <c r="C318">
        <v>28.41</v>
      </c>
      <c r="D318">
        <v>27.299999</v>
      </c>
      <c r="E318">
        <v>27.549999</v>
      </c>
      <c r="F318">
        <v>27.549999</v>
      </c>
      <c r="G318">
        <v>478900</v>
      </c>
      <c r="I318" s="346">
        <v>42066</v>
      </c>
      <c r="J318">
        <v>22.52</v>
      </c>
      <c r="K318">
        <v>22.52</v>
      </c>
      <c r="L318">
        <v>22.26</v>
      </c>
      <c r="M318">
        <v>22.35</v>
      </c>
    </row>
    <row r="319" spans="1:13">
      <c r="A319" s="346">
        <v>42067</v>
      </c>
      <c r="B319">
        <v>27.5</v>
      </c>
      <c r="C319">
        <v>27.58</v>
      </c>
      <c r="D319">
        <v>26.700001</v>
      </c>
      <c r="E319">
        <v>27.48</v>
      </c>
      <c r="F319">
        <v>27.48</v>
      </c>
      <c r="G319">
        <v>606800</v>
      </c>
      <c r="I319" s="346">
        <v>42067</v>
      </c>
      <c r="J319">
        <v>22.25</v>
      </c>
      <c r="K319">
        <v>22.32</v>
      </c>
      <c r="L319">
        <v>22.09</v>
      </c>
      <c r="M319">
        <v>22.200001</v>
      </c>
    </row>
    <row r="320" spans="1:13">
      <c r="A320" s="346">
        <v>42068</v>
      </c>
      <c r="B320">
        <v>27.49</v>
      </c>
      <c r="C320">
        <v>28.360001</v>
      </c>
      <c r="D320">
        <v>27.49</v>
      </c>
      <c r="E320">
        <v>28.209999</v>
      </c>
      <c r="F320">
        <v>28.209999</v>
      </c>
      <c r="G320">
        <v>349500</v>
      </c>
      <c r="I320" s="346">
        <v>42068</v>
      </c>
      <c r="J320">
        <v>22.309999000000001</v>
      </c>
      <c r="K320">
        <v>22.41</v>
      </c>
      <c r="L320">
        <v>22.26</v>
      </c>
      <c r="M320">
        <v>22.309999000000001</v>
      </c>
    </row>
    <row r="321" spans="1:13">
      <c r="A321" s="346">
        <v>42069</v>
      </c>
      <c r="B321">
        <v>27.700001</v>
      </c>
      <c r="C321">
        <v>27.92</v>
      </c>
      <c r="D321">
        <v>26.780000999999999</v>
      </c>
      <c r="E321">
        <v>26.879999000000002</v>
      </c>
      <c r="F321">
        <v>26.879999000000002</v>
      </c>
      <c r="G321">
        <v>771800</v>
      </c>
      <c r="I321" s="346">
        <v>42069</v>
      </c>
      <c r="J321">
        <v>22.25</v>
      </c>
      <c r="K321">
        <v>22.370000999999998</v>
      </c>
      <c r="L321">
        <v>22.01</v>
      </c>
      <c r="M321">
        <v>22.1</v>
      </c>
    </row>
    <row r="322" spans="1:13">
      <c r="A322" s="346">
        <v>42072</v>
      </c>
      <c r="B322">
        <v>26.65</v>
      </c>
      <c r="C322">
        <v>26.74</v>
      </c>
      <c r="D322">
        <v>25.77</v>
      </c>
      <c r="E322">
        <v>26.700001</v>
      </c>
      <c r="F322">
        <v>26.700001</v>
      </c>
      <c r="G322">
        <v>591800</v>
      </c>
      <c r="I322" s="346">
        <v>42072</v>
      </c>
      <c r="J322">
        <v>22.120000999999998</v>
      </c>
      <c r="K322">
        <v>22.120000999999998</v>
      </c>
      <c r="L322">
        <v>21.950001</v>
      </c>
      <c r="M322">
        <v>21.98</v>
      </c>
    </row>
    <row r="323" spans="1:13">
      <c r="A323" s="346">
        <v>42073</v>
      </c>
      <c r="B323">
        <v>26.4</v>
      </c>
      <c r="C323">
        <v>26.440000999999999</v>
      </c>
      <c r="D323">
        <v>25.379999000000002</v>
      </c>
      <c r="E323">
        <v>25.68</v>
      </c>
      <c r="F323">
        <v>25.68</v>
      </c>
      <c r="G323">
        <v>926300</v>
      </c>
      <c r="I323" s="346">
        <v>42073</v>
      </c>
      <c r="J323">
        <v>21.799999</v>
      </c>
      <c r="K323">
        <v>21.82</v>
      </c>
      <c r="L323">
        <v>21.59</v>
      </c>
      <c r="M323">
        <v>21.65</v>
      </c>
    </row>
    <row r="324" spans="1:13">
      <c r="A324" s="346">
        <v>42074</v>
      </c>
      <c r="B324">
        <v>25.690000999999999</v>
      </c>
      <c r="C324">
        <v>26.290001</v>
      </c>
      <c r="D324">
        <v>25.51</v>
      </c>
      <c r="E324">
        <v>25.67</v>
      </c>
      <c r="F324">
        <v>25.67</v>
      </c>
      <c r="G324">
        <v>365900</v>
      </c>
      <c r="I324" s="346">
        <v>42074</v>
      </c>
      <c r="J324">
        <v>21.65</v>
      </c>
      <c r="K324">
        <v>21.85</v>
      </c>
      <c r="L324">
        <v>21.610001</v>
      </c>
      <c r="M324">
        <v>21.75</v>
      </c>
    </row>
    <row r="325" spans="1:13">
      <c r="A325" s="346">
        <v>42075</v>
      </c>
      <c r="B325">
        <v>25.9</v>
      </c>
      <c r="C325">
        <v>26.120000999999998</v>
      </c>
      <c r="D325">
        <v>25.49</v>
      </c>
      <c r="E325">
        <v>25.76</v>
      </c>
      <c r="F325">
        <v>25.76</v>
      </c>
      <c r="G325">
        <v>302300</v>
      </c>
      <c r="I325" s="346">
        <v>42075</v>
      </c>
      <c r="J325">
        <v>21.83</v>
      </c>
      <c r="K325">
        <v>21.91</v>
      </c>
      <c r="L325">
        <v>21.74</v>
      </c>
      <c r="M325">
        <v>21.860001</v>
      </c>
    </row>
    <row r="326" spans="1:13">
      <c r="A326" s="346">
        <v>42076</v>
      </c>
      <c r="B326">
        <v>25.66</v>
      </c>
      <c r="C326">
        <v>25.73</v>
      </c>
      <c r="D326">
        <v>24.93</v>
      </c>
      <c r="E326">
        <v>25.309999000000001</v>
      </c>
      <c r="F326">
        <v>25.309999000000001</v>
      </c>
      <c r="G326">
        <v>225500</v>
      </c>
      <c r="I326" s="346">
        <v>42076</v>
      </c>
      <c r="J326">
        <v>21.790001</v>
      </c>
      <c r="K326">
        <v>21.83</v>
      </c>
      <c r="L326">
        <v>21.610001</v>
      </c>
      <c r="M326">
        <v>21.82</v>
      </c>
    </row>
    <row r="327" spans="1:13">
      <c r="A327" s="346">
        <v>42079</v>
      </c>
      <c r="B327">
        <v>25.309999000000001</v>
      </c>
      <c r="C327">
        <v>25.700001</v>
      </c>
      <c r="D327">
        <v>25.129999000000002</v>
      </c>
      <c r="E327">
        <v>25.41</v>
      </c>
      <c r="F327">
        <v>25.41</v>
      </c>
      <c r="G327">
        <v>299900</v>
      </c>
      <c r="I327" s="346">
        <v>42079</v>
      </c>
      <c r="J327">
        <v>21.83</v>
      </c>
      <c r="K327">
        <v>22.129999000000002</v>
      </c>
      <c r="L327">
        <v>21.790001</v>
      </c>
      <c r="M327">
        <v>22.09</v>
      </c>
    </row>
    <row r="328" spans="1:13">
      <c r="A328" s="346">
        <v>42080</v>
      </c>
      <c r="B328">
        <v>25.059999000000001</v>
      </c>
      <c r="C328">
        <v>25.969999000000001</v>
      </c>
      <c r="D328">
        <v>24.58</v>
      </c>
      <c r="E328">
        <v>25.879999000000002</v>
      </c>
      <c r="F328">
        <v>25.879999000000002</v>
      </c>
      <c r="G328">
        <v>343200</v>
      </c>
      <c r="I328" s="346">
        <v>42080</v>
      </c>
      <c r="J328">
        <v>21.950001</v>
      </c>
      <c r="K328">
        <v>22.110001</v>
      </c>
      <c r="L328">
        <v>21.780000999999999</v>
      </c>
      <c r="M328">
        <v>22.08</v>
      </c>
    </row>
    <row r="329" spans="1:13">
      <c r="A329" s="346">
        <v>42081</v>
      </c>
      <c r="B329">
        <v>25.83</v>
      </c>
      <c r="C329">
        <v>26.09</v>
      </c>
      <c r="D329">
        <v>25.43</v>
      </c>
      <c r="E329">
        <v>25.690000999999999</v>
      </c>
      <c r="F329">
        <v>25.690000999999999</v>
      </c>
      <c r="G329">
        <v>295700</v>
      </c>
      <c r="I329" s="346">
        <v>42081</v>
      </c>
      <c r="J329">
        <v>21.870000999999998</v>
      </c>
      <c r="K329">
        <v>22.08</v>
      </c>
      <c r="L329">
        <v>21.780000999999999</v>
      </c>
      <c r="M329">
        <v>21.99</v>
      </c>
    </row>
    <row r="330" spans="1:13">
      <c r="A330" s="346">
        <v>42082</v>
      </c>
      <c r="B330">
        <v>25.74</v>
      </c>
      <c r="C330">
        <v>25.75</v>
      </c>
      <c r="D330">
        <v>25.16</v>
      </c>
      <c r="E330">
        <v>25.280000999999999</v>
      </c>
      <c r="F330">
        <v>25.280000999999999</v>
      </c>
      <c r="G330">
        <v>286300</v>
      </c>
      <c r="I330" s="346">
        <v>42082</v>
      </c>
      <c r="J330">
        <v>21.950001</v>
      </c>
      <c r="K330">
        <v>21.98</v>
      </c>
      <c r="L330">
        <v>21.73</v>
      </c>
      <c r="M330">
        <v>21.77</v>
      </c>
    </row>
    <row r="331" spans="1:13">
      <c r="A331" s="346">
        <v>42083</v>
      </c>
      <c r="B331">
        <v>25.360001</v>
      </c>
      <c r="C331">
        <v>25.58</v>
      </c>
      <c r="D331">
        <v>24.73</v>
      </c>
      <c r="E331">
        <v>25.209999</v>
      </c>
      <c r="F331">
        <v>25.209999</v>
      </c>
      <c r="G331">
        <v>417300</v>
      </c>
      <c r="I331" s="346">
        <v>42083</v>
      </c>
      <c r="J331">
        <v>22.02</v>
      </c>
      <c r="K331">
        <v>22.02</v>
      </c>
      <c r="L331">
        <v>21.879999000000002</v>
      </c>
      <c r="M331">
        <v>21.940000999999999</v>
      </c>
    </row>
    <row r="332" spans="1:13">
      <c r="A332" s="346">
        <v>42086</v>
      </c>
      <c r="B332">
        <v>25.25</v>
      </c>
      <c r="C332">
        <v>25.379999000000002</v>
      </c>
      <c r="D332">
        <v>24.799999</v>
      </c>
      <c r="E332">
        <v>25.23</v>
      </c>
      <c r="F332">
        <v>25.23</v>
      </c>
      <c r="G332">
        <v>389000</v>
      </c>
      <c r="I332" s="346">
        <v>42086</v>
      </c>
      <c r="J332">
        <v>21.950001</v>
      </c>
      <c r="K332">
        <v>22.01</v>
      </c>
      <c r="L332">
        <v>21.85</v>
      </c>
      <c r="M332">
        <v>21.9</v>
      </c>
    </row>
    <row r="333" spans="1:13">
      <c r="A333" s="346">
        <v>42087</v>
      </c>
      <c r="B333">
        <v>25.23</v>
      </c>
      <c r="C333">
        <v>26.139999</v>
      </c>
      <c r="D333">
        <v>24.75</v>
      </c>
      <c r="E333">
        <v>25.969999000000001</v>
      </c>
      <c r="F333">
        <v>25.969999000000001</v>
      </c>
      <c r="G333">
        <v>524900</v>
      </c>
      <c r="I333" s="346">
        <v>42087</v>
      </c>
      <c r="J333">
        <v>21.940000999999999</v>
      </c>
      <c r="K333">
        <v>22.16</v>
      </c>
      <c r="L333">
        <v>21.870000999999998</v>
      </c>
      <c r="M333">
        <v>22.120000999999998</v>
      </c>
    </row>
    <row r="334" spans="1:13">
      <c r="A334" s="346">
        <v>42088</v>
      </c>
      <c r="B334">
        <v>26.18</v>
      </c>
      <c r="C334">
        <v>26.780000999999999</v>
      </c>
      <c r="D334">
        <v>26.17</v>
      </c>
      <c r="E334">
        <v>26.280000999999999</v>
      </c>
      <c r="F334">
        <v>26.280000999999999</v>
      </c>
      <c r="G334">
        <v>715000</v>
      </c>
      <c r="I334" s="346">
        <v>42088</v>
      </c>
      <c r="J334">
        <v>22.18</v>
      </c>
      <c r="K334">
        <v>22.24</v>
      </c>
      <c r="L334">
        <v>21.860001</v>
      </c>
      <c r="M334">
        <v>21.92</v>
      </c>
    </row>
    <row r="335" spans="1:13">
      <c r="A335" s="346">
        <v>42089</v>
      </c>
      <c r="B335">
        <v>26.26</v>
      </c>
      <c r="C335">
        <v>26.66</v>
      </c>
      <c r="D335">
        <v>25.73</v>
      </c>
      <c r="E335">
        <v>26.459999</v>
      </c>
      <c r="F335">
        <v>26.459999</v>
      </c>
      <c r="G335">
        <v>597900</v>
      </c>
      <c r="I335" s="346">
        <v>42089</v>
      </c>
      <c r="J335">
        <v>21.85</v>
      </c>
      <c r="K335">
        <v>21.950001</v>
      </c>
      <c r="L335">
        <v>21.719999000000001</v>
      </c>
      <c r="M335">
        <v>21.76</v>
      </c>
    </row>
    <row r="336" spans="1:13">
      <c r="A336" s="346">
        <v>42090</v>
      </c>
      <c r="B336">
        <v>26.65</v>
      </c>
      <c r="C336">
        <v>27.18</v>
      </c>
      <c r="D336">
        <v>26.450001</v>
      </c>
      <c r="E336">
        <v>26.950001</v>
      </c>
      <c r="F336">
        <v>26.950001</v>
      </c>
      <c r="G336">
        <v>404600</v>
      </c>
      <c r="I336" s="346">
        <v>42090</v>
      </c>
      <c r="J336">
        <v>21.76</v>
      </c>
      <c r="K336">
        <v>21.82</v>
      </c>
      <c r="L336">
        <v>21.52</v>
      </c>
      <c r="M336">
        <v>21.700001</v>
      </c>
    </row>
    <row r="337" spans="1:13">
      <c r="A337" s="346">
        <v>42093</v>
      </c>
      <c r="B337">
        <v>27.09</v>
      </c>
      <c r="C337">
        <v>27.09</v>
      </c>
      <c r="D337">
        <v>25.6</v>
      </c>
      <c r="E337">
        <v>26.030000999999999</v>
      </c>
      <c r="F337">
        <v>26.030000999999999</v>
      </c>
      <c r="G337">
        <v>560100</v>
      </c>
      <c r="I337" s="346">
        <v>42093</v>
      </c>
      <c r="J337">
        <v>21.76</v>
      </c>
      <c r="K337">
        <v>22.01</v>
      </c>
      <c r="L337">
        <v>21.73</v>
      </c>
      <c r="M337">
        <v>21.889999</v>
      </c>
    </row>
    <row r="338" spans="1:13">
      <c r="A338" s="346">
        <v>42094</v>
      </c>
      <c r="B338">
        <v>25.620000999999998</v>
      </c>
      <c r="C338">
        <v>25.75</v>
      </c>
      <c r="D338">
        <v>24.91</v>
      </c>
      <c r="E338">
        <v>25.35</v>
      </c>
      <c r="F338">
        <v>25.35</v>
      </c>
      <c r="G338">
        <v>675600</v>
      </c>
      <c r="I338" s="346">
        <v>42094</v>
      </c>
      <c r="J338">
        <v>21.75</v>
      </c>
      <c r="K338">
        <v>21.959999</v>
      </c>
      <c r="L338">
        <v>21.700001</v>
      </c>
      <c r="M338">
        <v>21.9</v>
      </c>
    </row>
    <row r="339" spans="1:13">
      <c r="A339" s="346">
        <v>42095</v>
      </c>
      <c r="B339">
        <v>25.26</v>
      </c>
      <c r="C339">
        <v>25.360001</v>
      </c>
      <c r="D339">
        <v>24.799999</v>
      </c>
      <c r="E339">
        <v>24.93</v>
      </c>
      <c r="F339">
        <v>24.93</v>
      </c>
      <c r="G339">
        <v>337600</v>
      </c>
      <c r="I339" s="346">
        <v>42095</v>
      </c>
      <c r="J339">
        <v>21.860001</v>
      </c>
      <c r="K339">
        <v>21.940000999999999</v>
      </c>
      <c r="L339">
        <v>21.799999</v>
      </c>
      <c r="M339">
        <v>21.9</v>
      </c>
    </row>
    <row r="340" spans="1:13">
      <c r="A340" s="346">
        <v>42096</v>
      </c>
      <c r="B340">
        <v>24.959999</v>
      </c>
      <c r="C340">
        <v>25.120000999999998</v>
      </c>
      <c r="D340">
        <v>24.57</v>
      </c>
      <c r="E340">
        <v>24.67</v>
      </c>
      <c r="F340">
        <v>24.67</v>
      </c>
      <c r="G340">
        <v>203100</v>
      </c>
      <c r="I340" s="346">
        <v>42096</v>
      </c>
      <c r="J340">
        <v>21.860001</v>
      </c>
      <c r="K340">
        <v>22.120000999999998</v>
      </c>
      <c r="L340">
        <v>21.860001</v>
      </c>
      <c r="M340">
        <v>22.059999000000001</v>
      </c>
    </row>
    <row r="341" spans="1:13">
      <c r="A341" s="346">
        <v>42100</v>
      </c>
      <c r="B341">
        <v>24.68</v>
      </c>
      <c r="C341">
        <v>24.68</v>
      </c>
      <c r="D341">
        <v>23.92</v>
      </c>
      <c r="E341">
        <v>24.190000999999999</v>
      </c>
      <c r="F341">
        <v>24.190000999999999</v>
      </c>
      <c r="G341">
        <v>314300</v>
      </c>
      <c r="I341" s="346">
        <v>42100</v>
      </c>
      <c r="J341">
        <v>22.049999</v>
      </c>
      <c r="K341">
        <v>22.209999</v>
      </c>
      <c r="L341">
        <v>22.02</v>
      </c>
      <c r="M341">
        <v>22.1</v>
      </c>
    </row>
    <row r="342" spans="1:13">
      <c r="A342" s="346">
        <v>42101</v>
      </c>
      <c r="B342">
        <v>24.18</v>
      </c>
      <c r="C342">
        <v>24.219999000000001</v>
      </c>
      <c r="D342">
        <v>23.809999000000001</v>
      </c>
      <c r="E342">
        <v>24.059999000000001</v>
      </c>
      <c r="F342">
        <v>24.059999000000001</v>
      </c>
      <c r="G342">
        <v>394300</v>
      </c>
      <c r="I342" s="346">
        <v>42101</v>
      </c>
      <c r="J342">
        <v>22.129999000000002</v>
      </c>
      <c r="K342">
        <v>22.370000999999998</v>
      </c>
      <c r="L342">
        <v>22.120000999999998</v>
      </c>
      <c r="M342">
        <v>22.25</v>
      </c>
    </row>
    <row r="343" spans="1:13">
      <c r="A343" s="346">
        <v>42102</v>
      </c>
      <c r="B343">
        <v>23.91</v>
      </c>
      <c r="C343">
        <v>24.290001</v>
      </c>
      <c r="D343">
        <v>23.9</v>
      </c>
      <c r="E343">
        <v>24.09</v>
      </c>
      <c r="F343">
        <v>24.09</v>
      </c>
      <c r="G343">
        <v>387200</v>
      </c>
      <c r="I343" s="346">
        <v>42102</v>
      </c>
      <c r="J343">
        <v>22.24</v>
      </c>
      <c r="K343">
        <v>22.379999000000002</v>
      </c>
      <c r="L343">
        <v>22.24</v>
      </c>
      <c r="M343">
        <v>22.309999000000001</v>
      </c>
    </row>
    <row r="344" spans="1:13">
      <c r="A344" s="346">
        <v>42103</v>
      </c>
      <c r="B344">
        <v>24.07</v>
      </c>
      <c r="C344">
        <v>24.25</v>
      </c>
      <c r="D344">
        <v>23.91</v>
      </c>
      <c r="E344">
        <v>24.030000999999999</v>
      </c>
      <c r="F344">
        <v>24.030000999999999</v>
      </c>
      <c r="G344">
        <v>180000</v>
      </c>
      <c r="I344" s="346">
        <v>42103</v>
      </c>
      <c r="J344">
        <v>22.360001</v>
      </c>
      <c r="K344">
        <v>22.59</v>
      </c>
      <c r="L344">
        <v>22.34</v>
      </c>
      <c r="M344">
        <v>22.52</v>
      </c>
    </row>
    <row r="345" spans="1:13">
      <c r="A345" s="346">
        <v>42104</v>
      </c>
      <c r="B345">
        <v>24.16</v>
      </c>
      <c r="C345">
        <v>24.549999</v>
      </c>
      <c r="D345">
        <v>24.02</v>
      </c>
      <c r="E345">
        <v>24.280000999999999</v>
      </c>
      <c r="F345">
        <v>24.280000999999999</v>
      </c>
      <c r="G345">
        <v>434400</v>
      </c>
      <c r="I345" s="346">
        <v>42104</v>
      </c>
      <c r="J345">
        <v>22.58</v>
      </c>
      <c r="K345">
        <v>22.65</v>
      </c>
      <c r="L345">
        <v>22.549999</v>
      </c>
      <c r="M345">
        <v>22.6</v>
      </c>
    </row>
    <row r="346" spans="1:13">
      <c r="A346" s="346">
        <v>42107</v>
      </c>
      <c r="B346">
        <v>24.629999000000002</v>
      </c>
      <c r="C346">
        <v>25.940000999999999</v>
      </c>
      <c r="D346">
        <v>24.629999000000002</v>
      </c>
      <c r="E346">
        <v>25.709999</v>
      </c>
      <c r="F346">
        <v>25.709999</v>
      </c>
      <c r="G346">
        <v>716100</v>
      </c>
      <c r="I346" s="346">
        <v>42107</v>
      </c>
      <c r="J346">
        <v>22.65</v>
      </c>
      <c r="K346">
        <v>22.700001</v>
      </c>
      <c r="L346">
        <v>22.559999000000001</v>
      </c>
      <c r="M346">
        <v>22.610001</v>
      </c>
    </row>
    <row r="347" spans="1:13">
      <c r="A347" s="346">
        <v>42108</v>
      </c>
      <c r="B347">
        <v>25.610001</v>
      </c>
      <c r="C347">
        <v>26</v>
      </c>
      <c r="D347">
        <v>25.139999</v>
      </c>
      <c r="E347">
        <v>25.209999</v>
      </c>
      <c r="F347">
        <v>25.209999</v>
      </c>
      <c r="G347">
        <v>436100</v>
      </c>
      <c r="I347" s="346">
        <v>42108</v>
      </c>
      <c r="J347">
        <v>22.6</v>
      </c>
      <c r="K347">
        <v>22.65</v>
      </c>
      <c r="L347">
        <v>22.549999</v>
      </c>
      <c r="M347">
        <v>22.629999000000002</v>
      </c>
    </row>
    <row r="348" spans="1:13">
      <c r="A348" s="346">
        <v>42109</v>
      </c>
      <c r="B348">
        <v>25.25</v>
      </c>
      <c r="C348">
        <v>25.559999000000001</v>
      </c>
      <c r="D348">
        <v>24.9</v>
      </c>
      <c r="E348">
        <v>25.32</v>
      </c>
      <c r="F348">
        <v>25.32</v>
      </c>
      <c r="G348">
        <v>456500</v>
      </c>
      <c r="I348" s="346">
        <v>42109</v>
      </c>
      <c r="J348">
        <v>22.700001</v>
      </c>
      <c r="K348">
        <v>22.790001</v>
      </c>
      <c r="L348">
        <v>22.67</v>
      </c>
      <c r="M348">
        <v>22.690000999999999</v>
      </c>
    </row>
    <row r="349" spans="1:13">
      <c r="A349" s="346">
        <v>42110</v>
      </c>
      <c r="B349">
        <v>25.25</v>
      </c>
      <c r="C349">
        <v>25.25</v>
      </c>
      <c r="D349">
        <v>24.440000999999999</v>
      </c>
      <c r="E349">
        <v>24.67</v>
      </c>
      <c r="F349">
        <v>24.67</v>
      </c>
      <c r="G349">
        <v>299500</v>
      </c>
      <c r="I349" s="346">
        <v>42110</v>
      </c>
      <c r="J349">
        <v>22.65</v>
      </c>
      <c r="K349">
        <v>22.700001</v>
      </c>
      <c r="L349">
        <v>22.48</v>
      </c>
      <c r="M349">
        <v>22.58</v>
      </c>
    </row>
    <row r="350" spans="1:13">
      <c r="A350" s="346">
        <v>42111</v>
      </c>
      <c r="B350">
        <v>24.4</v>
      </c>
      <c r="C350">
        <v>24.43</v>
      </c>
      <c r="D350">
        <v>23.68</v>
      </c>
      <c r="E350">
        <v>24.110001</v>
      </c>
      <c r="F350">
        <v>24.110001</v>
      </c>
      <c r="G350">
        <v>282700</v>
      </c>
      <c r="I350" s="346">
        <v>42111</v>
      </c>
      <c r="J350">
        <v>22.49</v>
      </c>
      <c r="K350">
        <v>22.549999</v>
      </c>
      <c r="L350">
        <v>22.389999</v>
      </c>
      <c r="M350">
        <v>22.549999</v>
      </c>
    </row>
    <row r="351" spans="1:13">
      <c r="A351" s="346">
        <v>42114</v>
      </c>
      <c r="B351">
        <v>24.139999</v>
      </c>
      <c r="C351">
        <v>24.200001</v>
      </c>
      <c r="D351">
        <v>23.700001</v>
      </c>
      <c r="E351">
        <v>23.9</v>
      </c>
      <c r="F351">
        <v>23.9</v>
      </c>
      <c r="G351">
        <v>292600</v>
      </c>
      <c r="I351" s="346">
        <v>42114</v>
      </c>
      <c r="J351">
        <v>22.610001</v>
      </c>
      <c r="K351">
        <v>22.73</v>
      </c>
      <c r="L351">
        <v>22.559999000000001</v>
      </c>
      <c r="M351">
        <v>22.629999000000002</v>
      </c>
    </row>
    <row r="352" spans="1:13">
      <c r="A352" s="346">
        <v>42115</v>
      </c>
      <c r="B352">
        <v>24</v>
      </c>
      <c r="C352">
        <v>24</v>
      </c>
      <c r="D352">
        <v>23.25</v>
      </c>
      <c r="E352">
        <v>23.299999</v>
      </c>
      <c r="F352">
        <v>23.299999</v>
      </c>
      <c r="G352">
        <v>415300</v>
      </c>
      <c r="I352" s="346">
        <v>42115</v>
      </c>
      <c r="J352">
        <v>22.65</v>
      </c>
      <c r="K352">
        <v>22.68</v>
      </c>
      <c r="L352">
        <v>22.49</v>
      </c>
      <c r="M352">
        <v>22.559999000000001</v>
      </c>
    </row>
    <row r="353" spans="1:13">
      <c r="A353" s="346">
        <v>42116</v>
      </c>
      <c r="B353">
        <v>23.26</v>
      </c>
      <c r="C353">
        <v>23.620000999999998</v>
      </c>
      <c r="D353">
        <v>23.26</v>
      </c>
      <c r="E353">
        <v>23.35</v>
      </c>
      <c r="F353">
        <v>23.35</v>
      </c>
      <c r="G353">
        <v>273600</v>
      </c>
      <c r="I353" s="346">
        <v>42116</v>
      </c>
      <c r="J353">
        <v>22.559999000000001</v>
      </c>
      <c r="K353">
        <v>22.559999000000001</v>
      </c>
      <c r="L353">
        <v>22.360001</v>
      </c>
      <c r="M353">
        <v>22.52</v>
      </c>
    </row>
    <row r="354" spans="1:13">
      <c r="A354" s="346">
        <v>42117</v>
      </c>
      <c r="B354">
        <v>23.4</v>
      </c>
      <c r="C354">
        <v>23.58</v>
      </c>
      <c r="D354">
        <v>23.1</v>
      </c>
      <c r="E354">
        <v>23.34</v>
      </c>
      <c r="F354">
        <v>23.34</v>
      </c>
      <c r="G354">
        <v>451100</v>
      </c>
      <c r="I354" s="346">
        <v>42117</v>
      </c>
      <c r="J354">
        <v>22.48</v>
      </c>
      <c r="K354">
        <v>22.719999000000001</v>
      </c>
      <c r="L354">
        <v>22.450001</v>
      </c>
      <c r="M354">
        <v>22.65</v>
      </c>
    </row>
    <row r="355" spans="1:13">
      <c r="A355" s="346">
        <v>42118</v>
      </c>
      <c r="B355">
        <v>23.549999</v>
      </c>
      <c r="C355">
        <v>24.49</v>
      </c>
      <c r="D355">
        <v>23.51</v>
      </c>
      <c r="E355">
        <v>24.299999</v>
      </c>
      <c r="F355">
        <v>24.299999</v>
      </c>
      <c r="G355">
        <v>558200</v>
      </c>
      <c r="I355" s="346">
        <v>42118</v>
      </c>
      <c r="J355">
        <v>22.700001</v>
      </c>
      <c r="K355">
        <v>22.73</v>
      </c>
      <c r="L355">
        <v>22.610001</v>
      </c>
      <c r="M355">
        <v>22.690000999999999</v>
      </c>
    </row>
    <row r="356" spans="1:13">
      <c r="A356" s="346">
        <v>42121</v>
      </c>
      <c r="B356">
        <v>24.280000999999999</v>
      </c>
      <c r="C356">
        <v>24.299999</v>
      </c>
      <c r="D356">
        <v>23.67</v>
      </c>
      <c r="E356">
        <v>23.879999000000002</v>
      </c>
      <c r="F356">
        <v>23.879999000000002</v>
      </c>
      <c r="G356">
        <v>267600</v>
      </c>
      <c r="I356" s="346">
        <v>42121</v>
      </c>
      <c r="J356">
        <v>22.76</v>
      </c>
      <c r="K356">
        <v>22.77</v>
      </c>
      <c r="L356">
        <v>22.52</v>
      </c>
      <c r="M356">
        <v>22.559999000000001</v>
      </c>
    </row>
    <row r="357" spans="1:13">
      <c r="A357" s="346">
        <v>42122</v>
      </c>
      <c r="B357">
        <v>24.030000999999999</v>
      </c>
      <c r="C357">
        <v>24.030000999999999</v>
      </c>
      <c r="D357">
        <v>23.5</v>
      </c>
      <c r="E357">
        <v>23.74</v>
      </c>
      <c r="F357">
        <v>23.74</v>
      </c>
      <c r="G357">
        <v>259900</v>
      </c>
      <c r="I357" s="346">
        <v>42122</v>
      </c>
      <c r="J357">
        <v>22.559999000000001</v>
      </c>
      <c r="K357">
        <v>22.59</v>
      </c>
      <c r="L357">
        <v>22.459999</v>
      </c>
      <c r="M357">
        <v>22.57</v>
      </c>
    </row>
    <row r="358" spans="1:13">
      <c r="A358" s="346">
        <v>42123</v>
      </c>
      <c r="B358">
        <v>24.299999</v>
      </c>
      <c r="C358">
        <v>24.450001</v>
      </c>
      <c r="D358">
        <v>23.83</v>
      </c>
      <c r="E358">
        <v>24.4</v>
      </c>
      <c r="F358">
        <v>24.4</v>
      </c>
      <c r="G358">
        <v>574400</v>
      </c>
      <c r="I358" s="346">
        <v>42123</v>
      </c>
      <c r="J358">
        <v>22.450001</v>
      </c>
      <c r="K358">
        <v>22.620000999999998</v>
      </c>
      <c r="L358">
        <v>22.41</v>
      </c>
      <c r="M358">
        <v>22.620000999999998</v>
      </c>
    </row>
    <row r="359" spans="1:13">
      <c r="A359" s="346">
        <v>42124</v>
      </c>
      <c r="B359">
        <v>24.4</v>
      </c>
      <c r="C359">
        <v>24.450001</v>
      </c>
      <c r="D359">
        <v>23.73</v>
      </c>
      <c r="E359">
        <v>23.91</v>
      </c>
      <c r="F359">
        <v>23.91</v>
      </c>
      <c r="G359">
        <v>606900</v>
      </c>
      <c r="I359" s="346">
        <v>42124</v>
      </c>
      <c r="J359">
        <v>22.5</v>
      </c>
      <c r="K359">
        <v>22.52</v>
      </c>
      <c r="L359">
        <v>22.32</v>
      </c>
      <c r="M359">
        <v>22.35</v>
      </c>
    </row>
    <row r="360" spans="1:13">
      <c r="A360" s="346">
        <v>42125</v>
      </c>
      <c r="B360">
        <v>23.950001</v>
      </c>
      <c r="C360">
        <v>24.120000999999998</v>
      </c>
      <c r="D360">
        <v>23.389999</v>
      </c>
      <c r="E360">
        <v>24.110001</v>
      </c>
      <c r="F360">
        <v>24.110001</v>
      </c>
      <c r="G360">
        <v>336700</v>
      </c>
      <c r="I360" s="346">
        <v>42125</v>
      </c>
      <c r="J360">
        <v>22.370000999999998</v>
      </c>
      <c r="K360">
        <v>22.58</v>
      </c>
      <c r="L360">
        <v>22.32</v>
      </c>
      <c r="M360">
        <v>22.530000999999999</v>
      </c>
    </row>
    <row r="361" spans="1:13">
      <c r="A361" s="346">
        <v>42128</v>
      </c>
      <c r="B361">
        <v>24.15</v>
      </c>
      <c r="C361">
        <v>24.15</v>
      </c>
      <c r="D361">
        <v>23.85</v>
      </c>
      <c r="E361">
        <v>23.940000999999999</v>
      </c>
      <c r="F361">
        <v>23.940000999999999</v>
      </c>
      <c r="G361">
        <v>278600</v>
      </c>
      <c r="I361" s="346">
        <v>42128</v>
      </c>
      <c r="J361">
        <v>22.57</v>
      </c>
      <c r="K361">
        <v>22.639999</v>
      </c>
      <c r="L361">
        <v>22.540001</v>
      </c>
      <c r="M361">
        <v>22.58</v>
      </c>
    </row>
    <row r="362" spans="1:13">
      <c r="A362" s="346">
        <v>42129</v>
      </c>
      <c r="B362">
        <v>23.99</v>
      </c>
      <c r="C362">
        <v>24.049999</v>
      </c>
      <c r="D362">
        <v>23.16</v>
      </c>
      <c r="E362">
        <v>23.290001</v>
      </c>
      <c r="F362">
        <v>23.290001</v>
      </c>
      <c r="G362">
        <v>513900</v>
      </c>
      <c r="I362" s="346">
        <v>42129</v>
      </c>
      <c r="J362">
        <v>22.629999000000002</v>
      </c>
      <c r="K362">
        <v>22.629999000000002</v>
      </c>
      <c r="L362">
        <v>22.200001</v>
      </c>
      <c r="M362">
        <v>22.280000999999999</v>
      </c>
    </row>
    <row r="363" spans="1:13">
      <c r="A363" s="346">
        <v>42130</v>
      </c>
      <c r="B363">
        <v>23.360001</v>
      </c>
      <c r="C363">
        <v>23.42</v>
      </c>
      <c r="D363">
        <v>23.129999000000002</v>
      </c>
      <c r="E363">
        <v>23.18</v>
      </c>
      <c r="F363">
        <v>23.18</v>
      </c>
      <c r="G363">
        <v>265600</v>
      </c>
      <c r="I363" s="346">
        <v>42130</v>
      </c>
      <c r="J363">
        <v>22.27</v>
      </c>
      <c r="K363">
        <v>22.27</v>
      </c>
      <c r="L363">
        <v>21.93</v>
      </c>
      <c r="M363">
        <v>22.07</v>
      </c>
    </row>
    <row r="364" spans="1:13">
      <c r="A364" s="346">
        <v>42131</v>
      </c>
      <c r="B364">
        <v>23.129999000000002</v>
      </c>
      <c r="C364">
        <v>23.66</v>
      </c>
      <c r="D364">
        <v>23.129999000000002</v>
      </c>
      <c r="E364">
        <v>23.49</v>
      </c>
      <c r="F364">
        <v>23.49</v>
      </c>
      <c r="G364">
        <v>312300</v>
      </c>
      <c r="I364" s="346">
        <v>42131</v>
      </c>
      <c r="J364">
        <v>22.01</v>
      </c>
      <c r="K364">
        <v>22.190000999999999</v>
      </c>
      <c r="L364">
        <v>21.91</v>
      </c>
      <c r="M364">
        <v>22.16</v>
      </c>
    </row>
    <row r="365" spans="1:13">
      <c r="A365" s="346">
        <v>42132</v>
      </c>
      <c r="B365">
        <v>23.629999000000002</v>
      </c>
      <c r="C365">
        <v>24.08</v>
      </c>
      <c r="D365">
        <v>23.629999000000002</v>
      </c>
      <c r="E365">
        <v>23.780000999999999</v>
      </c>
      <c r="F365">
        <v>23.780000999999999</v>
      </c>
      <c r="G365">
        <v>239800</v>
      </c>
      <c r="I365" s="346">
        <v>42132</v>
      </c>
      <c r="J365">
        <v>22.280000999999999</v>
      </c>
      <c r="K365">
        <v>22.34</v>
      </c>
      <c r="L365">
        <v>22.190000999999999</v>
      </c>
      <c r="M365">
        <v>22.290001</v>
      </c>
    </row>
    <row r="366" spans="1:13">
      <c r="A366" s="346">
        <v>42135</v>
      </c>
      <c r="B366">
        <v>23.85</v>
      </c>
      <c r="C366">
        <v>24.030000999999999</v>
      </c>
      <c r="D366">
        <v>23.74</v>
      </c>
      <c r="E366">
        <v>23.75</v>
      </c>
      <c r="F366">
        <v>23.75</v>
      </c>
      <c r="G366">
        <v>236500</v>
      </c>
      <c r="I366" s="346">
        <v>42135</v>
      </c>
      <c r="J366">
        <v>22.290001</v>
      </c>
      <c r="K366">
        <v>22.4</v>
      </c>
      <c r="L366">
        <v>22.209999</v>
      </c>
      <c r="M366">
        <v>22.290001</v>
      </c>
    </row>
    <row r="367" spans="1:13">
      <c r="A367" s="346">
        <v>42136</v>
      </c>
      <c r="B367">
        <v>23.530000999999999</v>
      </c>
      <c r="C367">
        <v>23.540001</v>
      </c>
      <c r="D367">
        <v>22.969999000000001</v>
      </c>
      <c r="E367">
        <v>23.1</v>
      </c>
      <c r="F367">
        <v>23.1</v>
      </c>
      <c r="G367">
        <v>240400</v>
      </c>
      <c r="I367" s="346">
        <v>42136</v>
      </c>
      <c r="J367">
        <v>22.23</v>
      </c>
      <c r="K367">
        <v>22.23</v>
      </c>
      <c r="L367">
        <v>22.07</v>
      </c>
      <c r="M367">
        <v>22.110001</v>
      </c>
    </row>
    <row r="368" spans="1:13">
      <c r="A368" s="346">
        <v>42137</v>
      </c>
      <c r="B368">
        <v>23.290001</v>
      </c>
      <c r="C368">
        <v>23.35</v>
      </c>
      <c r="D368">
        <v>22.799999</v>
      </c>
      <c r="E368">
        <v>23.139999</v>
      </c>
      <c r="F368">
        <v>23.139999</v>
      </c>
      <c r="G368">
        <v>173000</v>
      </c>
      <c r="I368" s="346">
        <v>42137</v>
      </c>
      <c r="J368">
        <v>22.110001</v>
      </c>
      <c r="K368">
        <v>22.18</v>
      </c>
      <c r="L368">
        <v>21.93</v>
      </c>
      <c r="M368">
        <v>21.98</v>
      </c>
    </row>
    <row r="369" spans="1:13">
      <c r="A369" s="346">
        <v>42138</v>
      </c>
      <c r="B369">
        <v>23.17</v>
      </c>
      <c r="C369">
        <v>23.65</v>
      </c>
      <c r="D369">
        <v>23.110001</v>
      </c>
      <c r="E369">
        <v>23.540001</v>
      </c>
      <c r="F369">
        <v>23.540001</v>
      </c>
      <c r="G369">
        <v>231800</v>
      </c>
      <c r="I369" s="346">
        <v>42138</v>
      </c>
      <c r="J369">
        <v>22.01</v>
      </c>
      <c r="K369">
        <v>22.08</v>
      </c>
      <c r="L369">
        <v>21.959999</v>
      </c>
      <c r="M369">
        <v>22.049999</v>
      </c>
    </row>
    <row r="370" spans="1:13">
      <c r="A370" s="346">
        <v>42139</v>
      </c>
      <c r="B370">
        <v>23.620000999999998</v>
      </c>
      <c r="C370">
        <v>23.92</v>
      </c>
      <c r="D370">
        <v>23.59</v>
      </c>
      <c r="E370">
        <v>23.75</v>
      </c>
      <c r="F370">
        <v>23.75</v>
      </c>
      <c r="G370">
        <v>163000</v>
      </c>
      <c r="I370" s="346">
        <v>42139</v>
      </c>
      <c r="J370">
        <v>22.059999000000001</v>
      </c>
      <c r="K370">
        <v>22.17</v>
      </c>
      <c r="L370">
        <v>22</v>
      </c>
      <c r="M370">
        <v>22.16</v>
      </c>
    </row>
    <row r="371" spans="1:13">
      <c r="A371" s="346">
        <v>42143</v>
      </c>
      <c r="B371">
        <v>24.09</v>
      </c>
      <c r="C371">
        <v>25.9</v>
      </c>
      <c r="D371">
        <v>24.09</v>
      </c>
      <c r="E371">
        <v>25.82</v>
      </c>
      <c r="F371">
        <v>25.82</v>
      </c>
      <c r="G371">
        <v>776700</v>
      </c>
      <c r="I371" s="346">
        <v>42143</v>
      </c>
      <c r="J371">
        <v>22.190000999999999</v>
      </c>
      <c r="K371">
        <v>22.280000999999999</v>
      </c>
      <c r="L371">
        <v>22.110001</v>
      </c>
      <c r="M371">
        <v>22.23</v>
      </c>
    </row>
    <row r="372" spans="1:13">
      <c r="A372" s="346">
        <v>42144</v>
      </c>
      <c r="B372">
        <v>25.5</v>
      </c>
      <c r="C372">
        <v>25.780000999999999</v>
      </c>
      <c r="D372">
        <v>25.16</v>
      </c>
      <c r="E372">
        <v>25.67</v>
      </c>
      <c r="F372">
        <v>25.67</v>
      </c>
      <c r="G372">
        <v>389700</v>
      </c>
      <c r="I372" s="346">
        <v>42144</v>
      </c>
      <c r="J372">
        <v>22.26</v>
      </c>
      <c r="K372">
        <v>22.32</v>
      </c>
      <c r="L372">
        <v>22.08</v>
      </c>
      <c r="M372">
        <v>22.08</v>
      </c>
    </row>
    <row r="373" spans="1:13">
      <c r="A373" s="346">
        <v>42145</v>
      </c>
      <c r="B373">
        <v>25.77</v>
      </c>
      <c r="C373">
        <v>26.09</v>
      </c>
      <c r="D373">
        <v>25.42</v>
      </c>
      <c r="E373">
        <v>25.84</v>
      </c>
      <c r="F373">
        <v>25.84</v>
      </c>
      <c r="G373">
        <v>294200</v>
      </c>
      <c r="I373" s="346">
        <v>42145</v>
      </c>
      <c r="J373">
        <v>22.17</v>
      </c>
      <c r="K373">
        <v>22.41</v>
      </c>
      <c r="L373">
        <v>22.16</v>
      </c>
      <c r="M373">
        <v>22.360001</v>
      </c>
    </row>
    <row r="374" spans="1:13">
      <c r="A374" s="346">
        <v>42146</v>
      </c>
      <c r="B374">
        <v>25.959999</v>
      </c>
      <c r="C374">
        <v>26.219999000000001</v>
      </c>
      <c r="D374">
        <v>25.76</v>
      </c>
      <c r="E374">
        <v>26.110001</v>
      </c>
      <c r="F374">
        <v>26.110001</v>
      </c>
      <c r="G374">
        <v>169500</v>
      </c>
      <c r="I374" s="346">
        <v>42146</v>
      </c>
      <c r="J374">
        <v>22.34</v>
      </c>
      <c r="K374">
        <v>22.41</v>
      </c>
      <c r="L374">
        <v>22.27</v>
      </c>
      <c r="M374">
        <v>22.370000999999998</v>
      </c>
    </row>
    <row r="375" spans="1:13">
      <c r="A375" s="346">
        <v>42149</v>
      </c>
      <c r="B375">
        <v>26.43</v>
      </c>
      <c r="C375">
        <v>26.58</v>
      </c>
      <c r="D375">
        <v>26.26</v>
      </c>
      <c r="E375">
        <v>26.469999000000001</v>
      </c>
      <c r="F375">
        <v>26.469999000000001</v>
      </c>
      <c r="G375">
        <v>80600</v>
      </c>
      <c r="I375" s="346">
        <v>42149</v>
      </c>
      <c r="J375">
        <v>22.35</v>
      </c>
      <c r="K375">
        <v>22.389999</v>
      </c>
      <c r="L375">
        <v>22.290001</v>
      </c>
      <c r="M375">
        <v>22.370000999999998</v>
      </c>
    </row>
    <row r="376" spans="1:13">
      <c r="A376" s="346">
        <v>42150</v>
      </c>
      <c r="B376">
        <v>26.389999</v>
      </c>
      <c r="C376">
        <v>26.51</v>
      </c>
      <c r="D376">
        <v>26.040001</v>
      </c>
      <c r="E376">
        <v>26.25</v>
      </c>
      <c r="F376">
        <v>26.25</v>
      </c>
      <c r="G376">
        <v>363900</v>
      </c>
      <c r="I376" s="346">
        <v>42150</v>
      </c>
      <c r="J376">
        <v>22.34</v>
      </c>
      <c r="K376">
        <v>22.379999000000002</v>
      </c>
      <c r="L376">
        <v>22.040001</v>
      </c>
      <c r="M376">
        <v>22.17</v>
      </c>
    </row>
    <row r="377" spans="1:13">
      <c r="A377" s="346">
        <v>42151</v>
      </c>
      <c r="B377">
        <v>26.23</v>
      </c>
      <c r="C377">
        <v>26.25</v>
      </c>
      <c r="D377">
        <v>25.709999</v>
      </c>
      <c r="E377">
        <v>25.85</v>
      </c>
      <c r="F377">
        <v>25.85</v>
      </c>
      <c r="G377">
        <v>338500</v>
      </c>
      <c r="I377" s="346">
        <v>42151</v>
      </c>
      <c r="J377">
        <v>22.200001</v>
      </c>
      <c r="K377">
        <v>22.34</v>
      </c>
      <c r="L377">
        <v>22.120000999999998</v>
      </c>
      <c r="M377">
        <v>22.27</v>
      </c>
    </row>
    <row r="378" spans="1:13">
      <c r="A378" s="346">
        <v>42152</v>
      </c>
      <c r="B378">
        <v>25.809999000000001</v>
      </c>
      <c r="C378">
        <v>26.16</v>
      </c>
      <c r="D378">
        <v>25.809999000000001</v>
      </c>
      <c r="E378">
        <v>25.91</v>
      </c>
      <c r="F378">
        <v>25.91</v>
      </c>
      <c r="G378">
        <v>146900</v>
      </c>
      <c r="I378" s="346">
        <v>42152</v>
      </c>
      <c r="J378">
        <v>22.26</v>
      </c>
      <c r="K378">
        <v>22.379999000000002</v>
      </c>
      <c r="L378">
        <v>22.110001</v>
      </c>
      <c r="M378">
        <v>22.27</v>
      </c>
    </row>
    <row r="379" spans="1:13">
      <c r="A379" s="346">
        <v>42153</v>
      </c>
      <c r="B379">
        <v>25.91</v>
      </c>
      <c r="C379">
        <v>26.18</v>
      </c>
      <c r="D379">
        <v>25.559999000000001</v>
      </c>
      <c r="E379">
        <v>25.67</v>
      </c>
      <c r="F379">
        <v>25.67</v>
      </c>
      <c r="G379">
        <v>166600</v>
      </c>
      <c r="I379" s="346">
        <v>42153</v>
      </c>
      <c r="J379">
        <v>22.24</v>
      </c>
      <c r="K379">
        <v>22.27</v>
      </c>
      <c r="L379">
        <v>21.99</v>
      </c>
      <c r="M379">
        <v>22.110001</v>
      </c>
    </row>
    <row r="380" spans="1:13">
      <c r="A380" s="346">
        <v>42156</v>
      </c>
      <c r="B380">
        <v>25.66</v>
      </c>
      <c r="C380">
        <v>26.09</v>
      </c>
      <c r="D380">
        <v>25.59</v>
      </c>
      <c r="E380">
        <v>26.030000999999999</v>
      </c>
      <c r="F380">
        <v>26.030000999999999</v>
      </c>
      <c r="G380">
        <v>236100</v>
      </c>
      <c r="I380" s="346">
        <v>42156</v>
      </c>
      <c r="J380">
        <v>22.15</v>
      </c>
      <c r="K380">
        <v>22.190000999999999</v>
      </c>
      <c r="L380">
        <v>22.030000999999999</v>
      </c>
      <c r="M380">
        <v>22.18</v>
      </c>
    </row>
    <row r="381" spans="1:13">
      <c r="A381" s="346">
        <v>42157</v>
      </c>
      <c r="B381">
        <v>25.940000999999999</v>
      </c>
      <c r="C381">
        <v>26.120000999999998</v>
      </c>
      <c r="D381">
        <v>25.799999</v>
      </c>
      <c r="E381">
        <v>25.959999</v>
      </c>
      <c r="F381">
        <v>25.959999</v>
      </c>
      <c r="G381">
        <v>167300</v>
      </c>
      <c r="I381" s="346">
        <v>42157</v>
      </c>
      <c r="J381">
        <v>22.190000999999999</v>
      </c>
      <c r="K381">
        <v>22.280000999999999</v>
      </c>
      <c r="L381">
        <v>22.120000999999998</v>
      </c>
      <c r="M381">
        <v>22.190000999999999</v>
      </c>
    </row>
    <row r="382" spans="1:13">
      <c r="A382" s="346">
        <v>42158</v>
      </c>
      <c r="B382">
        <v>25.98</v>
      </c>
      <c r="C382">
        <v>26.209999</v>
      </c>
      <c r="D382">
        <v>25.969999000000001</v>
      </c>
      <c r="E382">
        <v>26.1</v>
      </c>
      <c r="F382">
        <v>26.1</v>
      </c>
      <c r="G382">
        <v>166300</v>
      </c>
      <c r="I382" s="346">
        <v>42158</v>
      </c>
      <c r="J382">
        <v>22.24</v>
      </c>
      <c r="K382">
        <v>22.360001</v>
      </c>
      <c r="L382">
        <v>22.209999</v>
      </c>
      <c r="M382">
        <v>22.33</v>
      </c>
    </row>
    <row r="383" spans="1:13">
      <c r="A383" s="346">
        <v>42159</v>
      </c>
      <c r="B383">
        <v>25.940000999999999</v>
      </c>
      <c r="C383">
        <v>26.26</v>
      </c>
      <c r="D383">
        <v>25.66</v>
      </c>
      <c r="E383">
        <v>26.139999</v>
      </c>
      <c r="F383">
        <v>26.139999</v>
      </c>
      <c r="G383">
        <v>326200</v>
      </c>
      <c r="I383" s="346">
        <v>42159</v>
      </c>
      <c r="J383">
        <v>22.23</v>
      </c>
      <c r="K383">
        <v>22.27</v>
      </c>
      <c r="L383">
        <v>22.01</v>
      </c>
      <c r="M383">
        <v>22.110001</v>
      </c>
    </row>
    <row r="384" spans="1:13">
      <c r="A384" s="346">
        <v>42160</v>
      </c>
      <c r="B384">
        <v>26.139999</v>
      </c>
      <c r="C384">
        <v>26.49</v>
      </c>
      <c r="D384">
        <v>26.01</v>
      </c>
      <c r="E384">
        <v>26.4</v>
      </c>
      <c r="F384">
        <v>26.4</v>
      </c>
      <c r="G384">
        <v>217600</v>
      </c>
      <c r="I384" s="346">
        <v>42160</v>
      </c>
      <c r="J384">
        <v>22.059999000000001</v>
      </c>
      <c r="K384">
        <v>22.190000999999999</v>
      </c>
      <c r="L384">
        <v>22.01</v>
      </c>
      <c r="M384">
        <v>22.030000999999999</v>
      </c>
    </row>
    <row r="385" spans="1:13">
      <c r="A385" s="346">
        <v>42163</v>
      </c>
      <c r="B385">
        <v>26.35</v>
      </c>
      <c r="C385">
        <v>26.389999</v>
      </c>
      <c r="D385">
        <v>25.42</v>
      </c>
      <c r="E385">
        <v>25.9</v>
      </c>
      <c r="F385">
        <v>25.9</v>
      </c>
      <c r="G385">
        <v>215400</v>
      </c>
      <c r="I385" s="346">
        <v>42163</v>
      </c>
      <c r="J385">
        <v>22.01</v>
      </c>
      <c r="K385">
        <v>22.01</v>
      </c>
      <c r="L385">
        <v>21.639999</v>
      </c>
      <c r="M385">
        <v>21.690000999999999</v>
      </c>
    </row>
    <row r="386" spans="1:13">
      <c r="A386" s="346">
        <v>42164</v>
      </c>
      <c r="B386">
        <v>25.68</v>
      </c>
      <c r="C386">
        <v>25.84</v>
      </c>
      <c r="D386">
        <v>25.370000999999998</v>
      </c>
      <c r="E386">
        <v>25.75</v>
      </c>
      <c r="F386">
        <v>25.75</v>
      </c>
      <c r="G386">
        <v>338300</v>
      </c>
      <c r="I386" s="346">
        <v>42164</v>
      </c>
      <c r="J386">
        <v>21.700001</v>
      </c>
      <c r="K386">
        <v>21.860001</v>
      </c>
      <c r="L386">
        <v>21.58</v>
      </c>
      <c r="M386">
        <v>21.809999000000001</v>
      </c>
    </row>
    <row r="387" spans="1:13">
      <c r="A387" s="346">
        <v>42165</v>
      </c>
      <c r="B387">
        <v>25.74</v>
      </c>
      <c r="C387">
        <v>27.059999000000001</v>
      </c>
      <c r="D387">
        <v>25.700001</v>
      </c>
      <c r="E387">
        <v>26.73</v>
      </c>
      <c r="F387">
        <v>26.73</v>
      </c>
      <c r="G387">
        <v>486400</v>
      </c>
      <c r="I387" s="346">
        <v>42165</v>
      </c>
      <c r="J387">
        <v>21.92</v>
      </c>
      <c r="K387">
        <v>22.02</v>
      </c>
      <c r="L387">
        <v>21.83</v>
      </c>
      <c r="M387">
        <v>21.9</v>
      </c>
    </row>
    <row r="388" spans="1:13">
      <c r="A388" s="346">
        <v>42166</v>
      </c>
      <c r="B388">
        <v>26.559999000000001</v>
      </c>
      <c r="C388">
        <v>26.610001</v>
      </c>
      <c r="D388">
        <v>25.98</v>
      </c>
      <c r="E388">
        <v>26.26</v>
      </c>
      <c r="F388">
        <v>26.26</v>
      </c>
      <c r="G388">
        <v>226000</v>
      </c>
      <c r="I388" s="346">
        <v>42166</v>
      </c>
      <c r="J388">
        <v>21.940000999999999</v>
      </c>
      <c r="K388">
        <v>21.969999000000001</v>
      </c>
      <c r="L388">
        <v>21.790001</v>
      </c>
      <c r="M388">
        <v>21.84</v>
      </c>
    </row>
    <row r="389" spans="1:13">
      <c r="A389" s="346">
        <v>42167</v>
      </c>
      <c r="B389">
        <v>26.23</v>
      </c>
      <c r="C389">
        <v>26.389999</v>
      </c>
      <c r="D389">
        <v>25.799999</v>
      </c>
      <c r="E389">
        <v>26.25</v>
      </c>
      <c r="F389">
        <v>26.25</v>
      </c>
      <c r="G389">
        <v>324100</v>
      </c>
      <c r="I389" s="346">
        <v>42167</v>
      </c>
      <c r="J389">
        <v>21.74</v>
      </c>
      <c r="K389">
        <v>21.799999</v>
      </c>
      <c r="L389">
        <v>21.66</v>
      </c>
      <c r="M389">
        <v>21.67</v>
      </c>
    </row>
    <row r="390" spans="1:13">
      <c r="A390" s="346">
        <v>42170</v>
      </c>
      <c r="B390">
        <v>26.09</v>
      </c>
      <c r="C390">
        <v>26.700001</v>
      </c>
      <c r="D390">
        <v>25.889999</v>
      </c>
      <c r="E390">
        <v>26.559999000000001</v>
      </c>
      <c r="F390">
        <v>26.559999000000001</v>
      </c>
      <c r="G390">
        <v>191200</v>
      </c>
      <c r="I390" s="346">
        <v>42170</v>
      </c>
      <c r="J390">
        <v>21.620000999999998</v>
      </c>
      <c r="K390">
        <v>21.780000999999999</v>
      </c>
      <c r="L390">
        <v>21.540001</v>
      </c>
      <c r="M390">
        <v>21.74</v>
      </c>
    </row>
    <row r="391" spans="1:13">
      <c r="A391" s="346">
        <v>42171</v>
      </c>
      <c r="B391">
        <v>26.65</v>
      </c>
      <c r="C391">
        <v>27.18</v>
      </c>
      <c r="D391">
        <v>26.5</v>
      </c>
      <c r="E391">
        <v>26.610001</v>
      </c>
      <c r="F391">
        <v>26.610001</v>
      </c>
      <c r="G391">
        <v>240500</v>
      </c>
      <c r="I391" s="346">
        <v>42171</v>
      </c>
      <c r="J391">
        <v>21.68</v>
      </c>
      <c r="K391">
        <v>21.73</v>
      </c>
      <c r="L391">
        <v>21.6</v>
      </c>
      <c r="M391">
        <v>21.719999000000001</v>
      </c>
    </row>
    <row r="392" spans="1:13">
      <c r="A392" s="346">
        <v>42172</v>
      </c>
      <c r="B392">
        <v>26.59</v>
      </c>
      <c r="C392">
        <v>26.700001</v>
      </c>
      <c r="D392">
        <v>26.18</v>
      </c>
      <c r="E392">
        <v>26.469999000000001</v>
      </c>
      <c r="F392">
        <v>26.469999000000001</v>
      </c>
      <c r="G392">
        <v>189900</v>
      </c>
      <c r="I392" s="346">
        <v>42172</v>
      </c>
      <c r="J392">
        <v>21.65</v>
      </c>
      <c r="K392">
        <v>21.690000999999999</v>
      </c>
      <c r="L392">
        <v>21.41</v>
      </c>
      <c r="M392">
        <v>21.540001</v>
      </c>
    </row>
    <row r="393" spans="1:13">
      <c r="A393" s="346">
        <v>42173</v>
      </c>
      <c r="B393">
        <v>26.42</v>
      </c>
      <c r="C393">
        <v>26.42</v>
      </c>
      <c r="D393">
        <v>25.75</v>
      </c>
      <c r="E393">
        <v>26.1</v>
      </c>
      <c r="F393">
        <v>26.1</v>
      </c>
      <c r="G393">
        <v>151800</v>
      </c>
      <c r="I393" s="346">
        <v>42173</v>
      </c>
      <c r="J393">
        <v>21.5</v>
      </c>
      <c r="K393">
        <v>21.610001</v>
      </c>
      <c r="L393">
        <v>21.440000999999999</v>
      </c>
      <c r="M393">
        <v>21.59</v>
      </c>
    </row>
    <row r="394" spans="1:13">
      <c r="A394" s="346">
        <v>42174</v>
      </c>
      <c r="B394">
        <v>26</v>
      </c>
      <c r="C394">
        <v>26.549999</v>
      </c>
      <c r="D394">
        <v>25.66</v>
      </c>
      <c r="E394">
        <v>26.190000999999999</v>
      </c>
      <c r="F394">
        <v>26.190000999999999</v>
      </c>
      <c r="G394">
        <v>639100</v>
      </c>
      <c r="I394" s="346">
        <v>42174</v>
      </c>
      <c r="J394">
        <v>21.5</v>
      </c>
      <c r="K394">
        <v>21.57</v>
      </c>
      <c r="L394">
        <v>21.280000999999999</v>
      </c>
      <c r="M394">
        <v>21.33</v>
      </c>
    </row>
    <row r="395" spans="1:13">
      <c r="A395" s="346">
        <v>42177</v>
      </c>
      <c r="B395">
        <v>26.26</v>
      </c>
      <c r="C395">
        <v>26.530000999999999</v>
      </c>
      <c r="D395">
        <v>26.01</v>
      </c>
      <c r="E395">
        <v>26.49</v>
      </c>
      <c r="F395">
        <v>26.49</v>
      </c>
      <c r="G395">
        <v>199800</v>
      </c>
      <c r="I395" s="346">
        <v>42177</v>
      </c>
      <c r="J395">
        <v>21.42</v>
      </c>
      <c r="K395">
        <v>21.68</v>
      </c>
      <c r="L395">
        <v>21.379999000000002</v>
      </c>
      <c r="M395">
        <v>21.629999000000002</v>
      </c>
    </row>
    <row r="396" spans="1:13">
      <c r="A396" s="346">
        <v>42178</v>
      </c>
      <c r="B396">
        <v>26.540001</v>
      </c>
      <c r="C396">
        <v>26.950001</v>
      </c>
      <c r="D396">
        <v>26.52</v>
      </c>
      <c r="E396">
        <v>26.82</v>
      </c>
      <c r="F396">
        <v>26.82</v>
      </c>
      <c r="G396">
        <v>233100</v>
      </c>
      <c r="I396" s="346">
        <v>42178</v>
      </c>
      <c r="J396">
        <v>21.690000999999999</v>
      </c>
      <c r="K396">
        <v>21.83</v>
      </c>
      <c r="L396">
        <v>21.67</v>
      </c>
      <c r="M396">
        <v>21.809999000000001</v>
      </c>
    </row>
    <row r="397" spans="1:13">
      <c r="A397" s="346">
        <v>42179</v>
      </c>
      <c r="B397">
        <v>26.700001</v>
      </c>
      <c r="C397">
        <v>26.9</v>
      </c>
      <c r="D397">
        <v>26.67</v>
      </c>
      <c r="E397">
        <v>26.799999</v>
      </c>
      <c r="F397">
        <v>26.799999</v>
      </c>
      <c r="G397">
        <v>191500</v>
      </c>
      <c r="I397" s="346">
        <v>42179</v>
      </c>
      <c r="J397">
        <v>21.799999</v>
      </c>
      <c r="K397">
        <v>21.950001</v>
      </c>
      <c r="L397">
        <v>21.73</v>
      </c>
      <c r="M397">
        <v>21.870000999999998</v>
      </c>
    </row>
    <row r="398" spans="1:13">
      <c r="A398" s="346">
        <v>42180</v>
      </c>
      <c r="B398">
        <v>26.93</v>
      </c>
      <c r="C398">
        <v>27.950001</v>
      </c>
      <c r="D398">
        <v>26.9</v>
      </c>
      <c r="E398">
        <v>27.790001</v>
      </c>
      <c r="F398">
        <v>27.790001</v>
      </c>
      <c r="G398">
        <v>424200</v>
      </c>
      <c r="I398" s="346">
        <v>42180</v>
      </c>
      <c r="J398">
        <v>21.91</v>
      </c>
      <c r="K398">
        <v>21.91</v>
      </c>
      <c r="L398">
        <v>21.74</v>
      </c>
      <c r="M398">
        <v>21.790001</v>
      </c>
    </row>
    <row r="399" spans="1:13">
      <c r="A399" s="346">
        <v>42181</v>
      </c>
      <c r="B399">
        <v>27.75</v>
      </c>
      <c r="C399">
        <v>27.92</v>
      </c>
      <c r="D399">
        <v>27.58</v>
      </c>
      <c r="E399">
        <v>27.73</v>
      </c>
      <c r="F399">
        <v>27.73</v>
      </c>
      <c r="G399">
        <v>157500</v>
      </c>
      <c r="I399" s="346">
        <v>42181</v>
      </c>
      <c r="J399">
        <v>21.780000999999999</v>
      </c>
      <c r="K399">
        <v>21.809999000000001</v>
      </c>
      <c r="L399">
        <v>21.639999</v>
      </c>
      <c r="M399">
        <v>21.719999000000001</v>
      </c>
    </row>
    <row r="400" spans="1:13">
      <c r="A400" s="346">
        <v>42184</v>
      </c>
      <c r="B400">
        <v>27.610001</v>
      </c>
      <c r="C400">
        <v>27.629999000000002</v>
      </c>
      <c r="D400">
        <v>27.120000999999998</v>
      </c>
      <c r="E400">
        <v>27.17</v>
      </c>
      <c r="F400">
        <v>27.17</v>
      </c>
      <c r="G400">
        <v>243200</v>
      </c>
      <c r="I400" s="346">
        <v>42184</v>
      </c>
      <c r="J400">
        <v>21.5</v>
      </c>
      <c r="K400">
        <v>21.51</v>
      </c>
      <c r="L400">
        <v>21.200001</v>
      </c>
      <c r="M400">
        <v>21.209999</v>
      </c>
    </row>
    <row r="401" spans="1:13">
      <c r="A401" s="346">
        <v>42185</v>
      </c>
      <c r="B401">
        <v>27.33</v>
      </c>
      <c r="C401">
        <v>27.389999</v>
      </c>
      <c r="D401">
        <v>26.889999</v>
      </c>
      <c r="E401">
        <v>27.200001</v>
      </c>
      <c r="F401">
        <v>27.200001</v>
      </c>
      <c r="G401">
        <v>214200</v>
      </c>
      <c r="I401" s="346">
        <v>42185</v>
      </c>
      <c r="J401">
        <v>21.280000999999999</v>
      </c>
      <c r="K401">
        <v>21.4</v>
      </c>
      <c r="L401">
        <v>21.23</v>
      </c>
      <c r="M401">
        <v>21.309999000000001</v>
      </c>
    </row>
    <row r="402" spans="1:13">
      <c r="A402" s="346">
        <v>42187</v>
      </c>
      <c r="B402">
        <v>27.280000999999999</v>
      </c>
      <c r="C402">
        <v>28.139999</v>
      </c>
      <c r="D402">
        <v>27.280000999999999</v>
      </c>
      <c r="E402">
        <v>27.690000999999999</v>
      </c>
      <c r="F402">
        <v>27.690000999999999</v>
      </c>
      <c r="G402">
        <v>373100</v>
      </c>
      <c r="I402" s="346">
        <v>42187</v>
      </c>
      <c r="J402">
        <v>21.459999</v>
      </c>
      <c r="K402">
        <v>21.5</v>
      </c>
      <c r="L402">
        <v>21.32</v>
      </c>
      <c r="M402">
        <v>21.42</v>
      </c>
    </row>
    <row r="403" spans="1:13">
      <c r="A403" s="346">
        <v>42188</v>
      </c>
      <c r="B403">
        <v>27.75</v>
      </c>
      <c r="C403">
        <v>27.959999</v>
      </c>
      <c r="D403">
        <v>27.690000999999999</v>
      </c>
      <c r="E403">
        <v>27.91</v>
      </c>
      <c r="F403">
        <v>27.91</v>
      </c>
      <c r="G403">
        <v>22600</v>
      </c>
      <c r="I403" s="346">
        <v>42188</v>
      </c>
      <c r="J403">
        <v>21.450001</v>
      </c>
      <c r="K403">
        <v>21.530000999999999</v>
      </c>
      <c r="L403">
        <v>21.41</v>
      </c>
      <c r="M403">
        <v>21.52</v>
      </c>
    </row>
    <row r="404" spans="1:13">
      <c r="A404" s="346">
        <v>42191</v>
      </c>
      <c r="B404">
        <v>27.690000999999999</v>
      </c>
      <c r="C404">
        <v>28.059999000000001</v>
      </c>
      <c r="D404">
        <v>27.6</v>
      </c>
      <c r="E404">
        <v>27.82</v>
      </c>
      <c r="F404">
        <v>27.82</v>
      </c>
      <c r="G404">
        <v>251300</v>
      </c>
      <c r="I404" s="346">
        <v>42191</v>
      </c>
      <c r="J404">
        <v>21.32</v>
      </c>
      <c r="K404">
        <v>21.559999000000001</v>
      </c>
      <c r="L404">
        <v>21.299999</v>
      </c>
      <c r="M404">
        <v>21.42</v>
      </c>
    </row>
    <row r="405" spans="1:13">
      <c r="A405" s="346">
        <v>42192</v>
      </c>
      <c r="B405">
        <v>27.860001</v>
      </c>
      <c r="C405">
        <v>27.860001</v>
      </c>
      <c r="D405">
        <v>26.860001</v>
      </c>
      <c r="E405">
        <v>27.24</v>
      </c>
      <c r="F405">
        <v>27.24</v>
      </c>
      <c r="G405">
        <v>301000</v>
      </c>
      <c r="I405" s="346">
        <v>42192</v>
      </c>
      <c r="J405">
        <v>21.42</v>
      </c>
      <c r="K405">
        <v>21.51</v>
      </c>
      <c r="L405">
        <v>21.129999000000002</v>
      </c>
      <c r="M405">
        <v>21.51</v>
      </c>
    </row>
    <row r="406" spans="1:13">
      <c r="A406" s="346">
        <v>42193</v>
      </c>
      <c r="B406">
        <v>27.09</v>
      </c>
      <c r="C406">
        <v>27.360001</v>
      </c>
      <c r="D406">
        <v>26.530000999999999</v>
      </c>
      <c r="E406">
        <v>26.629999000000002</v>
      </c>
      <c r="F406">
        <v>26.629999000000002</v>
      </c>
      <c r="G406">
        <v>200300</v>
      </c>
      <c r="I406" s="346">
        <v>42193</v>
      </c>
      <c r="J406">
        <v>21.379999000000002</v>
      </c>
      <c r="K406">
        <v>21.42</v>
      </c>
      <c r="L406">
        <v>21.139999</v>
      </c>
      <c r="M406">
        <v>21.18</v>
      </c>
    </row>
    <row r="407" spans="1:13">
      <c r="A407" s="346">
        <v>42194</v>
      </c>
      <c r="B407">
        <v>26.98</v>
      </c>
      <c r="C407">
        <v>26.98</v>
      </c>
      <c r="D407">
        <v>25.799999</v>
      </c>
      <c r="E407">
        <v>26.059999000000001</v>
      </c>
      <c r="F407">
        <v>26.059999000000001</v>
      </c>
      <c r="G407">
        <v>274100</v>
      </c>
      <c r="I407" s="346">
        <v>42194</v>
      </c>
      <c r="J407">
        <v>21.35</v>
      </c>
      <c r="K407">
        <v>21.42</v>
      </c>
      <c r="L407">
        <v>20.99</v>
      </c>
      <c r="M407">
        <v>21</v>
      </c>
    </row>
    <row r="408" spans="1:13">
      <c r="A408" s="346">
        <v>42195</v>
      </c>
      <c r="B408">
        <v>26.82</v>
      </c>
      <c r="C408">
        <v>27.24</v>
      </c>
      <c r="D408">
        <v>26.790001</v>
      </c>
      <c r="E408">
        <v>27.15</v>
      </c>
      <c r="F408">
        <v>27.15</v>
      </c>
      <c r="G408">
        <v>440600</v>
      </c>
      <c r="I408" s="346">
        <v>42195</v>
      </c>
      <c r="J408">
        <v>21.200001</v>
      </c>
      <c r="K408">
        <v>21.219999000000001</v>
      </c>
      <c r="L408">
        <v>21.110001</v>
      </c>
      <c r="M408">
        <v>21.209999</v>
      </c>
    </row>
    <row r="409" spans="1:13">
      <c r="A409" s="346">
        <v>42198</v>
      </c>
      <c r="B409">
        <v>27.43</v>
      </c>
      <c r="C409">
        <v>27.91</v>
      </c>
      <c r="D409">
        <v>27.280000999999999</v>
      </c>
      <c r="E409">
        <v>27.860001</v>
      </c>
      <c r="F409">
        <v>27.860001</v>
      </c>
      <c r="G409">
        <v>348800</v>
      </c>
      <c r="I409" s="346">
        <v>42198</v>
      </c>
      <c r="J409">
        <v>21.389999</v>
      </c>
      <c r="K409">
        <v>21.469999000000001</v>
      </c>
      <c r="L409">
        <v>21.290001</v>
      </c>
      <c r="M409">
        <v>21.43</v>
      </c>
    </row>
    <row r="410" spans="1:13">
      <c r="A410" s="346">
        <v>42199</v>
      </c>
      <c r="B410">
        <v>27.75</v>
      </c>
      <c r="C410">
        <v>27.969999000000001</v>
      </c>
      <c r="D410">
        <v>27.530000999999999</v>
      </c>
      <c r="E410">
        <v>27.690000999999999</v>
      </c>
      <c r="F410">
        <v>27.690000999999999</v>
      </c>
      <c r="G410">
        <v>297600</v>
      </c>
      <c r="I410" s="346">
        <v>42199</v>
      </c>
      <c r="J410">
        <v>21.370000999999998</v>
      </c>
      <c r="K410">
        <v>21.48</v>
      </c>
      <c r="L410">
        <v>21.26</v>
      </c>
      <c r="M410">
        <v>21.459999</v>
      </c>
    </row>
    <row r="411" spans="1:13">
      <c r="A411" s="346">
        <v>42200</v>
      </c>
      <c r="B411">
        <v>27.73</v>
      </c>
      <c r="C411">
        <v>28.52</v>
      </c>
      <c r="D411">
        <v>27.73</v>
      </c>
      <c r="E411">
        <v>28.25</v>
      </c>
      <c r="F411">
        <v>28.25</v>
      </c>
      <c r="G411">
        <v>651400</v>
      </c>
      <c r="I411" s="346">
        <v>42200</v>
      </c>
      <c r="J411">
        <v>21.469999000000001</v>
      </c>
      <c r="K411">
        <v>21.66</v>
      </c>
      <c r="L411">
        <v>21.379999000000002</v>
      </c>
      <c r="M411">
        <v>21.610001</v>
      </c>
    </row>
    <row r="412" spans="1:13">
      <c r="A412" s="346">
        <v>42201</v>
      </c>
      <c r="B412">
        <v>28.43</v>
      </c>
      <c r="C412">
        <v>28.469999000000001</v>
      </c>
      <c r="D412">
        <v>27.82</v>
      </c>
      <c r="E412">
        <v>28.08</v>
      </c>
      <c r="F412">
        <v>28.08</v>
      </c>
      <c r="G412">
        <v>363600</v>
      </c>
      <c r="I412" s="346">
        <v>42201</v>
      </c>
      <c r="J412">
        <v>21.709999</v>
      </c>
      <c r="K412">
        <v>21.76</v>
      </c>
      <c r="L412">
        <v>21.67</v>
      </c>
      <c r="M412">
        <v>21.74</v>
      </c>
    </row>
    <row r="413" spans="1:13">
      <c r="A413" s="346">
        <v>42202</v>
      </c>
      <c r="B413">
        <v>28.120000999999998</v>
      </c>
      <c r="C413">
        <v>28.379999000000002</v>
      </c>
      <c r="D413">
        <v>28.030000999999999</v>
      </c>
      <c r="E413">
        <v>28.219999000000001</v>
      </c>
      <c r="F413">
        <v>28.219999000000001</v>
      </c>
      <c r="G413">
        <v>360000</v>
      </c>
      <c r="I413" s="346">
        <v>42202</v>
      </c>
      <c r="J413">
        <v>21.75</v>
      </c>
      <c r="K413">
        <v>21.76</v>
      </c>
      <c r="L413">
        <v>21.540001</v>
      </c>
      <c r="M413">
        <v>21.620000999999998</v>
      </c>
    </row>
    <row r="414" spans="1:13">
      <c r="A414" s="346">
        <v>42205</v>
      </c>
      <c r="B414">
        <v>28.34</v>
      </c>
      <c r="C414">
        <v>28.57</v>
      </c>
      <c r="D414">
        <v>27.799999</v>
      </c>
      <c r="E414">
        <v>28.129999000000002</v>
      </c>
      <c r="F414">
        <v>28.129999000000002</v>
      </c>
      <c r="G414">
        <v>208400</v>
      </c>
      <c r="I414" s="346">
        <v>42205</v>
      </c>
      <c r="J414">
        <v>21.59</v>
      </c>
      <c r="K414">
        <v>21.610001</v>
      </c>
      <c r="L414">
        <v>21.299999</v>
      </c>
      <c r="M414">
        <v>21.35</v>
      </c>
    </row>
    <row r="415" spans="1:13">
      <c r="A415" s="346">
        <v>42206</v>
      </c>
      <c r="B415">
        <v>28.01</v>
      </c>
      <c r="C415">
        <v>28.09</v>
      </c>
      <c r="D415">
        <v>27.129999000000002</v>
      </c>
      <c r="E415">
        <v>27.6</v>
      </c>
      <c r="F415">
        <v>27.6</v>
      </c>
      <c r="G415">
        <v>280500</v>
      </c>
      <c r="I415" s="346">
        <v>42206</v>
      </c>
      <c r="J415">
        <v>21.370000999999998</v>
      </c>
      <c r="K415">
        <v>21.450001</v>
      </c>
      <c r="L415">
        <v>21.16</v>
      </c>
      <c r="M415">
        <v>21.219999000000001</v>
      </c>
    </row>
    <row r="416" spans="1:13">
      <c r="A416" s="346">
        <v>42207</v>
      </c>
      <c r="B416">
        <v>26.700001</v>
      </c>
      <c r="C416">
        <v>26.709999</v>
      </c>
      <c r="D416">
        <v>25.4</v>
      </c>
      <c r="E416">
        <v>26.280000999999999</v>
      </c>
      <c r="F416">
        <v>26.280000999999999</v>
      </c>
      <c r="G416">
        <v>531600</v>
      </c>
      <c r="I416" s="346">
        <v>42207</v>
      </c>
      <c r="J416">
        <v>21.17</v>
      </c>
      <c r="K416">
        <v>21.23</v>
      </c>
      <c r="L416">
        <v>21.030000999999999</v>
      </c>
      <c r="M416">
        <v>21.139999</v>
      </c>
    </row>
    <row r="417" spans="1:13">
      <c r="A417" s="346">
        <v>42208</v>
      </c>
      <c r="B417">
        <v>26.25</v>
      </c>
      <c r="C417">
        <v>26.530000999999999</v>
      </c>
      <c r="D417">
        <v>25.07</v>
      </c>
      <c r="E417">
        <v>25.35</v>
      </c>
      <c r="F417">
        <v>25.35</v>
      </c>
      <c r="G417">
        <v>287600</v>
      </c>
      <c r="I417" s="346">
        <v>42208</v>
      </c>
      <c r="J417">
        <v>21.209999</v>
      </c>
      <c r="K417">
        <v>21.219999000000001</v>
      </c>
      <c r="L417">
        <v>20.969999000000001</v>
      </c>
      <c r="M417">
        <v>21.09</v>
      </c>
    </row>
    <row r="418" spans="1:13">
      <c r="A418" s="346">
        <v>42209</v>
      </c>
      <c r="B418">
        <v>25.41</v>
      </c>
      <c r="C418">
        <v>25.51</v>
      </c>
      <c r="D418">
        <v>24.889999</v>
      </c>
      <c r="E418">
        <v>24.950001</v>
      </c>
      <c r="F418">
        <v>24.950001</v>
      </c>
      <c r="G418">
        <v>249800</v>
      </c>
      <c r="I418" s="346">
        <v>42209</v>
      </c>
      <c r="J418">
        <v>21.07</v>
      </c>
      <c r="K418">
        <v>21.17</v>
      </c>
      <c r="L418">
        <v>20.99</v>
      </c>
      <c r="M418">
        <v>21</v>
      </c>
    </row>
    <row r="419" spans="1:13">
      <c r="A419" s="346">
        <v>42212</v>
      </c>
      <c r="B419">
        <v>24.5</v>
      </c>
      <c r="C419">
        <v>24.530000999999999</v>
      </c>
      <c r="D419">
        <v>23.629999000000002</v>
      </c>
      <c r="E419">
        <v>23.84</v>
      </c>
      <c r="F419">
        <v>23.84</v>
      </c>
      <c r="G419">
        <v>346100</v>
      </c>
      <c r="I419" s="346">
        <v>42212</v>
      </c>
      <c r="J419">
        <v>20.92</v>
      </c>
      <c r="K419">
        <v>20.959999</v>
      </c>
      <c r="L419">
        <v>20.74</v>
      </c>
      <c r="M419">
        <v>20.83</v>
      </c>
    </row>
    <row r="420" spans="1:13">
      <c r="A420" s="346">
        <v>42213</v>
      </c>
      <c r="B420">
        <v>24.049999</v>
      </c>
      <c r="C420">
        <v>24.52</v>
      </c>
      <c r="D420">
        <v>23.969999000000001</v>
      </c>
      <c r="E420">
        <v>24.26</v>
      </c>
      <c r="F420">
        <v>24.26</v>
      </c>
      <c r="G420">
        <v>237600</v>
      </c>
      <c r="I420" s="346">
        <v>42213</v>
      </c>
      <c r="J420">
        <v>20.879999000000002</v>
      </c>
      <c r="K420">
        <v>20.959999</v>
      </c>
      <c r="L420">
        <v>20.709999</v>
      </c>
      <c r="M420">
        <v>20.92</v>
      </c>
    </row>
    <row r="421" spans="1:13">
      <c r="A421" s="346">
        <v>42214</v>
      </c>
      <c r="B421">
        <v>24.209999</v>
      </c>
      <c r="C421">
        <v>24.41</v>
      </c>
      <c r="D421">
        <v>23.620000999999998</v>
      </c>
      <c r="E421">
        <v>23.870000999999998</v>
      </c>
      <c r="F421">
        <v>23.870000999999998</v>
      </c>
      <c r="G421">
        <v>240300</v>
      </c>
      <c r="I421" s="346">
        <v>42214</v>
      </c>
      <c r="J421">
        <v>20.940000999999999</v>
      </c>
      <c r="K421">
        <v>21.23</v>
      </c>
      <c r="L421">
        <v>20.879999000000002</v>
      </c>
      <c r="M421">
        <v>21.209999</v>
      </c>
    </row>
    <row r="422" spans="1:13">
      <c r="A422" s="346">
        <v>42215</v>
      </c>
      <c r="B422">
        <v>23.280000999999999</v>
      </c>
      <c r="C422">
        <v>23.940000999999999</v>
      </c>
      <c r="D422">
        <v>22.940000999999999</v>
      </c>
      <c r="E422">
        <v>23.26</v>
      </c>
      <c r="F422">
        <v>23.26</v>
      </c>
      <c r="G422">
        <v>643600</v>
      </c>
      <c r="I422" s="346">
        <v>42215</v>
      </c>
      <c r="J422">
        <v>21.219999000000001</v>
      </c>
      <c r="K422">
        <v>21.379999000000002</v>
      </c>
      <c r="L422">
        <v>21.110001</v>
      </c>
      <c r="M422">
        <v>21.360001</v>
      </c>
    </row>
    <row r="423" spans="1:13">
      <c r="A423" s="346">
        <v>42216</v>
      </c>
      <c r="B423">
        <v>23.27</v>
      </c>
      <c r="C423">
        <v>23.860001</v>
      </c>
      <c r="D423">
        <v>23.27</v>
      </c>
      <c r="E423">
        <v>23.790001</v>
      </c>
      <c r="F423">
        <v>23.790001</v>
      </c>
      <c r="G423">
        <v>234400</v>
      </c>
      <c r="I423" s="346">
        <v>42216</v>
      </c>
      <c r="J423">
        <v>21.42</v>
      </c>
      <c r="K423">
        <v>21.58</v>
      </c>
      <c r="L423">
        <v>21.389999</v>
      </c>
      <c r="M423">
        <v>21.5</v>
      </c>
    </row>
    <row r="424" spans="1:13">
      <c r="A424" s="346">
        <v>42220</v>
      </c>
      <c r="B424">
        <v>23.9</v>
      </c>
      <c r="C424">
        <v>24.24</v>
      </c>
      <c r="D424">
        <v>23.639999</v>
      </c>
      <c r="E424">
        <v>24.17</v>
      </c>
      <c r="F424">
        <v>24.17</v>
      </c>
      <c r="G424">
        <v>299200</v>
      </c>
      <c r="I424" s="346">
        <v>42220</v>
      </c>
      <c r="J424">
        <v>21.469999000000001</v>
      </c>
      <c r="K424">
        <v>21.620000999999998</v>
      </c>
      <c r="L424">
        <v>21.41</v>
      </c>
      <c r="M424">
        <v>21.559999000000001</v>
      </c>
    </row>
    <row r="425" spans="1:13">
      <c r="A425" s="346">
        <v>42221</v>
      </c>
      <c r="B425">
        <v>24.18</v>
      </c>
      <c r="C425">
        <v>24.58</v>
      </c>
      <c r="D425">
        <v>24.059999000000001</v>
      </c>
      <c r="E425">
        <v>24.24</v>
      </c>
      <c r="F425">
        <v>24.24</v>
      </c>
      <c r="G425">
        <v>205800</v>
      </c>
      <c r="I425" s="346">
        <v>42221</v>
      </c>
      <c r="J425">
        <v>21.66</v>
      </c>
      <c r="K425">
        <v>21.77</v>
      </c>
      <c r="L425">
        <v>21.59</v>
      </c>
      <c r="M425">
        <v>21.610001</v>
      </c>
    </row>
    <row r="426" spans="1:13">
      <c r="A426" s="346">
        <v>42222</v>
      </c>
      <c r="B426">
        <v>24.18</v>
      </c>
      <c r="C426">
        <v>24.24</v>
      </c>
      <c r="D426">
        <v>22.98</v>
      </c>
      <c r="E426">
        <v>23.43</v>
      </c>
      <c r="F426">
        <v>23.43</v>
      </c>
      <c r="G426">
        <v>287800</v>
      </c>
      <c r="I426" s="346">
        <v>42222</v>
      </c>
      <c r="J426">
        <v>21.6</v>
      </c>
      <c r="K426">
        <v>21.610001</v>
      </c>
      <c r="L426">
        <v>21.41</v>
      </c>
      <c r="M426">
        <v>21.450001</v>
      </c>
    </row>
    <row r="427" spans="1:13">
      <c r="A427" s="346">
        <v>42223</v>
      </c>
      <c r="B427">
        <v>23.33</v>
      </c>
      <c r="C427">
        <v>23.68</v>
      </c>
      <c r="D427">
        <v>23.02</v>
      </c>
      <c r="E427">
        <v>23.1</v>
      </c>
      <c r="F427">
        <v>23.1</v>
      </c>
      <c r="G427">
        <v>263800</v>
      </c>
      <c r="I427" s="346">
        <v>42223</v>
      </c>
      <c r="J427">
        <v>21.43</v>
      </c>
      <c r="K427">
        <v>21.530000999999999</v>
      </c>
      <c r="L427">
        <v>21.24</v>
      </c>
      <c r="M427">
        <v>21.309999000000001</v>
      </c>
    </row>
    <row r="428" spans="1:13">
      <c r="A428" s="346">
        <v>42226</v>
      </c>
      <c r="B428">
        <v>23.129999000000002</v>
      </c>
      <c r="C428">
        <v>23.549999</v>
      </c>
      <c r="D428">
        <v>23.09</v>
      </c>
      <c r="E428">
        <v>23.18</v>
      </c>
      <c r="F428">
        <v>23.18</v>
      </c>
      <c r="G428">
        <v>266500</v>
      </c>
      <c r="I428" s="346">
        <v>42226</v>
      </c>
      <c r="J428">
        <v>21.4</v>
      </c>
      <c r="K428">
        <v>21.549999</v>
      </c>
      <c r="L428">
        <v>21.379999000000002</v>
      </c>
      <c r="M428">
        <v>21.52</v>
      </c>
    </row>
    <row r="429" spans="1:13">
      <c r="A429" s="346">
        <v>42227</v>
      </c>
      <c r="B429">
        <v>22.98</v>
      </c>
      <c r="C429">
        <v>22.98</v>
      </c>
      <c r="D429">
        <v>21.91</v>
      </c>
      <c r="E429">
        <v>22.040001</v>
      </c>
      <c r="F429">
        <v>22.040001</v>
      </c>
      <c r="G429">
        <v>514500</v>
      </c>
      <c r="I429" s="346">
        <v>42227</v>
      </c>
      <c r="J429">
        <v>21.41</v>
      </c>
      <c r="K429">
        <v>21.43</v>
      </c>
      <c r="L429">
        <v>21.200001</v>
      </c>
      <c r="M429">
        <v>21.43</v>
      </c>
    </row>
    <row r="430" spans="1:13">
      <c r="A430" s="346">
        <v>42228</v>
      </c>
      <c r="B430">
        <v>21.99</v>
      </c>
      <c r="C430">
        <v>22.1</v>
      </c>
      <c r="D430">
        <v>21.24</v>
      </c>
      <c r="E430">
        <v>21.35</v>
      </c>
      <c r="F430">
        <v>21.35</v>
      </c>
      <c r="G430">
        <v>412100</v>
      </c>
      <c r="I430" s="346">
        <v>42228</v>
      </c>
      <c r="J430">
        <v>21.299999</v>
      </c>
      <c r="K430">
        <v>21.32</v>
      </c>
      <c r="L430">
        <v>21.049999</v>
      </c>
      <c r="M430">
        <v>21.299999</v>
      </c>
    </row>
    <row r="431" spans="1:13">
      <c r="A431" s="346">
        <v>42229</v>
      </c>
      <c r="B431">
        <v>21.280000999999999</v>
      </c>
      <c r="C431">
        <v>21.65</v>
      </c>
      <c r="D431">
        <v>21.200001</v>
      </c>
      <c r="E431">
        <v>21.360001</v>
      </c>
      <c r="F431">
        <v>21.360001</v>
      </c>
      <c r="G431">
        <v>227700</v>
      </c>
      <c r="I431" s="346">
        <v>42229</v>
      </c>
      <c r="J431">
        <v>21.290001</v>
      </c>
      <c r="K431">
        <v>21.299999</v>
      </c>
      <c r="L431">
        <v>21.129999000000002</v>
      </c>
      <c r="M431">
        <v>21.17</v>
      </c>
    </row>
    <row r="432" spans="1:13">
      <c r="A432" s="346">
        <v>42230</v>
      </c>
      <c r="B432">
        <v>21.309999000000001</v>
      </c>
      <c r="C432">
        <v>21.629999000000002</v>
      </c>
      <c r="D432">
        <v>21.200001</v>
      </c>
      <c r="E432">
        <v>21.57</v>
      </c>
      <c r="F432">
        <v>21.57</v>
      </c>
      <c r="G432">
        <v>240700</v>
      </c>
      <c r="I432" s="346">
        <v>42230</v>
      </c>
      <c r="J432">
        <v>21.209999</v>
      </c>
      <c r="K432">
        <v>21.27</v>
      </c>
      <c r="L432">
        <v>21.15</v>
      </c>
      <c r="M432">
        <v>21.23</v>
      </c>
    </row>
    <row r="433" spans="1:13">
      <c r="A433" s="346">
        <v>42233</v>
      </c>
      <c r="B433">
        <v>21.49</v>
      </c>
      <c r="C433">
        <v>21.889999</v>
      </c>
      <c r="D433">
        <v>21.49</v>
      </c>
      <c r="E433">
        <v>21.709999</v>
      </c>
      <c r="F433">
        <v>21.709999</v>
      </c>
      <c r="G433">
        <v>211700</v>
      </c>
      <c r="I433" s="346">
        <v>42233</v>
      </c>
      <c r="J433">
        <v>21.200001</v>
      </c>
      <c r="K433">
        <v>21.209999</v>
      </c>
      <c r="L433">
        <v>21.08</v>
      </c>
      <c r="M433">
        <v>21.209999</v>
      </c>
    </row>
    <row r="434" spans="1:13">
      <c r="A434" s="346">
        <v>42234</v>
      </c>
      <c r="B434">
        <v>21.610001</v>
      </c>
      <c r="C434">
        <v>22.41</v>
      </c>
      <c r="D434">
        <v>21.469999000000001</v>
      </c>
      <c r="E434">
        <v>22.209999</v>
      </c>
      <c r="F434">
        <v>22.209999</v>
      </c>
      <c r="G434">
        <v>324000</v>
      </c>
      <c r="I434" s="346">
        <v>42234</v>
      </c>
      <c r="J434">
        <v>21.139999</v>
      </c>
      <c r="K434">
        <v>21.17</v>
      </c>
      <c r="L434">
        <v>21.01</v>
      </c>
      <c r="M434">
        <v>21.120000999999998</v>
      </c>
    </row>
    <row r="435" spans="1:13">
      <c r="A435" s="346">
        <v>42235</v>
      </c>
      <c r="B435">
        <v>22.25</v>
      </c>
      <c r="C435">
        <v>22.25</v>
      </c>
      <c r="D435">
        <v>21.280000999999999</v>
      </c>
      <c r="E435">
        <v>21.5</v>
      </c>
      <c r="F435">
        <v>21.5</v>
      </c>
      <c r="G435">
        <v>527400</v>
      </c>
      <c r="I435" s="346">
        <v>42235</v>
      </c>
      <c r="J435">
        <v>21.1</v>
      </c>
      <c r="K435">
        <v>21.1</v>
      </c>
      <c r="L435">
        <v>20.860001</v>
      </c>
      <c r="M435">
        <v>20.879999000000002</v>
      </c>
    </row>
    <row r="436" spans="1:13">
      <c r="A436" s="346">
        <v>42236</v>
      </c>
      <c r="B436">
        <v>21.35</v>
      </c>
      <c r="C436">
        <v>21.35</v>
      </c>
      <c r="D436">
        <v>20.549999</v>
      </c>
      <c r="E436">
        <v>21.23</v>
      </c>
      <c r="F436">
        <v>21.23</v>
      </c>
      <c r="G436">
        <v>381700</v>
      </c>
      <c r="I436" s="346">
        <v>42236</v>
      </c>
      <c r="J436">
        <v>20.77</v>
      </c>
      <c r="K436">
        <v>20.77</v>
      </c>
      <c r="L436">
        <v>20.41</v>
      </c>
      <c r="M436">
        <v>20.41</v>
      </c>
    </row>
    <row r="437" spans="1:13">
      <c r="A437" s="346">
        <v>42237</v>
      </c>
      <c r="B437">
        <v>20.940000999999999</v>
      </c>
      <c r="C437">
        <v>21.139999</v>
      </c>
      <c r="D437">
        <v>20.190000999999999</v>
      </c>
      <c r="E437">
        <v>20.32</v>
      </c>
      <c r="F437">
        <v>20.32</v>
      </c>
      <c r="G437">
        <v>276500</v>
      </c>
      <c r="I437" s="346">
        <v>42237</v>
      </c>
      <c r="J437">
        <v>20.209999</v>
      </c>
      <c r="K437">
        <v>20.379999000000002</v>
      </c>
      <c r="L437">
        <v>20.030000999999999</v>
      </c>
      <c r="M437">
        <v>20.040001</v>
      </c>
    </row>
    <row r="438" spans="1:13">
      <c r="A438" s="346">
        <v>42240</v>
      </c>
      <c r="B438">
        <v>19.010000000000002</v>
      </c>
      <c r="C438">
        <v>20.48</v>
      </c>
      <c r="D438">
        <v>19</v>
      </c>
      <c r="E438">
        <v>20.09</v>
      </c>
      <c r="F438">
        <v>20.09</v>
      </c>
      <c r="G438">
        <v>439900</v>
      </c>
      <c r="I438" s="346">
        <v>42240</v>
      </c>
      <c r="J438">
        <v>19.219999000000001</v>
      </c>
      <c r="K438">
        <v>19.959999</v>
      </c>
      <c r="L438">
        <v>18.48</v>
      </c>
      <c r="M438">
        <v>19.43</v>
      </c>
    </row>
    <row r="439" spans="1:13">
      <c r="A439" s="346">
        <v>42241</v>
      </c>
      <c r="B439">
        <v>20.690000999999999</v>
      </c>
      <c r="C439">
        <v>20.9</v>
      </c>
      <c r="D439">
        <v>19.879999000000002</v>
      </c>
      <c r="E439">
        <v>19.940000999999999</v>
      </c>
      <c r="F439">
        <v>19.940000999999999</v>
      </c>
      <c r="G439">
        <v>311900</v>
      </c>
      <c r="I439" s="346">
        <v>42241</v>
      </c>
      <c r="J439">
        <v>20</v>
      </c>
      <c r="K439">
        <v>20.059999000000001</v>
      </c>
      <c r="L439">
        <v>19.540001</v>
      </c>
      <c r="M439">
        <v>19.559999000000001</v>
      </c>
    </row>
    <row r="440" spans="1:13">
      <c r="A440" s="346">
        <v>42242</v>
      </c>
      <c r="B440">
        <v>20.209999</v>
      </c>
      <c r="C440">
        <v>20.280000999999999</v>
      </c>
      <c r="D440">
        <v>19.620000999999998</v>
      </c>
      <c r="E440">
        <v>19.75</v>
      </c>
      <c r="F440">
        <v>19.75</v>
      </c>
      <c r="G440">
        <v>483500</v>
      </c>
      <c r="I440" s="346">
        <v>42242</v>
      </c>
      <c r="J440">
        <v>19.899999999999999</v>
      </c>
      <c r="K440">
        <v>19.950001</v>
      </c>
      <c r="L440">
        <v>19.43</v>
      </c>
      <c r="M440">
        <v>19.940000999999999</v>
      </c>
    </row>
    <row r="441" spans="1:13">
      <c r="A441" s="346">
        <v>42243</v>
      </c>
      <c r="B441">
        <v>20.09</v>
      </c>
      <c r="C441">
        <v>20.09</v>
      </c>
      <c r="D441">
        <v>19.32</v>
      </c>
      <c r="E441">
        <v>19.899999999999999</v>
      </c>
      <c r="F441">
        <v>19.899999999999999</v>
      </c>
      <c r="G441">
        <v>358700</v>
      </c>
      <c r="I441" s="346">
        <v>42243</v>
      </c>
      <c r="J441">
        <v>20.120000999999998</v>
      </c>
      <c r="K441">
        <v>20.65</v>
      </c>
      <c r="L441">
        <v>20.07</v>
      </c>
      <c r="M441">
        <v>20.540001</v>
      </c>
    </row>
    <row r="442" spans="1:13">
      <c r="A442" s="346">
        <v>42244</v>
      </c>
      <c r="B442">
        <v>19.870000999999998</v>
      </c>
      <c r="C442">
        <v>20.530000999999999</v>
      </c>
      <c r="D442">
        <v>19.389999</v>
      </c>
      <c r="E442">
        <v>20.360001</v>
      </c>
      <c r="F442">
        <v>20.360001</v>
      </c>
      <c r="G442">
        <v>479000</v>
      </c>
      <c r="I442" s="346">
        <v>42244</v>
      </c>
      <c r="J442">
        <v>20.440000999999999</v>
      </c>
      <c r="K442">
        <v>20.629999000000002</v>
      </c>
      <c r="L442">
        <v>20.41</v>
      </c>
      <c r="M442">
        <v>20.629999000000002</v>
      </c>
    </row>
    <row r="443" spans="1:13">
      <c r="A443" s="346">
        <v>42247</v>
      </c>
      <c r="B443">
        <v>20.170000000000002</v>
      </c>
      <c r="C443">
        <v>20.350000000000001</v>
      </c>
      <c r="D443">
        <v>19.489999999999998</v>
      </c>
      <c r="E443">
        <v>20.100000000000001</v>
      </c>
      <c r="F443">
        <v>20.100000000000001</v>
      </c>
      <c r="G443">
        <v>368300</v>
      </c>
      <c r="I443" s="346">
        <v>42247</v>
      </c>
      <c r="J443">
        <v>20.559999000000001</v>
      </c>
      <c r="K443">
        <v>20.639999</v>
      </c>
      <c r="L443">
        <v>20.290001</v>
      </c>
      <c r="M443">
        <v>20.52</v>
      </c>
    </row>
    <row r="444" spans="1:13">
      <c r="A444" s="346">
        <v>42248</v>
      </c>
      <c r="B444">
        <v>19.73</v>
      </c>
      <c r="C444">
        <v>19.799999</v>
      </c>
      <c r="D444">
        <v>19.100000000000001</v>
      </c>
      <c r="E444">
        <v>19.27</v>
      </c>
      <c r="F444">
        <v>19.27</v>
      </c>
      <c r="G444">
        <v>369700</v>
      </c>
      <c r="I444" s="346">
        <v>42248</v>
      </c>
      <c r="J444">
        <v>20.239999999999998</v>
      </c>
      <c r="K444">
        <v>20.25</v>
      </c>
      <c r="L444">
        <v>19.889999</v>
      </c>
      <c r="M444">
        <v>20</v>
      </c>
    </row>
    <row r="445" spans="1:13">
      <c r="A445" s="346">
        <v>42249</v>
      </c>
      <c r="B445">
        <v>19.469999000000001</v>
      </c>
      <c r="C445">
        <v>19.5</v>
      </c>
      <c r="D445">
        <v>19.040001</v>
      </c>
      <c r="E445">
        <v>19.16</v>
      </c>
      <c r="F445">
        <v>19.16</v>
      </c>
      <c r="G445">
        <v>238900</v>
      </c>
      <c r="I445" s="346">
        <v>42249</v>
      </c>
      <c r="J445">
        <v>20.16</v>
      </c>
      <c r="K445">
        <v>20.23</v>
      </c>
      <c r="L445">
        <v>19.93</v>
      </c>
      <c r="M445">
        <v>20.129999000000002</v>
      </c>
    </row>
    <row r="446" spans="1:13">
      <c r="A446" s="346">
        <v>42250</v>
      </c>
      <c r="B446">
        <v>19.200001</v>
      </c>
      <c r="C446">
        <v>19.57</v>
      </c>
      <c r="D446">
        <v>18.739999999999998</v>
      </c>
      <c r="E446">
        <v>19.389999</v>
      </c>
      <c r="F446">
        <v>19.389999</v>
      </c>
      <c r="G446">
        <v>416700</v>
      </c>
      <c r="I446" s="346">
        <v>42250</v>
      </c>
      <c r="J446">
        <v>20.209999</v>
      </c>
      <c r="K446">
        <v>20.360001</v>
      </c>
      <c r="L446">
        <v>20.120000999999998</v>
      </c>
      <c r="M446">
        <v>20.200001</v>
      </c>
    </row>
    <row r="447" spans="1:13">
      <c r="A447" s="346">
        <v>42251</v>
      </c>
      <c r="B447">
        <v>19.059999000000001</v>
      </c>
      <c r="C447">
        <v>19.649999999999999</v>
      </c>
      <c r="D447">
        <v>19.059999000000001</v>
      </c>
      <c r="E447">
        <v>19.600000000000001</v>
      </c>
      <c r="F447">
        <v>19.600000000000001</v>
      </c>
      <c r="G447">
        <v>180900</v>
      </c>
      <c r="I447" s="346">
        <v>42251</v>
      </c>
      <c r="J447">
        <v>19.98</v>
      </c>
      <c r="K447">
        <v>20.07</v>
      </c>
      <c r="L447">
        <v>19.899999999999999</v>
      </c>
      <c r="M447">
        <v>20.02</v>
      </c>
    </row>
    <row r="448" spans="1:13">
      <c r="A448" s="346">
        <v>42255</v>
      </c>
      <c r="B448">
        <v>19.93</v>
      </c>
      <c r="C448">
        <v>19.93</v>
      </c>
      <c r="D448">
        <v>19.540001</v>
      </c>
      <c r="E448">
        <v>19.719999000000001</v>
      </c>
      <c r="F448">
        <v>19.719999000000001</v>
      </c>
      <c r="G448">
        <v>141900</v>
      </c>
      <c r="I448" s="346">
        <v>42255</v>
      </c>
      <c r="J448">
        <v>20.299999</v>
      </c>
      <c r="K448">
        <v>20.360001</v>
      </c>
      <c r="L448">
        <v>20.190000999999999</v>
      </c>
      <c r="M448">
        <v>20.280000999999999</v>
      </c>
    </row>
    <row r="449" spans="1:13">
      <c r="A449" s="346">
        <v>42256</v>
      </c>
      <c r="B449">
        <v>19.850000000000001</v>
      </c>
      <c r="C449">
        <v>19.899999999999999</v>
      </c>
      <c r="D449">
        <v>19.100000000000001</v>
      </c>
      <c r="E449">
        <v>19.25</v>
      </c>
      <c r="F449">
        <v>19.25</v>
      </c>
      <c r="G449">
        <v>203800</v>
      </c>
      <c r="I449" s="346">
        <v>42256</v>
      </c>
      <c r="J449">
        <v>20.450001</v>
      </c>
      <c r="K449">
        <v>20.5</v>
      </c>
      <c r="L449">
        <v>20.139999</v>
      </c>
      <c r="M449">
        <v>20.16</v>
      </c>
    </row>
    <row r="450" spans="1:13">
      <c r="A450" s="346">
        <v>42257</v>
      </c>
      <c r="B450">
        <v>19.18</v>
      </c>
      <c r="C450">
        <v>19.200001</v>
      </c>
      <c r="D450">
        <v>18.48</v>
      </c>
      <c r="E450">
        <v>18.670000000000002</v>
      </c>
      <c r="F450">
        <v>18.670000000000002</v>
      </c>
      <c r="G450">
        <v>237700</v>
      </c>
      <c r="I450" s="346">
        <v>42257</v>
      </c>
      <c r="J450">
        <v>20.149999999999999</v>
      </c>
      <c r="K450">
        <v>20.34</v>
      </c>
      <c r="L450">
        <v>20.129999000000002</v>
      </c>
      <c r="M450">
        <v>20.219999000000001</v>
      </c>
    </row>
    <row r="451" spans="1:13">
      <c r="A451" s="346">
        <v>42258</v>
      </c>
      <c r="B451">
        <v>18.510000000000002</v>
      </c>
      <c r="C451">
        <v>19.200001</v>
      </c>
      <c r="D451">
        <v>18.510000000000002</v>
      </c>
      <c r="E451">
        <v>19.16</v>
      </c>
      <c r="F451">
        <v>19.16</v>
      </c>
      <c r="G451">
        <v>327200</v>
      </c>
      <c r="I451" s="346">
        <v>42258</v>
      </c>
      <c r="J451">
        <v>20.16</v>
      </c>
      <c r="K451">
        <v>20.16</v>
      </c>
      <c r="L451">
        <v>19.98</v>
      </c>
      <c r="M451">
        <v>20.059999000000001</v>
      </c>
    </row>
    <row r="452" spans="1:13">
      <c r="A452" s="346">
        <v>42261</v>
      </c>
      <c r="B452">
        <v>18.969999000000001</v>
      </c>
      <c r="C452">
        <v>18.969999000000001</v>
      </c>
      <c r="D452">
        <v>18.25</v>
      </c>
      <c r="E452">
        <v>18.360001</v>
      </c>
      <c r="F452">
        <v>18.360001</v>
      </c>
      <c r="G452">
        <v>384300</v>
      </c>
      <c r="I452" s="346">
        <v>42261</v>
      </c>
      <c r="J452">
        <v>20.049999</v>
      </c>
      <c r="K452">
        <v>20.07</v>
      </c>
      <c r="L452">
        <v>19.91</v>
      </c>
      <c r="M452">
        <v>19.91</v>
      </c>
    </row>
    <row r="453" spans="1:13">
      <c r="A453" s="346">
        <v>42262</v>
      </c>
      <c r="B453">
        <v>18.280000999999999</v>
      </c>
      <c r="C453">
        <v>18.379999000000002</v>
      </c>
      <c r="D453">
        <v>18</v>
      </c>
      <c r="E453">
        <v>18.059999000000001</v>
      </c>
      <c r="F453">
        <v>18.059999000000001</v>
      </c>
      <c r="G453">
        <v>283300</v>
      </c>
      <c r="I453" s="346">
        <v>42262</v>
      </c>
      <c r="J453">
        <v>19.950001</v>
      </c>
      <c r="K453">
        <v>20.100000000000001</v>
      </c>
      <c r="L453">
        <v>19.93</v>
      </c>
      <c r="M453">
        <v>20.059999000000001</v>
      </c>
    </row>
    <row r="454" spans="1:13">
      <c r="A454" s="346">
        <v>42263</v>
      </c>
      <c r="B454">
        <v>18.100000000000001</v>
      </c>
      <c r="C454">
        <v>19.200001</v>
      </c>
      <c r="D454">
        <v>18.02</v>
      </c>
      <c r="E454">
        <v>19.07</v>
      </c>
      <c r="F454">
        <v>19.07</v>
      </c>
      <c r="G454">
        <v>284500</v>
      </c>
      <c r="I454" s="346">
        <v>42263</v>
      </c>
      <c r="J454">
        <v>19.989999999999998</v>
      </c>
      <c r="K454">
        <v>20.379999000000002</v>
      </c>
      <c r="L454">
        <v>19.98</v>
      </c>
      <c r="M454">
        <v>20.350000000000001</v>
      </c>
    </row>
    <row r="455" spans="1:13">
      <c r="A455" s="346">
        <v>42264</v>
      </c>
      <c r="B455">
        <v>18.860001</v>
      </c>
      <c r="C455">
        <v>19</v>
      </c>
      <c r="D455">
        <v>18.389999</v>
      </c>
      <c r="E455">
        <v>18.489999999999998</v>
      </c>
      <c r="F455">
        <v>18.489999999999998</v>
      </c>
      <c r="G455">
        <v>246400</v>
      </c>
      <c r="I455" s="346">
        <v>42264</v>
      </c>
      <c r="J455">
        <v>20.32</v>
      </c>
      <c r="K455">
        <v>20.51</v>
      </c>
      <c r="L455">
        <v>20.239999999999998</v>
      </c>
      <c r="M455">
        <v>20.379999000000002</v>
      </c>
    </row>
    <row r="456" spans="1:13">
      <c r="A456" s="346">
        <v>42265</v>
      </c>
      <c r="B456">
        <v>18.209999</v>
      </c>
      <c r="C456">
        <v>18.239999999999998</v>
      </c>
      <c r="D456">
        <v>17.829999999999998</v>
      </c>
      <c r="E456">
        <v>18.040001</v>
      </c>
      <c r="F456">
        <v>18.040001</v>
      </c>
      <c r="G456">
        <v>433300</v>
      </c>
      <c r="I456" s="346">
        <v>42265</v>
      </c>
      <c r="J456">
        <v>20.079999999999998</v>
      </c>
      <c r="K456">
        <v>20.219999000000001</v>
      </c>
      <c r="L456">
        <v>20.049999</v>
      </c>
      <c r="M456">
        <v>20.200001</v>
      </c>
    </row>
    <row r="457" spans="1:13">
      <c r="A457" s="346">
        <v>42268</v>
      </c>
      <c r="B457">
        <v>18</v>
      </c>
      <c r="C457">
        <v>18.200001</v>
      </c>
      <c r="D457">
        <v>17.899999999999999</v>
      </c>
      <c r="E457">
        <v>18.079999999999998</v>
      </c>
      <c r="F457">
        <v>18.079999999999998</v>
      </c>
      <c r="G457">
        <v>198800</v>
      </c>
      <c r="I457" s="346">
        <v>42268</v>
      </c>
      <c r="J457">
        <v>20.280000999999999</v>
      </c>
      <c r="K457">
        <v>20.49</v>
      </c>
      <c r="L457">
        <v>20.23</v>
      </c>
      <c r="M457">
        <v>20.370000999999998</v>
      </c>
    </row>
    <row r="458" spans="1:13">
      <c r="A458" s="346">
        <v>42269</v>
      </c>
      <c r="B458">
        <v>17.84</v>
      </c>
      <c r="C458">
        <v>17.899999999999999</v>
      </c>
      <c r="D458">
        <v>17.530000999999999</v>
      </c>
      <c r="E458">
        <v>17.57</v>
      </c>
      <c r="F458">
        <v>17.57</v>
      </c>
      <c r="G458">
        <v>170900</v>
      </c>
      <c r="I458" s="346">
        <v>42269</v>
      </c>
      <c r="J458">
        <v>20.100000000000001</v>
      </c>
      <c r="K458">
        <v>20.100000000000001</v>
      </c>
      <c r="L458">
        <v>19.829999999999998</v>
      </c>
      <c r="M458">
        <v>19.879999000000002</v>
      </c>
    </row>
    <row r="459" spans="1:13">
      <c r="A459" s="346">
        <v>42270</v>
      </c>
      <c r="B459">
        <v>17.530000999999999</v>
      </c>
      <c r="C459">
        <v>17.690000999999999</v>
      </c>
      <c r="D459">
        <v>17.27</v>
      </c>
      <c r="E459">
        <v>17.370000999999998</v>
      </c>
      <c r="F459">
        <v>17.370000999999998</v>
      </c>
      <c r="G459">
        <v>100100</v>
      </c>
      <c r="I459" s="346">
        <v>42270</v>
      </c>
      <c r="J459">
        <v>19.950001</v>
      </c>
      <c r="K459">
        <v>20.010000000000002</v>
      </c>
      <c r="L459">
        <v>19.709999</v>
      </c>
      <c r="M459">
        <v>19.739999999999998</v>
      </c>
    </row>
    <row r="460" spans="1:13">
      <c r="A460" s="346">
        <v>42271</v>
      </c>
      <c r="B460">
        <v>17.209999</v>
      </c>
      <c r="C460">
        <v>17.309999000000001</v>
      </c>
      <c r="D460">
        <v>16.850000000000001</v>
      </c>
      <c r="E460">
        <v>17.25</v>
      </c>
      <c r="F460">
        <v>17.25</v>
      </c>
      <c r="G460">
        <v>267200</v>
      </c>
      <c r="I460" s="346">
        <v>42271</v>
      </c>
      <c r="J460">
        <v>19.690000999999999</v>
      </c>
      <c r="K460">
        <v>19.75</v>
      </c>
      <c r="L460">
        <v>19.52</v>
      </c>
      <c r="M460">
        <v>19.690000999999999</v>
      </c>
    </row>
    <row r="461" spans="1:13">
      <c r="A461" s="346">
        <v>42272</v>
      </c>
      <c r="B461">
        <v>17.32</v>
      </c>
      <c r="C461">
        <v>17.690000999999999</v>
      </c>
      <c r="D461">
        <v>17.239999999999998</v>
      </c>
      <c r="E461">
        <v>17.450001</v>
      </c>
      <c r="F461">
        <v>17.450001</v>
      </c>
      <c r="G461">
        <v>138500</v>
      </c>
      <c r="I461" s="346">
        <v>42272</v>
      </c>
      <c r="J461">
        <v>19.870000999999998</v>
      </c>
      <c r="K461">
        <v>19.889999</v>
      </c>
      <c r="L461">
        <v>19.700001</v>
      </c>
      <c r="M461">
        <v>19.760000000000002</v>
      </c>
    </row>
    <row r="462" spans="1:13">
      <c r="A462" s="346">
        <v>42275</v>
      </c>
      <c r="B462">
        <v>17.389999</v>
      </c>
      <c r="C462">
        <v>17.389999</v>
      </c>
      <c r="D462">
        <v>16.350000000000001</v>
      </c>
      <c r="E462">
        <v>16.440000999999999</v>
      </c>
      <c r="F462">
        <v>16.440000999999999</v>
      </c>
      <c r="G462">
        <v>296400</v>
      </c>
      <c r="I462" s="346">
        <v>42275</v>
      </c>
      <c r="J462">
        <v>19.639999</v>
      </c>
      <c r="K462">
        <v>19.649999999999999</v>
      </c>
      <c r="L462">
        <v>19.209999</v>
      </c>
      <c r="M462">
        <v>19.219999000000001</v>
      </c>
    </row>
    <row r="463" spans="1:13">
      <c r="A463" s="346">
        <v>42276</v>
      </c>
      <c r="B463">
        <v>16.489999999999998</v>
      </c>
      <c r="C463">
        <v>16.489999999999998</v>
      </c>
      <c r="D463">
        <v>16.079999999999998</v>
      </c>
      <c r="E463">
        <v>16.209999</v>
      </c>
      <c r="F463">
        <v>16.209999</v>
      </c>
      <c r="G463">
        <v>467200</v>
      </c>
      <c r="I463" s="346">
        <v>42276</v>
      </c>
      <c r="J463">
        <v>19.23</v>
      </c>
      <c r="K463">
        <v>19.389999</v>
      </c>
      <c r="L463">
        <v>19.149999999999999</v>
      </c>
      <c r="M463">
        <v>19.260000000000002</v>
      </c>
    </row>
    <row r="464" spans="1:13">
      <c r="A464" s="346">
        <v>42277</v>
      </c>
      <c r="B464">
        <v>16.299999</v>
      </c>
      <c r="C464">
        <v>16.309999000000001</v>
      </c>
      <c r="D464">
        <v>15.74</v>
      </c>
      <c r="E464">
        <v>15.91</v>
      </c>
      <c r="F464">
        <v>15.91</v>
      </c>
      <c r="G464">
        <v>431100</v>
      </c>
      <c r="I464" s="346">
        <v>42277</v>
      </c>
      <c r="J464">
        <v>19.450001</v>
      </c>
      <c r="K464">
        <v>19.719999000000001</v>
      </c>
      <c r="L464">
        <v>19.450001</v>
      </c>
      <c r="M464">
        <v>19.719999000000001</v>
      </c>
    </row>
    <row r="465" spans="1:13">
      <c r="A465" s="346">
        <v>42278</v>
      </c>
      <c r="B465">
        <v>15.91</v>
      </c>
      <c r="C465">
        <v>16.110001</v>
      </c>
      <c r="D465">
        <v>15.43</v>
      </c>
      <c r="E465">
        <v>15.51</v>
      </c>
      <c r="F465">
        <v>15.51</v>
      </c>
      <c r="G465">
        <v>647200</v>
      </c>
      <c r="I465" s="346">
        <v>42278</v>
      </c>
      <c r="J465">
        <v>19.799999</v>
      </c>
      <c r="K465">
        <v>19.799999</v>
      </c>
      <c r="L465">
        <v>19.469999000000001</v>
      </c>
      <c r="M465">
        <v>19.610001</v>
      </c>
    </row>
    <row r="466" spans="1:13">
      <c r="A466" s="346">
        <v>42279</v>
      </c>
      <c r="B466">
        <v>15.35</v>
      </c>
      <c r="C466">
        <v>15.8</v>
      </c>
      <c r="D466">
        <v>15.33</v>
      </c>
      <c r="E466">
        <v>15.73</v>
      </c>
      <c r="F466">
        <v>15.73</v>
      </c>
      <c r="G466">
        <v>284200</v>
      </c>
      <c r="I466" s="346">
        <v>42279</v>
      </c>
      <c r="J466">
        <v>19.48</v>
      </c>
      <c r="K466">
        <v>19.760000000000002</v>
      </c>
      <c r="L466">
        <v>19.370000999999998</v>
      </c>
      <c r="M466">
        <v>19.760000000000002</v>
      </c>
    </row>
    <row r="467" spans="1:13">
      <c r="A467" s="346">
        <v>42282</v>
      </c>
      <c r="B467">
        <v>16.100000000000001</v>
      </c>
      <c r="C467">
        <v>16.489999999999998</v>
      </c>
      <c r="D467">
        <v>15.85</v>
      </c>
      <c r="E467">
        <v>16.290001</v>
      </c>
      <c r="F467">
        <v>16.290001</v>
      </c>
      <c r="G467">
        <v>292900</v>
      </c>
      <c r="I467" s="346">
        <v>42282</v>
      </c>
      <c r="J467">
        <v>19.899999999999999</v>
      </c>
      <c r="K467">
        <v>20.059999000000001</v>
      </c>
      <c r="L467">
        <v>19.850000000000001</v>
      </c>
      <c r="M467">
        <v>19.989999999999998</v>
      </c>
    </row>
    <row r="468" spans="1:13">
      <c r="A468" s="346">
        <v>42283</v>
      </c>
      <c r="B468">
        <v>16.34</v>
      </c>
      <c r="C468">
        <v>16.59</v>
      </c>
      <c r="D468">
        <v>16.18</v>
      </c>
      <c r="E468">
        <v>16.540001</v>
      </c>
      <c r="F468">
        <v>16.540001</v>
      </c>
      <c r="G468">
        <v>186300</v>
      </c>
      <c r="I468" s="346">
        <v>42283</v>
      </c>
      <c r="J468">
        <v>20.07</v>
      </c>
      <c r="K468">
        <v>20.18</v>
      </c>
      <c r="L468">
        <v>20.02</v>
      </c>
      <c r="M468">
        <v>20.139999</v>
      </c>
    </row>
    <row r="469" spans="1:13">
      <c r="A469" s="346">
        <v>42284</v>
      </c>
      <c r="B469">
        <v>16.719999000000001</v>
      </c>
      <c r="C469">
        <v>17.829999999999998</v>
      </c>
      <c r="D469">
        <v>16.700001</v>
      </c>
      <c r="E469">
        <v>17.709999</v>
      </c>
      <c r="F469">
        <v>17.709999</v>
      </c>
      <c r="G469">
        <v>465400</v>
      </c>
      <c r="I469" s="346">
        <v>42284</v>
      </c>
      <c r="J469">
        <v>20.290001</v>
      </c>
      <c r="K469">
        <v>20.469999000000001</v>
      </c>
      <c r="L469">
        <v>20.25</v>
      </c>
      <c r="M469">
        <v>20.469999000000001</v>
      </c>
    </row>
    <row r="470" spans="1:13">
      <c r="A470" s="346">
        <v>42285</v>
      </c>
      <c r="B470">
        <v>17.719999000000001</v>
      </c>
      <c r="C470">
        <v>18.309999000000001</v>
      </c>
      <c r="D470">
        <v>17.610001</v>
      </c>
      <c r="E470">
        <v>18.260000000000002</v>
      </c>
      <c r="F470">
        <v>18.260000000000002</v>
      </c>
      <c r="G470">
        <v>336400</v>
      </c>
      <c r="I470" s="346">
        <v>42285</v>
      </c>
      <c r="J470">
        <v>20.469999000000001</v>
      </c>
      <c r="K470">
        <v>20.65</v>
      </c>
      <c r="L470">
        <v>20.420000000000002</v>
      </c>
      <c r="M470">
        <v>20.629999000000002</v>
      </c>
    </row>
    <row r="471" spans="1:13">
      <c r="A471" s="346">
        <v>42286</v>
      </c>
      <c r="B471">
        <v>18.450001</v>
      </c>
      <c r="C471">
        <v>19.18</v>
      </c>
      <c r="D471">
        <v>18.350000000000001</v>
      </c>
      <c r="E471">
        <v>19.09</v>
      </c>
      <c r="F471">
        <v>19.09</v>
      </c>
      <c r="G471">
        <v>519000</v>
      </c>
      <c r="I471" s="346">
        <v>42286</v>
      </c>
      <c r="J471">
        <v>20.700001</v>
      </c>
      <c r="K471">
        <v>20.74</v>
      </c>
      <c r="L471">
        <v>20.559999000000001</v>
      </c>
      <c r="M471">
        <v>20.6</v>
      </c>
    </row>
    <row r="472" spans="1:13">
      <c r="A472" s="346">
        <v>42290</v>
      </c>
      <c r="B472">
        <v>18.870000999999998</v>
      </c>
      <c r="C472">
        <v>18.93</v>
      </c>
      <c r="D472">
        <v>18.389999</v>
      </c>
      <c r="E472">
        <v>18.670000000000002</v>
      </c>
      <c r="F472">
        <v>18.670000000000002</v>
      </c>
      <c r="G472">
        <v>428300</v>
      </c>
      <c r="I472" s="346">
        <v>42290</v>
      </c>
      <c r="J472">
        <v>20.49</v>
      </c>
      <c r="K472">
        <v>20.57</v>
      </c>
      <c r="L472">
        <v>20.389999</v>
      </c>
      <c r="M472">
        <v>20.420000000000002</v>
      </c>
    </row>
    <row r="473" spans="1:13">
      <c r="A473" s="346">
        <v>42291</v>
      </c>
      <c r="B473">
        <v>18.600000000000001</v>
      </c>
      <c r="C473">
        <v>18.799999</v>
      </c>
      <c r="D473">
        <v>18.18</v>
      </c>
      <c r="E473">
        <v>18.41</v>
      </c>
      <c r="F473">
        <v>18.41</v>
      </c>
      <c r="G473">
        <v>394600</v>
      </c>
      <c r="I473" s="346">
        <v>42291</v>
      </c>
      <c r="J473">
        <v>20.450001</v>
      </c>
      <c r="K473">
        <v>20.610001</v>
      </c>
      <c r="L473">
        <v>20.450001</v>
      </c>
      <c r="M473">
        <v>20.469999000000001</v>
      </c>
    </row>
    <row r="474" spans="1:13">
      <c r="A474" s="346">
        <v>42292</v>
      </c>
      <c r="B474">
        <v>18.559999000000001</v>
      </c>
      <c r="C474">
        <v>18.84</v>
      </c>
      <c r="D474">
        <v>18.350000000000001</v>
      </c>
      <c r="E474">
        <v>18.469999000000001</v>
      </c>
      <c r="F474">
        <v>18.469999000000001</v>
      </c>
      <c r="G474">
        <v>251800</v>
      </c>
      <c r="I474" s="346">
        <v>42292</v>
      </c>
      <c r="J474">
        <v>20.450001</v>
      </c>
      <c r="K474">
        <v>20.48</v>
      </c>
      <c r="L474">
        <v>20.309999000000001</v>
      </c>
      <c r="M474">
        <v>20.399999999999999</v>
      </c>
    </row>
    <row r="475" spans="1:13">
      <c r="A475" s="346">
        <v>42293</v>
      </c>
      <c r="B475">
        <v>18.670000000000002</v>
      </c>
      <c r="C475">
        <v>18.790001</v>
      </c>
      <c r="D475">
        <v>18.02</v>
      </c>
      <c r="E475">
        <v>18.23</v>
      </c>
      <c r="F475">
        <v>18.23</v>
      </c>
      <c r="G475">
        <v>185000</v>
      </c>
      <c r="I475" s="346">
        <v>42293</v>
      </c>
      <c r="J475">
        <v>20.51</v>
      </c>
      <c r="K475">
        <v>20.59</v>
      </c>
      <c r="L475">
        <v>20.469999000000001</v>
      </c>
      <c r="M475">
        <v>20.5</v>
      </c>
    </row>
    <row r="476" spans="1:13">
      <c r="A476" s="346">
        <v>42296</v>
      </c>
      <c r="B476">
        <v>18.18</v>
      </c>
      <c r="C476">
        <v>18.18</v>
      </c>
      <c r="D476">
        <v>17.77</v>
      </c>
      <c r="E476">
        <v>17.93</v>
      </c>
      <c r="F476">
        <v>17.93</v>
      </c>
      <c r="G476">
        <v>283200</v>
      </c>
      <c r="I476" s="346">
        <v>42296</v>
      </c>
      <c r="J476">
        <v>20.370000999999998</v>
      </c>
      <c r="K476">
        <v>20.469999000000001</v>
      </c>
      <c r="L476">
        <v>20.299999</v>
      </c>
      <c r="M476">
        <v>20.360001</v>
      </c>
    </row>
    <row r="477" spans="1:13">
      <c r="A477" s="346">
        <v>42297</v>
      </c>
      <c r="B477">
        <v>17.940000999999999</v>
      </c>
      <c r="C477">
        <v>18.459999</v>
      </c>
      <c r="D477">
        <v>17.709999</v>
      </c>
      <c r="E477">
        <v>18.07</v>
      </c>
      <c r="F477">
        <v>18.07</v>
      </c>
      <c r="G477">
        <v>180800</v>
      </c>
      <c r="I477" s="346">
        <v>42297</v>
      </c>
      <c r="J477">
        <v>20.379999000000002</v>
      </c>
      <c r="K477">
        <v>20.57</v>
      </c>
      <c r="L477">
        <v>20.32</v>
      </c>
      <c r="M477">
        <v>20.459999</v>
      </c>
    </row>
    <row r="478" spans="1:13">
      <c r="A478" s="346">
        <v>42298</v>
      </c>
      <c r="B478">
        <v>18.219999000000001</v>
      </c>
      <c r="C478">
        <v>18.219999000000001</v>
      </c>
      <c r="D478">
        <v>18.219999000000001</v>
      </c>
      <c r="E478">
        <v>18.219999000000001</v>
      </c>
      <c r="F478">
        <v>18.219999000000001</v>
      </c>
      <c r="G478">
        <v>0</v>
      </c>
      <c r="I478" s="346">
        <v>42298</v>
      </c>
      <c r="J478">
        <v>20.280000999999999</v>
      </c>
      <c r="K478">
        <v>20.280000999999999</v>
      </c>
      <c r="L478">
        <v>20.280000999999999</v>
      </c>
      <c r="M478">
        <v>20.280000999999999</v>
      </c>
    </row>
    <row r="479" spans="1:13">
      <c r="A479" s="346">
        <v>42299</v>
      </c>
      <c r="B479">
        <v>18.139999</v>
      </c>
      <c r="C479">
        <v>18.690000999999999</v>
      </c>
      <c r="D479">
        <v>18.030000999999999</v>
      </c>
      <c r="E479">
        <v>18.629999000000002</v>
      </c>
      <c r="F479">
        <v>18.629999000000002</v>
      </c>
      <c r="G479">
        <v>190300</v>
      </c>
      <c r="I479" s="346">
        <v>42299</v>
      </c>
      <c r="J479">
        <v>20.309999000000001</v>
      </c>
      <c r="K479">
        <v>20.559999000000001</v>
      </c>
      <c r="L479">
        <v>20.309999000000001</v>
      </c>
      <c r="M479">
        <v>20.540001</v>
      </c>
    </row>
    <row r="480" spans="1:13">
      <c r="A480" s="346">
        <v>42300</v>
      </c>
      <c r="B480">
        <v>18.799999</v>
      </c>
      <c r="C480">
        <v>19.200001</v>
      </c>
      <c r="D480">
        <v>18.649999999999999</v>
      </c>
      <c r="E480">
        <v>18.940000999999999</v>
      </c>
      <c r="F480">
        <v>18.940000999999999</v>
      </c>
      <c r="G480">
        <v>336100</v>
      </c>
      <c r="I480" s="346">
        <v>42300</v>
      </c>
      <c r="J480">
        <v>20.75</v>
      </c>
      <c r="K480">
        <v>20.75</v>
      </c>
      <c r="L480">
        <v>20.610001</v>
      </c>
      <c r="M480">
        <v>20.67</v>
      </c>
    </row>
    <row r="481" spans="1:13">
      <c r="A481" s="346">
        <v>42303</v>
      </c>
      <c r="B481">
        <v>18.940000999999999</v>
      </c>
      <c r="C481">
        <v>19.030000999999999</v>
      </c>
      <c r="D481">
        <v>18.670000000000002</v>
      </c>
      <c r="E481">
        <v>18.790001</v>
      </c>
      <c r="F481">
        <v>18.790001</v>
      </c>
      <c r="G481">
        <v>196200</v>
      </c>
      <c r="I481" s="346">
        <v>42303</v>
      </c>
      <c r="J481">
        <v>20.66</v>
      </c>
      <c r="K481">
        <v>20.66</v>
      </c>
      <c r="L481">
        <v>20.440000999999999</v>
      </c>
      <c r="M481">
        <v>20.459999</v>
      </c>
    </row>
    <row r="482" spans="1:13">
      <c r="A482" s="346">
        <v>42304</v>
      </c>
      <c r="B482">
        <v>18.700001</v>
      </c>
      <c r="C482">
        <v>18.700001</v>
      </c>
      <c r="D482">
        <v>18.040001</v>
      </c>
      <c r="E482">
        <v>18.149999999999999</v>
      </c>
      <c r="F482">
        <v>18.149999999999999</v>
      </c>
      <c r="G482">
        <v>197500</v>
      </c>
      <c r="I482" s="346">
        <v>42304</v>
      </c>
      <c r="J482">
        <v>20.370000999999998</v>
      </c>
      <c r="K482">
        <v>20.469999000000001</v>
      </c>
      <c r="L482">
        <v>20.290001</v>
      </c>
      <c r="M482">
        <v>20.350000000000001</v>
      </c>
    </row>
    <row r="483" spans="1:13">
      <c r="A483" s="346">
        <v>42305</v>
      </c>
      <c r="B483">
        <v>18.329999999999998</v>
      </c>
      <c r="C483">
        <v>18.799999</v>
      </c>
      <c r="D483">
        <v>18.030000999999999</v>
      </c>
      <c r="E483">
        <v>18.620000999999998</v>
      </c>
      <c r="F483">
        <v>18.620000999999998</v>
      </c>
      <c r="G483">
        <v>296600</v>
      </c>
      <c r="I483" s="346">
        <v>42305</v>
      </c>
      <c r="J483">
        <v>20.420000000000002</v>
      </c>
      <c r="K483">
        <v>20.66</v>
      </c>
      <c r="L483">
        <v>20.41</v>
      </c>
      <c r="M483">
        <v>20.639999</v>
      </c>
    </row>
    <row r="484" spans="1:13">
      <c r="A484" s="346">
        <v>42306</v>
      </c>
      <c r="B484">
        <v>18.41</v>
      </c>
      <c r="C484">
        <v>19.399999999999999</v>
      </c>
      <c r="D484">
        <v>18.260000000000002</v>
      </c>
      <c r="E484">
        <v>19</v>
      </c>
      <c r="F484">
        <v>19</v>
      </c>
      <c r="G484">
        <v>353000</v>
      </c>
      <c r="I484" s="346">
        <v>42306</v>
      </c>
      <c r="J484">
        <v>20.540001</v>
      </c>
      <c r="K484">
        <v>20.639999</v>
      </c>
      <c r="L484">
        <v>20.49</v>
      </c>
      <c r="M484">
        <v>20.5</v>
      </c>
    </row>
    <row r="485" spans="1:13">
      <c r="A485" s="346">
        <v>42307</v>
      </c>
      <c r="B485">
        <v>19.010000000000002</v>
      </c>
      <c r="C485">
        <v>19.010000000000002</v>
      </c>
      <c r="D485">
        <v>18.34</v>
      </c>
      <c r="E485">
        <v>18.5</v>
      </c>
      <c r="F485">
        <v>18.5</v>
      </c>
      <c r="G485">
        <v>385300</v>
      </c>
      <c r="I485" s="346">
        <v>42307</v>
      </c>
      <c r="J485">
        <v>20.469999000000001</v>
      </c>
      <c r="K485">
        <v>20.469999000000001</v>
      </c>
      <c r="L485">
        <v>20</v>
      </c>
      <c r="M485">
        <v>20.010000000000002</v>
      </c>
    </row>
    <row r="486" spans="1:13">
      <c r="A486" s="346">
        <v>42310</v>
      </c>
      <c r="B486">
        <v>18.600000000000001</v>
      </c>
      <c r="C486">
        <v>18.879999000000002</v>
      </c>
      <c r="D486">
        <v>18.25</v>
      </c>
      <c r="E486">
        <v>18.75</v>
      </c>
      <c r="F486">
        <v>18.75</v>
      </c>
      <c r="G486">
        <v>324800</v>
      </c>
      <c r="I486" s="346">
        <v>42310</v>
      </c>
      <c r="J486">
        <v>20.02</v>
      </c>
      <c r="K486">
        <v>20.190000999999999</v>
      </c>
      <c r="L486">
        <v>20</v>
      </c>
      <c r="M486">
        <v>20.16</v>
      </c>
    </row>
    <row r="487" spans="1:13">
      <c r="A487" s="346">
        <v>42311</v>
      </c>
      <c r="B487">
        <v>18.809999000000001</v>
      </c>
      <c r="C487">
        <v>18.989999999999998</v>
      </c>
      <c r="D487">
        <v>18.57</v>
      </c>
      <c r="E487">
        <v>18.73</v>
      </c>
      <c r="F487">
        <v>18.73</v>
      </c>
      <c r="G487">
        <v>284500</v>
      </c>
      <c r="I487" s="346">
        <v>42311</v>
      </c>
      <c r="J487">
        <v>20.18</v>
      </c>
      <c r="K487">
        <v>20.34</v>
      </c>
      <c r="L487">
        <v>20.129999000000002</v>
      </c>
      <c r="M487">
        <v>20.290001</v>
      </c>
    </row>
    <row r="488" spans="1:13">
      <c r="A488" s="346">
        <v>42312</v>
      </c>
      <c r="B488">
        <v>18.780000999999999</v>
      </c>
      <c r="C488">
        <v>19.139999</v>
      </c>
      <c r="D488">
        <v>18.170000000000002</v>
      </c>
      <c r="E488">
        <v>18.610001</v>
      </c>
      <c r="F488">
        <v>18.610001</v>
      </c>
      <c r="G488">
        <v>429900</v>
      </c>
      <c r="I488" s="346">
        <v>42312</v>
      </c>
      <c r="J488">
        <v>20.379999000000002</v>
      </c>
      <c r="K488">
        <v>20.420000000000002</v>
      </c>
      <c r="L488">
        <v>20.200001</v>
      </c>
      <c r="M488">
        <v>20.219999000000001</v>
      </c>
    </row>
    <row r="489" spans="1:13">
      <c r="A489" s="346">
        <v>42313</v>
      </c>
      <c r="B489">
        <v>18.600000000000001</v>
      </c>
      <c r="C489">
        <v>18.969999000000001</v>
      </c>
      <c r="D489">
        <v>18.07</v>
      </c>
      <c r="E489">
        <v>18.91</v>
      </c>
      <c r="F489">
        <v>18.91</v>
      </c>
      <c r="G489">
        <v>285700</v>
      </c>
      <c r="I489" s="346">
        <v>42313</v>
      </c>
      <c r="J489">
        <v>20.219999000000001</v>
      </c>
      <c r="K489">
        <v>20.239999999999998</v>
      </c>
      <c r="L489">
        <v>20.010000000000002</v>
      </c>
      <c r="M489">
        <v>20.040001</v>
      </c>
    </row>
    <row r="490" spans="1:13">
      <c r="A490" s="346">
        <v>42314</v>
      </c>
      <c r="B490">
        <v>18.760000000000002</v>
      </c>
      <c r="C490">
        <v>18.98</v>
      </c>
      <c r="D490">
        <v>18.5</v>
      </c>
      <c r="E490">
        <v>18.700001</v>
      </c>
      <c r="F490">
        <v>18.700001</v>
      </c>
      <c r="G490">
        <v>320900</v>
      </c>
      <c r="I490" s="346">
        <v>42314</v>
      </c>
      <c r="J490">
        <v>20.040001</v>
      </c>
      <c r="K490">
        <v>20.100000000000001</v>
      </c>
      <c r="L490">
        <v>19.920000000000002</v>
      </c>
      <c r="M490">
        <v>20.049999</v>
      </c>
    </row>
    <row r="491" spans="1:13">
      <c r="A491" s="346">
        <v>42317</v>
      </c>
      <c r="B491">
        <v>18.629999000000002</v>
      </c>
      <c r="C491">
        <v>18.719999000000001</v>
      </c>
      <c r="D491">
        <v>18.040001</v>
      </c>
      <c r="E491">
        <v>18.379999000000002</v>
      </c>
      <c r="F491">
        <v>18.379999000000002</v>
      </c>
      <c r="G491">
        <v>194300</v>
      </c>
      <c r="I491" s="346">
        <v>42317</v>
      </c>
      <c r="J491">
        <v>20.049999</v>
      </c>
      <c r="K491">
        <v>20.049999</v>
      </c>
      <c r="L491">
        <v>19.760000000000002</v>
      </c>
      <c r="M491">
        <v>19.93</v>
      </c>
    </row>
    <row r="492" spans="1:13">
      <c r="A492" s="346">
        <v>42318</v>
      </c>
      <c r="B492">
        <v>18.370000999999998</v>
      </c>
      <c r="C492">
        <v>18.639999</v>
      </c>
      <c r="D492">
        <v>18.110001</v>
      </c>
      <c r="E492">
        <v>18.43</v>
      </c>
      <c r="F492">
        <v>18.43</v>
      </c>
      <c r="G492">
        <v>211300</v>
      </c>
      <c r="I492" s="346">
        <v>42318</v>
      </c>
      <c r="J492">
        <v>19.850000000000001</v>
      </c>
      <c r="K492">
        <v>19.860001</v>
      </c>
      <c r="L492">
        <v>19.700001</v>
      </c>
      <c r="M492">
        <v>19.84</v>
      </c>
    </row>
    <row r="493" spans="1:13">
      <c r="A493" s="346">
        <v>42319</v>
      </c>
      <c r="B493">
        <v>18.43</v>
      </c>
      <c r="C493">
        <v>18.969999000000001</v>
      </c>
      <c r="D493">
        <v>18.379999000000002</v>
      </c>
      <c r="E493">
        <v>18.399999999999999</v>
      </c>
      <c r="F493">
        <v>18.399999999999999</v>
      </c>
      <c r="G493">
        <v>241000</v>
      </c>
      <c r="I493" s="346">
        <v>42319</v>
      </c>
      <c r="J493">
        <v>19.850000000000001</v>
      </c>
      <c r="K493">
        <v>19.870000999999998</v>
      </c>
      <c r="L493">
        <v>19.700001</v>
      </c>
      <c r="M493">
        <v>19.739999999999998</v>
      </c>
    </row>
    <row r="494" spans="1:13">
      <c r="A494" s="346">
        <v>42320</v>
      </c>
      <c r="B494">
        <v>18.23</v>
      </c>
      <c r="C494">
        <v>18.52</v>
      </c>
      <c r="D494">
        <v>17.809999000000001</v>
      </c>
      <c r="E494">
        <v>18.25</v>
      </c>
      <c r="F494">
        <v>18.25</v>
      </c>
      <c r="G494">
        <v>280600</v>
      </c>
      <c r="I494" s="346">
        <v>42320</v>
      </c>
      <c r="J494">
        <v>19.620000999999998</v>
      </c>
      <c r="K494">
        <v>19.620000999999998</v>
      </c>
      <c r="L494">
        <v>19.41</v>
      </c>
      <c r="M494">
        <v>19.420000000000002</v>
      </c>
    </row>
    <row r="495" spans="1:13">
      <c r="A495" s="346">
        <v>42321</v>
      </c>
      <c r="B495">
        <v>18.200001</v>
      </c>
      <c r="C495">
        <v>18.649999999999999</v>
      </c>
      <c r="D495">
        <v>17.870000999999998</v>
      </c>
      <c r="E495">
        <v>18.25</v>
      </c>
      <c r="F495">
        <v>18.25</v>
      </c>
      <c r="G495">
        <v>172400</v>
      </c>
      <c r="I495" s="346">
        <v>42321</v>
      </c>
      <c r="J495">
        <v>19.399999999999999</v>
      </c>
      <c r="K495">
        <v>19.459999</v>
      </c>
      <c r="L495">
        <v>19.280000999999999</v>
      </c>
      <c r="M495">
        <v>19.329999999999998</v>
      </c>
    </row>
    <row r="496" spans="1:13">
      <c r="A496" s="346">
        <v>42324</v>
      </c>
      <c r="B496">
        <v>18.329999999999998</v>
      </c>
      <c r="C496">
        <v>18.610001</v>
      </c>
      <c r="D496">
        <v>17.93</v>
      </c>
      <c r="E496">
        <v>18.41</v>
      </c>
      <c r="F496">
        <v>18.41</v>
      </c>
      <c r="G496">
        <v>130700</v>
      </c>
      <c r="I496" s="346">
        <v>42324</v>
      </c>
      <c r="J496">
        <v>19.309999000000001</v>
      </c>
      <c r="K496">
        <v>19.690000999999999</v>
      </c>
      <c r="L496">
        <v>19.309999000000001</v>
      </c>
      <c r="M496">
        <v>19.690000999999999</v>
      </c>
    </row>
    <row r="497" spans="1:13">
      <c r="A497" s="346">
        <v>42325</v>
      </c>
      <c r="B497">
        <v>18.420000000000002</v>
      </c>
      <c r="C497">
        <v>18.450001</v>
      </c>
      <c r="D497">
        <v>17.989999999999998</v>
      </c>
      <c r="E497">
        <v>18.07</v>
      </c>
      <c r="F497">
        <v>18.07</v>
      </c>
      <c r="G497">
        <v>322000</v>
      </c>
      <c r="I497" s="346">
        <v>42325</v>
      </c>
      <c r="J497">
        <v>19.73</v>
      </c>
      <c r="K497">
        <v>19.809999000000001</v>
      </c>
      <c r="L497">
        <v>19.600000000000001</v>
      </c>
      <c r="M497">
        <v>19.649999999999999</v>
      </c>
    </row>
    <row r="498" spans="1:13">
      <c r="A498" s="346">
        <v>42326</v>
      </c>
      <c r="B498">
        <v>18.139999</v>
      </c>
      <c r="C498">
        <v>18.68</v>
      </c>
      <c r="D498">
        <v>18.09</v>
      </c>
      <c r="E498">
        <v>18.579999999999998</v>
      </c>
      <c r="F498">
        <v>18.579999999999998</v>
      </c>
      <c r="G498">
        <v>315100</v>
      </c>
      <c r="I498" s="346">
        <v>42326</v>
      </c>
      <c r="J498">
        <v>19.73</v>
      </c>
      <c r="K498">
        <v>19.879999000000002</v>
      </c>
      <c r="L498">
        <v>19.73</v>
      </c>
      <c r="M498">
        <v>19.84</v>
      </c>
    </row>
    <row r="499" spans="1:13">
      <c r="A499" s="346">
        <v>42327</v>
      </c>
      <c r="B499">
        <v>18.510000000000002</v>
      </c>
      <c r="C499">
        <v>19.600000000000001</v>
      </c>
      <c r="D499">
        <v>18.510000000000002</v>
      </c>
      <c r="E499">
        <v>19.379999000000002</v>
      </c>
      <c r="F499">
        <v>19.379999000000002</v>
      </c>
      <c r="G499">
        <v>616300</v>
      </c>
      <c r="I499" s="346">
        <v>42327</v>
      </c>
      <c r="J499">
        <v>19.850000000000001</v>
      </c>
      <c r="K499">
        <v>20</v>
      </c>
      <c r="L499">
        <v>19.829999999999998</v>
      </c>
      <c r="M499">
        <v>20</v>
      </c>
    </row>
    <row r="500" spans="1:13">
      <c r="A500" s="346">
        <v>42328</v>
      </c>
      <c r="B500">
        <v>19.559999000000001</v>
      </c>
      <c r="C500">
        <v>19.93</v>
      </c>
      <c r="D500">
        <v>19.370000999999998</v>
      </c>
      <c r="E500">
        <v>19.48</v>
      </c>
      <c r="F500">
        <v>19.48</v>
      </c>
      <c r="G500">
        <v>378200</v>
      </c>
      <c r="I500" s="346">
        <v>42328</v>
      </c>
      <c r="J500">
        <v>20.100000000000001</v>
      </c>
      <c r="K500">
        <v>20.100000000000001</v>
      </c>
      <c r="L500">
        <v>19.920000000000002</v>
      </c>
      <c r="M500">
        <v>19.950001</v>
      </c>
    </row>
    <row r="501" spans="1:13">
      <c r="A501" s="346">
        <v>42331</v>
      </c>
      <c r="B501">
        <v>19.41</v>
      </c>
      <c r="C501">
        <v>20.18</v>
      </c>
      <c r="D501">
        <v>19.360001</v>
      </c>
      <c r="E501">
        <v>19.760000000000002</v>
      </c>
      <c r="F501">
        <v>19.760000000000002</v>
      </c>
      <c r="G501">
        <v>491400</v>
      </c>
      <c r="I501" s="346">
        <v>42331</v>
      </c>
      <c r="J501">
        <v>19.940000999999999</v>
      </c>
      <c r="K501">
        <v>20.07</v>
      </c>
      <c r="L501">
        <v>19.829999999999998</v>
      </c>
      <c r="M501">
        <v>19.84</v>
      </c>
    </row>
    <row r="502" spans="1:13">
      <c r="A502" s="346">
        <v>42332</v>
      </c>
      <c r="B502">
        <v>19.709999</v>
      </c>
      <c r="C502">
        <v>20.23</v>
      </c>
      <c r="D502">
        <v>19.5</v>
      </c>
      <c r="E502">
        <v>19.899999999999999</v>
      </c>
      <c r="F502">
        <v>19.899999999999999</v>
      </c>
      <c r="G502">
        <v>365300</v>
      </c>
      <c r="I502" s="346">
        <v>42332</v>
      </c>
      <c r="J502">
        <v>19.790001</v>
      </c>
      <c r="K502">
        <v>19.969999000000001</v>
      </c>
      <c r="L502">
        <v>19.790001</v>
      </c>
      <c r="M502">
        <v>19.879999000000002</v>
      </c>
    </row>
    <row r="503" spans="1:13">
      <c r="A503" s="346">
        <v>42333</v>
      </c>
      <c r="B503">
        <v>19.860001</v>
      </c>
      <c r="C503">
        <v>20.540001</v>
      </c>
      <c r="D503">
        <v>19.860001</v>
      </c>
      <c r="E503">
        <v>20.440000999999999</v>
      </c>
      <c r="F503">
        <v>20.440000999999999</v>
      </c>
      <c r="G503">
        <v>266600</v>
      </c>
      <c r="I503" s="346">
        <v>42333</v>
      </c>
      <c r="J503">
        <v>19.91</v>
      </c>
      <c r="K503">
        <v>19.989999999999998</v>
      </c>
      <c r="L503">
        <v>19.82</v>
      </c>
      <c r="M503">
        <v>19.870000999999998</v>
      </c>
    </row>
    <row r="504" spans="1:13">
      <c r="A504" s="346">
        <v>42334</v>
      </c>
      <c r="B504">
        <v>20.74</v>
      </c>
      <c r="C504">
        <v>21.01</v>
      </c>
      <c r="D504">
        <v>20.420000000000002</v>
      </c>
      <c r="E504">
        <v>20.889999</v>
      </c>
      <c r="F504">
        <v>20.889999</v>
      </c>
      <c r="G504">
        <v>94600</v>
      </c>
      <c r="I504" s="346">
        <v>42334</v>
      </c>
      <c r="J504">
        <v>19.899999999999999</v>
      </c>
      <c r="K504">
        <v>19.950001</v>
      </c>
      <c r="L504">
        <v>19.860001</v>
      </c>
      <c r="M504">
        <v>19.91</v>
      </c>
    </row>
    <row r="505" spans="1:13">
      <c r="A505" s="346">
        <v>42335</v>
      </c>
      <c r="B505">
        <v>20.860001</v>
      </c>
      <c r="C505">
        <v>20.940000999999999</v>
      </c>
      <c r="D505">
        <v>20.51</v>
      </c>
      <c r="E505">
        <v>20.719999000000001</v>
      </c>
      <c r="F505">
        <v>20.719999000000001</v>
      </c>
      <c r="G505">
        <v>149100</v>
      </c>
      <c r="I505" s="346">
        <v>42335</v>
      </c>
      <c r="J505">
        <v>19.879999000000002</v>
      </c>
      <c r="K505">
        <v>19.91</v>
      </c>
      <c r="L505">
        <v>19.790001</v>
      </c>
      <c r="M505">
        <v>19.82</v>
      </c>
    </row>
    <row r="506" spans="1:13">
      <c r="A506" s="346">
        <v>42338</v>
      </c>
      <c r="B506">
        <v>20.76</v>
      </c>
      <c r="C506">
        <v>21.139999</v>
      </c>
      <c r="D506">
        <v>20.76</v>
      </c>
      <c r="E506">
        <v>20.83</v>
      </c>
      <c r="F506">
        <v>20.83</v>
      </c>
      <c r="G506">
        <v>251700</v>
      </c>
      <c r="I506" s="346">
        <v>42338</v>
      </c>
      <c r="J506">
        <v>19.870000999999998</v>
      </c>
      <c r="K506">
        <v>20.040001</v>
      </c>
      <c r="L506">
        <v>19.860001</v>
      </c>
      <c r="M506">
        <v>19.98</v>
      </c>
    </row>
    <row r="507" spans="1:13">
      <c r="A507" s="346">
        <v>42339</v>
      </c>
      <c r="B507">
        <v>20.9</v>
      </c>
      <c r="C507">
        <v>21.190000999999999</v>
      </c>
      <c r="D507">
        <v>20.68</v>
      </c>
      <c r="E507">
        <v>20.9</v>
      </c>
      <c r="F507">
        <v>20.9</v>
      </c>
      <c r="G507">
        <v>250100</v>
      </c>
      <c r="I507" s="346">
        <v>42339</v>
      </c>
      <c r="J507">
        <v>20.049999</v>
      </c>
      <c r="K507">
        <v>20.309999000000001</v>
      </c>
      <c r="L507">
        <v>20.010000000000002</v>
      </c>
      <c r="M507">
        <v>20.280000999999999</v>
      </c>
    </row>
    <row r="508" spans="1:13">
      <c r="A508" s="346">
        <v>42340</v>
      </c>
      <c r="B508">
        <v>20.889999</v>
      </c>
      <c r="C508">
        <v>21</v>
      </c>
      <c r="D508">
        <v>19.93</v>
      </c>
      <c r="E508">
        <v>20.129999000000002</v>
      </c>
      <c r="F508">
        <v>20.129999000000002</v>
      </c>
      <c r="G508">
        <v>198200</v>
      </c>
      <c r="I508" s="346">
        <v>42340</v>
      </c>
      <c r="J508">
        <v>20.27</v>
      </c>
      <c r="K508">
        <v>20.280000999999999</v>
      </c>
      <c r="L508">
        <v>19.989999999999998</v>
      </c>
      <c r="M508">
        <v>20.02</v>
      </c>
    </row>
    <row r="509" spans="1:13">
      <c r="A509" s="346">
        <v>42341</v>
      </c>
      <c r="B509">
        <v>20.209999</v>
      </c>
      <c r="C509">
        <v>20.450001</v>
      </c>
      <c r="D509">
        <v>19.57</v>
      </c>
      <c r="E509">
        <v>19.73</v>
      </c>
      <c r="F509">
        <v>19.73</v>
      </c>
      <c r="G509">
        <v>290000</v>
      </c>
      <c r="I509" s="346">
        <v>42341</v>
      </c>
      <c r="J509">
        <v>20.129999000000002</v>
      </c>
      <c r="K509">
        <v>20.129999000000002</v>
      </c>
      <c r="L509">
        <v>19.73</v>
      </c>
      <c r="M509">
        <v>19.809999000000001</v>
      </c>
    </row>
    <row r="510" spans="1:13">
      <c r="A510" s="346">
        <v>42342</v>
      </c>
      <c r="B510">
        <v>19.73</v>
      </c>
      <c r="C510">
        <v>20.34</v>
      </c>
      <c r="D510">
        <v>19.579999999999998</v>
      </c>
      <c r="E510">
        <v>20.23</v>
      </c>
      <c r="F510">
        <v>20.23</v>
      </c>
      <c r="G510">
        <v>222800</v>
      </c>
      <c r="I510" s="346">
        <v>42342</v>
      </c>
      <c r="J510">
        <v>19.799999</v>
      </c>
      <c r="K510">
        <v>19.899999999999999</v>
      </c>
      <c r="L510">
        <v>19.73</v>
      </c>
      <c r="M510">
        <v>19.870000999999998</v>
      </c>
    </row>
    <row r="511" spans="1:13">
      <c r="A511" s="346">
        <v>42345</v>
      </c>
      <c r="B511">
        <v>20.260000000000002</v>
      </c>
      <c r="C511">
        <v>20.399999999999999</v>
      </c>
      <c r="D511">
        <v>19.48</v>
      </c>
      <c r="E511">
        <v>20.049999</v>
      </c>
      <c r="F511">
        <v>20.049999</v>
      </c>
      <c r="G511">
        <v>201800</v>
      </c>
      <c r="I511" s="346">
        <v>42345</v>
      </c>
      <c r="J511">
        <v>19.75</v>
      </c>
      <c r="K511">
        <v>19.77</v>
      </c>
      <c r="L511">
        <v>19.370000999999998</v>
      </c>
      <c r="M511">
        <v>19.399999999999999</v>
      </c>
    </row>
    <row r="512" spans="1:13">
      <c r="A512" s="346">
        <v>42346</v>
      </c>
      <c r="B512">
        <v>19.59</v>
      </c>
      <c r="C512">
        <v>20.110001</v>
      </c>
      <c r="D512">
        <v>19.360001</v>
      </c>
      <c r="E512">
        <v>19.600000000000001</v>
      </c>
      <c r="F512">
        <v>19.600000000000001</v>
      </c>
      <c r="G512">
        <v>413100</v>
      </c>
      <c r="I512" s="346">
        <v>42346</v>
      </c>
      <c r="J512">
        <v>19.25</v>
      </c>
      <c r="K512">
        <v>19.360001</v>
      </c>
      <c r="L512">
        <v>19.139999</v>
      </c>
      <c r="M512">
        <v>19.219999000000001</v>
      </c>
    </row>
    <row r="513" spans="1:13">
      <c r="A513" s="346">
        <v>42347</v>
      </c>
      <c r="B513">
        <v>19.540001</v>
      </c>
      <c r="C513">
        <v>19.950001</v>
      </c>
      <c r="D513">
        <v>18.739999999999998</v>
      </c>
      <c r="E513">
        <v>19.09</v>
      </c>
      <c r="F513">
        <v>19.09</v>
      </c>
      <c r="G513">
        <v>387800</v>
      </c>
      <c r="I513" s="346">
        <v>42347</v>
      </c>
      <c r="J513">
        <v>19.27</v>
      </c>
      <c r="K513">
        <v>19.559999000000001</v>
      </c>
      <c r="L513">
        <v>19.18</v>
      </c>
      <c r="M513">
        <v>19.280000999999999</v>
      </c>
    </row>
    <row r="514" spans="1:13">
      <c r="A514" s="346">
        <v>42348</v>
      </c>
      <c r="B514">
        <v>19.049999</v>
      </c>
      <c r="C514">
        <v>20.329999999999998</v>
      </c>
      <c r="D514">
        <v>19.049999</v>
      </c>
      <c r="E514">
        <v>20.16</v>
      </c>
      <c r="F514">
        <v>20.16</v>
      </c>
      <c r="G514">
        <v>418600</v>
      </c>
      <c r="I514" s="346">
        <v>42348</v>
      </c>
      <c r="J514">
        <v>19.239999999999998</v>
      </c>
      <c r="K514">
        <v>19.510000000000002</v>
      </c>
      <c r="L514">
        <v>19.209999</v>
      </c>
      <c r="M514">
        <v>19.379999000000002</v>
      </c>
    </row>
    <row r="515" spans="1:13">
      <c r="A515" s="346">
        <v>42349</v>
      </c>
      <c r="B515">
        <v>19.870000999999998</v>
      </c>
      <c r="C515">
        <v>20.059999000000001</v>
      </c>
      <c r="D515">
        <v>19.420000000000002</v>
      </c>
      <c r="E515">
        <v>19.489999999999998</v>
      </c>
      <c r="F515">
        <v>19.489999999999998</v>
      </c>
      <c r="G515">
        <v>221300</v>
      </c>
      <c r="I515" s="346">
        <v>42349</v>
      </c>
      <c r="J515">
        <v>19.209999</v>
      </c>
      <c r="K515">
        <v>19.239999999999998</v>
      </c>
      <c r="L515">
        <v>19.02</v>
      </c>
      <c r="M515">
        <v>19.030000999999999</v>
      </c>
    </row>
    <row r="516" spans="1:13">
      <c r="A516" s="346">
        <v>42352</v>
      </c>
      <c r="B516">
        <v>19.399999999999999</v>
      </c>
      <c r="C516">
        <v>19.450001</v>
      </c>
      <c r="D516">
        <v>18.440000999999999</v>
      </c>
      <c r="E516">
        <v>18.719999000000001</v>
      </c>
      <c r="F516">
        <v>18.719999000000001</v>
      </c>
      <c r="G516">
        <v>201400</v>
      </c>
      <c r="I516" s="346">
        <v>42352</v>
      </c>
      <c r="J516">
        <v>19.030000999999999</v>
      </c>
      <c r="K516">
        <v>19.079999999999998</v>
      </c>
      <c r="L516">
        <v>18.829999999999998</v>
      </c>
      <c r="M516">
        <v>18.950001</v>
      </c>
    </row>
    <row r="517" spans="1:13">
      <c r="A517" s="346">
        <v>42353</v>
      </c>
      <c r="B517">
        <v>18.829999999999998</v>
      </c>
      <c r="C517">
        <v>19.23</v>
      </c>
      <c r="D517">
        <v>18.579999999999998</v>
      </c>
      <c r="E517">
        <v>19.16</v>
      </c>
      <c r="F517">
        <v>19.16</v>
      </c>
      <c r="G517">
        <v>381100</v>
      </c>
      <c r="I517" s="346">
        <v>42353</v>
      </c>
      <c r="J517">
        <v>19.149999999999999</v>
      </c>
      <c r="K517">
        <v>19.329999999999998</v>
      </c>
      <c r="L517">
        <v>19.139999</v>
      </c>
      <c r="M517">
        <v>19.32</v>
      </c>
    </row>
    <row r="518" spans="1:13">
      <c r="A518" s="346">
        <v>42354</v>
      </c>
      <c r="B518">
        <v>19.32</v>
      </c>
      <c r="C518">
        <v>20.309999000000001</v>
      </c>
      <c r="D518">
        <v>19.309999000000001</v>
      </c>
      <c r="E518">
        <v>19.959999</v>
      </c>
      <c r="F518">
        <v>19.959999</v>
      </c>
      <c r="G518">
        <v>342600</v>
      </c>
      <c r="I518" s="346">
        <v>42354</v>
      </c>
      <c r="J518">
        <v>19.399999999999999</v>
      </c>
      <c r="K518">
        <v>19.719999000000001</v>
      </c>
      <c r="L518">
        <v>19.399999999999999</v>
      </c>
      <c r="M518">
        <v>19.690000999999999</v>
      </c>
    </row>
    <row r="519" spans="1:13">
      <c r="A519" s="346">
        <v>42355</v>
      </c>
      <c r="B519">
        <v>20.059999000000001</v>
      </c>
      <c r="C519">
        <v>20.459999</v>
      </c>
      <c r="D519">
        <v>19.620000999999998</v>
      </c>
      <c r="E519">
        <v>20.239999999999998</v>
      </c>
      <c r="F519">
        <v>20.239999999999998</v>
      </c>
      <c r="G519">
        <v>288800</v>
      </c>
      <c r="I519" s="346">
        <v>42355</v>
      </c>
      <c r="J519">
        <v>19.68</v>
      </c>
      <c r="K519">
        <v>19.68</v>
      </c>
      <c r="L519">
        <v>19.350000000000001</v>
      </c>
      <c r="M519">
        <v>19.399999999999999</v>
      </c>
    </row>
    <row r="520" spans="1:13">
      <c r="A520" s="346">
        <v>42356</v>
      </c>
      <c r="B520">
        <v>20.129999000000002</v>
      </c>
      <c r="C520">
        <v>20.83</v>
      </c>
      <c r="D520">
        <v>19.989999999999998</v>
      </c>
      <c r="E520">
        <v>20.58</v>
      </c>
      <c r="F520">
        <v>20.58</v>
      </c>
      <c r="G520">
        <v>500100</v>
      </c>
      <c r="I520" s="346">
        <v>42356</v>
      </c>
      <c r="J520">
        <v>19.350000000000001</v>
      </c>
      <c r="K520">
        <v>19.48</v>
      </c>
      <c r="L520">
        <v>19.329999999999998</v>
      </c>
      <c r="M520">
        <v>19.379999000000002</v>
      </c>
    </row>
    <row r="521" spans="1:13">
      <c r="A521" s="346">
        <v>42359</v>
      </c>
      <c r="B521">
        <v>20.780000999999999</v>
      </c>
      <c r="C521">
        <v>20.790001</v>
      </c>
      <c r="D521">
        <v>20.239999999999998</v>
      </c>
      <c r="E521">
        <v>20.459999</v>
      </c>
      <c r="F521">
        <v>20.459999</v>
      </c>
      <c r="G521">
        <v>258800</v>
      </c>
      <c r="I521" s="346">
        <v>42359</v>
      </c>
      <c r="J521">
        <v>19.489999999999998</v>
      </c>
      <c r="K521">
        <v>19.59</v>
      </c>
      <c r="L521">
        <v>19.34</v>
      </c>
      <c r="M521">
        <v>19.440000999999999</v>
      </c>
    </row>
    <row r="522" spans="1:13">
      <c r="A522" s="346">
        <v>42360</v>
      </c>
      <c r="B522">
        <v>20.59</v>
      </c>
      <c r="C522">
        <v>20.59</v>
      </c>
      <c r="D522">
        <v>20.120000999999998</v>
      </c>
      <c r="E522">
        <v>20.41</v>
      </c>
      <c r="F522">
        <v>20.41</v>
      </c>
      <c r="G522">
        <v>71500</v>
      </c>
      <c r="I522" s="346">
        <v>42360</v>
      </c>
      <c r="J522">
        <v>19.41</v>
      </c>
      <c r="K522">
        <v>19.530000999999999</v>
      </c>
      <c r="L522">
        <v>19.27</v>
      </c>
      <c r="M522">
        <v>19.489999999999998</v>
      </c>
    </row>
    <row r="523" spans="1:13">
      <c r="A523" s="346">
        <v>42361</v>
      </c>
      <c r="B523">
        <v>20.469999000000001</v>
      </c>
      <c r="C523">
        <v>20.950001</v>
      </c>
      <c r="D523">
        <v>20.399999999999999</v>
      </c>
      <c r="E523">
        <v>20.92</v>
      </c>
      <c r="F523">
        <v>20.92</v>
      </c>
      <c r="G523">
        <v>149300</v>
      </c>
      <c r="I523" s="346">
        <v>42361</v>
      </c>
      <c r="J523">
        <v>19.600000000000001</v>
      </c>
      <c r="K523">
        <v>19.82</v>
      </c>
      <c r="L523">
        <v>19.600000000000001</v>
      </c>
      <c r="M523">
        <v>19.82</v>
      </c>
    </row>
    <row r="524" spans="1:13">
      <c r="A524" s="346">
        <v>42362</v>
      </c>
      <c r="B524">
        <v>20.959999</v>
      </c>
      <c r="C524">
        <v>21.26</v>
      </c>
      <c r="D524">
        <v>20.82</v>
      </c>
      <c r="E524">
        <v>21.129999000000002</v>
      </c>
      <c r="F524">
        <v>21.129999000000002</v>
      </c>
      <c r="G524">
        <v>78200</v>
      </c>
      <c r="I524" s="346">
        <v>42362</v>
      </c>
      <c r="J524">
        <v>19.84</v>
      </c>
      <c r="K524">
        <v>19.920000000000002</v>
      </c>
      <c r="L524">
        <v>19.809999000000001</v>
      </c>
      <c r="M524">
        <v>19.84</v>
      </c>
    </row>
    <row r="525" spans="1:13">
      <c r="A525" s="346">
        <v>42367</v>
      </c>
      <c r="B525">
        <v>21.25</v>
      </c>
      <c r="C525">
        <v>21.25</v>
      </c>
      <c r="D525">
        <v>20.25</v>
      </c>
      <c r="E525">
        <v>20.5</v>
      </c>
      <c r="F525">
        <v>20.5</v>
      </c>
      <c r="G525">
        <v>178100</v>
      </c>
      <c r="I525" s="346">
        <v>42367</v>
      </c>
      <c r="J525">
        <v>19.739999999999998</v>
      </c>
      <c r="K525">
        <v>19.75</v>
      </c>
      <c r="L525">
        <v>19.510000000000002</v>
      </c>
      <c r="M525">
        <v>19.59</v>
      </c>
    </row>
    <row r="526" spans="1:13">
      <c r="A526" s="346">
        <v>42368</v>
      </c>
      <c r="B526">
        <v>20.6</v>
      </c>
      <c r="C526">
        <v>20.719999000000001</v>
      </c>
      <c r="D526">
        <v>20.100000000000001</v>
      </c>
      <c r="E526">
        <v>20.27</v>
      </c>
      <c r="F526">
        <v>20.27</v>
      </c>
      <c r="G526">
        <v>156000</v>
      </c>
      <c r="I526" s="346">
        <v>42368</v>
      </c>
      <c r="J526">
        <v>19.549999</v>
      </c>
      <c r="K526">
        <v>19.579999999999998</v>
      </c>
      <c r="L526">
        <v>19.389999</v>
      </c>
      <c r="M526">
        <v>19.43</v>
      </c>
    </row>
    <row r="527" spans="1:13">
      <c r="A527" s="346">
        <v>42369</v>
      </c>
      <c r="B527">
        <v>20.02</v>
      </c>
      <c r="C527">
        <v>20.399999999999999</v>
      </c>
      <c r="D527">
        <v>19.719999000000001</v>
      </c>
      <c r="E527">
        <v>20.190000999999999</v>
      </c>
      <c r="F527">
        <v>20.190000999999999</v>
      </c>
      <c r="G527">
        <v>168900</v>
      </c>
      <c r="I527" s="346">
        <v>42369</v>
      </c>
      <c r="J527">
        <v>19.309999000000001</v>
      </c>
      <c r="K527">
        <v>19.360001</v>
      </c>
      <c r="L527">
        <v>19.18</v>
      </c>
      <c r="M527">
        <v>19.219999000000001</v>
      </c>
    </row>
    <row r="528" spans="1:13">
      <c r="A528" s="346">
        <v>42373</v>
      </c>
      <c r="B528">
        <v>19.899999999999999</v>
      </c>
      <c r="C528">
        <v>20.379999000000002</v>
      </c>
      <c r="D528">
        <v>19.530000999999999</v>
      </c>
      <c r="E528">
        <v>20.25</v>
      </c>
      <c r="F528">
        <v>20.25</v>
      </c>
      <c r="G528">
        <v>237300</v>
      </c>
      <c r="I528" s="346">
        <v>42373</v>
      </c>
      <c r="J528">
        <v>19</v>
      </c>
      <c r="K528">
        <v>19.079999999999998</v>
      </c>
      <c r="L528">
        <v>18.799999</v>
      </c>
      <c r="M528">
        <v>19.079999999999998</v>
      </c>
    </row>
    <row r="529" spans="1:13">
      <c r="A529" s="346">
        <v>42374</v>
      </c>
      <c r="B529">
        <v>20.32</v>
      </c>
      <c r="C529">
        <v>20.32</v>
      </c>
      <c r="D529">
        <v>19.23</v>
      </c>
      <c r="E529">
        <v>19.540001</v>
      </c>
      <c r="F529">
        <v>19.540001</v>
      </c>
      <c r="G529">
        <v>204300</v>
      </c>
      <c r="I529" s="346">
        <v>42374</v>
      </c>
      <c r="J529">
        <v>19.079999999999998</v>
      </c>
      <c r="K529">
        <v>19.09</v>
      </c>
      <c r="L529">
        <v>18.920000000000002</v>
      </c>
      <c r="M529">
        <v>19.059999000000001</v>
      </c>
    </row>
    <row r="530" spans="1:13">
      <c r="A530" s="346">
        <v>42375</v>
      </c>
      <c r="B530">
        <v>19.260000000000002</v>
      </c>
      <c r="C530">
        <v>19.389999</v>
      </c>
      <c r="D530">
        <v>17.899999999999999</v>
      </c>
      <c r="E530">
        <v>17.989999999999998</v>
      </c>
      <c r="F530">
        <v>17.989999999999998</v>
      </c>
      <c r="G530">
        <v>421600</v>
      </c>
      <c r="I530" s="346">
        <v>42375</v>
      </c>
      <c r="J530">
        <v>18.799999</v>
      </c>
      <c r="K530">
        <v>18.950001</v>
      </c>
      <c r="L530">
        <v>18.739999999999998</v>
      </c>
      <c r="M530">
        <v>18.77</v>
      </c>
    </row>
    <row r="531" spans="1:13">
      <c r="A531" s="346">
        <v>42376</v>
      </c>
      <c r="B531">
        <v>17.290001</v>
      </c>
      <c r="C531">
        <v>17.459999</v>
      </c>
      <c r="D531">
        <v>16.399999999999999</v>
      </c>
      <c r="E531">
        <v>16.579999999999998</v>
      </c>
      <c r="F531">
        <v>16.579999999999998</v>
      </c>
      <c r="G531">
        <v>395700</v>
      </c>
      <c r="I531" s="346">
        <v>42376</v>
      </c>
      <c r="J531">
        <v>18.459999</v>
      </c>
      <c r="K531">
        <v>18.579999999999998</v>
      </c>
      <c r="L531">
        <v>18.360001</v>
      </c>
      <c r="M531">
        <v>18.360001</v>
      </c>
    </row>
    <row r="532" spans="1:13">
      <c r="A532" s="346">
        <v>42377</v>
      </c>
      <c r="B532">
        <v>16.719999000000001</v>
      </c>
      <c r="C532">
        <v>16.780000999999999</v>
      </c>
      <c r="D532">
        <v>16.030000999999999</v>
      </c>
      <c r="E532">
        <v>16.239999999999998</v>
      </c>
      <c r="F532">
        <v>16.239999999999998</v>
      </c>
      <c r="G532">
        <v>386000</v>
      </c>
      <c r="I532" s="346">
        <v>42377</v>
      </c>
      <c r="J532">
        <v>18.5</v>
      </c>
      <c r="K532">
        <v>18.510000000000002</v>
      </c>
      <c r="L532">
        <v>18.34</v>
      </c>
      <c r="M532">
        <v>18.360001</v>
      </c>
    </row>
    <row r="533" spans="1:13">
      <c r="A533" s="346">
        <v>42380</v>
      </c>
      <c r="B533">
        <v>15.14</v>
      </c>
      <c r="C533">
        <v>15.68</v>
      </c>
      <c r="D533">
        <v>14.96</v>
      </c>
      <c r="E533">
        <v>15.68</v>
      </c>
      <c r="F533">
        <v>15.68</v>
      </c>
      <c r="G533">
        <v>692300</v>
      </c>
      <c r="I533" s="346">
        <v>42380</v>
      </c>
      <c r="J533">
        <v>18.41</v>
      </c>
      <c r="K533">
        <v>18.420000000000002</v>
      </c>
      <c r="L533">
        <v>18.07</v>
      </c>
      <c r="M533">
        <v>18.200001</v>
      </c>
    </row>
    <row r="534" spans="1:13">
      <c r="A534" s="346">
        <v>42381</v>
      </c>
      <c r="B534">
        <v>15.79</v>
      </c>
      <c r="C534">
        <v>16.059999000000001</v>
      </c>
      <c r="D534">
        <v>14.01</v>
      </c>
      <c r="E534">
        <v>14.15</v>
      </c>
      <c r="F534">
        <v>14.15</v>
      </c>
      <c r="G534">
        <v>718800</v>
      </c>
      <c r="I534" s="346">
        <v>42381</v>
      </c>
      <c r="J534">
        <v>18.299999</v>
      </c>
      <c r="K534">
        <v>18.420000000000002</v>
      </c>
      <c r="L534">
        <v>18.059999000000001</v>
      </c>
      <c r="M534">
        <v>18.32</v>
      </c>
    </row>
    <row r="535" spans="1:13">
      <c r="A535" s="346">
        <v>42382</v>
      </c>
      <c r="B535">
        <v>14.33</v>
      </c>
      <c r="C535">
        <v>14.8</v>
      </c>
      <c r="D535">
        <v>13.82</v>
      </c>
      <c r="E535">
        <v>13.95</v>
      </c>
      <c r="F535">
        <v>13.95</v>
      </c>
      <c r="G535">
        <v>526000</v>
      </c>
      <c r="I535" s="346">
        <v>42382</v>
      </c>
      <c r="J535">
        <v>18.440000999999999</v>
      </c>
      <c r="K535">
        <v>18.510000000000002</v>
      </c>
      <c r="L535">
        <v>17.959999</v>
      </c>
      <c r="M535">
        <v>18</v>
      </c>
    </row>
    <row r="536" spans="1:13">
      <c r="A536" s="346">
        <v>42383</v>
      </c>
      <c r="B536">
        <v>13.93</v>
      </c>
      <c r="C536">
        <v>14.76</v>
      </c>
      <c r="D536">
        <v>13.76</v>
      </c>
      <c r="E536">
        <v>14.67</v>
      </c>
      <c r="F536">
        <v>14.67</v>
      </c>
      <c r="G536">
        <v>532000</v>
      </c>
      <c r="I536" s="346">
        <v>42383</v>
      </c>
      <c r="J536">
        <v>18.010000000000002</v>
      </c>
      <c r="K536">
        <v>18.32</v>
      </c>
      <c r="L536">
        <v>17.879999000000002</v>
      </c>
      <c r="M536">
        <v>18.27</v>
      </c>
    </row>
    <row r="537" spans="1:13">
      <c r="A537" s="346">
        <v>42384</v>
      </c>
      <c r="B537">
        <v>14.28</v>
      </c>
      <c r="C537">
        <v>14.36</v>
      </c>
      <c r="D537">
        <v>13.86</v>
      </c>
      <c r="E537">
        <v>14.11</v>
      </c>
      <c r="F537">
        <v>14.11</v>
      </c>
      <c r="G537">
        <v>353600</v>
      </c>
      <c r="I537" s="346">
        <v>42384</v>
      </c>
      <c r="J537">
        <v>17.739999999999998</v>
      </c>
      <c r="K537">
        <v>17.950001</v>
      </c>
      <c r="L537">
        <v>17.68</v>
      </c>
      <c r="M537">
        <v>17.850000000000001</v>
      </c>
    </row>
    <row r="538" spans="1:13">
      <c r="A538" s="346">
        <v>42387</v>
      </c>
      <c r="B538">
        <v>14.2</v>
      </c>
      <c r="C538">
        <v>14.2</v>
      </c>
      <c r="D538">
        <v>13.86</v>
      </c>
      <c r="E538">
        <v>14.04</v>
      </c>
      <c r="F538">
        <v>14.04</v>
      </c>
      <c r="G538">
        <v>61000</v>
      </c>
      <c r="I538" s="346">
        <v>42387</v>
      </c>
      <c r="J538">
        <v>17.77</v>
      </c>
      <c r="K538">
        <v>17.850000000000001</v>
      </c>
      <c r="L538">
        <v>17.670000000000002</v>
      </c>
      <c r="M538">
        <v>17.700001</v>
      </c>
    </row>
    <row r="539" spans="1:13">
      <c r="A539" s="346">
        <v>42388</v>
      </c>
      <c r="B539">
        <v>14.3</v>
      </c>
      <c r="C539">
        <v>14.42</v>
      </c>
      <c r="D539">
        <v>13.31</v>
      </c>
      <c r="E539">
        <v>13.86</v>
      </c>
      <c r="F539">
        <v>13.86</v>
      </c>
      <c r="G539">
        <v>1584400</v>
      </c>
      <c r="I539" s="346">
        <v>42388</v>
      </c>
      <c r="J539">
        <v>17.940000999999999</v>
      </c>
      <c r="K539">
        <v>17.950001</v>
      </c>
      <c r="L539">
        <v>17.610001</v>
      </c>
      <c r="M539">
        <v>17.790001</v>
      </c>
    </row>
    <row r="540" spans="1:13">
      <c r="A540" s="346">
        <v>42389</v>
      </c>
      <c r="B540">
        <v>13.7</v>
      </c>
      <c r="C540">
        <v>13.7</v>
      </c>
      <c r="D540">
        <v>12.62</v>
      </c>
      <c r="E540">
        <v>13.32</v>
      </c>
      <c r="F540">
        <v>13.32</v>
      </c>
      <c r="G540">
        <v>686100</v>
      </c>
      <c r="I540" s="346">
        <v>42389</v>
      </c>
      <c r="J540">
        <v>17.549999</v>
      </c>
      <c r="K540">
        <v>17.649999999999999</v>
      </c>
      <c r="L540">
        <v>17.07</v>
      </c>
      <c r="M540">
        <v>17.48</v>
      </c>
    </row>
    <row r="541" spans="1:13">
      <c r="A541" s="346">
        <v>42390</v>
      </c>
      <c r="B541">
        <v>13.37</v>
      </c>
      <c r="C541">
        <v>14</v>
      </c>
      <c r="D541">
        <v>13.01</v>
      </c>
      <c r="E541">
        <v>13.66</v>
      </c>
      <c r="F541">
        <v>13.66</v>
      </c>
      <c r="G541">
        <v>308200</v>
      </c>
      <c r="I541" s="346">
        <v>42390</v>
      </c>
      <c r="J541">
        <v>17.510000000000002</v>
      </c>
      <c r="K541">
        <v>17.850000000000001</v>
      </c>
      <c r="L541">
        <v>17.399999999999999</v>
      </c>
      <c r="M541">
        <v>17.790001</v>
      </c>
    </row>
    <row r="542" spans="1:13">
      <c r="A542" s="346">
        <v>42391</v>
      </c>
      <c r="B542">
        <v>14.54</v>
      </c>
      <c r="C542">
        <v>15.67</v>
      </c>
      <c r="D542">
        <v>14.54</v>
      </c>
      <c r="E542">
        <v>15.44</v>
      </c>
      <c r="F542">
        <v>15.44</v>
      </c>
      <c r="G542">
        <v>714700</v>
      </c>
      <c r="I542" s="346">
        <v>42391</v>
      </c>
      <c r="J542">
        <v>18.170000000000002</v>
      </c>
      <c r="K542">
        <v>18.34</v>
      </c>
      <c r="L542">
        <v>18.120000999999998</v>
      </c>
      <c r="M542">
        <v>18.34</v>
      </c>
    </row>
    <row r="543" spans="1:13">
      <c r="A543" s="346">
        <v>42394</v>
      </c>
      <c r="B543">
        <v>15.35</v>
      </c>
      <c r="C543">
        <v>15.67</v>
      </c>
      <c r="D543">
        <v>15</v>
      </c>
      <c r="E543">
        <v>15.13</v>
      </c>
      <c r="F543">
        <v>15.13</v>
      </c>
      <c r="G543">
        <v>340600</v>
      </c>
      <c r="I543" s="346">
        <v>42394</v>
      </c>
      <c r="J543">
        <v>18.27</v>
      </c>
      <c r="K543">
        <v>18.280000999999999</v>
      </c>
      <c r="L543">
        <v>17.950001</v>
      </c>
      <c r="M543">
        <v>17.969999000000001</v>
      </c>
    </row>
    <row r="544" spans="1:13">
      <c r="A544" s="346">
        <v>42395</v>
      </c>
      <c r="B544">
        <v>15.42</v>
      </c>
      <c r="C544">
        <v>15.8</v>
      </c>
      <c r="D544">
        <v>15.29</v>
      </c>
      <c r="E544">
        <v>15.54</v>
      </c>
      <c r="F544">
        <v>15.54</v>
      </c>
      <c r="G544">
        <v>295100</v>
      </c>
      <c r="I544" s="346">
        <v>42395</v>
      </c>
      <c r="J544">
        <v>18.100000000000001</v>
      </c>
      <c r="K544">
        <v>18.32</v>
      </c>
      <c r="L544">
        <v>18.010000000000002</v>
      </c>
      <c r="M544">
        <v>18.25</v>
      </c>
    </row>
    <row r="545" spans="1:13">
      <c r="A545" s="346">
        <v>42396</v>
      </c>
      <c r="B545">
        <v>15.48</v>
      </c>
      <c r="C545">
        <v>15.73</v>
      </c>
      <c r="D545">
        <v>14.9</v>
      </c>
      <c r="E545">
        <v>15.07</v>
      </c>
      <c r="F545">
        <v>15.07</v>
      </c>
      <c r="G545">
        <v>300400</v>
      </c>
      <c r="I545" s="346">
        <v>42396</v>
      </c>
      <c r="J545">
        <v>18.209999</v>
      </c>
      <c r="K545">
        <v>18.549999</v>
      </c>
      <c r="L545">
        <v>18.110001</v>
      </c>
      <c r="M545">
        <v>18.329999999999998</v>
      </c>
    </row>
    <row r="546" spans="1:13">
      <c r="A546" s="346">
        <v>42397</v>
      </c>
      <c r="B546">
        <v>15.25</v>
      </c>
      <c r="C546">
        <v>15.38</v>
      </c>
      <c r="D546">
        <v>14.5</v>
      </c>
      <c r="E546">
        <v>14.9</v>
      </c>
      <c r="F546">
        <v>14.9</v>
      </c>
      <c r="G546">
        <v>247400</v>
      </c>
      <c r="I546" s="346">
        <v>42397</v>
      </c>
      <c r="J546">
        <v>18.549999</v>
      </c>
      <c r="K546">
        <v>18.73</v>
      </c>
      <c r="L546">
        <v>18.379999000000002</v>
      </c>
      <c r="M546">
        <v>18.690000999999999</v>
      </c>
    </row>
    <row r="547" spans="1:13">
      <c r="A547" s="346">
        <v>42398</v>
      </c>
      <c r="B547">
        <v>14.91</v>
      </c>
      <c r="C547">
        <v>15.67</v>
      </c>
      <c r="D547">
        <v>14.55</v>
      </c>
      <c r="E547">
        <v>15.67</v>
      </c>
      <c r="F547">
        <v>15.67</v>
      </c>
      <c r="G547">
        <v>349900</v>
      </c>
      <c r="I547" s="346">
        <v>42398</v>
      </c>
      <c r="J547">
        <v>18.809999000000001</v>
      </c>
      <c r="K547">
        <v>18.959999</v>
      </c>
      <c r="L547">
        <v>18.670000000000002</v>
      </c>
      <c r="M547">
        <v>18.920000000000002</v>
      </c>
    </row>
    <row r="548" spans="1:13">
      <c r="A548" s="346">
        <v>42401</v>
      </c>
      <c r="B548">
        <v>15.37</v>
      </c>
      <c r="C548">
        <v>15.76</v>
      </c>
      <c r="D548">
        <v>15.16</v>
      </c>
      <c r="E548">
        <v>15.42</v>
      </c>
      <c r="F548">
        <v>15.42</v>
      </c>
      <c r="G548">
        <v>360600</v>
      </c>
      <c r="I548" s="346">
        <v>42401</v>
      </c>
      <c r="J548">
        <v>18.809999000000001</v>
      </c>
      <c r="K548">
        <v>18.829999999999998</v>
      </c>
      <c r="L548">
        <v>18.649999999999999</v>
      </c>
      <c r="M548">
        <v>18.790001</v>
      </c>
    </row>
    <row r="549" spans="1:13">
      <c r="A549" s="346">
        <v>42402</v>
      </c>
      <c r="B549">
        <v>15.26</v>
      </c>
      <c r="C549">
        <v>15.3</v>
      </c>
      <c r="D549">
        <v>13.96</v>
      </c>
      <c r="E549">
        <v>14.16</v>
      </c>
      <c r="F549">
        <v>14.16</v>
      </c>
      <c r="G549">
        <v>332700</v>
      </c>
      <c r="I549" s="346">
        <v>42402</v>
      </c>
      <c r="J549">
        <v>18.52</v>
      </c>
      <c r="K549">
        <v>18.540001</v>
      </c>
      <c r="L549">
        <v>18.360001</v>
      </c>
      <c r="M549">
        <v>18.440000999999999</v>
      </c>
    </row>
    <row r="550" spans="1:13">
      <c r="A550" s="346">
        <v>42403</v>
      </c>
      <c r="B550">
        <v>14.37</v>
      </c>
      <c r="C550">
        <v>14.54</v>
      </c>
      <c r="D550">
        <v>13.75</v>
      </c>
      <c r="E550">
        <v>14.42</v>
      </c>
      <c r="F550">
        <v>14.42</v>
      </c>
      <c r="G550">
        <v>314600</v>
      </c>
      <c r="I550" s="346">
        <v>42403</v>
      </c>
      <c r="J550">
        <v>18.549999</v>
      </c>
      <c r="K550">
        <v>18.700001</v>
      </c>
      <c r="L550">
        <v>18.25</v>
      </c>
      <c r="M550">
        <v>18.649999999999999</v>
      </c>
    </row>
    <row r="551" spans="1:13">
      <c r="A551" s="346">
        <v>42404</v>
      </c>
      <c r="B551">
        <v>14.4</v>
      </c>
      <c r="C551">
        <v>15.17</v>
      </c>
      <c r="D551">
        <v>14.25</v>
      </c>
      <c r="E551">
        <v>15.03</v>
      </c>
      <c r="F551">
        <v>15.03</v>
      </c>
      <c r="G551">
        <v>542600</v>
      </c>
      <c r="I551" s="346">
        <v>42404</v>
      </c>
      <c r="J551">
        <v>18.709999</v>
      </c>
      <c r="K551">
        <v>19.049999</v>
      </c>
      <c r="L551">
        <v>18.700001</v>
      </c>
      <c r="M551">
        <v>18.959999</v>
      </c>
    </row>
    <row r="552" spans="1:13">
      <c r="A552" s="346">
        <v>42405</v>
      </c>
      <c r="B552">
        <v>14.99</v>
      </c>
      <c r="C552">
        <v>15.09</v>
      </c>
      <c r="D552">
        <v>14.54</v>
      </c>
      <c r="E552">
        <v>14.64</v>
      </c>
      <c r="F552">
        <v>14.64</v>
      </c>
      <c r="G552">
        <v>198600</v>
      </c>
      <c r="I552" s="346">
        <v>42405</v>
      </c>
      <c r="J552">
        <v>18.91</v>
      </c>
      <c r="K552">
        <v>18.969999000000001</v>
      </c>
      <c r="L552">
        <v>18.809999000000001</v>
      </c>
      <c r="M552">
        <v>18.959999</v>
      </c>
    </row>
    <row r="553" spans="1:13">
      <c r="A553" s="346">
        <v>42408</v>
      </c>
      <c r="B553">
        <v>14.18</v>
      </c>
      <c r="C553">
        <v>14.23</v>
      </c>
      <c r="D553">
        <v>13.15</v>
      </c>
      <c r="E553">
        <v>13.35</v>
      </c>
      <c r="F553">
        <v>13.35</v>
      </c>
      <c r="G553">
        <v>460400</v>
      </c>
      <c r="I553" s="346">
        <v>42408</v>
      </c>
      <c r="J553">
        <v>18.799999</v>
      </c>
      <c r="K553">
        <v>18.799999</v>
      </c>
      <c r="L553">
        <v>18.540001</v>
      </c>
      <c r="M553">
        <v>18.629999000000002</v>
      </c>
    </row>
    <row r="554" spans="1:13">
      <c r="A554" s="346">
        <v>42409</v>
      </c>
      <c r="B554">
        <v>13.15</v>
      </c>
      <c r="C554">
        <v>13.46</v>
      </c>
      <c r="D554">
        <v>12.96</v>
      </c>
      <c r="E554">
        <v>13.22</v>
      </c>
      <c r="F554">
        <v>13.22</v>
      </c>
      <c r="G554">
        <v>428600</v>
      </c>
      <c r="I554" s="346">
        <v>42409</v>
      </c>
      <c r="J554">
        <v>18.389999</v>
      </c>
      <c r="K554">
        <v>18.459999</v>
      </c>
      <c r="L554">
        <v>18.079999999999998</v>
      </c>
      <c r="M554">
        <v>18.239999999999998</v>
      </c>
    </row>
    <row r="555" spans="1:13">
      <c r="A555" s="346">
        <v>42410</v>
      </c>
      <c r="B555">
        <v>13.38</v>
      </c>
      <c r="C555">
        <v>13.62</v>
      </c>
      <c r="D555">
        <v>13.09</v>
      </c>
      <c r="E555">
        <v>13.19</v>
      </c>
      <c r="F555">
        <v>13.19</v>
      </c>
      <c r="G555">
        <v>219000</v>
      </c>
      <c r="I555" s="346">
        <v>42410</v>
      </c>
      <c r="J555">
        <v>18.350000000000001</v>
      </c>
      <c r="K555">
        <v>18.41</v>
      </c>
      <c r="L555">
        <v>18.059999000000001</v>
      </c>
      <c r="M555">
        <v>18.079999999999998</v>
      </c>
    </row>
    <row r="556" spans="1:13">
      <c r="A556" s="346">
        <v>42411</v>
      </c>
      <c r="B556">
        <v>13</v>
      </c>
      <c r="C556">
        <v>13</v>
      </c>
      <c r="D556">
        <v>12.4</v>
      </c>
      <c r="E556">
        <v>12.64</v>
      </c>
      <c r="F556">
        <v>12.64</v>
      </c>
      <c r="G556">
        <v>239400</v>
      </c>
      <c r="I556" s="346">
        <v>42411</v>
      </c>
      <c r="J556">
        <v>17.829999999999998</v>
      </c>
      <c r="K556">
        <v>17.940000999999999</v>
      </c>
      <c r="L556">
        <v>17.75</v>
      </c>
      <c r="M556">
        <v>17.920000000000002</v>
      </c>
    </row>
    <row r="557" spans="1:13">
      <c r="A557" s="346">
        <v>42412</v>
      </c>
      <c r="B557">
        <v>12.75</v>
      </c>
      <c r="C557">
        <v>13.34</v>
      </c>
      <c r="D557">
        <v>12.75</v>
      </c>
      <c r="E557">
        <v>13.27</v>
      </c>
      <c r="F557">
        <v>13.27</v>
      </c>
      <c r="G557">
        <v>187500</v>
      </c>
      <c r="I557" s="346">
        <v>42412</v>
      </c>
      <c r="J557">
        <v>18.120000999999998</v>
      </c>
      <c r="K557">
        <v>18.41</v>
      </c>
      <c r="L557">
        <v>18.120000999999998</v>
      </c>
      <c r="M557">
        <v>18.399999999999999</v>
      </c>
    </row>
    <row r="558" spans="1:13">
      <c r="A558" s="346">
        <v>42416</v>
      </c>
      <c r="B558">
        <v>13.51</v>
      </c>
      <c r="C558">
        <v>13.62</v>
      </c>
      <c r="D558">
        <v>13.05</v>
      </c>
      <c r="E558">
        <v>13.16</v>
      </c>
      <c r="F558">
        <v>13.16</v>
      </c>
      <c r="G558">
        <v>246600</v>
      </c>
      <c r="I558" s="346">
        <v>42416</v>
      </c>
      <c r="J558">
        <v>18.620000999999998</v>
      </c>
      <c r="K558">
        <v>18.670000000000002</v>
      </c>
      <c r="L558">
        <v>18.360001</v>
      </c>
      <c r="M558">
        <v>18.66</v>
      </c>
    </row>
    <row r="559" spans="1:13">
      <c r="A559" s="346">
        <v>42417</v>
      </c>
      <c r="B559">
        <v>13.51</v>
      </c>
      <c r="C559">
        <v>13.69</v>
      </c>
      <c r="D559">
        <v>13.05</v>
      </c>
      <c r="E559">
        <v>13.62</v>
      </c>
      <c r="F559">
        <v>13.62</v>
      </c>
      <c r="G559">
        <v>595000</v>
      </c>
      <c r="I559" s="346">
        <v>42417</v>
      </c>
      <c r="J559">
        <v>18.82</v>
      </c>
      <c r="K559">
        <v>19.139999</v>
      </c>
      <c r="L559">
        <v>18.780000999999999</v>
      </c>
      <c r="M559">
        <v>19.110001</v>
      </c>
    </row>
    <row r="560" spans="1:13">
      <c r="A560" s="346">
        <v>42418</v>
      </c>
      <c r="B560">
        <v>13</v>
      </c>
      <c r="C560">
        <v>14.01</v>
      </c>
      <c r="D560">
        <v>13</v>
      </c>
      <c r="E560">
        <v>13.51</v>
      </c>
      <c r="F560">
        <v>13.51</v>
      </c>
      <c r="G560">
        <v>434300</v>
      </c>
      <c r="I560" s="346">
        <v>42418</v>
      </c>
      <c r="J560">
        <v>19.219999000000001</v>
      </c>
      <c r="K560">
        <v>19.23</v>
      </c>
      <c r="L560">
        <v>19.049999</v>
      </c>
      <c r="M560">
        <v>19.200001</v>
      </c>
    </row>
    <row r="561" spans="1:13">
      <c r="A561" s="346">
        <v>42419</v>
      </c>
      <c r="B561">
        <v>13.5</v>
      </c>
      <c r="C561">
        <v>14.35</v>
      </c>
      <c r="D561">
        <v>12.96</v>
      </c>
      <c r="E561">
        <v>14.24</v>
      </c>
      <c r="F561">
        <v>14.24</v>
      </c>
      <c r="G561">
        <v>542800</v>
      </c>
      <c r="I561" s="346">
        <v>42419</v>
      </c>
      <c r="J561">
        <v>19.219999000000001</v>
      </c>
      <c r="K561">
        <v>19.219999000000001</v>
      </c>
      <c r="L561">
        <v>18.899999999999999</v>
      </c>
      <c r="M561">
        <v>19.02</v>
      </c>
    </row>
    <row r="562" spans="1:13">
      <c r="A562" s="346">
        <v>42422</v>
      </c>
      <c r="B562">
        <v>14.47</v>
      </c>
      <c r="C562">
        <v>14.91</v>
      </c>
      <c r="D562">
        <v>14.07</v>
      </c>
      <c r="E562">
        <v>14.16</v>
      </c>
      <c r="F562">
        <v>14.16</v>
      </c>
      <c r="G562">
        <v>321100</v>
      </c>
      <c r="I562" s="346">
        <v>42422</v>
      </c>
      <c r="J562">
        <v>19.18</v>
      </c>
      <c r="K562">
        <v>19.260000000000002</v>
      </c>
      <c r="L562">
        <v>19.030000999999999</v>
      </c>
      <c r="M562">
        <v>19.049999</v>
      </c>
    </row>
    <row r="563" spans="1:13">
      <c r="A563" s="346">
        <v>42423</v>
      </c>
      <c r="B563">
        <v>14.14</v>
      </c>
      <c r="C563">
        <v>14.14</v>
      </c>
      <c r="D563">
        <v>13.46</v>
      </c>
      <c r="E563">
        <v>13.51</v>
      </c>
      <c r="F563">
        <v>13.51</v>
      </c>
      <c r="G563">
        <v>226300</v>
      </c>
      <c r="I563" s="346">
        <v>42423</v>
      </c>
      <c r="J563">
        <v>19.09</v>
      </c>
      <c r="K563">
        <v>19.25</v>
      </c>
      <c r="L563">
        <v>18.899999999999999</v>
      </c>
      <c r="M563">
        <v>18.950001</v>
      </c>
    </row>
    <row r="564" spans="1:13">
      <c r="A564" s="346">
        <v>42424</v>
      </c>
      <c r="B564">
        <v>13.35</v>
      </c>
      <c r="C564">
        <v>13.4</v>
      </c>
      <c r="D564">
        <v>12.95</v>
      </c>
      <c r="E564">
        <v>13.38</v>
      </c>
      <c r="F564">
        <v>13.38</v>
      </c>
      <c r="G564">
        <v>156100</v>
      </c>
      <c r="I564" s="346">
        <v>42424</v>
      </c>
      <c r="J564">
        <v>19.09</v>
      </c>
      <c r="K564">
        <v>19.09</v>
      </c>
      <c r="L564">
        <v>18.48</v>
      </c>
      <c r="M564">
        <v>18.860001</v>
      </c>
    </row>
    <row r="565" spans="1:13">
      <c r="A565" s="346">
        <v>42425</v>
      </c>
      <c r="B565">
        <v>13.38</v>
      </c>
      <c r="C565">
        <v>13.46</v>
      </c>
      <c r="D565">
        <v>12.77</v>
      </c>
      <c r="E565">
        <v>13.19</v>
      </c>
      <c r="F565">
        <v>13.19</v>
      </c>
      <c r="G565">
        <v>361200</v>
      </c>
      <c r="I565" s="346">
        <v>42425</v>
      </c>
      <c r="J565">
        <v>18.889999</v>
      </c>
      <c r="K565">
        <v>18.91</v>
      </c>
      <c r="L565">
        <v>18.719999000000001</v>
      </c>
      <c r="M565">
        <v>18.91</v>
      </c>
    </row>
    <row r="566" spans="1:13">
      <c r="A566" s="346">
        <v>42426</v>
      </c>
      <c r="B566">
        <v>13.41</v>
      </c>
      <c r="C566">
        <v>13.92</v>
      </c>
      <c r="D566">
        <v>13.31</v>
      </c>
      <c r="E566">
        <v>13.8</v>
      </c>
      <c r="F566">
        <v>13.8</v>
      </c>
      <c r="G566">
        <v>185400</v>
      </c>
      <c r="I566" s="346">
        <v>42426</v>
      </c>
      <c r="J566">
        <v>19.059999000000001</v>
      </c>
      <c r="K566">
        <v>19.18</v>
      </c>
      <c r="L566">
        <v>18.950001</v>
      </c>
      <c r="M566">
        <v>18.969999000000001</v>
      </c>
    </row>
    <row r="567" spans="1:13">
      <c r="A567" s="346">
        <v>42429</v>
      </c>
      <c r="B567">
        <v>13.91</v>
      </c>
      <c r="C567">
        <v>14.06</v>
      </c>
      <c r="D567">
        <v>13.68</v>
      </c>
      <c r="E567">
        <v>14</v>
      </c>
      <c r="F567">
        <v>14</v>
      </c>
      <c r="G567">
        <v>164500</v>
      </c>
      <c r="I567" s="346">
        <v>42429</v>
      </c>
      <c r="J567">
        <v>19.010000000000002</v>
      </c>
      <c r="K567">
        <v>19.16</v>
      </c>
      <c r="L567">
        <v>18.940000999999999</v>
      </c>
      <c r="M567">
        <v>19</v>
      </c>
    </row>
    <row r="568" spans="1:13">
      <c r="A568" s="346">
        <v>42430</v>
      </c>
      <c r="B568">
        <v>14.17</v>
      </c>
      <c r="C568">
        <v>14.74</v>
      </c>
      <c r="D568">
        <v>14.11</v>
      </c>
      <c r="E568">
        <v>14.7</v>
      </c>
      <c r="F568">
        <v>14.7</v>
      </c>
      <c r="G568">
        <v>291400</v>
      </c>
      <c r="I568" s="346">
        <v>42430</v>
      </c>
      <c r="J568">
        <v>19.18</v>
      </c>
      <c r="K568">
        <v>19.290001</v>
      </c>
      <c r="L568">
        <v>19.120000999999998</v>
      </c>
      <c r="M568">
        <v>19.239999999999998</v>
      </c>
    </row>
    <row r="569" spans="1:13">
      <c r="A569" s="346">
        <v>42431</v>
      </c>
      <c r="B569">
        <v>14.75</v>
      </c>
      <c r="C569">
        <v>15.58</v>
      </c>
      <c r="D569">
        <v>14.75</v>
      </c>
      <c r="E569">
        <v>15.42</v>
      </c>
      <c r="F569">
        <v>15.42</v>
      </c>
      <c r="G569">
        <v>363700</v>
      </c>
      <c r="I569" s="346">
        <v>42431</v>
      </c>
      <c r="J569">
        <v>19.239999999999998</v>
      </c>
      <c r="K569">
        <v>19.329999999999998</v>
      </c>
      <c r="L569">
        <v>19.030000999999999</v>
      </c>
      <c r="M569">
        <v>19.27</v>
      </c>
    </row>
    <row r="570" spans="1:13">
      <c r="A570" s="346">
        <v>42432</v>
      </c>
      <c r="B570">
        <v>15.38</v>
      </c>
      <c r="C570">
        <v>15.75</v>
      </c>
      <c r="D570">
        <v>15.06</v>
      </c>
      <c r="E570">
        <v>15.7</v>
      </c>
      <c r="F570">
        <v>15.7</v>
      </c>
      <c r="G570">
        <v>303200</v>
      </c>
      <c r="I570" s="346">
        <v>42432</v>
      </c>
      <c r="J570">
        <v>19.360001</v>
      </c>
      <c r="K570">
        <v>19.48</v>
      </c>
      <c r="L570">
        <v>19.27</v>
      </c>
      <c r="M570">
        <v>19.389999</v>
      </c>
    </row>
    <row r="571" spans="1:13">
      <c r="A571" s="346">
        <v>42433</v>
      </c>
      <c r="B571">
        <v>15.9</v>
      </c>
      <c r="C571">
        <v>16.719999000000001</v>
      </c>
      <c r="D571">
        <v>15.83</v>
      </c>
      <c r="E571">
        <v>16.290001</v>
      </c>
      <c r="F571">
        <v>16.290001</v>
      </c>
      <c r="G571">
        <v>430600</v>
      </c>
      <c r="I571" s="346">
        <v>42433</v>
      </c>
      <c r="J571">
        <v>19.489999999999998</v>
      </c>
      <c r="K571">
        <v>19.610001</v>
      </c>
      <c r="L571">
        <v>19.440000999999999</v>
      </c>
      <c r="M571">
        <v>19.510000000000002</v>
      </c>
    </row>
    <row r="572" spans="1:13">
      <c r="A572" s="346">
        <v>42436</v>
      </c>
      <c r="B572">
        <v>16.290001</v>
      </c>
      <c r="C572">
        <v>16.43</v>
      </c>
      <c r="D572">
        <v>15.76</v>
      </c>
      <c r="E572">
        <v>15.9</v>
      </c>
      <c r="F572">
        <v>15.9</v>
      </c>
      <c r="G572">
        <v>331300</v>
      </c>
      <c r="I572" s="346">
        <v>42436</v>
      </c>
      <c r="J572">
        <v>19.510000000000002</v>
      </c>
      <c r="K572">
        <v>19.879999000000002</v>
      </c>
      <c r="L572">
        <v>19.5</v>
      </c>
      <c r="M572">
        <v>19.760000000000002</v>
      </c>
    </row>
    <row r="573" spans="1:13">
      <c r="A573" s="346">
        <v>42437</v>
      </c>
      <c r="B573">
        <v>15.73</v>
      </c>
      <c r="C573">
        <v>15.8</v>
      </c>
      <c r="D573">
        <v>15.33</v>
      </c>
      <c r="E573">
        <v>15.38</v>
      </c>
      <c r="F573">
        <v>15.38</v>
      </c>
      <c r="G573">
        <v>290900</v>
      </c>
      <c r="I573" s="346">
        <v>42437</v>
      </c>
      <c r="J573">
        <v>19.75</v>
      </c>
      <c r="K573">
        <v>19.82</v>
      </c>
      <c r="L573">
        <v>19.629999000000002</v>
      </c>
      <c r="M573">
        <v>19.73</v>
      </c>
    </row>
    <row r="574" spans="1:13">
      <c r="A574" s="346">
        <v>42438</v>
      </c>
      <c r="B574">
        <v>15.46</v>
      </c>
      <c r="C574">
        <v>15.61</v>
      </c>
      <c r="D574">
        <v>14.94</v>
      </c>
      <c r="E574">
        <v>15.45</v>
      </c>
      <c r="F574">
        <v>15.45</v>
      </c>
      <c r="G574">
        <v>550600</v>
      </c>
      <c r="I574" s="346">
        <v>42438</v>
      </c>
      <c r="J574">
        <v>19.860001</v>
      </c>
      <c r="K574">
        <v>19.93</v>
      </c>
      <c r="L574">
        <v>19.790001</v>
      </c>
      <c r="M574">
        <v>19.860001</v>
      </c>
    </row>
    <row r="575" spans="1:13">
      <c r="A575" s="346">
        <v>42439</v>
      </c>
      <c r="B575">
        <v>15.45</v>
      </c>
      <c r="C575">
        <v>15.68</v>
      </c>
      <c r="D575">
        <v>15.27</v>
      </c>
      <c r="E575">
        <v>15.51</v>
      </c>
      <c r="F575">
        <v>15.51</v>
      </c>
      <c r="G575">
        <v>356200</v>
      </c>
      <c r="I575" s="346">
        <v>42439</v>
      </c>
      <c r="J575">
        <v>19.989999999999998</v>
      </c>
      <c r="K575">
        <v>20.07</v>
      </c>
      <c r="L575">
        <v>19.719999000000001</v>
      </c>
      <c r="M575">
        <v>19.84</v>
      </c>
    </row>
    <row r="576" spans="1:13">
      <c r="A576" s="346">
        <v>42440</v>
      </c>
      <c r="B576">
        <v>15.63</v>
      </c>
      <c r="C576">
        <v>16.649999999999999</v>
      </c>
      <c r="D576">
        <v>15.63</v>
      </c>
      <c r="E576">
        <v>16.559999000000001</v>
      </c>
      <c r="F576">
        <v>16.559999000000001</v>
      </c>
      <c r="G576">
        <v>260900</v>
      </c>
      <c r="I576" s="346">
        <v>42440</v>
      </c>
      <c r="J576">
        <v>20.010000000000002</v>
      </c>
      <c r="K576">
        <v>20.110001</v>
      </c>
      <c r="L576">
        <v>19.959999</v>
      </c>
      <c r="M576">
        <v>20.079999999999998</v>
      </c>
    </row>
    <row r="577" spans="1:13">
      <c r="A577" s="346">
        <v>42443</v>
      </c>
      <c r="B577">
        <v>16.790001</v>
      </c>
      <c r="C577">
        <v>16.799999</v>
      </c>
      <c r="D577">
        <v>16.149999999999999</v>
      </c>
      <c r="E577">
        <v>16.290001</v>
      </c>
      <c r="F577">
        <v>16.290001</v>
      </c>
      <c r="G577">
        <v>146000</v>
      </c>
      <c r="I577" s="346">
        <v>42443</v>
      </c>
      <c r="J577">
        <v>20.010000000000002</v>
      </c>
      <c r="K577">
        <v>20.110001</v>
      </c>
      <c r="L577">
        <v>19.950001</v>
      </c>
      <c r="M577">
        <v>20.02</v>
      </c>
    </row>
    <row r="578" spans="1:13">
      <c r="A578" s="346">
        <v>42444</v>
      </c>
      <c r="B578">
        <v>16.190000999999999</v>
      </c>
      <c r="C578">
        <v>16.299999</v>
      </c>
      <c r="D578">
        <v>15.92</v>
      </c>
      <c r="E578">
        <v>15.98</v>
      </c>
      <c r="F578">
        <v>15.98</v>
      </c>
      <c r="G578">
        <v>259000</v>
      </c>
      <c r="I578" s="346">
        <v>42444</v>
      </c>
      <c r="J578">
        <v>19.809999000000001</v>
      </c>
      <c r="K578">
        <v>19.940000999999999</v>
      </c>
      <c r="L578">
        <v>19.75</v>
      </c>
      <c r="M578">
        <v>19.940000999999999</v>
      </c>
    </row>
    <row r="579" spans="1:13">
      <c r="A579" s="346">
        <v>42445</v>
      </c>
      <c r="B579">
        <v>16</v>
      </c>
      <c r="C579">
        <v>16.100000000000001</v>
      </c>
      <c r="D579">
        <v>15.75</v>
      </c>
      <c r="E579">
        <v>15.87</v>
      </c>
      <c r="F579">
        <v>15.87</v>
      </c>
      <c r="G579">
        <v>268100</v>
      </c>
      <c r="I579" s="346">
        <v>42445</v>
      </c>
      <c r="J579">
        <v>19.82</v>
      </c>
      <c r="K579">
        <v>19.959999</v>
      </c>
      <c r="L579">
        <v>19.760000000000002</v>
      </c>
      <c r="M579">
        <v>19.879999000000002</v>
      </c>
    </row>
    <row r="580" spans="1:13">
      <c r="A580" s="346">
        <v>42446</v>
      </c>
      <c r="B580">
        <v>15.95</v>
      </c>
      <c r="C580">
        <v>16.739999999999998</v>
      </c>
      <c r="D580">
        <v>15.83</v>
      </c>
      <c r="E580">
        <v>16.579999999999998</v>
      </c>
      <c r="F580">
        <v>16.579999999999998</v>
      </c>
      <c r="G580">
        <v>232900</v>
      </c>
      <c r="I580" s="346">
        <v>42446</v>
      </c>
      <c r="J580">
        <v>19.93</v>
      </c>
      <c r="K580">
        <v>20.16</v>
      </c>
      <c r="L580">
        <v>19.889999</v>
      </c>
      <c r="M580">
        <v>20.07</v>
      </c>
    </row>
    <row r="581" spans="1:13">
      <c r="A581" s="346">
        <v>42447</v>
      </c>
      <c r="B581">
        <v>16.559999000000001</v>
      </c>
      <c r="C581">
        <v>16.670000000000002</v>
      </c>
      <c r="D581">
        <v>16.190000999999999</v>
      </c>
      <c r="E581">
        <v>16.530000999999999</v>
      </c>
      <c r="F581">
        <v>16.530000999999999</v>
      </c>
      <c r="G581">
        <v>229100</v>
      </c>
      <c r="I581" s="346">
        <v>42447</v>
      </c>
      <c r="J581">
        <v>20.040001</v>
      </c>
      <c r="K581">
        <v>20.07</v>
      </c>
      <c r="L581">
        <v>19.850000000000001</v>
      </c>
      <c r="M581">
        <v>19.850000000000001</v>
      </c>
    </row>
    <row r="582" spans="1:13">
      <c r="A582" s="346">
        <v>42450</v>
      </c>
      <c r="B582">
        <v>16.52</v>
      </c>
      <c r="C582">
        <v>16.950001</v>
      </c>
      <c r="D582">
        <v>16.48</v>
      </c>
      <c r="E582">
        <v>16.870000999999998</v>
      </c>
      <c r="F582">
        <v>16.870000999999998</v>
      </c>
      <c r="G582">
        <v>160300</v>
      </c>
      <c r="I582" s="346">
        <v>42450</v>
      </c>
      <c r="J582">
        <v>19.899999999999999</v>
      </c>
      <c r="K582">
        <v>19.989999999999998</v>
      </c>
      <c r="L582">
        <v>19.860001</v>
      </c>
      <c r="M582">
        <v>19.969999000000001</v>
      </c>
    </row>
    <row r="583" spans="1:13">
      <c r="A583" s="346">
        <v>42451</v>
      </c>
      <c r="B583">
        <v>16.709999</v>
      </c>
      <c r="C583">
        <v>17.280000999999999</v>
      </c>
      <c r="D583">
        <v>16.620000999999998</v>
      </c>
      <c r="E583">
        <v>17.219999000000001</v>
      </c>
      <c r="F583">
        <v>17.219999000000001</v>
      </c>
      <c r="G583">
        <v>180600</v>
      </c>
      <c r="I583" s="346">
        <v>42451</v>
      </c>
      <c r="J583">
        <v>19.879999000000002</v>
      </c>
      <c r="K583">
        <v>19.989999999999998</v>
      </c>
      <c r="L583">
        <v>19.870000999999998</v>
      </c>
      <c r="M583">
        <v>19.879999000000002</v>
      </c>
    </row>
    <row r="584" spans="1:13">
      <c r="A584" s="346">
        <v>42452</v>
      </c>
      <c r="B584">
        <v>17.07</v>
      </c>
      <c r="C584">
        <v>17.190000999999999</v>
      </c>
      <c r="D584">
        <v>16.209999</v>
      </c>
      <c r="E584">
        <v>16.41</v>
      </c>
      <c r="F584">
        <v>16.41</v>
      </c>
      <c r="G584">
        <v>371900</v>
      </c>
      <c r="I584" s="346">
        <v>42452</v>
      </c>
      <c r="J584">
        <v>19.889999</v>
      </c>
      <c r="K584">
        <v>19.899999999999999</v>
      </c>
      <c r="L584">
        <v>19.719999000000001</v>
      </c>
      <c r="M584">
        <v>19.73</v>
      </c>
    </row>
    <row r="585" spans="1:13">
      <c r="A585" s="346">
        <v>42453</v>
      </c>
      <c r="B585">
        <v>16.209999</v>
      </c>
      <c r="C585">
        <v>16.620000999999998</v>
      </c>
      <c r="D585">
        <v>15.83</v>
      </c>
      <c r="E585">
        <v>15.99</v>
      </c>
      <c r="F585">
        <v>15.99</v>
      </c>
      <c r="G585">
        <v>316800</v>
      </c>
      <c r="I585" s="346">
        <v>42453</v>
      </c>
      <c r="J585">
        <v>19.629999000000002</v>
      </c>
      <c r="K585">
        <v>19.709999</v>
      </c>
      <c r="L585">
        <v>19.549999</v>
      </c>
      <c r="M585">
        <v>19.700001</v>
      </c>
    </row>
    <row r="586" spans="1:13">
      <c r="A586" s="346">
        <v>42457</v>
      </c>
      <c r="B586">
        <v>16.07</v>
      </c>
      <c r="C586">
        <v>16.549999</v>
      </c>
      <c r="D586">
        <v>15.76</v>
      </c>
      <c r="E586">
        <v>16.450001</v>
      </c>
      <c r="F586">
        <v>16.450001</v>
      </c>
      <c r="G586">
        <v>130600</v>
      </c>
      <c r="I586" s="346">
        <v>42457</v>
      </c>
      <c r="J586">
        <v>19.719999000000001</v>
      </c>
      <c r="K586">
        <v>19.77</v>
      </c>
      <c r="L586">
        <v>19.59</v>
      </c>
      <c r="M586">
        <v>19.760000000000002</v>
      </c>
    </row>
    <row r="587" spans="1:13">
      <c r="A587" s="346">
        <v>42458</v>
      </c>
      <c r="B587">
        <v>16.350000000000001</v>
      </c>
      <c r="C587">
        <v>17.620000999999998</v>
      </c>
      <c r="D587">
        <v>16.059999000000001</v>
      </c>
      <c r="E587">
        <v>17.59</v>
      </c>
      <c r="F587">
        <v>17.59</v>
      </c>
      <c r="G587">
        <v>445700</v>
      </c>
      <c r="I587" s="346">
        <v>42458</v>
      </c>
      <c r="J587">
        <v>19.670000000000002</v>
      </c>
      <c r="K587">
        <v>19.84</v>
      </c>
      <c r="L587">
        <v>19.579999999999998</v>
      </c>
      <c r="M587">
        <v>19.799999</v>
      </c>
    </row>
    <row r="588" spans="1:13">
      <c r="A588" s="346">
        <v>42459</v>
      </c>
      <c r="B588">
        <v>17.73</v>
      </c>
      <c r="C588">
        <v>18.41</v>
      </c>
      <c r="D588">
        <v>17.690000999999999</v>
      </c>
      <c r="E588">
        <v>18.02</v>
      </c>
      <c r="F588">
        <v>18.02</v>
      </c>
      <c r="G588">
        <v>530100</v>
      </c>
      <c r="I588" s="346">
        <v>42459</v>
      </c>
      <c r="J588">
        <v>19.93</v>
      </c>
      <c r="K588">
        <v>20.030000999999999</v>
      </c>
      <c r="L588">
        <v>19.870000999999998</v>
      </c>
      <c r="M588">
        <v>19.920000000000002</v>
      </c>
    </row>
    <row r="589" spans="1:13">
      <c r="A589" s="346">
        <v>42460</v>
      </c>
      <c r="B589">
        <v>17.84</v>
      </c>
      <c r="C589">
        <v>17.889999</v>
      </c>
      <c r="D589">
        <v>17.239999999999998</v>
      </c>
      <c r="E589">
        <v>17.850000000000001</v>
      </c>
      <c r="F589">
        <v>17.850000000000001</v>
      </c>
      <c r="G589">
        <v>806600</v>
      </c>
      <c r="I589" s="346">
        <v>42460</v>
      </c>
      <c r="J589">
        <v>19.899999999999999</v>
      </c>
      <c r="K589">
        <v>19.989999999999998</v>
      </c>
      <c r="L589">
        <v>19.860001</v>
      </c>
      <c r="M589">
        <v>19.870000999999998</v>
      </c>
    </row>
    <row r="590" spans="1:13">
      <c r="A590" s="346">
        <v>42461</v>
      </c>
      <c r="B590">
        <v>17.649999999999999</v>
      </c>
      <c r="C590">
        <v>18.370000999999998</v>
      </c>
      <c r="D590">
        <v>17.649999999999999</v>
      </c>
      <c r="E590">
        <v>18.219999000000001</v>
      </c>
      <c r="F590">
        <v>18.219999000000001</v>
      </c>
      <c r="G590">
        <v>564700</v>
      </c>
      <c r="I590" s="346">
        <v>42461</v>
      </c>
      <c r="J590">
        <v>19.739999999999998</v>
      </c>
      <c r="K590">
        <v>19.82</v>
      </c>
      <c r="L590">
        <v>19.629999000000002</v>
      </c>
      <c r="M590">
        <v>19.809999000000001</v>
      </c>
    </row>
    <row r="591" spans="1:13">
      <c r="A591" s="346">
        <v>42464</v>
      </c>
      <c r="B591">
        <v>18.370000999999998</v>
      </c>
      <c r="C591">
        <v>18.370000999999998</v>
      </c>
      <c r="D591">
        <v>17.07</v>
      </c>
      <c r="E591">
        <v>17.16</v>
      </c>
      <c r="F591">
        <v>17.16</v>
      </c>
      <c r="G591">
        <v>278700</v>
      </c>
      <c r="I591" s="346">
        <v>42464</v>
      </c>
      <c r="J591">
        <v>19.829999999999998</v>
      </c>
      <c r="K591">
        <v>19.850000000000001</v>
      </c>
      <c r="L591">
        <v>19.620000999999998</v>
      </c>
      <c r="M591">
        <v>19.66</v>
      </c>
    </row>
    <row r="592" spans="1:13">
      <c r="A592" s="346">
        <v>42465</v>
      </c>
      <c r="B592">
        <v>16.98</v>
      </c>
      <c r="C592">
        <v>17.399999999999999</v>
      </c>
      <c r="D592">
        <v>16.66</v>
      </c>
      <c r="E592">
        <v>16.75</v>
      </c>
      <c r="F592">
        <v>16.75</v>
      </c>
      <c r="G592">
        <v>257500</v>
      </c>
      <c r="I592" s="346">
        <v>42465</v>
      </c>
      <c r="J592">
        <v>19.579999999999998</v>
      </c>
      <c r="K592">
        <v>19.629999000000002</v>
      </c>
      <c r="L592">
        <v>19.540001</v>
      </c>
      <c r="M592">
        <v>19.600000000000001</v>
      </c>
    </row>
    <row r="593" spans="1:13">
      <c r="A593" s="346">
        <v>42466</v>
      </c>
      <c r="B593">
        <v>16.719999000000001</v>
      </c>
      <c r="C593">
        <v>16.989999999999998</v>
      </c>
      <c r="D593">
        <v>16.68</v>
      </c>
      <c r="E593">
        <v>16.889999</v>
      </c>
      <c r="F593">
        <v>16.889999</v>
      </c>
      <c r="G593">
        <v>273100</v>
      </c>
      <c r="I593" s="346">
        <v>42466</v>
      </c>
      <c r="J593">
        <v>19.610001</v>
      </c>
      <c r="K593">
        <v>19.670000000000002</v>
      </c>
      <c r="L593">
        <v>19.489999999999998</v>
      </c>
      <c r="M593">
        <v>19.670000000000002</v>
      </c>
    </row>
    <row r="594" spans="1:13">
      <c r="A594" s="346">
        <v>42467</v>
      </c>
      <c r="B594">
        <v>16.73</v>
      </c>
      <c r="C594">
        <v>16.73</v>
      </c>
      <c r="D594">
        <v>15.4</v>
      </c>
      <c r="E594">
        <v>15.99</v>
      </c>
      <c r="F594">
        <v>15.99</v>
      </c>
      <c r="G594">
        <v>335400</v>
      </c>
      <c r="I594" s="346">
        <v>42467</v>
      </c>
      <c r="J594">
        <v>19.610001</v>
      </c>
      <c r="K594">
        <v>19.629999000000002</v>
      </c>
      <c r="L594">
        <v>19.469999000000001</v>
      </c>
      <c r="M594">
        <v>19.549999</v>
      </c>
    </row>
    <row r="595" spans="1:13">
      <c r="A595" s="346">
        <v>42468</v>
      </c>
      <c r="B595">
        <v>16.129999000000002</v>
      </c>
      <c r="C595">
        <v>16.129999000000002</v>
      </c>
      <c r="D595">
        <v>15.23</v>
      </c>
      <c r="E595">
        <v>15.65</v>
      </c>
      <c r="F595">
        <v>15.65</v>
      </c>
      <c r="G595">
        <v>362600</v>
      </c>
      <c r="I595" s="346">
        <v>42468</v>
      </c>
      <c r="J595">
        <v>19.700001</v>
      </c>
      <c r="K595">
        <v>19.809999000000001</v>
      </c>
      <c r="L595">
        <v>19.68</v>
      </c>
      <c r="M595">
        <v>19.75</v>
      </c>
    </row>
    <row r="596" spans="1:13">
      <c r="A596" s="346">
        <v>42471</v>
      </c>
      <c r="B596">
        <v>15.65</v>
      </c>
      <c r="C596">
        <v>15.7</v>
      </c>
      <c r="D596">
        <v>15.24</v>
      </c>
      <c r="E596">
        <v>15.64</v>
      </c>
      <c r="F596">
        <v>15.64</v>
      </c>
      <c r="G596">
        <v>323700</v>
      </c>
      <c r="I596" s="346">
        <v>42471</v>
      </c>
      <c r="J596">
        <v>19.799999</v>
      </c>
      <c r="K596">
        <v>19.940000999999999</v>
      </c>
      <c r="L596">
        <v>19.760000000000002</v>
      </c>
      <c r="M596">
        <v>19.77</v>
      </c>
    </row>
    <row r="597" spans="1:13">
      <c r="A597" s="346">
        <v>42472</v>
      </c>
      <c r="B597">
        <v>15.75</v>
      </c>
      <c r="C597">
        <v>15.84</v>
      </c>
      <c r="D597">
        <v>15.52</v>
      </c>
      <c r="E597">
        <v>15.75</v>
      </c>
      <c r="F597">
        <v>15.75</v>
      </c>
      <c r="G597">
        <v>126900</v>
      </c>
      <c r="I597" s="346">
        <v>42472</v>
      </c>
      <c r="J597">
        <v>19.829999999999998</v>
      </c>
      <c r="K597">
        <v>20.100000000000001</v>
      </c>
      <c r="L597">
        <v>19.809999000000001</v>
      </c>
      <c r="M597">
        <v>20.02</v>
      </c>
    </row>
    <row r="598" spans="1:13">
      <c r="A598" s="346">
        <v>42473</v>
      </c>
      <c r="B598">
        <v>15.85</v>
      </c>
      <c r="C598">
        <v>15.88</v>
      </c>
      <c r="D598">
        <v>15.36</v>
      </c>
      <c r="E598">
        <v>15.68</v>
      </c>
      <c r="F598">
        <v>15.68</v>
      </c>
      <c r="G598">
        <v>289500</v>
      </c>
      <c r="I598" s="346">
        <v>42473</v>
      </c>
      <c r="J598">
        <v>20.110001</v>
      </c>
      <c r="K598">
        <v>20.209999</v>
      </c>
      <c r="L598">
        <v>20.07</v>
      </c>
      <c r="M598">
        <v>20.170000000000002</v>
      </c>
    </row>
    <row r="599" spans="1:13">
      <c r="A599" s="346">
        <v>42474</v>
      </c>
      <c r="B599">
        <v>15.7</v>
      </c>
      <c r="C599">
        <v>15.75</v>
      </c>
      <c r="D599">
        <v>15.09</v>
      </c>
      <c r="E599">
        <v>15.43</v>
      </c>
      <c r="F599">
        <v>15.43</v>
      </c>
      <c r="G599">
        <v>383600</v>
      </c>
      <c r="I599" s="346">
        <v>42474</v>
      </c>
      <c r="J599">
        <v>20.209999</v>
      </c>
      <c r="K599">
        <v>20.219999000000001</v>
      </c>
      <c r="L599">
        <v>20.120000999999998</v>
      </c>
      <c r="M599">
        <v>20.18</v>
      </c>
    </row>
    <row r="600" spans="1:13">
      <c r="A600" s="346">
        <v>42475</v>
      </c>
      <c r="B600">
        <v>15.42</v>
      </c>
      <c r="C600">
        <v>15.42</v>
      </c>
      <c r="D600">
        <v>15.05</v>
      </c>
      <c r="E600">
        <v>15.22</v>
      </c>
      <c r="F600">
        <v>15.22</v>
      </c>
      <c r="G600">
        <v>180500</v>
      </c>
      <c r="I600" s="346">
        <v>42475</v>
      </c>
      <c r="J600">
        <v>20.120000999999998</v>
      </c>
      <c r="K600">
        <v>20.149999999999999</v>
      </c>
      <c r="L600">
        <v>20.07</v>
      </c>
      <c r="M600">
        <v>20.120000999999998</v>
      </c>
    </row>
    <row r="601" spans="1:13">
      <c r="A601" s="346">
        <v>42478</v>
      </c>
      <c r="B601">
        <v>14.97</v>
      </c>
      <c r="C601">
        <v>15.65</v>
      </c>
      <c r="D601">
        <v>14.96</v>
      </c>
      <c r="E601">
        <v>15.53</v>
      </c>
      <c r="F601">
        <v>15.53</v>
      </c>
      <c r="G601">
        <v>307800</v>
      </c>
      <c r="I601" s="346">
        <v>42478</v>
      </c>
      <c r="J601">
        <v>19.989999999999998</v>
      </c>
      <c r="K601">
        <v>20.25</v>
      </c>
      <c r="L601">
        <v>19.989999999999998</v>
      </c>
      <c r="M601">
        <v>20.219999000000001</v>
      </c>
    </row>
    <row r="602" spans="1:13">
      <c r="A602" s="346">
        <v>42479</v>
      </c>
      <c r="B602">
        <v>15.52</v>
      </c>
      <c r="C602">
        <v>15.64</v>
      </c>
      <c r="D602">
        <v>15.12</v>
      </c>
      <c r="E602">
        <v>15.32</v>
      </c>
      <c r="F602">
        <v>15.32</v>
      </c>
      <c r="G602">
        <v>341100</v>
      </c>
      <c r="I602" s="346">
        <v>42479</v>
      </c>
      <c r="J602">
        <v>20.299999</v>
      </c>
      <c r="K602">
        <v>20.450001</v>
      </c>
      <c r="L602">
        <v>20.25</v>
      </c>
      <c r="M602">
        <v>20.440000999999999</v>
      </c>
    </row>
    <row r="603" spans="1:13">
      <c r="A603" s="346">
        <v>42480</v>
      </c>
      <c r="B603">
        <v>15.35</v>
      </c>
      <c r="C603">
        <v>15.41</v>
      </c>
      <c r="D603">
        <v>14.56</v>
      </c>
      <c r="E603">
        <v>14.86</v>
      </c>
      <c r="F603">
        <v>14.86</v>
      </c>
      <c r="G603">
        <v>483500</v>
      </c>
      <c r="I603" s="346">
        <v>42480</v>
      </c>
      <c r="J603">
        <v>20.450001</v>
      </c>
      <c r="K603">
        <v>20.610001</v>
      </c>
      <c r="L603">
        <v>20.440000999999999</v>
      </c>
      <c r="M603">
        <v>20.530000999999999</v>
      </c>
    </row>
    <row r="604" spans="1:13">
      <c r="A604" s="346">
        <v>42481</v>
      </c>
      <c r="B604">
        <v>14.99</v>
      </c>
      <c r="C604">
        <v>15.17</v>
      </c>
      <c r="D604">
        <v>14.68</v>
      </c>
      <c r="E604">
        <v>14.91</v>
      </c>
      <c r="F604">
        <v>14.91</v>
      </c>
      <c r="G604">
        <v>228800</v>
      </c>
      <c r="I604" s="346">
        <v>42481</v>
      </c>
      <c r="J604">
        <v>20.559999000000001</v>
      </c>
      <c r="K604">
        <v>20.620000999999998</v>
      </c>
      <c r="L604">
        <v>20.43</v>
      </c>
      <c r="M604">
        <v>20.469999000000001</v>
      </c>
    </row>
    <row r="605" spans="1:13">
      <c r="A605" s="346">
        <v>42482</v>
      </c>
      <c r="B605">
        <v>14.91</v>
      </c>
      <c r="C605">
        <v>14.94</v>
      </c>
      <c r="D605">
        <v>14.4</v>
      </c>
      <c r="E605">
        <v>14.64</v>
      </c>
      <c r="F605">
        <v>14.64</v>
      </c>
      <c r="G605">
        <v>253300</v>
      </c>
      <c r="I605" s="346">
        <v>42482</v>
      </c>
      <c r="J605">
        <v>20.440000999999999</v>
      </c>
      <c r="K605">
        <v>20.549999</v>
      </c>
      <c r="L605">
        <v>20.43</v>
      </c>
      <c r="M605">
        <v>20.469999000000001</v>
      </c>
    </row>
    <row r="606" spans="1:13">
      <c r="A606" s="346">
        <v>42485</v>
      </c>
      <c r="B606">
        <v>14.6</v>
      </c>
      <c r="C606">
        <v>14.72</v>
      </c>
      <c r="D606">
        <v>14.18</v>
      </c>
      <c r="E606">
        <v>14.36</v>
      </c>
      <c r="F606">
        <v>14.36</v>
      </c>
      <c r="G606">
        <v>404700</v>
      </c>
      <c r="I606" s="346">
        <v>42485</v>
      </c>
      <c r="J606">
        <v>20.420000000000002</v>
      </c>
      <c r="K606">
        <v>20.420000000000002</v>
      </c>
      <c r="L606">
        <v>20.290001</v>
      </c>
      <c r="M606">
        <v>20.350000000000001</v>
      </c>
    </row>
    <row r="607" spans="1:13">
      <c r="A607" s="346">
        <v>42486</v>
      </c>
      <c r="B607">
        <v>14.46</v>
      </c>
      <c r="C607">
        <v>15.03</v>
      </c>
      <c r="D607">
        <v>14.46</v>
      </c>
      <c r="E607">
        <v>14.96</v>
      </c>
      <c r="F607">
        <v>14.96</v>
      </c>
      <c r="G607">
        <v>391200</v>
      </c>
      <c r="I607" s="346">
        <v>42486</v>
      </c>
      <c r="J607">
        <v>20.360001</v>
      </c>
      <c r="K607">
        <v>20.440000999999999</v>
      </c>
      <c r="L607">
        <v>20.34</v>
      </c>
      <c r="M607">
        <v>20.370000999999998</v>
      </c>
    </row>
    <row r="608" spans="1:13">
      <c r="A608" s="346">
        <v>42487</v>
      </c>
      <c r="B608">
        <v>15.21</v>
      </c>
      <c r="C608">
        <v>15.29</v>
      </c>
      <c r="D608">
        <v>14.35</v>
      </c>
      <c r="E608">
        <v>14.6</v>
      </c>
      <c r="F608">
        <v>14.6</v>
      </c>
      <c r="G608">
        <v>373800</v>
      </c>
      <c r="I608" s="346">
        <v>42487</v>
      </c>
      <c r="J608">
        <v>20.399999999999999</v>
      </c>
      <c r="K608">
        <v>20.5</v>
      </c>
      <c r="L608">
        <v>20.370000999999998</v>
      </c>
      <c r="M608">
        <v>20.459999</v>
      </c>
    </row>
    <row r="609" spans="1:13">
      <c r="A609" s="346">
        <v>42488</v>
      </c>
      <c r="B609">
        <v>14.39</v>
      </c>
      <c r="C609">
        <v>14.43</v>
      </c>
      <c r="D609">
        <v>13.68</v>
      </c>
      <c r="E609">
        <v>13.91</v>
      </c>
      <c r="F609">
        <v>13.91</v>
      </c>
      <c r="G609">
        <v>721400</v>
      </c>
      <c r="I609" s="346">
        <v>42488</v>
      </c>
      <c r="J609">
        <v>20.379999000000002</v>
      </c>
      <c r="K609">
        <v>20.59</v>
      </c>
      <c r="L609">
        <v>20.280000999999999</v>
      </c>
      <c r="M609">
        <v>20.459999</v>
      </c>
    </row>
    <row r="610" spans="1:13">
      <c r="A610" s="346">
        <v>42489</v>
      </c>
      <c r="B610">
        <v>13.9</v>
      </c>
      <c r="C610">
        <v>14.03</v>
      </c>
      <c r="D610">
        <v>13.44</v>
      </c>
      <c r="E610">
        <v>13.72</v>
      </c>
      <c r="F610">
        <v>13.72</v>
      </c>
      <c r="G610">
        <v>380500</v>
      </c>
      <c r="I610" s="346">
        <v>42489</v>
      </c>
      <c r="J610">
        <v>20.459999</v>
      </c>
      <c r="K610">
        <v>20.59</v>
      </c>
      <c r="L610">
        <v>20.459999</v>
      </c>
      <c r="M610">
        <v>20.540001</v>
      </c>
    </row>
    <row r="611" spans="1:13">
      <c r="A611" s="346">
        <v>42492</v>
      </c>
      <c r="B611">
        <v>13.85</v>
      </c>
      <c r="C611">
        <v>14.44</v>
      </c>
      <c r="D611">
        <v>13.8</v>
      </c>
      <c r="E611">
        <v>14.42</v>
      </c>
      <c r="F611">
        <v>14.42</v>
      </c>
      <c r="G611">
        <v>618500</v>
      </c>
      <c r="I611" s="346">
        <v>42492</v>
      </c>
      <c r="J611">
        <v>20.620000999999998</v>
      </c>
      <c r="K611">
        <v>20.620000999999998</v>
      </c>
      <c r="L611">
        <v>20.370000999999998</v>
      </c>
      <c r="M611">
        <v>20.43</v>
      </c>
    </row>
    <row r="612" spans="1:13">
      <c r="A612" s="346">
        <v>42493</v>
      </c>
      <c r="B612">
        <v>14.25</v>
      </c>
      <c r="C612">
        <v>14.29</v>
      </c>
      <c r="D612">
        <v>13.83</v>
      </c>
      <c r="E612">
        <v>14.1</v>
      </c>
      <c r="F612">
        <v>14.1</v>
      </c>
      <c r="G612">
        <v>517500</v>
      </c>
      <c r="I612" s="346">
        <v>42493</v>
      </c>
      <c r="J612">
        <v>20.32</v>
      </c>
      <c r="K612">
        <v>20.32</v>
      </c>
      <c r="L612">
        <v>20.040001</v>
      </c>
      <c r="M612">
        <v>20.219999000000001</v>
      </c>
    </row>
    <row r="613" spans="1:13">
      <c r="A613" s="346">
        <v>42494</v>
      </c>
      <c r="B613">
        <v>13.93</v>
      </c>
      <c r="C613">
        <v>14.26</v>
      </c>
      <c r="D613">
        <v>13.91</v>
      </c>
      <c r="E613">
        <v>14.11</v>
      </c>
      <c r="F613">
        <v>14.11</v>
      </c>
      <c r="G613">
        <v>264500</v>
      </c>
      <c r="I613" s="346">
        <v>42494</v>
      </c>
      <c r="J613">
        <v>20.149999999999999</v>
      </c>
      <c r="K613">
        <v>20.25</v>
      </c>
      <c r="L613">
        <v>20</v>
      </c>
      <c r="M613">
        <v>20.09</v>
      </c>
    </row>
    <row r="614" spans="1:13">
      <c r="A614" s="346">
        <v>42495</v>
      </c>
      <c r="B614">
        <v>14.23</v>
      </c>
      <c r="C614">
        <v>14.24</v>
      </c>
      <c r="D614">
        <v>13.9</v>
      </c>
      <c r="E614">
        <v>14.11</v>
      </c>
      <c r="F614">
        <v>14.11</v>
      </c>
      <c r="G614">
        <v>250400</v>
      </c>
      <c r="I614" s="346">
        <v>42495</v>
      </c>
      <c r="J614">
        <v>20.219999000000001</v>
      </c>
      <c r="K614">
        <v>20.280000999999999</v>
      </c>
      <c r="L614">
        <v>19.989999999999998</v>
      </c>
      <c r="M614">
        <v>20.07</v>
      </c>
    </row>
    <row r="615" spans="1:13">
      <c r="A615" s="346">
        <v>42496</v>
      </c>
      <c r="B615">
        <v>14.07</v>
      </c>
      <c r="C615">
        <v>14.68</v>
      </c>
      <c r="D615">
        <v>14.07</v>
      </c>
      <c r="E615">
        <v>14.49</v>
      </c>
      <c r="F615">
        <v>14.49</v>
      </c>
      <c r="G615">
        <v>413200</v>
      </c>
      <c r="I615" s="346">
        <v>42496</v>
      </c>
      <c r="J615">
        <v>19.989999999999998</v>
      </c>
      <c r="K615">
        <v>20.260000000000002</v>
      </c>
      <c r="L615">
        <v>19.989999999999998</v>
      </c>
      <c r="M615">
        <v>20.149999999999999</v>
      </c>
    </row>
    <row r="616" spans="1:13">
      <c r="A616" s="346">
        <v>42499</v>
      </c>
      <c r="B616">
        <v>14.51</v>
      </c>
      <c r="C616">
        <v>14.6</v>
      </c>
      <c r="D616">
        <v>14.14</v>
      </c>
      <c r="E616">
        <v>14.21</v>
      </c>
      <c r="F616">
        <v>14.21</v>
      </c>
      <c r="G616">
        <v>297800</v>
      </c>
      <c r="I616" s="346">
        <v>42499</v>
      </c>
      <c r="J616">
        <v>20.079999999999998</v>
      </c>
      <c r="K616">
        <v>20.100000000000001</v>
      </c>
      <c r="L616">
        <v>19.91</v>
      </c>
      <c r="M616">
        <v>19.940000999999999</v>
      </c>
    </row>
    <row r="617" spans="1:13">
      <c r="A617" s="346">
        <v>42500</v>
      </c>
      <c r="B617">
        <v>14.37</v>
      </c>
      <c r="C617">
        <v>14.82</v>
      </c>
      <c r="D617">
        <v>14.3</v>
      </c>
      <c r="E617">
        <v>14.74</v>
      </c>
      <c r="F617">
        <v>14.74</v>
      </c>
      <c r="G617">
        <v>850400</v>
      </c>
      <c r="I617" s="346">
        <v>42500</v>
      </c>
      <c r="J617">
        <v>20.07</v>
      </c>
      <c r="K617">
        <v>20.309999000000001</v>
      </c>
      <c r="L617">
        <v>20.02</v>
      </c>
      <c r="M617">
        <v>20.27</v>
      </c>
    </row>
    <row r="618" spans="1:13">
      <c r="A618" s="346">
        <v>42501</v>
      </c>
      <c r="B618">
        <v>14.79</v>
      </c>
      <c r="C618">
        <v>14.85</v>
      </c>
      <c r="D618">
        <v>14.39</v>
      </c>
      <c r="E618">
        <v>14.69</v>
      </c>
      <c r="F618">
        <v>14.69</v>
      </c>
      <c r="G618">
        <v>487900</v>
      </c>
      <c r="I618" s="346">
        <v>42501</v>
      </c>
      <c r="J618">
        <v>20.260000000000002</v>
      </c>
      <c r="K618">
        <v>20.329999999999998</v>
      </c>
      <c r="L618">
        <v>20.190000999999999</v>
      </c>
      <c r="M618">
        <v>20.260000000000002</v>
      </c>
    </row>
    <row r="619" spans="1:13">
      <c r="A619" s="346">
        <v>42502</v>
      </c>
      <c r="B619">
        <v>14.75</v>
      </c>
      <c r="C619">
        <v>14.77</v>
      </c>
      <c r="D619">
        <v>14.15</v>
      </c>
      <c r="E619">
        <v>14.31</v>
      </c>
      <c r="F619">
        <v>14.31</v>
      </c>
      <c r="G619">
        <v>203900</v>
      </c>
      <c r="I619" s="346">
        <v>42502</v>
      </c>
      <c r="J619">
        <v>20.370000999999998</v>
      </c>
      <c r="K619">
        <v>20.41</v>
      </c>
      <c r="L619">
        <v>20.079999999999998</v>
      </c>
      <c r="M619">
        <v>20.25</v>
      </c>
    </row>
    <row r="620" spans="1:13">
      <c r="A620" s="346">
        <v>42503</v>
      </c>
      <c r="B620">
        <v>14.33</v>
      </c>
      <c r="C620">
        <v>14.57</v>
      </c>
      <c r="D620">
        <v>14.2</v>
      </c>
      <c r="E620">
        <v>14.3</v>
      </c>
      <c r="F620">
        <v>14.3</v>
      </c>
      <c r="G620">
        <v>227300</v>
      </c>
      <c r="I620" s="346">
        <v>42503</v>
      </c>
      <c r="J620">
        <v>20.25</v>
      </c>
      <c r="K620">
        <v>20.34</v>
      </c>
      <c r="L620">
        <v>20.170000000000002</v>
      </c>
      <c r="M620">
        <v>20.200001</v>
      </c>
    </row>
    <row r="621" spans="1:13">
      <c r="A621" s="346">
        <v>42506</v>
      </c>
      <c r="B621">
        <v>14.48</v>
      </c>
      <c r="C621">
        <v>14.69</v>
      </c>
      <c r="D621">
        <v>14.35</v>
      </c>
      <c r="E621">
        <v>14.54</v>
      </c>
      <c r="F621">
        <v>14.54</v>
      </c>
      <c r="G621">
        <v>709300</v>
      </c>
      <c r="I621" s="346">
        <v>42506</v>
      </c>
      <c r="J621">
        <v>20.299999</v>
      </c>
      <c r="K621">
        <v>20.5</v>
      </c>
      <c r="L621">
        <v>20.299999</v>
      </c>
      <c r="M621">
        <v>20.43</v>
      </c>
    </row>
    <row r="622" spans="1:13">
      <c r="A622" s="346">
        <v>42507</v>
      </c>
      <c r="B622">
        <v>14.5</v>
      </c>
      <c r="C622">
        <v>14.67</v>
      </c>
      <c r="D622">
        <v>14.18</v>
      </c>
      <c r="E622">
        <v>14.29</v>
      </c>
      <c r="F622">
        <v>14.29</v>
      </c>
      <c r="G622">
        <v>255500</v>
      </c>
      <c r="I622" s="346">
        <v>42507</v>
      </c>
      <c r="J622">
        <v>20.420000000000002</v>
      </c>
      <c r="K622">
        <v>20.57</v>
      </c>
      <c r="L622">
        <v>20.399999999999999</v>
      </c>
      <c r="M622">
        <v>20.469999000000001</v>
      </c>
    </row>
    <row r="623" spans="1:13">
      <c r="A623" s="346">
        <v>42508</v>
      </c>
      <c r="B623">
        <v>14.23</v>
      </c>
      <c r="C623">
        <v>14.35</v>
      </c>
      <c r="D623">
        <v>14.1</v>
      </c>
      <c r="E623">
        <v>14.12</v>
      </c>
      <c r="F623">
        <v>14.12</v>
      </c>
      <c r="G623">
        <v>334300</v>
      </c>
      <c r="I623" s="346">
        <v>42508</v>
      </c>
      <c r="J623">
        <v>20.41</v>
      </c>
      <c r="K623">
        <v>20.540001</v>
      </c>
      <c r="L623">
        <v>20.32</v>
      </c>
      <c r="M623">
        <v>20.389999</v>
      </c>
    </row>
    <row r="624" spans="1:13">
      <c r="A624" s="346">
        <v>42509</v>
      </c>
      <c r="B624">
        <v>14.07</v>
      </c>
      <c r="C624">
        <v>14.13</v>
      </c>
      <c r="D624">
        <v>13.44</v>
      </c>
      <c r="E624">
        <v>13.79</v>
      </c>
      <c r="F624">
        <v>13.79</v>
      </c>
      <c r="G624">
        <v>540000</v>
      </c>
      <c r="I624" s="346">
        <v>42509</v>
      </c>
      <c r="J624">
        <v>20.25</v>
      </c>
      <c r="K624">
        <v>20.34</v>
      </c>
      <c r="L624">
        <v>20.16</v>
      </c>
      <c r="M624">
        <v>20.34</v>
      </c>
    </row>
    <row r="625" spans="1:13">
      <c r="A625" s="346">
        <v>42510</v>
      </c>
      <c r="B625">
        <v>13.78</v>
      </c>
      <c r="C625">
        <v>14.11</v>
      </c>
      <c r="D625">
        <v>13.71</v>
      </c>
      <c r="E625">
        <v>14.07</v>
      </c>
      <c r="F625">
        <v>14.07</v>
      </c>
      <c r="G625">
        <v>546900</v>
      </c>
      <c r="I625" s="346">
        <v>42510</v>
      </c>
      <c r="J625">
        <v>20.420000000000002</v>
      </c>
      <c r="K625">
        <v>20.58</v>
      </c>
      <c r="L625">
        <v>20.41</v>
      </c>
      <c r="M625">
        <v>20.52</v>
      </c>
    </row>
    <row r="626" spans="1:13">
      <c r="A626" s="346">
        <v>42514</v>
      </c>
      <c r="B626">
        <v>14.14</v>
      </c>
      <c r="C626">
        <v>14.99</v>
      </c>
      <c r="D626">
        <v>14.02</v>
      </c>
      <c r="E626">
        <v>14.87</v>
      </c>
      <c r="F626">
        <v>14.87</v>
      </c>
      <c r="G626">
        <v>521000</v>
      </c>
      <c r="I626" s="346">
        <v>42514</v>
      </c>
      <c r="J626">
        <v>20.559999000000001</v>
      </c>
      <c r="K626">
        <v>20.690000999999999</v>
      </c>
      <c r="L626">
        <v>20.530000999999999</v>
      </c>
      <c r="M626">
        <v>20.57</v>
      </c>
    </row>
    <row r="627" spans="1:13">
      <c r="A627" s="346">
        <v>42515</v>
      </c>
      <c r="B627">
        <v>14.96</v>
      </c>
      <c r="C627">
        <v>15.5</v>
      </c>
      <c r="D627">
        <v>14.77</v>
      </c>
      <c r="E627">
        <v>15.38</v>
      </c>
      <c r="F627">
        <v>15.38</v>
      </c>
      <c r="G627">
        <v>377400</v>
      </c>
      <c r="I627" s="346">
        <v>42515</v>
      </c>
      <c r="J627">
        <v>20.629999000000002</v>
      </c>
      <c r="K627">
        <v>20.790001</v>
      </c>
      <c r="L627">
        <v>20.620000999999998</v>
      </c>
      <c r="M627">
        <v>20.75</v>
      </c>
    </row>
    <row r="628" spans="1:13">
      <c r="A628" s="346">
        <v>42516</v>
      </c>
      <c r="B628">
        <v>15.5</v>
      </c>
      <c r="C628">
        <v>15.57</v>
      </c>
      <c r="D628">
        <v>15.15</v>
      </c>
      <c r="E628">
        <v>15.43</v>
      </c>
      <c r="F628">
        <v>15.43</v>
      </c>
      <c r="G628">
        <v>387300</v>
      </c>
      <c r="I628" s="346">
        <v>42516</v>
      </c>
      <c r="J628">
        <v>20.85</v>
      </c>
      <c r="K628">
        <v>20.870000999999998</v>
      </c>
      <c r="L628">
        <v>20.73</v>
      </c>
      <c r="M628">
        <v>20.73</v>
      </c>
    </row>
    <row r="629" spans="1:13">
      <c r="A629" s="346">
        <v>42517</v>
      </c>
      <c r="B629">
        <v>15.45</v>
      </c>
      <c r="C629">
        <v>15.93</v>
      </c>
      <c r="D629">
        <v>15.41</v>
      </c>
      <c r="E629">
        <v>15.78</v>
      </c>
      <c r="F629">
        <v>15.78</v>
      </c>
      <c r="G629">
        <v>200300</v>
      </c>
      <c r="I629" s="346">
        <v>42517</v>
      </c>
      <c r="J629">
        <v>20.75</v>
      </c>
      <c r="K629">
        <v>20.860001</v>
      </c>
      <c r="L629">
        <v>20.73</v>
      </c>
      <c r="M629">
        <v>20.82</v>
      </c>
    </row>
    <row r="630" spans="1:13">
      <c r="A630" s="346">
        <v>42520</v>
      </c>
      <c r="B630">
        <v>15.86</v>
      </c>
      <c r="C630">
        <v>16.139999</v>
      </c>
      <c r="D630">
        <v>15.73</v>
      </c>
      <c r="E630">
        <v>15.9</v>
      </c>
      <c r="F630">
        <v>15.9</v>
      </c>
      <c r="G630">
        <v>81400</v>
      </c>
      <c r="I630" s="346">
        <v>42520</v>
      </c>
      <c r="J630">
        <v>20.870000999999998</v>
      </c>
      <c r="K630">
        <v>20.870000999999998</v>
      </c>
      <c r="L630">
        <v>20.77</v>
      </c>
      <c r="M630">
        <v>20.790001</v>
      </c>
    </row>
    <row r="631" spans="1:13">
      <c r="A631" s="346">
        <v>42521</v>
      </c>
      <c r="B631">
        <v>15.97</v>
      </c>
      <c r="C631">
        <v>16.079999999999998</v>
      </c>
      <c r="D631">
        <v>15.52</v>
      </c>
      <c r="E631">
        <v>15.7</v>
      </c>
      <c r="F631">
        <v>15.7</v>
      </c>
      <c r="G631">
        <v>202500</v>
      </c>
      <c r="I631" s="346">
        <v>42521</v>
      </c>
      <c r="J631">
        <v>20.809999000000001</v>
      </c>
      <c r="K631">
        <v>20.92</v>
      </c>
      <c r="L631">
        <v>20.719999000000001</v>
      </c>
      <c r="M631">
        <v>20.719999000000001</v>
      </c>
    </row>
    <row r="632" spans="1:13">
      <c r="A632" s="346">
        <v>42522</v>
      </c>
      <c r="B632">
        <v>15.58</v>
      </c>
      <c r="C632">
        <v>15.71</v>
      </c>
      <c r="D632">
        <v>15.05</v>
      </c>
      <c r="E632">
        <v>15.34</v>
      </c>
      <c r="F632">
        <v>15.34</v>
      </c>
      <c r="G632">
        <v>295100</v>
      </c>
      <c r="I632" s="346">
        <v>42522</v>
      </c>
      <c r="J632">
        <v>20.65</v>
      </c>
      <c r="K632">
        <v>20.75</v>
      </c>
      <c r="L632">
        <v>20.57</v>
      </c>
      <c r="M632">
        <v>20.73</v>
      </c>
    </row>
    <row r="633" spans="1:13">
      <c r="A633" s="346">
        <v>42523</v>
      </c>
      <c r="B633">
        <v>15.33</v>
      </c>
      <c r="C633">
        <v>15.35</v>
      </c>
      <c r="D633">
        <v>15.14</v>
      </c>
      <c r="E633">
        <v>15.19</v>
      </c>
      <c r="F633">
        <v>15.19</v>
      </c>
      <c r="G633">
        <v>451300</v>
      </c>
      <c r="I633" s="346">
        <v>42523</v>
      </c>
      <c r="J633">
        <v>20.690000999999999</v>
      </c>
      <c r="K633">
        <v>20.879999000000002</v>
      </c>
      <c r="L633">
        <v>20.67</v>
      </c>
      <c r="M633">
        <v>20.860001</v>
      </c>
    </row>
    <row r="634" spans="1:13">
      <c r="A634" s="346">
        <v>42524</v>
      </c>
      <c r="B634">
        <v>15.24</v>
      </c>
      <c r="C634">
        <v>15.24</v>
      </c>
      <c r="D634">
        <v>14.68</v>
      </c>
      <c r="E634">
        <v>14.76</v>
      </c>
      <c r="F634">
        <v>14.76</v>
      </c>
      <c r="G634">
        <v>269400</v>
      </c>
      <c r="I634" s="346">
        <v>42524</v>
      </c>
      <c r="J634">
        <v>20.889999</v>
      </c>
      <c r="K634">
        <v>21</v>
      </c>
      <c r="L634">
        <v>20.82</v>
      </c>
      <c r="M634">
        <v>20.98</v>
      </c>
    </row>
    <row r="635" spans="1:13">
      <c r="A635" s="346">
        <v>42527</v>
      </c>
      <c r="B635">
        <v>14.79</v>
      </c>
      <c r="C635">
        <v>14.93</v>
      </c>
      <c r="D635">
        <v>14.44</v>
      </c>
      <c r="E635">
        <v>14.55</v>
      </c>
      <c r="F635">
        <v>14.55</v>
      </c>
      <c r="G635">
        <v>225600</v>
      </c>
      <c r="I635" s="346">
        <v>42527</v>
      </c>
      <c r="J635">
        <v>21</v>
      </c>
      <c r="K635">
        <v>21.07</v>
      </c>
      <c r="L635">
        <v>20.969999000000001</v>
      </c>
      <c r="M635">
        <v>21.02</v>
      </c>
    </row>
    <row r="636" spans="1:13">
      <c r="A636" s="346">
        <v>42528</v>
      </c>
      <c r="B636">
        <v>14.56</v>
      </c>
      <c r="C636">
        <v>14.83</v>
      </c>
      <c r="D636">
        <v>14.48</v>
      </c>
      <c r="E636">
        <v>14.7</v>
      </c>
      <c r="F636">
        <v>14.7</v>
      </c>
      <c r="G636">
        <v>208500</v>
      </c>
      <c r="I636" s="346">
        <v>42528</v>
      </c>
      <c r="J636">
        <v>21.059999000000001</v>
      </c>
      <c r="K636">
        <v>21.18</v>
      </c>
      <c r="L636">
        <v>21.040001</v>
      </c>
      <c r="M636">
        <v>21.18</v>
      </c>
    </row>
    <row r="637" spans="1:13">
      <c r="A637" s="346">
        <v>42529</v>
      </c>
      <c r="B637">
        <v>14.75</v>
      </c>
      <c r="C637">
        <v>14.83</v>
      </c>
      <c r="D637">
        <v>14.26</v>
      </c>
      <c r="E637">
        <v>14.37</v>
      </c>
      <c r="F637">
        <v>14.37</v>
      </c>
      <c r="G637">
        <v>261900</v>
      </c>
      <c r="I637" s="346">
        <v>42529</v>
      </c>
      <c r="J637">
        <v>21.290001</v>
      </c>
      <c r="K637">
        <v>21.290001</v>
      </c>
      <c r="L637">
        <v>21.02</v>
      </c>
      <c r="M637">
        <v>21.059999000000001</v>
      </c>
    </row>
    <row r="638" spans="1:13">
      <c r="A638" s="346">
        <v>42530</v>
      </c>
      <c r="B638">
        <v>14.3</v>
      </c>
      <c r="C638">
        <v>14.32</v>
      </c>
      <c r="D638">
        <v>14.01</v>
      </c>
      <c r="E638">
        <v>14.15</v>
      </c>
      <c r="F638">
        <v>14.15</v>
      </c>
      <c r="G638">
        <v>177700</v>
      </c>
      <c r="I638" s="346">
        <v>42530</v>
      </c>
      <c r="J638">
        <v>20.969999000000001</v>
      </c>
      <c r="K638">
        <v>20.99</v>
      </c>
      <c r="L638">
        <v>20.870000999999998</v>
      </c>
      <c r="M638">
        <v>20.950001</v>
      </c>
    </row>
    <row r="639" spans="1:13">
      <c r="A639" s="346">
        <v>42531</v>
      </c>
      <c r="B639">
        <v>14.05</v>
      </c>
      <c r="C639">
        <v>14.11</v>
      </c>
      <c r="D639">
        <v>13.76</v>
      </c>
      <c r="E639">
        <v>13.84</v>
      </c>
      <c r="F639">
        <v>13.84</v>
      </c>
      <c r="G639">
        <v>204300</v>
      </c>
      <c r="I639" s="346">
        <v>42531</v>
      </c>
      <c r="J639">
        <v>20.799999</v>
      </c>
      <c r="K639">
        <v>20.84</v>
      </c>
      <c r="L639">
        <v>20.58</v>
      </c>
      <c r="M639">
        <v>20.639999</v>
      </c>
    </row>
    <row r="640" spans="1:13">
      <c r="A640" s="346">
        <v>42534</v>
      </c>
      <c r="B640">
        <v>13.8</v>
      </c>
      <c r="C640">
        <v>13.93</v>
      </c>
      <c r="D640">
        <v>13.58</v>
      </c>
      <c r="E640">
        <v>13.64</v>
      </c>
      <c r="F640">
        <v>13.64</v>
      </c>
      <c r="G640">
        <v>205600</v>
      </c>
      <c r="I640" s="346">
        <v>42534</v>
      </c>
      <c r="J640">
        <v>20.59</v>
      </c>
      <c r="K640">
        <v>20.709999</v>
      </c>
      <c r="L640">
        <v>20.549999</v>
      </c>
      <c r="M640">
        <v>20.59</v>
      </c>
    </row>
    <row r="641" spans="1:13">
      <c r="A641" s="346">
        <v>42535</v>
      </c>
      <c r="B641">
        <v>13.69</v>
      </c>
      <c r="C641">
        <v>13.69</v>
      </c>
      <c r="D641">
        <v>13.1</v>
      </c>
      <c r="E641">
        <v>13.33</v>
      </c>
      <c r="F641">
        <v>13.33</v>
      </c>
      <c r="G641">
        <v>333000</v>
      </c>
      <c r="I641" s="346">
        <v>42535</v>
      </c>
      <c r="J641">
        <v>20.559999000000001</v>
      </c>
      <c r="K641">
        <v>20.620000999999998</v>
      </c>
      <c r="L641">
        <v>20.379999000000002</v>
      </c>
      <c r="M641">
        <v>20.43</v>
      </c>
    </row>
    <row r="642" spans="1:13">
      <c r="A642" s="346">
        <v>42536</v>
      </c>
      <c r="B642">
        <v>13.39</v>
      </c>
      <c r="C642">
        <v>13.49</v>
      </c>
      <c r="D642">
        <v>13</v>
      </c>
      <c r="E642">
        <v>13.07</v>
      </c>
      <c r="F642">
        <v>13.07</v>
      </c>
      <c r="G642">
        <v>351600</v>
      </c>
      <c r="I642" s="346">
        <v>42536</v>
      </c>
      <c r="J642">
        <v>20.309999000000001</v>
      </c>
      <c r="K642">
        <v>20.420000000000002</v>
      </c>
      <c r="L642">
        <v>20.309999000000001</v>
      </c>
      <c r="M642">
        <v>20.34</v>
      </c>
    </row>
    <row r="643" spans="1:13">
      <c r="A643" s="346">
        <v>42537</v>
      </c>
      <c r="B643">
        <v>12.96</v>
      </c>
      <c r="C643">
        <v>13.24</v>
      </c>
      <c r="D643">
        <v>12.87</v>
      </c>
      <c r="E643">
        <v>13.16</v>
      </c>
      <c r="F643">
        <v>13.16</v>
      </c>
      <c r="G643">
        <v>192100</v>
      </c>
      <c r="I643" s="346">
        <v>42537</v>
      </c>
      <c r="J643">
        <v>20.27</v>
      </c>
      <c r="K643">
        <v>20.309999000000001</v>
      </c>
      <c r="L643">
        <v>20.16</v>
      </c>
      <c r="M643">
        <v>20.290001</v>
      </c>
    </row>
    <row r="644" spans="1:13">
      <c r="A644" s="346">
        <v>42538</v>
      </c>
      <c r="B644">
        <v>13.22</v>
      </c>
      <c r="C644">
        <v>13.22</v>
      </c>
      <c r="D644">
        <v>12.71</v>
      </c>
      <c r="E644">
        <v>13.13</v>
      </c>
      <c r="F644">
        <v>13.13</v>
      </c>
      <c r="G644">
        <v>515800</v>
      </c>
      <c r="I644" s="346">
        <v>42538</v>
      </c>
      <c r="J644">
        <v>20.299999</v>
      </c>
      <c r="K644">
        <v>20.399999999999999</v>
      </c>
      <c r="L644">
        <v>20.299999</v>
      </c>
      <c r="M644">
        <v>20.350000000000001</v>
      </c>
    </row>
    <row r="645" spans="1:13">
      <c r="A645" s="346">
        <v>42541</v>
      </c>
      <c r="B645">
        <v>13.23</v>
      </c>
      <c r="C645">
        <v>13.58</v>
      </c>
      <c r="D645">
        <v>13.21</v>
      </c>
      <c r="E645">
        <v>13.28</v>
      </c>
      <c r="F645">
        <v>13.28</v>
      </c>
      <c r="G645">
        <v>142100</v>
      </c>
      <c r="I645" s="346">
        <v>42541</v>
      </c>
      <c r="J645">
        <v>20.6</v>
      </c>
      <c r="K645">
        <v>20.6</v>
      </c>
      <c r="L645">
        <v>20.41</v>
      </c>
      <c r="M645">
        <v>20.48</v>
      </c>
    </row>
    <row r="646" spans="1:13">
      <c r="A646" s="346">
        <v>42542</v>
      </c>
      <c r="B646">
        <v>13.29</v>
      </c>
      <c r="C646">
        <v>13.49</v>
      </c>
      <c r="D646">
        <v>13.13</v>
      </c>
      <c r="E646">
        <v>13.21</v>
      </c>
      <c r="F646">
        <v>13.21</v>
      </c>
      <c r="G646">
        <v>226100</v>
      </c>
      <c r="I646" s="346">
        <v>42542</v>
      </c>
      <c r="J646">
        <v>20.450001</v>
      </c>
      <c r="K646">
        <v>20.540001</v>
      </c>
      <c r="L646">
        <v>20.379999000000002</v>
      </c>
      <c r="M646">
        <v>20.49</v>
      </c>
    </row>
    <row r="647" spans="1:13">
      <c r="A647" s="346">
        <v>42543</v>
      </c>
      <c r="B647">
        <v>13.25</v>
      </c>
      <c r="C647">
        <v>13.43</v>
      </c>
      <c r="D647">
        <v>13.1</v>
      </c>
      <c r="E647">
        <v>13.19</v>
      </c>
      <c r="F647">
        <v>13.19</v>
      </c>
      <c r="G647">
        <v>157500</v>
      </c>
      <c r="I647" s="346">
        <v>42543</v>
      </c>
      <c r="J647">
        <v>20.5</v>
      </c>
      <c r="K647">
        <v>20.57</v>
      </c>
      <c r="L647">
        <v>20.440000999999999</v>
      </c>
      <c r="M647">
        <v>20.49</v>
      </c>
    </row>
    <row r="648" spans="1:13">
      <c r="A648" s="346">
        <v>42544</v>
      </c>
      <c r="B648">
        <v>13.34</v>
      </c>
      <c r="C648">
        <v>13.53</v>
      </c>
      <c r="D648">
        <v>13.15</v>
      </c>
      <c r="E648">
        <v>13.24</v>
      </c>
      <c r="F648">
        <v>13.24</v>
      </c>
      <c r="G648">
        <v>151900</v>
      </c>
      <c r="I648" s="346">
        <v>42544</v>
      </c>
      <c r="J648">
        <v>20.6</v>
      </c>
      <c r="K648">
        <v>20.719999000000001</v>
      </c>
      <c r="L648">
        <v>20.6</v>
      </c>
      <c r="M648">
        <v>20.709999</v>
      </c>
    </row>
    <row r="649" spans="1:13">
      <c r="A649" s="346">
        <v>42545</v>
      </c>
      <c r="B649">
        <v>12.99</v>
      </c>
      <c r="C649">
        <v>12.99</v>
      </c>
      <c r="D649">
        <v>12.7</v>
      </c>
      <c r="E649">
        <v>12.77</v>
      </c>
      <c r="F649">
        <v>12.77</v>
      </c>
      <c r="G649">
        <v>434500</v>
      </c>
      <c r="I649" s="346">
        <v>42545</v>
      </c>
      <c r="J649">
        <v>20.27</v>
      </c>
      <c r="K649">
        <v>20.5</v>
      </c>
      <c r="L649">
        <v>20.100000000000001</v>
      </c>
      <c r="M649">
        <v>20.309999000000001</v>
      </c>
    </row>
    <row r="650" spans="1:13">
      <c r="A650" s="346">
        <v>42548</v>
      </c>
      <c r="B650">
        <v>12.77</v>
      </c>
      <c r="C650">
        <v>12.77</v>
      </c>
      <c r="D650">
        <v>11.96</v>
      </c>
      <c r="E650">
        <v>12.3</v>
      </c>
      <c r="F650">
        <v>12.3</v>
      </c>
      <c r="G650">
        <v>384300</v>
      </c>
      <c r="I650" s="346">
        <v>42548</v>
      </c>
      <c r="J650">
        <v>20.209999</v>
      </c>
      <c r="K650">
        <v>20.209999</v>
      </c>
      <c r="L650">
        <v>19.889999</v>
      </c>
      <c r="M650">
        <v>20.010000000000002</v>
      </c>
    </row>
    <row r="651" spans="1:13">
      <c r="A651" s="346">
        <v>42549</v>
      </c>
      <c r="B651">
        <v>12.49</v>
      </c>
      <c r="C651">
        <v>12.94</v>
      </c>
      <c r="D651">
        <v>12.35</v>
      </c>
      <c r="E651">
        <v>12.58</v>
      </c>
      <c r="F651">
        <v>12.58</v>
      </c>
      <c r="G651">
        <v>258600</v>
      </c>
      <c r="I651" s="346">
        <v>42549</v>
      </c>
      <c r="J651">
        <v>20.209999</v>
      </c>
      <c r="K651">
        <v>20.299999</v>
      </c>
      <c r="L651">
        <v>20.18</v>
      </c>
      <c r="M651">
        <v>20.260000000000002</v>
      </c>
    </row>
    <row r="652" spans="1:13">
      <c r="A652" s="346">
        <v>42550</v>
      </c>
      <c r="B652">
        <v>12.76</v>
      </c>
      <c r="C652">
        <v>12.8</v>
      </c>
      <c r="D652">
        <v>12.42</v>
      </c>
      <c r="E652">
        <v>12.49</v>
      </c>
      <c r="F652">
        <v>12.49</v>
      </c>
      <c r="G652">
        <v>239100</v>
      </c>
      <c r="I652" s="346">
        <v>42550</v>
      </c>
      <c r="J652">
        <v>20.399999999999999</v>
      </c>
      <c r="K652">
        <v>20.559999000000001</v>
      </c>
      <c r="L652">
        <v>20.399999999999999</v>
      </c>
      <c r="M652">
        <v>20.530000999999999</v>
      </c>
    </row>
    <row r="653" spans="1:13">
      <c r="A653" s="346">
        <v>42551</v>
      </c>
      <c r="B653">
        <v>12.55</v>
      </c>
      <c r="C653">
        <v>13.25</v>
      </c>
      <c r="D653">
        <v>12.38</v>
      </c>
      <c r="E653">
        <v>13.05</v>
      </c>
      <c r="F653">
        <v>13.05</v>
      </c>
      <c r="G653">
        <v>477000</v>
      </c>
      <c r="I653" s="346">
        <v>42551</v>
      </c>
      <c r="J653">
        <v>20.540001</v>
      </c>
      <c r="K653">
        <v>20.639999</v>
      </c>
      <c r="L653">
        <v>20.43</v>
      </c>
      <c r="M653">
        <v>20.559999000000001</v>
      </c>
    </row>
    <row r="654" spans="1:13">
      <c r="A654" s="346">
        <v>42555</v>
      </c>
      <c r="B654">
        <v>13.45</v>
      </c>
      <c r="C654">
        <v>13.59</v>
      </c>
      <c r="D654">
        <v>13.24</v>
      </c>
      <c r="E654">
        <v>13.56</v>
      </c>
      <c r="F654">
        <v>13.56</v>
      </c>
      <c r="G654">
        <v>126300</v>
      </c>
      <c r="I654" s="346">
        <v>42555</v>
      </c>
      <c r="J654">
        <v>20.76</v>
      </c>
      <c r="K654">
        <v>20.889999</v>
      </c>
      <c r="L654">
        <v>20.76</v>
      </c>
      <c r="M654">
        <v>20.860001</v>
      </c>
    </row>
    <row r="655" spans="1:13">
      <c r="A655" s="346">
        <v>42556</v>
      </c>
      <c r="B655">
        <v>13.5</v>
      </c>
      <c r="C655">
        <v>13.5</v>
      </c>
      <c r="D655">
        <v>13.02</v>
      </c>
      <c r="E655">
        <v>13.33</v>
      </c>
      <c r="F655">
        <v>13.33</v>
      </c>
      <c r="G655">
        <v>126700</v>
      </c>
      <c r="I655" s="346">
        <v>42556</v>
      </c>
      <c r="J655">
        <v>20.799999</v>
      </c>
      <c r="K655">
        <v>20.860001</v>
      </c>
      <c r="L655">
        <v>20.67</v>
      </c>
      <c r="M655">
        <v>20.790001</v>
      </c>
    </row>
    <row r="656" spans="1:13">
      <c r="A656" s="346">
        <v>42557</v>
      </c>
      <c r="B656">
        <v>13.25</v>
      </c>
      <c r="C656">
        <v>13.41</v>
      </c>
      <c r="D656">
        <v>12.93</v>
      </c>
      <c r="E656">
        <v>13.17</v>
      </c>
      <c r="F656">
        <v>13.17</v>
      </c>
      <c r="G656">
        <v>219200</v>
      </c>
      <c r="I656" s="346">
        <v>42557</v>
      </c>
      <c r="J656">
        <v>20.74</v>
      </c>
      <c r="K656">
        <v>20.799999</v>
      </c>
      <c r="L656">
        <v>20.559999000000001</v>
      </c>
      <c r="M656">
        <v>20.799999</v>
      </c>
    </row>
    <row r="657" spans="1:13">
      <c r="A657" s="346">
        <v>42558</v>
      </c>
      <c r="B657">
        <v>13.2</v>
      </c>
      <c r="C657">
        <v>13.35</v>
      </c>
      <c r="D657">
        <v>13.05</v>
      </c>
      <c r="E657">
        <v>13.05</v>
      </c>
      <c r="F657">
        <v>13.05</v>
      </c>
      <c r="G657">
        <v>98900</v>
      </c>
      <c r="I657" s="346">
        <v>42558</v>
      </c>
      <c r="J657">
        <v>20.85</v>
      </c>
      <c r="K657">
        <v>20.85</v>
      </c>
      <c r="L657">
        <v>20.6</v>
      </c>
      <c r="M657">
        <v>20.66</v>
      </c>
    </row>
    <row r="658" spans="1:13">
      <c r="A658" s="346">
        <v>42559</v>
      </c>
      <c r="B658">
        <v>13.23</v>
      </c>
      <c r="C658">
        <v>13.49</v>
      </c>
      <c r="D658">
        <v>13.18</v>
      </c>
      <c r="E658">
        <v>13.4</v>
      </c>
      <c r="F658">
        <v>13.4</v>
      </c>
      <c r="G658">
        <v>93100</v>
      </c>
      <c r="I658" s="346">
        <v>42559</v>
      </c>
      <c r="J658">
        <v>20.780000999999999</v>
      </c>
      <c r="K658">
        <v>20.950001</v>
      </c>
      <c r="L658">
        <v>20.77</v>
      </c>
      <c r="M658">
        <v>20.83</v>
      </c>
    </row>
    <row r="659" spans="1:13">
      <c r="A659" s="346">
        <v>42562</v>
      </c>
      <c r="B659">
        <v>13.56</v>
      </c>
      <c r="C659">
        <v>13.74</v>
      </c>
      <c r="D659">
        <v>13.3</v>
      </c>
      <c r="E659">
        <v>13.52</v>
      </c>
      <c r="F659">
        <v>13.52</v>
      </c>
      <c r="G659">
        <v>148000</v>
      </c>
      <c r="I659" s="346">
        <v>42562</v>
      </c>
      <c r="J659">
        <v>20.92</v>
      </c>
      <c r="K659">
        <v>21.08</v>
      </c>
      <c r="L659">
        <v>20.91</v>
      </c>
      <c r="M659">
        <v>21</v>
      </c>
    </row>
    <row r="660" spans="1:13">
      <c r="A660" s="346">
        <v>42563</v>
      </c>
      <c r="B660">
        <v>13.61</v>
      </c>
      <c r="C660">
        <v>13.99</v>
      </c>
      <c r="D660">
        <v>13.52</v>
      </c>
      <c r="E660">
        <v>13.71</v>
      </c>
      <c r="F660">
        <v>13.71</v>
      </c>
      <c r="G660">
        <v>172700</v>
      </c>
      <c r="I660" s="346">
        <v>42563</v>
      </c>
      <c r="J660">
        <v>21.120000999999998</v>
      </c>
      <c r="K660">
        <v>21.200001</v>
      </c>
      <c r="L660">
        <v>21.1</v>
      </c>
      <c r="M660">
        <v>21.18</v>
      </c>
    </row>
    <row r="661" spans="1:13">
      <c r="A661" s="346">
        <v>42564</v>
      </c>
      <c r="B661">
        <v>13.81</v>
      </c>
      <c r="C661">
        <v>13.87</v>
      </c>
      <c r="D661">
        <v>13.48</v>
      </c>
      <c r="E661">
        <v>13.58</v>
      </c>
      <c r="F661">
        <v>13.58</v>
      </c>
      <c r="G661">
        <v>130900</v>
      </c>
      <c r="I661" s="346">
        <v>42564</v>
      </c>
      <c r="J661">
        <v>21.25</v>
      </c>
      <c r="K661">
        <v>21.290001</v>
      </c>
      <c r="L661">
        <v>21.120000999999998</v>
      </c>
      <c r="M661">
        <v>21.219999000000001</v>
      </c>
    </row>
    <row r="662" spans="1:13">
      <c r="A662" s="346">
        <v>42565</v>
      </c>
      <c r="B662">
        <v>13.67</v>
      </c>
      <c r="C662">
        <v>13.7</v>
      </c>
      <c r="D662">
        <v>13.41</v>
      </c>
      <c r="E662">
        <v>13.64</v>
      </c>
      <c r="F662">
        <v>13.64</v>
      </c>
      <c r="G662">
        <v>149500</v>
      </c>
      <c r="I662" s="346">
        <v>42565</v>
      </c>
      <c r="J662">
        <v>21.299999</v>
      </c>
      <c r="K662">
        <v>21.34</v>
      </c>
      <c r="L662">
        <v>21.25</v>
      </c>
      <c r="M662">
        <v>21.26</v>
      </c>
    </row>
    <row r="663" spans="1:13">
      <c r="A663" s="346">
        <v>42566</v>
      </c>
      <c r="B663">
        <v>13.62</v>
      </c>
      <c r="C663">
        <v>14.84</v>
      </c>
      <c r="D663">
        <v>13.62</v>
      </c>
      <c r="E663">
        <v>14.78</v>
      </c>
      <c r="F663">
        <v>14.78</v>
      </c>
      <c r="G663">
        <v>461000</v>
      </c>
      <c r="I663" s="346">
        <v>42566</v>
      </c>
      <c r="J663">
        <v>21.299999</v>
      </c>
      <c r="K663">
        <v>21.32</v>
      </c>
      <c r="L663">
        <v>21.24</v>
      </c>
      <c r="M663">
        <v>21.24</v>
      </c>
    </row>
    <row r="664" spans="1:13">
      <c r="A664" s="346">
        <v>42569</v>
      </c>
      <c r="B664">
        <v>14.71</v>
      </c>
      <c r="C664">
        <v>15.08</v>
      </c>
      <c r="D664">
        <v>14.5</v>
      </c>
      <c r="E664">
        <v>14.95</v>
      </c>
      <c r="F664">
        <v>14.95</v>
      </c>
      <c r="G664">
        <v>383100</v>
      </c>
      <c r="I664" s="346">
        <v>42569</v>
      </c>
      <c r="J664">
        <v>21.24</v>
      </c>
      <c r="K664">
        <v>21.32</v>
      </c>
      <c r="L664">
        <v>21.24</v>
      </c>
      <c r="M664">
        <v>21.299999</v>
      </c>
    </row>
    <row r="665" spans="1:13">
      <c r="A665" s="346">
        <v>42570</v>
      </c>
      <c r="B665">
        <v>15.12</v>
      </c>
      <c r="C665">
        <v>15.24</v>
      </c>
      <c r="D665">
        <v>14.73</v>
      </c>
      <c r="E665">
        <v>15.19</v>
      </c>
      <c r="F665">
        <v>15.19</v>
      </c>
      <c r="G665">
        <v>353600</v>
      </c>
      <c r="I665" s="346">
        <v>42570</v>
      </c>
      <c r="J665">
        <v>21.309999000000001</v>
      </c>
      <c r="K665">
        <v>21.33</v>
      </c>
      <c r="L665">
        <v>21.26</v>
      </c>
      <c r="M665">
        <v>21.299999</v>
      </c>
    </row>
    <row r="666" spans="1:13">
      <c r="A666" s="346">
        <v>42571</v>
      </c>
      <c r="B666">
        <v>15.23</v>
      </c>
      <c r="C666">
        <v>15.93</v>
      </c>
      <c r="D666">
        <v>15.06</v>
      </c>
      <c r="E666">
        <v>15.8</v>
      </c>
      <c r="F666">
        <v>15.8</v>
      </c>
      <c r="G666">
        <v>490800</v>
      </c>
      <c r="I666" s="346">
        <v>42571</v>
      </c>
      <c r="J666">
        <v>21.290001</v>
      </c>
      <c r="K666">
        <v>21.370000999999998</v>
      </c>
      <c r="L666">
        <v>21.26</v>
      </c>
      <c r="M666">
        <v>21.33</v>
      </c>
    </row>
    <row r="667" spans="1:13">
      <c r="A667" s="346">
        <v>42572</v>
      </c>
      <c r="B667">
        <v>15.73</v>
      </c>
      <c r="C667">
        <v>15.86</v>
      </c>
      <c r="D667">
        <v>15.42</v>
      </c>
      <c r="E667">
        <v>15.47</v>
      </c>
      <c r="F667">
        <v>15.47</v>
      </c>
      <c r="G667">
        <v>373300</v>
      </c>
      <c r="I667" s="346">
        <v>42572</v>
      </c>
      <c r="J667">
        <v>21.32</v>
      </c>
      <c r="K667">
        <v>21.4</v>
      </c>
      <c r="L667">
        <v>21.32</v>
      </c>
      <c r="M667">
        <v>21.34</v>
      </c>
    </row>
    <row r="668" spans="1:13">
      <c r="A668" s="346">
        <v>42573</v>
      </c>
      <c r="B668">
        <v>15.45</v>
      </c>
      <c r="C668">
        <v>15.62</v>
      </c>
      <c r="D668">
        <v>15.18</v>
      </c>
      <c r="E668">
        <v>15.38</v>
      </c>
      <c r="F668">
        <v>15.38</v>
      </c>
      <c r="G668">
        <v>332800</v>
      </c>
      <c r="I668" s="346">
        <v>42573</v>
      </c>
      <c r="J668">
        <v>21.370000999999998</v>
      </c>
      <c r="K668">
        <v>21.440000999999999</v>
      </c>
      <c r="L668">
        <v>21.35</v>
      </c>
      <c r="M668">
        <v>21.42</v>
      </c>
    </row>
    <row r="669" spans="1:13">
      <c r="A669" s="346">
        <v>42576</v>
      </c>
      <c r="B669">
        <v>15.29</v>
      </c>
      <c r="C669">
        <v>15.85</v>
      </c>
      <c r="D669">
        <v>15.13</v>
      </c>
      <c r="E669">
        <v>15.8</v>
      </c>
      <c r="F669">
        <v>15.8</v>
      </c>
      <c r="G669">
        <v>210700</v>
      </c>
      <c r="I669" s="346">
        <v>42576</v>
      </c>
      <c r="J669">
        <v>21.389999</v>
      </c>
      <c r="K669">
        <v>21.42</v>
      </c>
      <c r="L669">
        <v>21.24</v>
      </c>
      <c r="M669">
        <v>21.27</v>
      </c>
    </row>
    <row r="670" spans="1:13">
      <c r="A670" s="346">
        <v>42577</v>
      </c>
      <c r="B670">
        <v>15.86</v>
      </c>
      <c r="C670">
        <v>15.88</v>
      </c>
      <c r="D670">
        <v>15.19</v>
      </c>
      <c r="E670">
        <v>15.42</v>
      </c>
      <c r="F670">
        <v>15.42</v>
      </c>
      <c r="G670">
        <v>358900</v>
      </c>
      <c r="I670" s="346">
        <v>42577</v>
      </c>
      <c r="J670">
        <v>21.27</v>
      </c>
      <c r="K670">
        <v>21.4</v>
      </c>
      <c r="L670">
        <v>21.27</v>
      </c>
      <c r="M670">
        <v>21.35</v>
      </c>
    </row>
    <row r="671" spans="1:13">
      <c r="A671" s="346">
        <v>42578</v>
      </c>
      <c r="B671">
        <v>15.73</v>
      </c>
      <c r="C671">
        <v>15.97</v>
      </c>
      <c r="D671">
        <v>15.53</v>
      </c>
      <c r="E671">
        <v>15.72</v>
      </c>
      <c r="F671">
        <v>15.72</v>
      </c>
      <c r="G671">
        <v>331200</v>
      </c>
      <c r="I671" s="346">
        <v>42578</v>
      </c>
      <c r="J671">
        <v>21.4</v>
      </c>
      <c r="K671">
        <v>21.440000999999999</v>
      </c>
      <c r="L671">
        <v>21.219999000000001</v>
      </c>
      <c r="M671">
        <v>21.33</v>
      </c>
    </row>
    <row r="672" spans="1:13">
      <c r="A672" s="346">
        <v>42579</v>
      </c>
      <c r="B672">
        <v>15.75</v>
      </c>
      <c r="C672">
        <v>15.76</v>
      </c>
      <c r="D672">
        <v>15.52</v>
      </c>
      <c r="E672">
        <v>15.6</v>
      </c>
      <c r="F672">
        <v>15.6</v>
      </c>
      <c r="G672">
        <v>232100</v>
      </c>
      <c r="I672" s="346">
        <v>42579</v>
      </c>
      <c r="J672">
        <v>21.360001</v>
      </c>
      <c r="K672">
        <v>21.379999000000002</v>
      </c>
      <c r="L672">
        <v>21.27</v>
      </c>
      <c r="M672">
        <v>21.34</v>
      </c>
    </row>
    <row r="673" spans="1:13">
      <c r="A673" s="346">
        <v>42580</v>
      </c>
      <c r="B673">
        <v>15.57</v>
      </c>
      <c r="C673">
        <v>15.69</v>
      </c>
      <c r="D673">
        <v>15.34</v>
      </c>
      <c r="E673">
        <v>15.5</v>
      </c>
      <c r="F673">
        <v>15.5</v>
      </c>
      <c r="G673">
        <v>283800</v>
      </c>
      <c r="I673" s="346">
        <v>42580</v>
      </c>
      <c r="J673">
        <v>21.299999</v>
      </c>
      <c r="K673">
        <v>21.379999000000002</v>
      </c>
      <c r="L673">
        <v>21.26</v>
      </c>
      <c r="M673">
        <v>21.35</v>
      </c>
    </row>
    <row r="674" spans="1:13">
      <c r="A674" s="346">
        <v>42584</v>
      </c>
      <c r="B674">
        <v>15.59</v>
      </c>
      <c r="C674">
        <v>16.25</v>
      </c>
      <c r="D674">
        <v>15.49</v>
      </c>
      <c r="E674">
        <v>15.72</v>
      </c>
      <c r="F674">
        <v>15.72</v>
      </c>
      <c r="G674">
        <v>332700</v>
      </c>
      <c r="I674" s="346">
        <v>42584</v>
      </c>
      <c r="J674">
        <v>21.299999</v>
      </c>
      <c r="K674">
        <v>21.32</v>
      </c>
      <c r="L674">
        <v>21.1</v>
      </c>
      <c r="M674">
        <v>21.18</v>
      </c>
    </row>
    <row r="675" spans="1:13">
      <c r="A675" s="346">
        <v>42585</v>
      </c>
      <c r="B675">
        <v>15.78</v>
      </c>
      <c r="C675">
        <v>15.78</v>
      </c>
      <c r="D675">
        <v>15.43</v>
      </c>
      <c r="E675">
        <v>15.44</v>
      </c>
      <c r="F675">
        <v>15.44</v>
      </c>
      <c r="G675">
        <v>163400</v>
      </c>
      <c r="I675" s="346">
        <v>42585</v>
      </c>
      <c r="J675">
        <v>21.190000999999999</v>
      </c>
      <c r="K675">
        <v>21.27</v>
      </c>
      <c r="L675">
        <v>21.15</v>
      </c>
      <c r="M675">
        <v>21.25</v>
      </c>
    </row>
    <row r="676" spans="1:13">
      <c r="A676" s="346">
        <v>42586</v>
      </c>
      <c r="B676">
        <v>15.41</v>
      </c>
      <c r="C676">
        <v>15.68</v>
      </c>
      <c r="D676">
        <v>15.41</v>
      </c>
      <c r="E676">
        <v>15.63</v>
      </c>
      <c r="F676">
        <v>15.63</v>
      </c>
      <c r="G676">
        <v>135600</v>
      </c>
      <c r="I676" s="346">
        <v>42586</v>
      </c>
      <c r="J676">
        <v>21.209999</v>
      </c>
      <c r="K676">
        <v>21.26</v>
      </c>
      <c r="L676">
        <v>21.139999</v>
      </c>
      <c r="M676">
        <v>21.209999</v>
      </c>
    </row>
    <row r="677" spans="1:13">
      <c r="A677" s="346">
        <v>42587</v>
      </c>
      <c r="B677">
        <v>15.69</v>
      </c>
      <c r="C677">
        <v>16.149999999999999</v>
      </c>
      <c r="D677">
        <v>15.68</v>
      </c>
      <c r="E677">
        <v>16.100000000000001</v>
      </c>
      <c r="F677">
        <v>16.100000000000001</v>
      </c>
      <c r="G677">
        <v>272900</v>
      </c>
      <c r="I677" s="346">
        <v>42587</v>
      </c>
      <c r="J677">
        <v>21.299999</v>
      </c>
      <c r="K677">
        <v>21.440000999999999</v>
      </c>
      <c r="L677">
        <v>21.299999</v>
      </c>
      <c r="M677">
        <v>21.41</v>
      </c>
    </row>
    <row r="678" spans="1:13">
      <c r="A678" s="346">
        <v>42590</v>
      </c>
      <c r="B678">
        <v>16.100000000000001</v>
      </c>
      <c r="C678">
        <v>16.239999999999998</v>
      </c>
      <c r="D678">
        <v>15.61</v>
      </c>
      <c r="E678">
        <v>15.78</v>
      </c>
      <c r="F678">
        <v>15.78</v>
      </c>
      <c r="G678">
        <v>266900</v>
      </c>
      <c r="I678" s="346">
        <v>42590</v>
      </c>
      <c r="J678">
        <v>21.450001</v>
      </c>
      <c r="K678">
        <v>21.629999000000002</v>
      </c>
      <c r="L678">
        <v>21.450001</v>
      </c>
      <c r="M678">
        <v>21.59</v>
      </c>
    </row>
    <row r="679" spans="1:13">
      <c r="A679" s="346">
        <v>42591</v>
      </c>
      <c r="B679">
        <v>15.78</v>
      </c>
      <c r="C679">
        <v>15.86</v>
      </c>
      <c r="D679">
        <v>15.48</v>
      </c>
      <c r="E679">
        <v>15.58</v>
      </c>
      <c r="F679">
        <v>15.58</v>
      </c>
      <c r="G679">
        <v>287800</v>
      </c>
      <c r="I679" s="346">
        <v>42591</v>
      </c>
      <c r="J679">
        <v>21.629999000000002</v>
      </c>
      <c r="K679">
        <v>21.74</v>
      </c>
      <c r="L679">
        <v>21.620000999999998</v>
      </c>
      <c r="M679">
        <v>21.700001</v>
      </c>
    </row>
    <row r="680" spans="1:13">
      <c r="A680" s="346">
        <v>42592</v>
      </c>
      <c r="B680">
        <v>15.62</v>
      </c>
      <c r="C680">
        <v>15.71</v>
      </c>
      <c r="D680">
        <v>15.55</v>
      </c>
      <c r="E680">
        <v>15.61</v>
      </c>
      <c r="F680">
        <v>15.61</v>
      </c>
      <c r="G680">
        <v>98000</v>
      </c>
      <c r="I680" s="346">
        <v>42592</v>
      </c>
      <c r="J680">
        <v>21.74</v>
      </c>
      <c r="K680">
        <v>21.75</v>
      </c>
      <c r="L680">
        <v>21.610001</v>
      </c>
      <c r="M680">
        <v>21.65</v>
      </c>
    </row>
    <row r="681" spans="1:13">
      <c r="A681" s="346">
        <v>42593</v>
      </c>
      <c r="B681">
        <v>15.74</v>
      </c>
      <c r="C681">
        <v>15.75</v>
      </c>
      <c r="D681">
        <v>15.59</v>
      </c>
      <c r="E681">
        <v>15.62</v>
      </c>
      <c r="F681">
        <v>15.62</v>
      </c>
      <c r="G681">
        <v>44400</v>
      </c>
      <c r="I681" s="346">
        <v>42593</v>
      </c>
      <c r="J681">
        <v>21.700001</v>
      </c>
      <c r="K681">
        <v>21.780000999999999</v>
      </c>
      <c r="L681">
        <v>21.690000999999999</v>
      </c>
      <c r="M681">
        <v>21.709999</v>
      </c>
    </row>
    <row r="682" spans="1:13">
      <c r="A682" s="346">
        <v>42594</v>
      </c>
      <c r="B682">
        <v>15.64</v>
      </c>
      <c r="C682">
        <v>15.77</v>
      </c>
      <c r="D682">
        <v>15.57</v>
      </c>
      <c r="E682">
        <v>15.69</v>
      </c>
      <c r="F682">
        <v>15.69</v>
      </c>
      <c r="G682">
        <v>85600</v>
      </c>
      <c r="I682" s="346">
        <v>42594</v>
      </c>
      <c r="J682">
        <v>21.690000999999999</v>
      </c>
      <c r="K682">
        <v>21.709999</v>
      </c>
      <c r="L682">
        <v>21.549999</v>
      </c>
      <c r="M682">
        <v>21.620000999999998</v>
      </c>
    </row>
    <row r="683" spans="1:13">
      <c r="A683" s="346">
        <v>42597</v>
      </c>
      <c r="B683">
        <v>15.76</v>
      </c>
      <c r="C683">
        <v>15.9</v>
      </c>
      <c r="D683">
        <v>15.6</v>
      </c>
      <c r="E683">
        <v>15.76</v>
      </c>
      <c r="F683">
        <v>15.76</v>
      </c>
      <c r="G683">
        <v>185800</v>
      </c>
      <c r="I683" s="346">
        <v>42597</v>
      </c>
      <c r="J683">
        <v>21.65</v>
      </c>
      <c r="K683">
        <v>21.709999</v>
      </c>
      <c r="L683">
        <v>21.65</v>
      </c>
      <c r="M683">
        <v>21.65</v>
      </c>
    </row>
    <row r="684" spans="1:13">
      <c r="A684" s="346">
        <v>42598</v>
      </c>
      <c r="B684">
        <v>15.73</v>
      </c>
      <c r="C684">
        <v>15.73</v>
      </c>
      <c r="D684">
        <v>15.51</v>
      </c>
      <c r="E684">
        <v>15.55</v>
      </c>
      <c r="F684">
        <v>15.55</v>
      </c>
      <c r="G684">
        <v>120400</v>
      </c>
      <c r="I684" s="346">
        <v>42598</v>
      </c>
      <c r="J684">
        <v>21.639999</v>
      </c>
      <c r="K684">
        <v>21.639999</v>
      </c>
      <c r="L684">
        <v>21.52</v>
      </c>
      <c r="M684">
        <v>21.559999000000001</v>
      </c>
    </row>
    <row r="685" spans="1:13">
      <c r="A685" s="346">
        <v>42599</v>
      </c>
      <c r="B685">
        <v>15.55</v>
      </c>
      <c r="C685">
        <v>15.55</v>
      </c>
      <c r="D685">
        <v>14.85</v>
      </c>
      <c r="E685">
        <v>15.22</v>
      </c>
      <c r="F685">
        <v>15.22</v>
      </c>
      <c r="G685">
        <v>278900</v>
      </c>
      <c r="I685" s="346">
        <v>42599</v>
      </c>
      <c r="J685">
        <v>21.549999</v>
      </c>
      <c r="K685">
        <v>21.559999000000001</v>
      </c>
      <c r="L685">
        <v>21.42</v>
      </c>
      <c r="M685">
        <v>21.559999000000001</v>
      </c>
    </row>
    <row r="686" spans="1:13">
      <c r="A686" s="346">
        <v>42600</v>
      </c>
      <c r="B686">
        <v>15.24</v>
      </c>
      <c r="C686">
        <v>15.24</v>
      </c>
      <c r="D686">
        <v>14.81</v>
      </c>
      <c r="E686">
        <v>15.05</v>
      </c>
      <c r="F686">
        <v>15.05</v>
      </c>
      <c r="G686">
        <v>137800</v>
      </c>
      <c r="I686" s="346">
        <v>42600</v>
      </c>
      <c r="J686">
        <v>21.559999000000001</v>
      </c>
      <c r="K686">
        <v>21.559999000000001</v>
      </c>
      <c r="L686">
        <v>21.49</v>
      </c>
      <c r="M686">
        <v>21.530000999999999</v>
      </c>
    </row>
    <row r="687" spans="1:13">
      <c r="A687" s="346">
        <v>42601</v>
      </c>
      <c r="B687">
        <v>15.01</v>
      </c>
      <c r="C687">
        <v>15.04</v>
      </c>
      <c r="D687">
        <v>14.43</v>
      </c>
      <c r="E687">
        <v>14.89</v>
      </c>
      <c r="F687">
        <v>14.89</v>
      </c>
      <c r="G687">
        <v>253800</v>
      </c>
      <c r="I687" s="346">
        <v>42601</v>
      </c>
      <c r="J687">
        <v>21.51</v>
      </c>
      <c r="K687">
        <v>21.549999</v>
      </c>
      <c r="L687">
        <v>21.450001</v>
      </c>
      <c r="M687">
        <v>21.530000999999999</v>
      </c>
    </row>
    <row r="688" spans="1:13">
      <c r="A688" s="346">
        <v>42604</v>
      </c>
      <c r="B688">
        <v>14.81</v>
      </c>
      <c r="C688">
        <v>14.9</v>
      </c>
      <c r="D688">
        <v>14.33</v>
      </c>
      <c r="E688">
        <v>14.68</v>
      </c>
      <c r="F688">
        <v>14.68</v>
      </c>
      <c r="G688">
        <v>173700</v>
      </c>
      <c r="I688" s="346">
        <v>42604</v>
      </c>
      <c r="J688">
        <v>21.49</v>
      </c>
      <c r="K688">
        <v>21.65</v>
      </c>
      <c r="L688">
        <v>21.43</v>
      </c>
      <c r="M688">
        <v>21.639999</v>
      </c>
    </row>
    <row r="689" spans="1:13">
      <c r="A689" s="346">
        <v>42605</v>
      </c>
      <c r="B689">
        <v>14.71</v>
      </c>
      <c r="C689">
        <v>15.21</v>
      </c>
      <c r="D689">
        <v>14.71</v>
      </c>
      <c r="E689">
        <v>15.01</v>
      </c>
      <c r="F689">
        <v>15.01</v>
      </c>
      <c r="G689">
        <v>293200</v>
      </c>
      <c r="I689" s="346">
        <v>42605</v>
      </c>
      <c r="J689">
        <v>21.700001</v>
      </c>
      <c r="K689">
        <v>21.75</v>
      </c>
      <c r="L689">
        <v>21.67</v>
      </c>
      <c r="M689">
        <v>21.700001</v>
      </c>
    </row>
    <row r="690" spans="1:13">
      <c r="A690" s="346">
        <v>42606</v>
      </c>
      <c r="B690">
        <v>14.98</v>
      </c>
      <c r="C690">
        <v>15.17</v>
      </c>
      <c r="D690">
        <v>14.84</v>
      </c>
      <c r="E690">
        <v>15.04</v>
      </c>
      <c r="F690">
        <v>15.04</v>
      </c>
      <c r="G690">
        <v>106400</v>
      </c>
      <c r="I690" s="346">
        <v>42606</v>
      </c>
      <c r="J690">
        <v>21.540001</v>
      </c>
      <c r="K690">
        <v>21.559999000000001</v>
      </c>
      <c r="L690">
        <v>21.360001</v>
      </c>
      <c r="M690">
        <v>21.379999000000002</v>
      </c>
    </row>
    <row r="691" spans="1:13">
      <c r="A691" s="346">
        <v>42607</v>
      </c>
      <c r="B691">
        <v>15.03</v>
      </c>
      <c r="C691">
        <v>15.1</v>
      </c>
      <c r="D691">
        <v>14.73</v>
      </c>
      <c r="E691">
        <v>15.06</v>
      </c>
      <c r="F691">
        <v>15.06</v>
      </c>
      <c r="G691">
        <v>72900</v>
      </c>
      <c r="I691" s="346">
        <v>42607</v>
      </c>
      <c r="J691">
        <v>21.34</v>
      </c>
      <c r="K691">
        <v>21.42</v>
      </c>
      <c r="L691">
        <v>21.290001</v>
      </c>
      <c r="M691">
        <v>21.360001</v>
      </c>
    </row>
    <row r="692" spans="1:13">
      <c r="A692" s="346">
        <v>42608</v>
      </c>
      <c r="B692">
        <v>15.09</v>
      </c>
      <c r="C692">
        <v>15.28</v>
      </c>
      <c r="D692">
        <v>14.73</v>
      </c>
      <c r="E692">
        <v>14.84</v>
      </c>
      <c r="F692">
        <v>14.84</v>
      </c>
      <c r="G692">
        <v>150000</v>
      </c>
      <c r="I692" s="346">
        <v>42608</v>
      </c>
      <c r="J692">
        <v>21.389999</v>
      </c>
      <c r="K692">
        <v>21.52</v>
      </c>
      <c r="L692">
        <v>21.299999</v>
      </c>
      <c r="M692">
        <v>21.379999000000002</v>
      </c>
    </row>
    <row r="693" spans="1:13">
      <c r="A693" s="346">
        <v>42611</v>
      </c>
      <c r="B693">
        <v>14.79</v>
      </c>
      <c r="C693">
        <v>15.03</v>
      </c>
      <c r="D693">
        <v>14.77</v>
      </c>
      <c r="E693">
        <v>14.95</v>
      </c>
      <c r="F693">
        <v>14.95</v>
      </c>
      <c r="G693">
        <v>94800</v>
      </c>
      <c r="I693" s="346">
        <v>42611</v>
      </c>
      <c r="J693">
        <v>21.370000999999998</v>
      </c>
      <c r="K693">
        <v>21.5</v>
      </c>
      <c r="L693">
        <v>21.35</v>
      </c>
      <c r="M693">
        <v>21.450001</v>
      </c>
    </row>
    <row r="694" spans="1:13">
      <c r="A694" s="346">
        <v>42612</v>
      </c>
      <c r="B694">
        <v>14.96</v>
      </c>
      <c r="C694">
        <v>15.22</v>
      </c>
      <c r="D694">
        <v>14.86</v>
      </c>
      <c r="E694">
        <v>14.91</v>
      </c>
      <c r="F694">
        <v>14.91</v>
      </c>
      <c r="G694">
        <v>149900</v>
      </c>
      <c r="I694" s="346">
        <v>42612</v>
      </c>
      <c r="J694">
        <v>21.469999000000001</v>
      </c>
      <c r="K694">
        <v>21.610001</v>
      </c>
      <c r="L694">
        <v>21.450001</v>
      </c>
      <c r="M694">
        <v>21.49</v>
      </c>
    </row>
    <row r="695" spans="1:13">
      <c r="A695" s="346">
        <v>42613</v>
      </c>
      <c r="B695">
        <v>15.12</v>
      </c>
      <c r="C695">
        <v>15.58</v>
      </c>
      <c r="D695">
        <v>14.99</v>
      </c>
      <c r="E695">
        <v>15.23</v>
      </c>
      <c r="F695">
        <v>15.23</v>
      </c>
      <c r="G695">
        <v>354900</v>
      </c>
      <c r="I695" s="346">
        <v>42613</v>
      </c>
      <c r="J695">
        <v>21.43</v>
      </c>
      <c r="K695">
        <v>21.459999</v>
      </c>
      <c r="L695">
        <v>21.25</v>
      </c>
      <c r="M695">
        <v>21.33</v>
      </c>
    </row>
    <row r="696" spans="1:13">
      <c r="A696" s="346">
        <v>42614</v>
      </c>
      <c r="B696">
        <v>15.27</v>
      </c>
      <c r="C696">
        <v>15.9</v>
      </c>
      <c r="D696">
        <v>15.27</v>
      </c>
      <c r="E696">
        <v>15.83</v>
      </c>
      <c r="F696">
        <v>15.83</v>
      </c>
      <c r="G696">
        <v>288800</v>
      </c>
      <c r="I696" s="346">
        <v>42614</v>
      </c>
      <c r="J696">
        <v>21.33</v>
      </c>
      <c r="K696">
        <v>21.5</v>
      </c>
      <c r="L696">
        <v>21.309999000000001</v>
      </c>
      <c r="M696">
        <v>21.450001</v>
      </c>
    </row>
    <row r="697" spans="1:13">
      <c r="A697" s="346">
        <v>42615</v>
      </c>
      <c r="B697">
        <v>15.95</v>
      </c>
      <c r="C697">
        <v>16.399999999999999</v>
      </c>
      <c r="D697">
        <v>15.89</v>
      </c>
      <c r="E697">
        <v>16.219999000000001</v>
      </c>
      <c r="F697">
        <v>16.219999000000001</v>
      </c>
      <c r="G697">
        <v>251700</v>
      </c>
      <c r="I697" s="346">
        <v>42615</v>
      </c>
      <c r="J697">
        <v>21.549999</v>
      </c>
      <c r="K697">
        <v>21.68</v>
      </c>
      <c r="L697">
        <v>21.540001</v>
      </c>
      <c r="M697">
        <v>21.6</v>
      </c>
    </row>
    <row r="698" spans="1:13">
      <c r="A698" s="346">
        <v>42619</v>
      </c>
      <c r="B698">
        <v>16.209999</v>
      </c>
      <c r="C698">
        <v>16.209999</v>
      </c>
      <c r="D698">
        <v>15.77</v>
      </c>
      <c r="E698">
        <v>15.95</v>
      </c>
      <c r="F698">
        <v>15.95</v>
      </c>
      <c r="G698">
        <v>226700</v>
      </c>
      <c r="I698" s="346">
        <v>42619</v>
      </c>
      <c r="J698">
        <v>21.629999000000002</v>
      </c>
      <c r="K698">
        <v>21.629999000000002</v>
      </c>
      <c r="L698">
        <v>21.530000999999999</v>
      </c>
      <c r="M698">
        <v>21.6</v>
      </c>
    </row>
    <row r="699" spans="1:13">
      <c r="A699" s="346">
        <v>42620</v>
      </c>
      <c r="B699">
        <v>15.95</v>
      </c>
      <c r="C699">
        <v>15.95</v>
      </c>
      <c r="D699">
        <v>15.17</v>
      </c>
      <c r="E699">
        <v>15.29</v>
      </c>
      <c r="F699">
        <v>15.29</v>
      </c>
      <c r="G699">
        <v>321500</v>
      </c>
      <c r="I699" s="346">
        <v>42620</v>
      </c>
      <c r="J699">
        <v>21.549999</v>
      </c>
      <c r="K699">
        <v>21.6</v>
      </c>
      <c r="L699">
        <v>21.5</v>
      </c>
      <c r="M699">
        <v>21.58</v>
      </c>
    </row>
    <row r="700" spans="1:13">
      <c r="A700" s="346">
        <v>42621</v>
      </c>
      <c r="B700">
        <v>15.27</v>
      </c>
      <c r="C700">
        <v>15.27</v>
      </c>
      <c r="D700">
        <v>14.85</v>
      </c>
      <c r="E700">
        <v>14.99</v>
      </c>
      <c r="F700">
        <v>14.99</v>
      </c>
      <c r="G700">
        <v>229400</v>
      </c>
      <c r="I700" s="346">
        <v>42621</v>
      </c>
      <c r="J700">
        <v>21.57</v>
      </c>
      <c r="K700">
        <v>21.620000999999998</v>
      </c>
      <c r="L700">
        <v>21.49</v>
      </c>
      <c r="M700">
        <v>21.58</v>
      </c>
    </row>
    <row r="701" spans="1:13">
      <c r="A701" s="346">
        <v>42622</v>
      </c>
      <c r="B701">
        <v>14.85</v>
      </c>
      <c r="C701">
        <v>14.87</v>
      </c>
      <c r="D701">
        <v>14.19</v>
      </c>
      <c r="E701">
        <v>14.43</v>
      </c>
      <c r="F701">
        <v>14.43</v>
      </c>
      <c r="G701">
        <v>296400</v>
      </c>
      <c r="I701" s="346">
        <v>42622</v>
      </c>
      <c r="J701">
        <v>21.49</v>
      </c>
      <c r="K701">
        <v>21.49</v>
      </c>
      <c r="L701">
        <v>21.17</v>
      </c>
      <c r="M701">
        <v>21.219999000000001</v>
      </c>
    </row>
    <row r="702" spans="1:13">
      <c r="A702" s="346">
        <v>42625</v>
      </c>
      <c r="B702">
        <v>14.44</v>
      </c>
      <c r="C702">
        <v>14.53</v>
      </c>
      <c r="D702">
        <v>14.05</v>
      </c>
      <c r="E702">
        <v>14.5</v>
      </c>
      <c r="F702">
        <v>14.5</v>
      </c>
      <c r="G702">
        <v>241900</v>
      </c>
      <c r="I702" s="346">
        <v>42625</v>
      </c>
      <c r="J702">
        <v>21.08</v>
      </c>
      <c r="K702">
        <v>21.370000999999998</v>
      </c>
      <c r="L702">
        <v>21.08</v>
      </c>
      <c r="M702">
        <v>21.309999000000001</v>
      </c>
    </row>
    <row r="703" spans="1:13">
      <c r="A703" s="346">
        <v>42626</v>
      </c>
      <c r="B703">
        <v>14.44</v>
      </c>
      <c r="C703">
        <v>14.54</v>
      </c>
      <c r="D703">
        <v>14.03</v>
      </c>
      <c r="E703">
        <v>14.36</v>
      </c>
      <c r="F703">
        <v>14.36</v>
      </c>
      <c r="G703">
        <v>263600</v>
      </c>
      <c r="I703" s="346">
        <v>42626</v>
      </c>
      <c r="J703">
        <v>21.16</v>
      </c>
      <c r="K703">
        <v>21.16</v>
      </c>
      <c r="L703">
        <v>20.91</v>
      </c>
      <c r="M703">
        <v>20.950001</v>
      </c>
    </row>
    <row r="704" spans="1:13">
      <c r="A704" s="346">
        <v>42627</v>
      </c>
      <c r="B704">
        <v>14.41</v>
      </c>
      <c r="C704">
        <v>14.9</v>
      </c>
      <c r="D704">
        <v>14.33</v>
      </c>
      <c r="E704">
        <v>14.51</v>
      </c>
      <c r="F704">
        <v>14.51</v>
      </c>
      <c r="G704">
        <v>166500</v>
      </c>
      <c r="I704" s="346">
        <v>42627</v>
      </c>
      <c r="J704">
        <v>20.940000999999999</v>
      </c>
      <c r="K704">
        <v>21.110001</v>
      </c>
      <c r="L704">
        <v>20.940000999999999</v>
      </c>
      <c r="M704">
        <v>20.98</v>
      </c>
    </row>
    <row r="705" spans="1:13">
      <c r="A705" s="346">
        <v>42628</v>
      </c>
      <c r="B705">
        <v>14.51</v>
      </c>
      <c r="C705">
        <v>14.6</v>
      </c>
      <c r="D705">
        <v>14.21</v>
      </c>
      <c r="E705">
        <v>14.49</v>
      </c>
      <c r="F705">
        <v>14.49</v>
      </c>
      <c r="G705">
        <v>152400</v>
      </c>
      <c r="I705" s="346">
        <v>42628</v>
      </c>
      <c r="J705">
        <v>21.049999</v>
      </c>
      <c r="K705">
        <v>21.26</v>
      </c>
      <c r="L705">
        <v>21.01</v>
      </c>
      <c r="M705">
        <v>21.219999000000001</v>
      </c>
    </row>
    <row r="706" spans="1:13">
      <c r="A706" s="346">
        <v>42629</v>
      </c>
      <c r="B706">
        <v>14.46</v>
      </c>
      <c r="C706">
        <v>14.48</v>
      </c>
      <c r="D706">
        <v>14.27</v>
      </c>
      <c r="E706">
        <v>14.45</v>
      </c>
      <c r="F706">
        <v>14.45</v>
      </c>
      <c r="G706">
        <v>282600</v>
      </c>
      <c r="I706" s="346">
        <v>42629</v>
      </c>
      <c r="J706">
        <v>21.200001</v>
      </c>
      <c r="K706">
        <v>21.200001</v>
      </c>
      <c r="L706">
        <v>21.040001</v>
      </c>
      <c r="M706">
        <v>21.15</v>
      </c>
    </row>
    <row r="707" spans="1:13">
      <c r="A707" s="346">
        <v>42632</v>
      </c>
      <c r="B707">
        <v>14.56</v>
      </c>
      <c r="C707">
        <v>14.56</v>
      </c>
      <c r="D707">
        <v>14.3</v>
      </c>
      <c r="E707">
        <v>14.44</v>
      </c>
      <c r="F707">
        <v>14.44</v>
      </c>
      <c r="G707">
        <v>183000</v>
      </c>
      <c r="I707" s="346">
        <v>42632</v>
      </c>
      <c r="J707">
        <v>21.219999000000001</v>
      </c>
      <c r="K707">
        <v>21.309999000000001</v>
      </c>
      <c r="L707">
        <v>21.17</v>
      </c>
      <c r="M707">
        <v>21.200001</v>
      </c>
    </row>
    <row r="708" spans="1:13">
      <c r="A708" s="346">
        <v>42633</v>
      </c>
      <c r="B708">
        <v>14.5</v>
      </c>
      <c r="C708">
        <v>14.5</v>
      </c>
      <c r="D708">
        <v>14.25</v>
      </c>
      <c r="E708">
        <v>14.28</v>
      </c>
      <c r="F708">
        <v>14.28</v>
      </c>
      <c r="G708">
        <v>130300</v>
      </c>
      <c r="I708" s="346">
        <v>42633</v>
      </c>
      <c r="J708">
        <v>21.309999000000001</v>
      </c>
      <c r="K708">
        <v>21.34</v>
      </c>
      <c r="L708">
        <v>21.219999000000001</v>
      </c>
      <c r="M708">
        <v>21.23</v>
      </c>
    </row>
    <row r="709" spans="1:13">
      <c r="A709" s="346">
        <v>42634</v>
      </c>
      <c r="B709">
        <v>14.31</v>
      </c>
      <c r="C709">
        <v>14.45</v>
      </c>
      <c r="D709">
        <v>14.22</v>
      </c>
      <c r="E709">
        <v>14.36</v>
      </c>
      <c r="F709">
        <v>14.36</v>
      </c>
      <c r="G709">
        <v>211500</v>
      </c>
      <c r="I709" s="346">
        <v>42634</v>
      </c>
      <c r="J709">
        <v>21.32</v>
      </c>
      <c r="K709">
        <v>21.51</v>
      </c>
      <c r="L709">
        <v>21.32</v>
      </c>
      <c r="M709">
        <v>21.49</v>
      </c>
    </row>
    <row r="710" spans="1:13">
      <c r="A710" s="346">
        <v>42635</v>
      </c>
      <c r="B710">
        <v>14.46</v>
      </c>
      <c r="C710">
        <v>14.71</v>
      </c>
      <c r="D710">
        <v>14.3</v>
      </c>
      <c r="E710">
        <v>14.62</v>
      </c>
      <c r="F710">
        <v>14.62</v>
      </c>
      <c r="G710">
        <v>294800</v>
      </c>
      <c r="I710" s="346">
        <v>42635</v>
      </c>
      <c r="J710">
        <v>21.629999000000002</v>
      </c>
      <c r="K710">
        <v>21.68</v>
      </c>
      <c r="L710">
        <v>21.59</v>
      </c>
      <c r="M710">
        <v>21.610001</v>
      </c>
    </row>
    <row r="711" spans="1:13">
      <c r="A711" s="346">
        <v>42636</v>
      </c>
      <c r="B711">
        <v>14.56</v>
      </c>
      <c r="C711">
        <v>14.78</v>
      </c>
      <c r="D711">
        <v>14.4</v>
      </c>
      <c r="E711">
        <v>14.48</v>
      </c>
      <c r="F711">
        <v>14.48</v>
      </c>
      <c r="G711">
        <v>179400</v>
      </c>
      <c r="I711" s="346">
        <v>42636</v>
      </c>
      <c r="J711">
        <v>21.58</v>
      </c>
      <c r="K711">
        <v>21.620000999999998</v>
      </c>
      <c r="L711">
        <v>21.450001</v>
      </c>
      <c r="M711">
        <v>21.49</v>
      </c>
    </row>
    <row r="712" spans="1:13">
      <c r="A712" s="346">
        <v>42639</v>
      </c>
      <c r="B712">
        <v>14.42</v>
      </c>
      <c r="C712">
        <v>14.49</v>
      </c>
      <c r="D712">
        <v>14.2</v>
      </c>
      <c r="E712">
        <v>14.26</v>
      </c>
      <c r="F712">
        <v>14.26</v>
      </c>
      <c r="G712">
        <v>156000</v>
      </c>
      <c r="I712" s="346">
        <v>42639</v>
      </c>
      <c r="J712">
        <v>21.41</v>
      </c>
      <c r="K712">
        <v>21.440000999999999</v>
      </c>
      <c r="L712">
        <v>21.35</v>
      </c>
      <c r="M712">
        <v>21.4</v>
      </c>
    </row>
    <row r="713" spans="1:13">
      <c r="A713" s="346">
        <v>42640</v>
      </c>
      <c r="B713">
        <v>14.21</v>
      </c>
      <c r="C713">
        <v>14.25</v>
      </c>
      <c r="D713">
        <v>14.04</v>
      </c>
      <c r="E713">
        <v>14.21</v>
      </c>
      <c r="F713">
        <v>14.21</v>
      </c>
      <c r="G713">
        <v>119200</v>
      </c>
      <c r="I713" s="346">
        <v>42640</v>
      </c>
      <c r="J713">
        <v>21.33</v>
      </c>
      <c r="K713">
        <v>21.389999</v>
      </c>
      <c r="L713">
        <v>21.24</v>
      </c>
      <c r="M713">
        <v>21.32</v>
      </c>
    </row>
    <row r="714" spans="1:13">
      <c r="A714" s="346">
        <v>42641</v>
      </c>
      <c r="B714">
        <v>14.24</v>
      </c>
      <c r="C714">
        <v>14.47</v>
      </c>
      <c r="D714">
        <v>14.22</v>
      </c>
      <c r="E714">
        <v>14.28</v>
      </c>
      <c r="F714">
        <v>14.28</v>
      </c>
      <c r="G714">
        <v>190200</v>
      </c>
      <c r="I714" s="346">
        <v>42641</v>
      </c>
      <c r="J714">
        <v>21.379999000000002</v>
      </c>
      <c r="K714">
        <v>21.6</v>
      </c>
      <c r="L714">
        <v>21.370000999999998</v>
      </c>
      <c r="M714">
        <v>21.59</v>
      </c>
    </row>
    <row r="715" spans="1:13">
      <c r="A715" s="346">
        <v>42642</v>
      </c>
      <c r="B715">
        <v>14.21</v>
      </c>
      <c r="C715">
        <v>14.32</v>
      </c>
      <c r="D715">
        <v>14.1</v>
      </c>
      <c r="E715">
        <v>14.18</v>
      </c>
      <c r="F715">
        <v>14.18</v>
      </c>
      <c r="G715">
        <v>221700</v>
      </c>
      <c r="I715" s="346">
        <v>42642</v>
      </c>
      <c r="J715">
        <v>21.59</v>
      </c>
      <c r="K715">
        <v>21.700001</v>
      </c>
      <c r="L715">
        <v>21.540001</v>
      </c>
      <c r="M715">
        <v>21.620000999999998</v>
      </c>
    </row>
    <row r="716" spans="1:13">
      <c r="A716" s="346">
        <v>42643</v>
      </c>
      <c r="B716">
        <v>14.05</v>
      </c>
      <c r="C716">
        <v>14.91</v>
      </c>
      <c r="D716">
        <v>13.83</v>
      </c>
      <c r="E716">
        <v>14.57</v>
      </c>
      <c r="F716">
        <v>14.57</v>
      </c>
      <c r="G716">
        <v>401100</v>
      </c>
      <c r="I716" s="346">
        <v>42643</v>
      </c>
      <c r="J716">
        <v>21.73</v>
      </c>
      <c r="K716">
        <v>21.76</v>
      </c>
      <c r="L716">
        <v>21.6</v>
      </c>
      <c r="M716">
        <v>21.6</v>
      </c>
    </row>
    <row r="717" spans="1:13">
      <c r="A717" s="346">
        <v>42646</v>
      </c>
      <c r="B717">
        <v>14.48</v>
      </c>
      <c r="C717">
        <v>14.57</v>
      </c>
      <c r="D717">
        <v>13.92</v>
      </c>
      <c r="E717">
        <v>14.19</v>
      </c>
      <c r="F717">
        <v>14.19</v>
      </c>
      <c r="G717">
        <v>281800</v>
      </c>
      <c r="I717" s="346">
        <v>42646</v>
      </c>
      <c r="J717">
        <v>21.6</v>
      </c>
      <c r="K717">
        <v>21.6</v>
      </c>
      <c r="L717">
        <v>21.450001</v>
      </c>
      <c r="M717">
        <v>21.540001</v>
      </c>
    </row>
    <row r="718" spans="1:13">
      <c r="A718" s="346">
        <v>42647</v>
      </c>
      <c r="B718">
        <v>14.13</v>
      </c>
      <c r="C718">
        <v>14.13</v>
      </c>
      <c r="D718">
        <v>13.74</v>
      </c>
      <c r="E718">
        <v>13.89</v>
      </c>
      <c r="F718">
        <v>13.89</v>
      </c>
      <c r="G718">
        <v>237500</v>
      </c>
      <c r="I718" s="346">
        <v>42647</v>
      </c>
      <c r="J718">
        <v>21.530000999999999</v>
      </c>
      <c r="K718">
        <v>21.549999</v>
      </c>
      <c r="L718">
        <v>21.24</v>
      </c>
      <c r="M718">
        <v>21.34</v>
      </c>
    </row>
    <row r="719" spans="1:13">
      <c r="A719" s="346">
        <v>42648</v>
      </c>
      <c r="B719">
        <v>14</v>
      </c>
      <c r="C719">
        <v>14.14</v>
      </c>
      <c r="D719">
        <v>13.84</v>
      </c>
      <c r="E719">
        <v>14</v>
      </c>
      <c r="F719">
        <v>14</v>
      </c>
      <c r="G719">
        <v>149700</v>
      </c>
      <c r="I719" s="346">
        <v>42648</v>
      </c>
      <c r="J719">
        <v>21.450001</v>
      </c>
      <c r="K719">
        <v>21.540001</v>
      </c>
      <c r="L719">
        <v>21.43</v>
      </c>
      <c r="M719">
        <v>21.5</v>
      </c>
    </row>
    <row r="720" spans="1:13">
      <c r="A720" s="346">
        <v>42649</v>
      </c>
      <c r="B720">
        <v>14</v>
      </c>
      <c r="C720">
        <v>14.45</v>
      </c>
      <c r="D720">
        <v>13.95</v>
      </c>
      <c r="E720">
        <v>14.4</v>
      </c>
      <c r="F720">
        <v>14.4</v>
      </c>
      <c r="G720">
        <v>256500</v>
      </c>
      <c r="I720" s="346">
        <v>42649</v>
      </c>
      <c r="J720">
        <v>21.450001</v>
      </c>
      <c r="K720">
        <v>21.530000999999999</v>
      </c>
      <c r="L720">
        <v>21.440000999999999</v>
      </c>
      <c r="M720">
        <v>21.469999000000001</v>
      </c>
    </row>
    <row r="721" spans="1:13">
      <c r="A721" s="346">
        <v>42650</v>
      </c>
      <c r="B721">
        <v>14.39</v>
      </c>
      <c r="C721">
        <v>14.57</v>
      </c>
      <c r="D721">
        <v>14.28</v>
      </c>
      <c r="E721">
        <v>14.39</v>
      </c>
      <c r="F721">
        <v>14.39</v>
      </c>
      <c r="G721">
        <v>106000</v>
      </c>
      <c r="I721" s="346">
        <v>42650</v>
      </c>
      <c r="J721">
        <v>21.459999</v>
      </c>
      <c r="K721">
        <v>21.51</v>
      </c>
      <c r="L721">
        <v>21.299999</v>
      </c>
      <c r="M721">
        <v>21.42</v>
      </c>
    </row>
    <row r="722" spans="1:13">
      <c r="A722" s="346">
        <v>42654</v>
      </c>
      <c r="B722">
        <v>14.4</v>
      </c>
      <c r="C722">
        <v>14.4</v>
      </c>
      <c r="D722">
        <v>14.03</v>
      </c>
      <c r="E722">
        <v>14.2</v>
      </c>
      <c r="F722">
        <v>14.2</v>
      </c>
      <c r="G722">
        <v>118500</v>
      </c>
      <c r="I722" s="346">
        <v>42654</v>
      </c>
      <c r="J722">
        <v>21.43</v>
      </c>
      <c r="K722">
        <v>21.459999</v>
      </c>
      <c r="L722">
        <v>21.379999000000002</v>
      </c>
      <c r="M722">
        <v>21.42</v>
      </c>
    </row>
    <row r="723" spans="1:13">
      <c r="A723" s="346">
        <v>42655</v>
      </c>
      <c r="B723">
        <v>14.12</v>
      </c>
      <c r="C723">
        <v>14.22</v>
      </c>
      <c r="D723">
        <v>13.98</v>
      </c>
      <c r="E723">
        <v>14.09</v>
      </c>
      <c r="F723">
        <v>14.09</v>
      </c>
      <c r="G723">
        <v>108000</v>
      </c>
      <c r="I723" s="346">
        <v>42655</v>
      </c>
      <c r="J723">
        <v>21.43</v>
      </c>
      <c r="K723">
        <v>21.530000999999999</v>
      </c>
      <c r="L723">
        <v>21.389999</v>
      </c>
      <c r="M723">
        <v>21.5</v>
      </c>
    </row>
    <row r="724" spans="1:13">
      <c r="A724" s="346">
        <v>42656</v>
      </c>
      <c r="B724">
        <v>13.91</v>
      </c>
      <c r="C724">
        <v>13.91</v>
      </c>
      <c r="D724">
        <v>13.38</v>
      </c>
      <c r="E724">
        <v>13.81</v>
      </c>
      <c r="F724">
        <v>13.81</v>
      </c>
      <c r="G724">
        <v>258000</v>
      </c>
      <c r="I724" s="346">
        <v>42656</v>
      </c>
      <c r="J724">
        <v>21.4</v>
      </c>
      <c r="K724">
        <v>21.58</v>
      </c>
      <c r="L724">
        <v>21.26</v>
      </c>
      <c r="M724">
        <v>21.540001</v>
      </c>
    </row>
    <row r="725" spans="1:13">
      <c r="A725" s="346">
        <v>42657</v>
      </c>
      <c r="B725">
        <v>13.8</v>
      </c>
      <c r="C725">
        <v>13.88</v>
      </c>
      <c r="D725">
        <v>13.6</v>
      </c>
      <c r="E725">
        <v>13.63</v>
      </c>
      <c r="F725">
        <v>13.63</v>
      </c>
      <c r="G725">
        <v>149200</v>
      </c>
      <c r="I725" s="346">
        <v>42657</v>
      </c>
      <c r="J725">
        <v>21.57</v>
      </c>
      <c r="K725">
        <v>21.68</v>
      </c>
      <c r="L725">
        <v>21.440000999999999</v>
      </c>
      <c r="M725">
        <v>21.450001</v>
      </c>
    </row>
    <row r="726" spans="1:13">
      <c r="A726" s="346">
        <v>42660</v>
      </c>
      <c r="B726">
        <v>13.65</v>
      </c>
      <c r="C726">
        <v>13.74</v>
      </c>
      <c r="D726">
        <v>13.41</v>
      </c>
      <c r="E726">
        <v>13.47</v>
      </c>
      <c r="F726">
        <v>13.47</v>
      </c>
      <c r="G726">
        <v>119500</v>
      </c>
      <c r="I726" s="346">
        <v>42660</v>
      </c>
      <c r="J726">
        <v>21.43</v>
      </c>
      <c r="K726">
        <v>21.51</v>
      </c>
      <c r="L726">
        <v>21.42</v>
      </c>
      <c r="M726">
        <v>21.450001</v>
      </c>
    </row>
    <row r="727" spans="1:13">
      <c r="A727" s="346">
        <v>42661</v>
      </c>
      <c r="B727">
        <v>13.57</v>
      </c>
      <c r="C727">
        <v>13.78</v>
      </c>
      <c r="D727">
        <v>13.56</v>
      </c>
      <c r="E727">
        <v>13.72</v>
      </c>
      <c r="F727">
        <v>13.72</v>
      </c>
      <c r="G727">
        <v>121100</v>
      </c>
      <c r="I727" s="346">
        <v>42661</v>
      </c>
      <c r="J727">
        <v>21.59</v>
      </c>
      <c r="K727">
        <v>21.74</v>
      </c>
      <c r="L727">
        <v>21.530000999999999</v>
      </c>
      <c r="M727">
        <v>21.690000999999999</v>
      </c>
    </row>
    <row r="728" spans="1:13">
      <c r="A728" s="346">
        <v>42662</v>
      </c>
      <c r="B728">
        <v>13.77</v>
      </c>
      <c r="C728">
        <v>13.78</v>
      </c>
      <c r="D728">
        <v>13.57</v>
      </c>
      <c r="E728">
        <v>13.59</v>
      </c>
      <c r="F728">
        <v>13.59</v>
      </c>
      <c r="G728">
        <v>162900</v>
      </c>
      <c r="I728" s="346">
        <v>42662</v>
      </c>
      <c r="J728">
        <v>21.709999</v>
      </c>
      <c r="K728">
        <v>21.889999</v>
      </c>
      <c r="L728">
        <v>21.67</v>
      </c>
      <c r="M728">
        <v>21.82</v>
      </c>
    </row>
    <row r="729" spans="1:13">
      <c r="A729" s="346">
        <v>42663</v>
      </c>
      <c r="B729">
        <v>13.57</v>
      </c>
      <c r="C729">
        <v>13.57</v>
      </c>
      <c r="D729">
        <v>13.35</v>
      </c>
      <c r="E729">
        <v>13.45</v>
      </c>
      <c r="F729">
        <v>13.45</v>
      </c>
      <c r="G729">
        <v>154200</v>
      </c>
      <c r="I729" s="346">
        <v>42663</v>
      </c>
      <c r="J729">
        <v>21.809999000000001</v>
      </c>
      <c r="K729">
        <v>21.860001</v>
      </c>
      <c r="L729">
        <v>21.75</v>
      </c>
      <c r="M729">
        <v>21.82</v>
      </c>
    </row>
    <row r="730" spans="1:13">
      <c r="A730" s="346">
        <v>42664</v>
      </c>
      <c r="B730">
        <v>13.4</v>
      </c>
      <c r="C730">
        <v>14.16</v>
      </c>
      <c r="D730">
        <v>13.4</v>
      </c>
      <c r="E730">
        <v>14.03</v>
      </c>
      <c r="F730">
        <v>14.03</v>
      </c>
      <c r="G730">
        <v>547100</v>
      </c>
      <c r="I730" s="346">
        <v>42664</v>
      </c>
      <c r="J730">
        <v>21.799999</v>
      </c>
      <c r="K730">
        <v>22</v>
      </c>
      <c r="L730">
        <v>21.790001</v>
      </c>
      <c r="M730">
        <v>21.959999</v>
      </c>
    </row>
    <row r="731" spans="1:13">
      <c r="A731" s="346">
        <v>42667</v>
      </c>
      <c r="B731">
        <v>14.15</v>
      </c>
      <c r="C731">
        <v>14.18</v>
      </c>
      <c r="D731">
        <v>13.76</v>
      </c>
      <c r="E731">
        <v>13.83</v>
      </c>
      <c r="F731">
        <v>13.83</v>
      </c>
      <c r="G731">
        <v>223100</v>
      </c>
      <c r="I731" s="346">
        <v>42667</v>
      </c>
      <c r="J731">
        <v>21.98</v>
      </c>
      <c r="K731">
        <v>22.01</v>
      </c>
      <c r="L731">
        <v>21.91</v>
      </c>
      <c r="M731">
        <v>21.98</v>
      </c>
    </row>
    <row r="732" spans="1:13">
      <c r="A732" s="346">
        <v>42668</v>
      </c>
      <c r="B732">
        <v>13.93</v>
      </c>
      <c r="C732">
        <v>14.86</v>
      </c>
      <c r="D732">
        <v>13.93</v>
      </c>
      <c r="E732">
        <v>14.66</v>
      </c>
      <c r="F732">
        <v>14.66</v>
      </c>
      <c r="G732">
        <v>516900</v>
      </c>
      <c r="I732" s="346">
        <v>42668</v>
      </c>
      <c r="J732">
        <v>21.969999000000001</v>
      </c>
      <c r="K732">
        <v>22</v>
      </c>
      <c r="L732">
        <v>21.9</v>
      </c>
      <c r="M732">
        <v>21.9</v>
      </c>
    </row>
    <row r="733" spans="1:13">
      <c r="A733" s="346">
        <v>42669</v>
      </c>
      <c r="B733">
        <v>14.73</v>
      </c>
      <c r="C733">
        <v>15.05</v>
      </c>
      <c r="D733">
        <v>14.69</v>
      </c>
      <c r="E733">
        <v>14.97</v>
      </c>
      <c r="F733">
        <v>14.97</v>
      </c>
      <c r="G733">
        <v>441400</v>
      </c>
      <c r="I733" s="346">
        <v>42669</v>
      </c>
      <c r="J733">
        <v>21.85</v>
      </c>
      <c r="K733">
        <v>21.940000999999999</v>
      </c>
      <c r="L733">
        <v>21.82</v>
      </c>
      <c r="M733">
        <v>21.879999000000002</v>
      </c>
    </row>
    <row r="734" spans="1:13">
      <c r="A734" s="346">
        <v>42670</v>
      </c>
      <c r="B734">
        <v>15.14</v>
      </c>
      <c r="C734">
        <v>15.49</v>
      </c>
      <c r="D734">
        <v>14.82</v>
      </c>
      <c r="E734">
        <v>15.11</v>
      </c>
      <c r="F734">
        <v>15.11</v>
      </c>
      <c r="G734">
        <v>302000</v>
      </c>
      <c r="I734" s="346">
        <v>42670</v>
      </c>
      <c r="J734">
        <v>22</v>
      </c>
      <c r="K734">
        <v>22.059999000000001</v>
      </c>
      <c r="L734">
        <v>21.92</v>
      </c>
      <c r="M734">
        <v>21.969999000000001</v>
      </c>
    </row>
    <row r="735" spans="1:13">
      <c r="A735" s="346">
        <v>42671</v>
      </c>
      <c r="B735">
        <v>15.18</v>
      </c>
      <c r="C735">
        <v>15.28</v>
      </c>
      <c r="D735">
        <v>14.98</v>
      </c>
      <c r="E735">
        <v>15.08</v>
      </c>
      <c r="F735">
        <v>15.08</v>
      </c>
      <c r="G735">
        <v>371100</v>
      </c>
      <c r="I735" s="346">
        <v>42671</v>
      </c>
      <c r="J735">
        <v>21.950001</v>
      </c>
      <c r="K735">
        <v>22.02</v>
      </c>
      <c r="L735">
        <v>21.870000999999998</v>
      </c>
      <c r="M735">
        <v>21.889999</v>
      </c>
    </row>
    <row r="736" spans="1:13">
      <c r="A736" s="346">
        <v>42674</v>
      </c>
      <c r="B736">
        <v>15.1</v>
      </c>
      <c r="C736">
        <v>15.15</v>
      </c>
      <c r="D736">
        <v>14.68</v>
      </c>
      <c r="E736">
        <v>14.88</v>
      </c>
      <c r="F736">
        <v>14.88</v>
      </c>
      <c r="G736">
        <v>262100</v>
      </c>
      <c r="I736" s="346">
        <v>42674</v>
      </c>
      <c r="J736">
        <v>21.879999000000002</v>
      </c>
      <c r="K736">
        <v>21.969999000000001</v>
      </c>
      <c r="L736">
        <v>21.860001</v>
      </c>
      <c r="M736">
        <v>21.879999000000002</v>
      </c>
    </row>
    <row r="737" spans="1:13">
      <c r="A737" s="346">
        <v>42675</v>
      </c>
      <c r="B737">
        <v>14.94</v>
      </c>
      <c r="C737">
        <v>15.48</v>
      </c>
      <c r="D737">
        <v>14.9</v>
      </c>
      <c r="E737">
        <v>15.03</v>
      </c>
      <c r="F737">
        <v>15.03</v>
      </c>
      <c r="G737">
        <v>446100</v>
      </c>
      <c r="I737" s="346">
        <v>42675</v>
      </c>
      <c r="J737">
        <v>21.940000999999999</v>
      </c>
      <c r="K737">
        <v>21.950001</v>
      </c>
      <c r="L737">
        <v>21.74</v>
      </c>
      <c r="M737">
        <v>21.85</v>
      </c>
    </row>
    <row r="738" spans="1:13">
      <c r="A738" s="346">
        <v>42676</v>
      </c>
      <c r="B738">
        <v>15.12</v>
      </c>
      <c r="C738">
        <v>15.12</v>
      </c>
      <c r="D738">
        <v>14.76</v>
      </c>
      <c r="E738">
        <v>14.99</v>
      </c>
      <c r="F738">
        <v>14.99</v>
      </c>
      <c r="G738">
        <v>268100</v>
      </c>
      <c r="I738" s="346">
        <v>42676</v>
      </c>
      <c r="J738">
        <v>21.780000999999999</v>
      </c>
      <c r="K738">
        <v>21.809999000000001</v>
      </c>
      <c r="L738">
        <v>21.610001</v>
      </c>
      <c r="M738">
        <v>21.610001</v>
      </c>
    </row>
    <row r="739" spans="1:13">
      <c r="A739" s="346">
        <v>42677</v>
      </c>
      <c r="B739">
        <v>14.94</v>
      </c>
      <c r="C739">
        <v>15.33</v>
      </c>
      <c r="D739">
        <v>14.94</v>
      </c>
      <c r="E739">
        <v>15.25</v>
      </c>
      <c r="F739">
        <v>15.25</v>
      </c>
      <c r="G739">
        <v>310700</v>
      </c>
      <c r="I739" s="346">
        <v>42677</v>
      </c>
      <c r="J739">
        <v>21.65</v>
      </c>
      <c r="K739">
        <v>21.719999000000001</v>
      </c>
      <c r="L739">
        <v>21.530000999999999</v>
      </c>
      <c r="M739">
        <v>21.58</v>
      </c>
    </row>
    <row r="740" spans="1:13">
      <c r="A740" s="346">
        <v>42678</v>
      </c>
      <c r="B740">
        <v>15.28</v>
      </c>
      <c r="C740">
        <v>15.33</v>
      </c>
      <c r="D740">
        <v>14.88</v>
      </c>
      <c r="E740">
        <v>14.95</v>
      </c>
      <c r="F740">
        <v>14.95</v>
      </c>
      <c r="G740">
        <v>205900</v>
      </c>
      <c r="I740" s="346">
        <v>42678</v>
      </c>
      <c r="J740">
        <v>21.57</v>
      </c>
      <c r="K740">
        <v>21.57</v>
      </c>
      <c r="L740">
        <v>21.440000999999999</v>
      </c>
      <c r="M740">
        <v>21.459999</v>
      </c>
    </row>
    <row r="741" spans="1:13">
      <c r="A741" s="346">
        <v>42681</v>
      </c>
      <c r="B741">
        <v>14.99</v>
      </c>
      <c r="C741">
        <v>15.1</v>
      </c>
      <c r="D741">
        <v>14.83</v>
      </c>
      <c r="E741">
        <v>14.87</v>
      </c>
      <c r="F741">
        <v>14.87</v>
      </c>
      <c r="G741">
        <v>228100</v>
      </c>
      <c r="I741" s="346">
        <v>42681</v>
      </c>
      <c r="J741">
        <v>21.559999000000001</v>
      </c>
      <c r="K741">
        <v>21.74</v>
      </c>
      <c r="L741">
        <v>21.559999000000001</v>
      </c>
      <c r="M741">
        <v>21.709999</v>
      </c>
    </row>
    <row r="742" spans="1:13">
      <c r="A742" s="346">
        <v>42682</v>
      </c>
      <c r="B742">
        <v>14.88</v>
      </c>
      <c r="C742">
        <v>14.94</v>
      </c>
      <c r="D742">
        <v>14.54</v>
      </c>
      <c r="E742">
        <v>14.76</v>
      </c>
      <c r="F742">
        <v>14.76</v>
      </c>
      <c r="G742">
        <v>119000</v>
      </c>
      <c r="I742" s="346">
        <v>42682</v>
      </c>
      <c r="J742">
        <v>21.67</v>
      </c>
      <c r="K742">
        <v>21.82</v>
      </c>
      <c r="L742">
        <v>21.639999</v>
      </c>
      <c r="M742">
        <v>21.719999000000001</v>
      </c>
    </row>
    <row r="743" spans="1:13">
      <c r="A743" s="346">
        <v>42683</v>
      </c>
      <c r="B743">
        <v>13.61</v>
      </c>
      <c r="C743">
        <v>14.16</v>
      </c>
      <c r="D743">
        <v>13.61</v>
      </c>
      <c r="E743">
        <v>13.98</v>
      </c>
      <c r="F743">
        <v>13.98</v>
      </c>
      <c r="G743">
        <v>531100</v>
      </c>
      <c r="I743" s="346">
        <v>42683</v>
      </c>
      <c r="J743">
        <v>21.629999000000002</v>
      </c>
      <c r="K743">
        <v>21.940000999999999</v>
      </c>
      <c r="L743">
        <v>21.629999000000002</v>
      </c>
      <c r="M743">
        <v>21.870000999999998</v>
      </c>
    </row>
    <row r="744" spans="1:13">
      <c r="A744" s="346">
        <v>42684</v>
      </c>
      <c r="B744">
        <v>14.08</v>
      </c>
      <c r="C744">
        <v>14.45</v>
      </c>
      <c r="D744">
        <v>13.98</v>
      </c>
      <c r="E744">
        <v>14.01</v>
      </c>
      <c r="F744">
        <v>14.01</v>
      </c>
      <c r="G744">
        <v>358700</v>
      </c>
      <c r="I744" s="346">
        <v>42684</v>
      </c>
      <c r="J744">
        <v>21.959999</v>
      </c>
      <c r="K744">
        <v>22.049999</v>
      </c>
      <c r="L744">
        <v>21.84</v>
      </c>
      <c r="M744">
        <v>21.9</v>
      </c>
    </row>
    <row r="745" spans="1:13">
      <c r="A745" s="346">
        <v>42685</v>
      </c>
      <c r="B745">
        <v>13.98</v>
      </c>
      <c r="C745">
        <v>14.1</v>
      </c>
      <c r="D745">
        <v>13.69</v>
      </c>
      <c r="E745">
        <v>13.85</v>
      </c>
      <c r="F745">
        <v>13.85</v>
      </c>
      <c r="G745">
        <v>222400</v>
      </c>
      <c r="I745" s="346">
        <v>42685</v>
      </c>
      <c r="J745">
        <v>21.84</v>
      </c>
      <c r="K745">
        <v>21.879999000000002</v>
      </c>
      <c r="L745">
        <v>21.52</v>
      </c>
      <c r="M745">
        <v>21.65</v>
      </c>
    </row>
    <row r="746" spans="1:13">
      <c r="A746" s="346">
        <v>42688</v>
      </c>
      <c r="B746">
        <v>13.94</v>
      </c>
      <c r="C746">
        <v>14.47</v>
      </c>
      <c r="D746">
        <v>13.94</v>
      </c>
      <c r="E746">
        <v>14.07</v>
      </c>
      <c r="F746">
        <v>14.07</v>
      </c>
      <c r="G746">
        <v>294100</v>
      </c>
      <c r="I746" s="346">
        <v>42688</v>
      </c>
      <c r="J746">
        <v>21.66</v>
      </c>
      <c r="K746">
        <v>21.719999000000001</v>
      </c>
      <c r="L746">
        <v>21.58</v>
      </c>
      <c r="M746">
        <v>21.709999</v>
      </c>
    </row>
    <row r="747" spans="1:13">
      <c r="A747" s="346">
        <v>42689</v>
      </c>
      <c r="B747">
        <v>14.15</v>
      </c>
      <c r="C747">
        <v>14.62</v>
      </c>
      <c r="D747">
        <v>13.95</v>
      </c>
      <c r="E747">
        <v>14.32</v>
      </c>
      <c r="F747">
        <v>14.32</v>
      </c>
      <c r="G747">
        <v>373100</v>
      </c>
      <c r="I747" s="346">
        <v>42689</v>
      </c>
      <c r="J747">
        <v>21.76</v>
      </c>
      <c r="K747">
        <v>21.950001</v>
      </c>
      <c r="L747">
        <v>21.73</v>
      </c>
      <c r="M747">
        <v>21.93</v>
      </c>
    </row>
    <row r="748" spans="1:13">
      <c r="A748" s="346">
        <v>42690</v>
      </c>
      <c r="B748">
        <v>14.21</v>
      </c>
      <c r="C748">
        <v>14.45</v>
      </c>
      <c r="D748">
        <v>14.04</v>
      </c>
      <c r="E748">
        <v>14.32</v>
      </c>
      <c r="F748">
        <v>14.32</v>
      </c>
      <c r="G748">
        <v>245600</v>
      </c>
      <c r="I748" s="346">
        <v>42690</v>
      </c>
      <c r="J748">
        <v>21.83</v>
      </c>
      <c r="K748">
        <v>21.92</v>
      </c>
      <c r="L748">
        <v>21.809999000000001</v>
      </c>
      <c r="M748">
        <v>21.92</v>
      </c>
    </row>
    <row r="749" spans="1:13">
      <c r="A749" s="346">
        <v>42691</v>
      </c>
      <c r="B749">
        <v>14.35</v>
      </c>
      <c r="C749">
        <v>14.74</v>
      </c>
      <c r="D749">
        <v>14.27</v>
      </c>
      <c r="E749">
        <v>14.5</v>
      </c>
      <c r="F749">
        <v>14.5</v>
      </c>
      <c r="G749">
        <v>316500</v>
      </c>
      <c r="I749" s="346">
        <v>42691</v>
      </c>
      <c r="J749">
        <v>21.92</v>
      </c>
      <c r="K749">
        <v>22.129999000000002</v>
      </c>
      <c r="L749">
        <v>21.91</v>
      </c>
      <c r="M749">
        <v>22.09</v>
      </c>
    </row>
    <row r="750" spans="1:13">
      <c r="A750" s="346">
        <v>42692</v>
      </c>
      <c r="B750">
        <v>14.5</v>
      </c>
      <c r="C750">
        <v>14.75</v>
      </c>
      <c r="D750">
        <v>14.43</v>
      </c>
      <c r="E750">
        <v>14.55</v>
      </c>
      <c r="F750">
        <v>14.55</v>
      </c>
      <c r="G750">
        <v>161900</v>
      </c>
      <c r="I750" s="346">
        <v>42692</v>
      </c>
      <c r="J750">
        <v>22.059999000000001</v>
      </c>
      <c r="K750">
        <v>22.16</v>
      </c>
      <c r="L750">
        <v>22.030000999999999</v>
      </c>
      <c r="M750">
        <v>22.15</v>
      </c>
    </row>
    <row r="751" spans="1:13">
      <c r="A751" s="346">
        <v>42695</v>
      </c>
      <c r="B751">
        <v>14.52</v>
      </c>
      <c r="C751">
        <v>14.61</v>
      </c>
      <c r="D751">
        <v>14.38</v>
      </c>
      <c r="E751">
        <v>14.58</v>
      </c>
      <c r="F751">
        <v>14.58</v>
      </c>
      <c r="G751">
        <v>197800</v>
      </c>
      <c r="I751" s="346">
        <v>42695</v>
      </c>
      <c r="J751">
        <v>22.25</v>
      </c>
      <c r="K751">
        <v>22.41</v>
      </c>
      <c r="L751">
        <v>22.219999000000001</v>
      </c>
      <c r="M751">
        <v>22.4</v>
      </c>
    </row>
    <row r="752" spans="1:13">
      <c r="A752" s="346">
        <v>42696</v>
      </c>
      <c r="B752">
        <v>14.58</v>
      </c>
      <c r="C752">
        <v>15.06</v>
      </c>
      <c r="D752">
        <v>14.52</v>
      </c>
      <c r="E752">
        <v>15.06</v>
      </c>
      <c r="F752">
        <v>15.06</v>
      </c>
      <c r="G752">
        <v>311500</v>
      </c>
      <c r="I752" s="346">
        <v>42696</v>
      </c>
      <c r="J752">
        <v>22.450001</v>
      </c>
      <c r="K752">
        <v>22.5</v>
      </c>
      <c r="L752">
        <v>22.389999</v>
      </c>
      <c r="M752">
        <v>22.48</v>
      </c>
    </row>
    <row r="753" spans="1:13">
      <c r="A753" s="346">
        <v>42697</v>
      </c>
      <c r="B753">
        <v>15.05</v>
      </c>
      <c r="C753">
        <v>15.17</v>
      </c>
      <c r="D753">
        <v>14.81</v>
      </c>
      <c r="E753">
        <v>15.14</v>
      </c>
      <c r="F753">
        <v>15.14</v>
      </c>
      <c r="G753">
        <v>205400</v>
      </c>
      <c r="I753" s="346">
        <v>42697</v>
      </c>
      <c r="J753">
        <v>22.27</v>
      </c>
      <c r="K753">
        <v>22.35</v>
      </c>
      <c r="L753">
        <v>22.23</v>
      </c>
      <c r="M753">
        <v>22.309999000000001</v>
      </c>
    </row>
    <row r="754" spans="1:13">
      <c r="A754" s="346">
        <v>42698</v>
      </c>
      <c r="B754">
        <v>15.13</v>
      </c>
      <c r="C754">
        <v>15.43</v>
      </c>
      <c r="D754">
        <v>15.1</v>
      </c>
      <c r="E754">
        <v>15.2</v>
      </c>
      <c r="F754">
        <v>15.2</v>
      </c>
      <c r="G754">
        <v>151300</v>
      </c>
      <c r="I754" s="346">
        <v>42698</v>
      </c>
      <c r="J754">
        <v>22.24</v>
      </c>
      <c r="K754">
        <v>22.379999000000002</v>
      </c>
      <c r="L754">
        <v>22.24</v>
      </c>
      <c r="M754">
        <v>22.32</v>
      </c>
    </row>
    <row r="755" spans="1:13">
      <c r="A755" s="346">
        <v>42699</v>
      </c>
      <c r="B755">
        <v>15.2</v>
      </c>
      <c r="C755">
        <v>15.24</v>
      </c>
      <c r="D755">
        <v>14.97</v>
      </c>
      <c r="E755">
        <v>15.07</v>
      </c>
      <c r="F755">
        <v>15.07</v>
      </c>
      <c r="G755">
        <v>130500</v>
      </c>
      <c r="I755" s="346">
        <v>42699</v>
      </c>
      <c r="J755">
        <v>22.309999000000001</v>
      </c>
      <c r="K755">
        <v>22.4</v>
      </c>
      <c r="L755">
        <v>22.26</v>
      </c>
      <c r="M755">
        <v>22.33</v>
      </c>
    </row>
    <row r="756" spans="1:13">
      <c r="A756" s="346">
        <v>42702</v>
      </c>
      <c r="B756">
        <v>15.01</v>
      </c>
      <c r="C756">
        <v>15.01</v>
      </c>
      <c r="D756">
        <v>14.52</v>
      </c>
      <c r="E756">
        <v>14.75</v>
      </c>
      <c r="F756">
        <v>14.75</v>
      </c>
      <c r="G756">
        <v>238000</v>
      </c>
      <c r="I756" s="346">
        <v>42702</v>
      </c>
      <c r="J756">
        <v>22.32</v>
      </c>
      <c r="K756">
        <v>22.32</v>
      </c>
      <c r="L756">
        <v>22.18</v>
      </c>
      <c r="M756">
        <v>22.209999</v>
      </c>
    </row>
    <row r="757" spans="1:13">
      <c r="A757" s="346">
        <v>42703</v>
      </c>
      <c r="B757">
        <v>14.71</v>
      </c>
      <c r="C757">
        <v>14.84</v>
      </c>
      <c r="D757">
        <v>14.69</v>
      </c>
      <c r="E757">
        <v>14.77</v>
      </c>
      <c r="F757">
        <v>14.77</v>
      </c>
      <c r="G757">
        <v>148000</v>
      </c>
      <c r="I757" s="346">
        <v>42703</v>
      </c>
      <c r="J757">
        <v>22.139999</v>
      </c>
      <c r="K757">
        <v>22.219999000000001</v>
      </c>
      <c r="L757">
        <v>22.110001</v>
      </c>
      <c r="M757">
        <v>22.190000999999999</v>
      </c>
    </row>
    <row r="758" spans="1:13">
      <c r="A758" s="346">
        <v>42704</v>
      </c>
      <c r="B758">
        <v>14.83</v>
      </c>
      <c r="C758">
        <v>14.9</v>
      </c>
      <c r="D758">
        <v>14.34</v>
      </c>
      <c r="E758">
        <v>14.69</v>
      </c>
      <c r="F758">
        <v>14.69</v>
      </c>
      <c r="G758">
        <v>222700</v>
      </c>
      <c r="I758" s="346">
        <v>42704</v>
      </c>
      <c r="J758">
        <v>22.41</v>
      </c>
      <c r="K758">
        <v>22.41</v>
      </c>
      <c r="L758">
        <v>22.25</v>
      </c>
      <c r="M758">
        <v>22.25</v>
      </c>
    </row>
    <row r="759" spans="1:13">
      <c r="A759" s="346">
        <v>42705</v>
      </c>
      <c r="B759">
        <v>14.77</v>
      </c>
      <c r="C759">
        <v>14.87</v>
      </c>
      <c r="D759">
        <v>14.58</v>
      </c>
      <c r="E759">
        <v>14.78</v>
      </c>
      <c r="F759">
        <v>14.78</v>
      </c>
      <c r="G759">
        <v>156400</v>
      </c>
      <c r="I759" s="346">
        <v>42705</v>
      </c>
      <c r="J759">
        <v>22.370000999999998</v>
      </c>
      <c r="K759">
        <v>22.370000999999998</v>
      </c>
      <c r="L759">
        <v>22.139999</v>
      </c>
      <c r="M759">
        <v>22.17</v>
      </c>
    </row>
    <row r="760" spans="1:13">
      <c r="A760" s="346">
        <v>42706</v>
      </c>
      <c r="B760">
        <v>14.78</v>
      </c>
      <c r="C760">
        <v>14.78</v>
      </c>
      <c r="D760">
        <v>14.33</v>
      </c>
      <c r="E760">
        <v>14.56</v>
      </c>
      <c r="F760">
        <v>14.56</v>
      </c>
      <c r="G760">
        <v>192800</v>
      </c>
      <c r="I760" s="346">
        <v>42706</v>
      </c>
      <c r="J760">
        <v>22.18</v>
      </c>
      <c r="K760">
        <v>22.27</v>
      </c>
      <c r="L760">
        <v>22.110001</v>
      </c>
      <c r="M760">
        <v>22.209999</v>
      </c>
    </row>
    <row r="761" spans="1:13">
      <c r="A761" s="346">
        <v>42709</v>
      </c>
      <c r="B761">
        <v>14.41</v>
      </c>
      <c r="C761">
        <v>14.81</v>
      </c>
      <c r="D761">
        <v>14.41</v>
      </c>
      <c r="E761">
        <v>14.74</v>
      </c>
      <c r="F761">
        <v>14.74</v>
      </c>
      <c r="G761">
        <v>148800</v>
      </c>
      <c r="I761" s="346">
        <v>42709</v>
      </c>
      <c r="J761">
        <v>22.280000999999999</v>
      </c>
      <c r="K761">
        <v>22.33</v>
      </c>
      <c r="L761">
        <v>22.24</v>
      </c>
      <c r="M761">
        <v>22.25</v>
      </c>
    </row>
    <row r="762" spans="1:13">
      <c r="A762" s="346">
        <v>42710</v>
      </c>
      <c r="B762">
        <v>14.74</v>
      </c>
      <c r="C762">
        <v>14.77</v>
      </c>
      <c r="D762">
        <v>14.55</v>
      </c>
      <c r="E762">
        <v>14.73</v>
      </c>
      <c r="F762">
        <v>14.73</v>
      </c>
      <c r="G762">
        <v>82600</v>
      </c>
      <c r="I762" s="346">
        <v>42710</v>
      </c>
      <c r="J762">
        <v>22.25</v>
      </c>
      <c r="K762">
        <v>22.35</v>
      </c>
      <c r="L762">
        <v>22.25</v>
      </c>
      <c r="M762">
        <v>22.32</v>
      </c>
    </row>
    <row r="763" spans="1:13">
      <c r="A763" s="346">
        <v>42711</v>
      </c>
      <c r="B763">
        <v>14.75</v>
      </c>
      <c r="C763">
        <v>15.49</v>
      </c>
      <c r="D763">
        <v>14.72</v>
      </c>
      <c r="E763">
        <v>15.43</v>
      </c>
      <c r="F763">
        <v>15.43</v>
      </c>
      <c r="G763">
        <v>302800</v>
      </c>
      <c r="I763" s="346">
        <v>42711</v>
      </c>
      <c r="J763">
        <v>22.35</v>
      </c>
      <c r="K763">
        <v>22.540001</v>
      </c>
      <c r="L763">
        <v>22.32</v>
      </c>
      <c r="M763">
        <v>22.52</v>
      </c>
    </row>
    <row r="764" spans="1:13">
      <c r="A764" s="346">
        <v>42712</v>
      </c>
      <c r="B764">
        <v>15.5</v>
      </c>
      <c r="C764">
        <v>15.92</v>
      </c>
      <c r="D764">
        <v>15.3</v>
      </c>
      <c r="E764">
        <v>15.83</v>
      </c>
      <c r="F764">
        <v>15.83</v>
      </c>
      <c r="G764">
        <v>341100</v>
      </c>
      <c r="I764" s="346">
        <v>42712</v>
      </c>
      <c r="J764">
        <v>22.559999000000001</v>
      </c>
      <c r="K764">
        <v>22.65</v>
      </c>
      <c r="L764">
        <v>22.52</v>
      </c>
      <c r="M764">
        <v>22.610001</v>
      </c>
    </row>
    <row r="765" spans="1:13">
      <c r="A765" s="346">
        <v>42713</v>
      </c>
      <c r="B765">
        <v>15.9</v>
      </c>
      <c r="C765">
        <v>16.170000000000002</v>
      </c>
      <c r="D765">
        <v>15.49</v>
      </c>
      <c r="E765">
        <v>15.63</v>
      </c>
      <c r="F765">
        <v>15.63</v>
      </c>
      <c r="G765">
        <v>354500</v>
      </c>
      <c r="I765" s="346">
        <v>42713</v>
      </c>
      <c r="J765">
        <v>22.639999</v>
      </c>
      <c r="K765">
        <v>22.700001</v>
      </c>
      <c r="L765">
        <v>22.620000999999998</v>
      </c>
      <c r="M765">
        <v>22.65</v>
      </c>
    </row>
    <row r="766" spans="1:13">
      <c r="A766" s="346">
        <v>42716</v>
      </c>
      <c r="B766">
        <v>15.66</v>
      </c>
      <c r="C766">
        <v>15.99</v>
      </c>
      <c r="D766">
        <v>15.46</v>
      </c>
      <c r="E766">
        <v>15.62</v>
      </c>
      <c r="F766">
        <v>15.62</v>
      </c>
      <c r="G766">
        <v>154900</v>
      </c>
      <c r="I766" s="346">
        <v>42716</v>
      </c>
      <c r="J766">
        <v>22.700001</v>
      </c>
      <c r="K766">
        <v>22.73</v>
      </c>
      <c r="L766">
        <v>22.610001</v>
      </c>
      <c r="M766">
        <v>22.610001</v>
      </c>
    </row>
    <row r="767" spans="1:13">
      <c r="A767" s="346">
        <v>42717</v>
      </c>
      <c r="B767">
        <v>15.67</v>
      </c>
      <c r="C767">
        <v>15.84</v>
      </c>
      <c r="D767">
        <v>15.35</v>
      </c>
      <c r="E767">
        <v>15.73</v>
      </c>
      <c r="F767">
        <v>15.73</v>
      </c>
      <c r="G767">
        <v>213100</v>
      </c>
      <c r="I767" s="346">
        <v>42717</v>
      </c>
      <c r="J767">
        <v>22.66</v>
      </c>
      <c r="K767">
        <v>22.84</v>
      </c>
      <c r="L767">
        <v>22.66</v>
      </c>
      <c r="M767">
        <v>22.780000999999999</v>
      </c>
    </row>
    <row r="768" spans="1:13">
      <c r="A768" s="346">
        <v>42718</v>
      </c>
      <c r="B768">
        <v>15.73</v>
      </c>
      <c r="C768">
        <v>15.73</v>
      </c>
      <c r="D768">
        <v>15.25</v>
      </c>
      <c r="E768">
        <v>15.31</v>
      </c>
      <c r="F768">
        <v>15.31</v>
      </c>
      <c r="G768">
        <v>221800</v>
      </c>
      <c r="I768" s="346">
        <v>42718</v>
      </c>
      <c r="J768">
        <v>22.719999000000001</v>
      </c>
      <c r="K768">
        <v>22.76</v>
      </c>
      <c r="L768">
        <v>22.51</v>
      </c>
      <c r="M768">
        <v>22.52</v>
      </c>
    </row>
    <row r="769" spans="1:13">
      <c r="A769" s="346">
        <v>42719</v>
      </c>
      <c r="B769">
        <v>15.29</v>
      </c>
      <c r="C769">
        <v>15.55</v>
      </c>
      <c r="D769">
        <v>15.11</v>
      </c>
      <c r="E769">
        <v>15.27</v>
      </c>
      <c r="F769">
        <v>15.27</v>
      </c>
      <c r="G769">
        <v>213400</v>
      </c>
      <c r="I769" s="346">
        <v>42719</v>
      </c>
      <c r="J769">
        <v>22.48</v>
      </c>
      <c r="K769">
        <v>22.68</v>
      </c>
      <c r="L769">
        <v>22.48</v>
      </c>
      <c r="M769">
        <v>22.6</v>
      </c>
    </row>
    <row r="770" spans="1:13">
      <c r="A770" s="346">
        <v>42720</v>
      </c>
      <c r="B770">
        <v>15.33</v>
      </c>
      <c r="C770">
        <v>15.35</v>
      </c>
      <c r="D770">
        <v>15.01</v>
      </c>
      <c r="E770">
        <v>15.06</v>
      </c>
      <c r="F770">
        <v>15.06</v>
      </c>
      <c r="G770">
        <v>326000</v>
      </c>
      <c r="I770" s="346">
        <v>42720</v>
      </c>
      <c r="J770">
        <v>22.709999</v>
      </c>
      <c r="K770">
        <v>22.73</v>
      </c>
      <c r="L770">
        <v>22.610001</v>
      </c>
      <c r="M770">
        <v>22.65</v>
      </c>
    </row>
    <row r="771" spans="1:13">
      <c r="A771" s="346">
        <v>42723</v>
      </c>
      <c r="B771">
        <v>15.09</v>
      </c>
      <c r="C771">
        <v>15.33</v>
      </c>
      <c r="D771">
        <v>14.96</v>
      </c>
      <c r="E771">
        <v>15.31</v>
      </c>
      <c r="F771">
        <v>15.31</v>
      </c>
      <c r="G771">
        <v>189400</v>
      </c>
      <c r="I771" s="346">
        <v>42723</v>
      </c>
      <c r="J771">
        <v>22.690000999999999</v>
      </c>
      <c r="K771">
        <v>22.73</v>
      </c>
      <c r="L771">
        <v>22.66</v>
      </c>
      <c r="M771">
        <v>22.68</v>
      </c>
    </row>
    <row r="772" spans="1:13">
      <c r="A772" s="346">
        <v>42724</v>
      </c>
      <c r="B772">
        <v>15.39</v>
      </c>
      <c r="C772">
        <v>15.79</v>
      </c>
      <c r="D772">
        <v>15.35</v>
      </c>
      <c r="E772">
        <v>15.76</v>
      </c>
      <c r="F772">
        <v>15.76</v>
      </c>
      <c r="G772">
        <v>350500</v>
      </c>
      <c r="I772" s="346">
        <v>42724</v>
      </c>
      <c r="J772">
        <v>22.73</v>
      </c>
      <c r="K772">
        <v>22.77</v>
      </c>
      <c r="L772">
        <v>22.700001</v>
      </c>
      <c r="M772">
        <v>22.700001</v>
      </c>
    </row>
    <row r="773" spans="1:13">
      <c r="A773" s="346">
        <v>42725</v>
      </c>
      <c r="B773">
        <v>15.76</v>
      </c>
      <c r="C773">
        <v>15.9</v>
      </c>
      <c r="D773">
        <v>15.5</v>
      </c>
      <c r="E773">
        <v>15.84</v>
      </c>
      <c r="F773">
        <v>15.84</v>
      </c>
      <c r="G773">
        <v>146700</v>
      </c>
      <c r="I773" s="346">
        <v>42725</v>
      </c>
      <c r="J773">
        <v>22.709999</v>
      </c>
      <c r="K773">
        <v>22.73</v>
      </c>
      <c r="L773">
        <v>22.67</v>
      </c>
      <c r="M773">
        <v>22.690000999999999</v>
      </c>
    </row>
    <row r="774" spans="1:13">
      <c r="A774" s="346">
        <v>42726</v>
      </c>
      <c r="B774">
        <v>15.66</v>
      </c>
      <c r="C774">
        <v>15.75</v>
      </c>
      <c r="D774">
        <v>15.2</v>
      </c>
      <c r="E774">
        <v>15.36</v>
      </c>
      <c r="F774">
        <v>15.36</v>
      </c>
      <c r="G774">
        <v>163500</v>
      </c>
      <c r="I774" s="346">
        <v>42726</v>
      </c>
      <c r="J774">
        <v>22.68</v>
      </c>
      <c r="K774">
        <v>22.790001</v>
      </c>
      <c r="L774">
        <v>22.68</v>
      </c>
      <c r="M774">
        <v>22.780000999999999</v>
      </c>
    </row>
    <row r="775" spans="1:13">
      <c r="A775" s="346">
        <v>42727</v>
      </c>
      <c r="B775">
        <v>15.43</v>
      </c>
      <c r="C775">
        <v>15.43</v>
      </c>
      <c r="D775">
        <v>15.02</v>
      </c>
      <c r="E775">
        <v>15.31</v>
      </c>
      <c r="F775">
        <v>15.31</v>
      </c>
      <c r="G775">
        <v>104200</v>
      </c>
      <c r="I775" s="346">
        <v>42727</v>
      </c>
      <c r="J775">
        <v>22.780000999999999</v>
      </c>
      <c r="K775">
        <v>22.809999000000001</v>
      </c>
      <c r="L775">
        <v>22.74</v>
      </c>
      <c r="M775">
        <v>22.75</v>
      </c>
    </row>
    <row r="776" spans="1:13">
      <c r="A776" s="346">
        <v>42732</v>
      </c>
      <c r="B776">
        <v>15.41</v>
      </c>
      <c r="C776">
        <v>15.62</v>
      </c>
      <c r="D776">
        <v>15.27</v>
      </c>
      <c r="E776">
        <v>15.34</v>
      </c>
      <c r="F776">
        <v>15.34</v>
      </c>
      <c r="G776">
        <v>143300</v>
      </c>
      <c r="I776" s="346">
        <v>42732</v>
      </c>
      <c r="J776">
        <v>22.799999</v>
      </c>
      <c r="K776">
        <v>22.870000999999998</v>
      </c>
      <c r="L776">
        <v>22.74</v>
      </c>
      <c r="M776">
        <v>22.780000999999999</v>
      </c>
    </row>
    <row r="777" spans="1:13">
      <c r="A777" s="346">
        <v>42733</v>
      </c>
      <c r="B777">
        <v>15.32</v>
      </c>
      <c r="C777">
        <v>15.32</v>
      </c>
      <c r="D777">
        <v>15.03</v>
      </c>
      <c r="E777">
        <v>15.21</v>
      </c>
      <c r="F777">
        <v>15.21</v>
      </c>
      <c r="G777">
        <v>118900</v>
      </c>
      <c r="I777" s="346">
        <v>42733</v>
      </c>
      <c r="J777">
        <v>22.82</v>
      </c>
      <c r="K777">
        <v>22.889999</v>
      </c>
      <c r="L777">
        <v>22.780000999999999</v>
      </c>
      <c r="M777">
        <v>22.84</v>
      </c>
    </row>
    <row r="778" spans="1:13">
      <c r="A778" s="346">
        <v>42734</v>
      </c>
      <c r="B778">
        <v>15.24</v>
      </c>
      <c r="C778">
        <v>15.32</v>
      </c>
      <c r="D778">
        <v>15.04</v>
      </c>
      <c r="E778">
        <v>15.27</v>
      </c>
      <c r="F778">
        <v>15.27</v>
      </c>
      <c r="G778">
        <v>115300</v>
      </c>
      <c r="I778" s="346">
        <v>42734</v>
      </c>
      <c r="J778">
        <v>22.870000999999998</v>
      </c>
      <c r="K778">
        <v>22.870000999999998</v>
      </c>
      <c r="L778">
        <v>22.610001</v>
      </c>
      <c r="M778">
        <v>22.639999</v>
      </c>
    </row>
    <row r="779" spans="1:13">
      <c r="A779" s="346">
        <v>42738</v>
      </c>
      <c r="B779">
        <v>15.4</v>
      </c>
      <c r="C779">
        <v>15.4</v>
      </c>
      <c r="D779">
        <v>14.76</v>
      </c>
      <c r="E779">
        <v>15.01</v>
      </c>
      <c r="F779">
        <v>15.01</v>
      </c>
      <c r="G779">
        <v>294300</v>
      </c>
      <c r="I779" s="346">
        <v>42738</v>
      </c>
      <c r="J779">
        <v>22.790001</v>
      </c>
      <c r="K779">
        <v>22.9</v>
      </c>
      <c r="L779">
        <v>22.719999000000001</v>
      </c>
      <c r="M779">
        <v>22.809999000000001</v>
      </c>
    </row>
    <row r="780" spans="1:13">
      <c r="A780" s="346">
        <v>42739</v>
      </c>
      <c r="B780">
        <v>15.1</v>
      </c>
      <c r="C780">
        <v>15.4</v>
      </c>
      <c r="D780">
        <v>15.01</v>
      </c>
      <c r="E780">
        <v>15.26</v>
      </c>
      <c r="F780">
        <v>15.26</v>
      </c>
      <c r="G780">
        <v>322800</v>
      </c>
      <c r="I780" s="346">
        <v>42739</v>
      </c>
      <c r="J780">
        <v>22.870000999999998</v>
      </c>
      <c r="K780">
        <v>23</v>
      </c>
      <c r="L780">
        <v>22.809999000000001</v>
      </c>
      <c r="M780">
        <v>22.99</v>
      </c>
    </row>
    <row r="781" spans="1:13">
      <c r="A781" s="346">
        <v>42740</v>
      </c>
      <c r="B781">
        <v>15.27</v>
      </c>
      <c r="C781">
        <v>15.27</v>
      </c>
      <c r="D781">
        <v>14.86</v>
      </c>
      <c r="E781">
        <v>15.21</v>
      </c>
      <c r="F781">
        <v>15.21</v>
      </c>
      <c r="G781">
        <v>234500</v>
      </c>
      <c r="I781" s="346">
        <v>42740</v>
      </c>
      <c r="J781">
        <v>23.02</v>
      </c>
      <c r="K781">
        <v>23.139999</v>
      </c>
      <c r="L781">
        <v>22.98</v>
      </c>
      <c r="M781">
        <v>23.07</v>
      </c>
    </row>
    <row r="782" spans="1:13">
      <c r="A782" s="346">
        <v>42741</v>
      </c>
      <c r="B782">
        <v>15.14</v>
      </c>
      <c r="C782">
        <v>15.23</v>
      </c>
      <c r="D782">
        <v>14.83</v>
      </c>
      <c r="E782">
        <v>14.97</v>
      </c>
      <c r="F782">
        <v>14.97</v>
      </c>
      <c r="G782">
        <v>319400</v>
      </c>
      <c r="I782" s="346">
        <v>42741</v>
      </c>
      <c r="J782">
        <v>23.1</v>
      </c>
      <c r="K782">
        <v>23.1</v>
      </c>
      <c r="L782">
        <v>22.940000999999999</v>
      </c>
      <c r="M782">
        <v>22.98</v>
      </c>
    </row>
    <row r="783" spans="1:13">
      <c r="A783" s="346">
        <v>42744</v>
      </c>
      <c r="B783">
        <v>14.9</v>
      </c>
      <c r="C783">
        <v>14.94</v>
      </c>
      <c r="D783">
        <v>14.51</v>
      </c>
      <c r="E783">
        <v>14.61</v>
      </c>
      <c r="F783">
        <v>14.61</v>
      </c>
      <c r="G783">
        <v>373900</v>
      </c>
      <c r="I783" s="346">
        <v>42744</v>
      </c>
      <c r="J783">
        <v>22.950001</v>
      </c>
      <c r="K783">
        <v>22.959999</v>
      </c>
      <c r="L783">
        <v>22.790001</v>
      </c>
      <c r="M783">
        <v>22.84</v>
      </c>
    </row>
    <row r="784" spans="1:13">
      <c r="A784" s="346">
        <v>42745</v>
      </c>
      <c r="B784">
        <v>14.56</v>
      </c>
      <c r="C784">
        <v>14.98</v>
      </c>
      <c r="D784">
        <v>14.51</v>
      </c>
      <c r="E784">
        <v>14.93</v>
      </c>
      <c r="F784">
        <v>14.93</v>
      </c>
      <c r="G784">
        <v>191700</v>
      </c>
      <c r="I784" s="346">
        <v>42745</v>
      </c>
      <c r="J784">
        <v>22.889999</v>
      </c>
      <c r="K784">
        <v>22.950001</v>
      </c>
      <c r="L784">
        <v>22.879999000000002</v>
      </c>
      <c r="M784">
        <v>22.889999</v>
      </c>
    </row>
    <row r="785" spans="1:13">
      <c r="A785" s="346">
        <v>42746</v>
      </c>
      <c r="B785">
        <v>15.06</v>
      </c>
      <c r="C785">
        <v>15.26</v>
      </c>
      <c r="D785">
        <v>14.92</v>
      </c>
      <c r="E785">
        <v>15.22</v>
      </c>
      <c r="F785">
        <v>15.22</v>
      </c>
      <c r="G785">
        <v>252100</v>
      </c>
      <c r="I785" s="346">
        <v>42746</v>
      </c>
      <c r="J785">
        <v>22.950001</v>
      </c>
      <c r="K785">
        <v>23.030000999999999</v>
      </c>
      <c r="L785">
        <v>22.870000999999998</v>
      </c>
      <c r="M785">
        <v>23.02</v>
      </c>
    </row>
    <row r="786" spans="1:13">
      <c r="A786" s="346">
        <v>42747</v>
      </c>
      <c r="B786">
        <v>15.25</v>
      </c>
      <c r="C786">
        <v>15.28</v>
      </c>
      <c r="D786">
        <v>14.98</v>
      </c>
      <c r="E786">
        <v>15.09</v>
      </c>
      <c r="F786">
        <v>15.09</v>
      </c>
      <c r="G786">
        <v>291200</v>
      </c>
      <c r="I786" s="346">
        <v>42747</v>
      </c>
      <c r="J786">
        <v>23.040001</v>
      </c>
      <c r="K786">
        <v>23.040001</v>
      </c>
      <c r="L786">
        <v>22.84</v>
      </c>
      <c r="M786">
        <v>22.940000999999999</v>
      </c>
    </row>
    <row r="787" spans="1:13">
      <c r="A787" s="346">
        <v>42748</v>
      </c>
      <c r="B787">
        <v>15.09</v>
      </c>
      <c r="C787">
        <v>15.36</v>
      </c>
      <c r="D787">
        <v>15.05</v>
      </c>
      <c r="E787">
        <v>15.2</v>
      </c>
      <c r="F787">
        <v>15.2</v>
      </c>
      <c r="G787">
        <v>194600</v>
      </c>
      <c r="I787" s="346">
        <v>42748</v>
      </c>
      <c r="J787">
        <v>22.92</v>
      </c>
      <c r="K787">
        <v>23.09</v>
      </c>
      <c r="L787">
        <v>22.92</v>
      </c>
      <c r="M787">
        <v>23.049999</v>
      </c>
    </row>
    <row r="788" spans="1:13">
      <c r="A788" s="346">
        <v>42751</v>
      </c>
      <c r="B788">
        <v>15.14</v>
      </c>
      <c r="C788">
        <v>15.21</v>
      </c>
      <c r="D788">
        <v>14.93</v>
      </c>
      <c r="E788">
        <v>15.04</v>
      </c>
      <c r="F788">
        <v>15.04</v>
      </c>
      <c r="G788">
        <v>288800</v>
      </c>
      <c r="I788" s="346">
        <v>42751</v>
      </c>
      <c r="J788">
        <v>23.09</v>
      </c>
      <c r="K788">
        <v>23.09</v>
      </c>
      <c r="L788">
        <v>22.959999</v>
      </c>
      <c r="M788">
        <v>23.01</v>
      </c>
    </row>
    <row r="789" spans="1:13">
      <c r="A789" s="346">
        <v>42752</v>
      </c>
      <c r="B789">
        <v>15.05</v>
      </c>
      <c r="C789">
        <v>15.15</v>
      </c>
      <c r="D789">
        <v>14.88</v>
      </c>
      <c r="E789">
        <v>14.93</v>
      </c>
      <c r="F789">
        <v>14.93</v>
      </c>
      <c r="G789">
        <v>243900</v>
      </c>
      <c r="I789" s="346">
        <v>42752</v>
      </c>
      <c r="J789">
        <v>23.040001</v>
      </c>
      <c r="K789">
        <v>23.040001</v>
      </c>
      <c r="L789">
        <v>22.940000999999999</v>
      </c>
      <c r="M789">
        <v>22.959999</v>
      </c>
    </row>
    <row r="790" spans="1:13">
      <c r="A790" s="346">
        <v>42753</v>
      </c>
      <c r="B790">
        <v>14.93</v>
      </c>
      <c r="C790">
        <v>14.93</v>
      </c>
      <c r="D790">
        <v>14.75</v>
      </c>
      <c r="E790">
        <v>14.84</v>
      </c>
      <c r="F790">
        <v>14.84</v>
      </c>
      <c r="G790">
        <v>189100</v>
      </c>
      <c r="I790" s="346">
        <v>42753</v>
      </c>
      <c r="J790">
        <v>22.93</v>
      </c>
      <c r="K790">
        <v>22.99</v>
      </c>
      <c r="L790">
        <v>22.84</v>
      </c>
      <c r="M790">
        <v>22.91</v>
      </c>
    </row>
    <row r="791" spans="1:13">
      <c r="A791" s="346">
        <v>42754</v>
      </c>
      <c r="B791">
        <v>14.82</v>
      </c>
      <c r="C791">
        <v>14.82</v>
      </c>
      <c r="D791">
        <v>14.25</v>
      </c>
      <c r="E791">
        <v>14.36</v>
      </c>
      <c r="F791">
        <v>14.36</v>
      </c>
      <c r="G791">
        <v>282200</v>
      </c>
      <c r="I791" s="346">
        <v>42754</v>
      </c>
      <c r="J791">
        <v>22.9</v>
      </c>
      <c r="K791">
        <v>23.01</v>
      </c>
      <c r="L791">
        <v>22.9</v>
      </c>
      <c r="M791">
        <v>22.940000999999999</v>
      </c>
    </row>
    <row r="792" spans="1:13">
      <c r="A792" s="346">
        <v>42755</v>
      </c>
      <c r="B792">
        <v>14.4</v>
      </c>
      <c r="C792">
        <v>14.55</v>
      </c>
      <c r="D792">
        <v>14.01</v>
      </c>
      <c r="E792">
        <v>14.15</v>
      </c>
      <c r="F792">
        <v>14.15</v>
      </c>
      <c r="G792">
        <v>220300</v>
      </c>
      <c r="I792" s="346">
        <v>42755</v>
      </c>
      <c r="J792">
        <v>23</v>
      </c>
      <c r="K792">
        <v>23.209999</v>
      </c>
      <c r="L792">
        <v>23</v>
      </c>
      <c r="M792">
        <v>23.17</v>
      </c>
    </row>
    <row r="793" spans="1:13">
      <c r="A793" s="346">
        <v>42758</v>
      </c>
      <c r="B793">
        <v>14.12</v>
      </c>
      <c r="C793">
        <v>14.15</v>
      </c>
      <c r="D793">
        <v>13.67</v>
      </c>
      <c r="E793">
        <v>13.8</v>
      </c>
      <c r="F793">
        <v>13.8</v>
      </c>
      <c r="G793">
        <v>274400</v>
      </c>
      <c r="I793" s="346">
        <v>42758</v>
      </c>
      <c r="J793">
        <v>23.17</v>
      </c>
      <c r="K793">
        <v>23.17</v>
      </c>
      <c r="L793">
        <v>22.98</v>
      </c>
      <c r="M793">
        <v>23.07</v>
      </c>
    </row>
    <row r="794" spans="1:13">
      <c r="A794" s="346">
        <v>42759</v>
      </c>
      <c r="B794">
        <v>13.78</v>
      </c>
      <c r="C794">
        <v>13.95</v>
      </c>
      <c r="D794">
        <v>13.54</v>
      </c>
      <c r="E794">
        <v>13.83</v>
      </c>
      <c r="F794">
        <v>13.83</v>
      </c>
      <c r="G794">
        <v>163500</v>
      </c>
      <c r="I794" s="346">
        <v>42759</v>
      </c>
      <c r="J794">
        <v>23.08</v>
      </c>
      <c r="K794">
        <v>23.290001</v>
      </c>
      <c r="L794">
        <v>23.030000999999999</v>
      </c>
      <c r="M794">
        <v>23.27</v>
      </c>
    </row>
    <row r="795" spans="1:13">
      <c r="A795" s="346">
        <v>42760</v>
      </c>
      <c r="B795">
        <v>13.86</v>
      </c>
      <c r="C795">
        <v>14.43</v>
      </c>
      <c r="D795">
        <v>13.86</v>
      </c>
      <c r="E795">
        <v>14.42</v>
      </c>
      <c r="F795">
        <v>14.42</v>
      </c>
      <c r="G795">
        <v>220600</v>
      </c>
      <c r="I795" s="346">
        <v>42760</v>
      </c>
      <c r="J795">
        <v>23.33</v>
      </c>
      <c r="K795">
        <v>23.370000999999998</v>
      </c>
      <c r="L795">
        <v>23.27</v>
      </c>
      <c r="M795">
        <v>23.290001</v>
      </c>
    </row>
    <row r="796" spans="1:13">
      <c r="A796" s="346">
        <v>42761</v>
      </c>
      <c r="B796">
        <v>14.43</v>
      </c>
      <c r="C796">
        <v>14.49</v>
      </c>
      <c r="D796">
        <v>14.12</v>
      </c>
      <c r="E796">
        <v>14.25</v>
      </c>
      <c r="F796">
        <v>14.25</v>
      </c>
      <c r="G796">
        <v>205000</v>
      </c>
      <c r="I796" s="346">
        <v>42761</v>
      </c>
      <c r="J796">
        <v>23.290001</v>
      </c>
      <c r="K796">
        <v>23.309999000000001</v>
      </c>
      <c r="L796">
        <v>23.200001</v>
      </c>
      <c r="M796">
        <v>23.25</v>
      </c>
    </row>
    <row r="797" spans="1:13">
      <c r="A797" s="346">
        <v>42762</v>
      </c>
      <c r="B797">
        <v>14.29</v>
      </c>
      <c r="C797">
        <v>14.63</v>
      </c>
      <c r="D797">
        <v>14.29</v>
      </c>
      <c r="E797">
        <v>14.43</v>
      </c>
      <c r="F797">
        <v>14.43</v>
      </c>
      <c r="G797">
        <v>148000</v>
      </c>
      <c r="I797" s="346">
        <v>42762</v>
      </c>
      <c r="J797">
        <v>23.27</v>
      </c>
      <c r="K797">
        <v>23.32</v>
      </c>
      <c r="L797">
        <v>23.120000999999998</v>
      </c>
      <c r="M797">
        <v>23.18</v>
      </c>
    </row>
    <row r="798" spans="1:13">
      <c r="A798" s="346">
        <v>42765</v>
      </c>
      <c r="B798">
        <v>14.39</v>
      </c>
      <c r="C798">
        <v>14.39</v>
      </c>
      <c r="D798">
        <v>13.94</v>
      </c>
      <c r="E798">
        <v>14.25</v>
      </c>
      <c r="F798">
        <v>14.25</v>
      </c>
      <c r="G798">
        <v>155100</v>
      </c>
      <c r="I798" s="346">
        <v>42765</v>
      </c>
      <c r="J798">
        <v>23.129999000000002</v>
      </c>
      <c r="K798">
        <v>23.139999</v>
      </c>
      <c r="L798">
        <v>22.870000999999998</v>
      </c>
      <c r="M798">
        <v>22.950001</v>
      </c>
    </row>
    <row r="799" spans="1:13">
      <c r="A799" s="346">
        <v>42766</v>
      </c>
      <c r="B799">
        <v>14.19</v>
      </c>
      <c r="C799">
        <v>14.24</v>
      </c>
      <c r="D799">
        <v>13.83</v>
      </c>
      <c r="E799">
        <v>14.11</v>
      </c>
      <c r="F799">
        <v>14.11</v>
      </c>
      <c r="G799">
        <v>251000</v>
      </c>
      <c r="I799" s="346">
        <v>42766</v>
      </c>
      <c r="J799">
        <v>22.950001</v>
      </c>
      <c r="K799">
        <v>22.969999000000001</v>
      </c>
      <c r="L799">
        <v>22.780000999999999</v>
      </c>
      <c r="M799">
        <v>22.9</v>
      </c>
    </row>
    <row r="800" spans="1:13">
      <c r="A800" s="346">
        <v>42767</v>
      </c>
      <c r="B800">
        <v>14.19</v>
      </c>
      <c r="C800">
        <v>14.37</v>
      </c>
      <c r="D800">
        <v>14.05</v>
      </c>
      <c r="E800">
        <v>14.31</v>
      </c>
      <c r="F800">
        <v>14.31</v>
      </c>
      <c r="G800">
        <v>231300</v>
      </c>
      <c r="I800" s="346">
        <v>42767</v>
      </c>
      <c r="J800">
        <v>22.950001</v>
      </c>
      <c r="K800">
        <v>22.99</v>
      </c>
      <c r="L800">
        <v>22.780000999999999</v>
      </c>
      <c r="M800">
        <v>22.9</v>
      </c>
    </row>
    <row r="801" spans="1:13">
      <c r="A801" s="346">
        <v>42768</v>
      </c>
      <c r="B801">
        <v>14.32</v>
      </c>
      <c r="C801">
        <v>14.34</v>
      </c>
      <c r="D801">
        <v>14.07</v>
      </c>
      <c r="E801">
        <v>14.17</v>
      </c>
      <c r="F801">
        <v>14.17</v>
      </c>
      <c r="G801">
        <v>193000</v>
      </c>
      <c r="I801" s="346">
        <v>42768</v>
      </c>
      <c r="J801">
        <v>22.92</v>
      </c>
      <c r="K801">
        <v>22.950001</v>
      </c>
      <c r="L801">
        <v>22.85</v>
      </c>
      <c r="M801">
        <v>22.889999</v>
      </c>
    </row>
    <row r="802" spans="1:13">
      <c r="A802" s="346">
        <v>42769</v>
      </c>
      <c r="B802">
        <v>14.24</v>
      </c>
      <c r="C802">
        <v>14.24</v>
      </c>
      <c r="D802">
        <v>13.91</v>
      </c>
      <c r="E802">
        <v>14.16</v>
      </c>
      <c r="F802">
        <v>14.16</v>
      </c>
      <c r="G802">
        <v>180800</v>
      </c>
      <c r="I802" s="346">
        <v>42769</v>
      </c>
      <c r="J802">
        <v>22.92</v>
      </c>
      <c r="K802">
        <v>23.049999</v>
      </c>
      <c r="L802">
        <v>22.889999</v>
      </c>
      <c r="M802">
        <v>23</v>
      </c>
    </row>
    <row r="803" spans="1:13">
      <c r="A803" s="346">
        <v>42772</v>
      </c>
      <c r="B803">
        <v>14.17</v>
      </c>
      <c r="C803">
        <v>14.55</v>
      </c>
      <c r="D803">
        <v>14.17</v>
      </c>
      <c r="E803">
        <v>14.53</v>
      </c>
      <c r="F803">
        <v>14.53</v>
      </c>
      <c r="G803">
        <v>298500</v>
      </c>
      <c r="I803" s="346">
        <v>42772</v>
      </c>
      <c r="J803">
        <v>23.030000999999999</v>
      </c>
      <c r="K803">
        <v>23.040001</v>
      </c>
      <c r="L803">
        <v>22.91</v>
      </c>
      <c r="M803">
        <v>22.950001</v>
      </c>
    </row>
    <row r="804" spans="1:13">
      <c r="A804" s="346">
        <v>42773</v>
      </c>
      <c r="B804">
        <v>14.58</v>
      </c>
      <c r="C804">
        <v>15.09</v>
      </c>
      <c r="D804">
        <v>14.58</v>
      </c>
      <c r="E804">
        <v>14.95</v>
      </c>
      <c r="F804">
        <v>14.95</v>
      </c>
      <c r="G804">
        <v>419600</v>
      </c>
      <c r="I804" s="346">
        <v>42773</v>
      </c>
      <c r="J804">
        <v>22.969999000000001</v>
      </c>
      <c r="K804">
        <v>23.049999</v>
      </c>
      <c r="L804">
        <v>22.959999</v>
      </c>
      <c r="M804">
        <v>23.040001</v>
      </c>
    </row>
    <row r="805" spans="1:13">
      <c r="A805" s="346">
        <v>42774</v>
      </c>
      <c r="B805">
        <v>15.07</v>
      </c>
      <c r="C805">
        <v>15.87</v>
      </c>
      <c r="D805">
        <v>14.83</v>
      </c>
      <c r="E805">
        <v>15.85</v>
      </c>
      <c r="F805">
        <v>15.85</v>
      </c>
      <c r="G805">
        <v>848100</v>
      </c>
      <c r="I805" s="346">
        <v>42774</v>
      </c>
      <c r="J805">
        <v>23.049999</v>
      </c>
      <c r="K805">
        <v>23.1</v>
      </c>
      <c r="L805">
        <v>22.879999000000002</v>
      </c>
      <c r="M805">
        <v>23.1</v>
      </c>
    </row>
    <row r="806" spans="1:13">
      <c r="A806" s="346">
        <v>42775</v>
      </c>
      <c r="B806">
        <v>15.7</v>
      </c>
      <c r="C806">
        <v>16.809999000000001</v>
      </c>
      <c r="D806">
        <v>15.58</v>
      </c>
      <c r="E806">
        <v>16.48</v>
      </c>
      <c r="F806">
        <v>16.48</v>
      </c>
      <c r="G806">
        <v>995600</v>
      </c>
      <c r="I806" s="346">
        <v>42775</v>
      </c>
      <c r="J806">
        <v>23.17</v>
      </c>
      <c r="K806">
        <v>23.25</v>
      </c>
      <c r="L806">
        <v>23.139999</v>
      </c>
      <c r="M806">
        <v>23.209999</v>
      </c>
    </row>
    <row r="807" spans="1:13">
      <c r="A807" s="346">
        <v>42776</v>
      </c>
      <c r="B807">
        <v>16.5</v>
      </c>
      <c r="C807">
        <v>16.809999000000001</v>
      </c>
      <c r="D807">
        <v>16.5</v>
      </c>
      <c r="E807">
        <v>16.700001</v>
      </c>
      <c r="F807">
        <v>16.700001</v>
      </c>
      <c r="G807">
        <v>670500</v>
      </c>
      <c r="I807" s="346">
        <v>42776</v>
      </c>
      <c r="J807">
        <v>23.25</v>
      </c>
      <c r="K807">
        <v>23.379999000000002</v>
      </c>
      <c r="L807">
        <v>23.25</v>
      </c>
      <c r="M807">
        <v>23.35</v>
      </c>
    </row>
    <row r="808" spans="1:13">
      <c r="A808" s="346">
        <v>42779</v>
      </c>
      <c r="B808">
        <v>16.700001</v>
      </c>
      <c r="C808">
        <v>16.760000000000002</v>
      </c>
      <c r="D808">
        <v>16.399999999999999</v>
      </c>
      <c r="E808">
        <v>16.5</v>
      </c>
      <c r="F808">
        <v>16.5</v>
      </c>
      <c r="G808">
        <v>2514000</v>
      </c>
      <c r="I808" s="346">
        <v>42779</v>
      </c>
      <c r="J808">
        <v>23.41</v>
      </c>
      <c r="K808">
        <v>23.450001</v>
      </c>
      <c r="L808">
        <v>23.379999000000002</v>
      </c>
      <c r="M808">
        <v>23.42</v>
      </c>
    </row>
    <row r="809" spans="1:13">
      <c r="A809" s="346">
        <v>42780</v>
      </c>
      <c r="B809">
        <v>16.530000999999999</v>
      </c>
      <c r="C809">
        <v>17.010000000000002</v>
      </c>
      <c r="D809">
        <v>16.469999000000001</v>
      </c>
      <c r="E809">
        <v>16.989999999999998</v>
      </c>
      <c r="F809">
        <v>16.989999999999998</v>
      </c>
      <c r="G809">
        <v>1076100</v>
      </c>
      <c r="I809" s="346">
        <v>42780</v>
      </c>
      <c r="J809">
        <v>23.459999</v>
      </c>
      <c r="K809">
        <v>23.5</v>
      </c>
      <c r="L809">
        <v>23.35</v>
      </c>
      <c r="M809">
        <v>23.49</v>
      </c>
    </row>
    <row r="810" spans="1:13">
      <c r="A810" s="346">
        <v>42781</v>
      </c>
      <c r="B810">
        <v>16.989999999999998</v>
      </c>
      <c r="C810">
        <v>17.48</v>
      </c>
      <c r="D810">
        <v>16.940000999999999</v>
      </c>
      <c r="E810">
        <v>17.399999999999999</v>
      </c>
      <c r="F810">
        <v>17.399999999999999</v>
      </c>
      <c r="G810">
        <v>535600</v>
      </c>
      <c r="I810" s="346">
        <v>42781</v>
      </c>
      <c r="J810">
        <v>23.49</v>
      </c>
      <c r="K810">
        <v>23.57</v>
      </c>
      <c r="L810">
        <v>23.459999</v>
      </c>
      <c r="M810">
        <v>23.549999</v>
      </c>
    </row>
    <row r="811" spans="1:13">
      <c r="A811" s="346">
        <v>42782</v>
      </c>
      <c r="B811">
        <v>17.379999000000002</v>
      </c>
      <c r="C811">
        <v>17.399999999999999</v>
      </c>
      <c r="D811">
        <v>16.950001</v>
      </c>
      <c r="E811">
        <v>17.200001</v>
      </c>
      <c r="F811">
        <v>17.200001</v>
      </c>
      <c r="G811">
        <v>513600</v>
      </c>
      <c r="I811" s="346">
        <v>42782</v>
      </c>
      <c r="J811">
        <v>23.549999</v>
      </c>
      <c r="K811">
        <v>23.57</v>
      </c>
      <c r="L811">
        <v>23.5</v>
      </c>
      <c r="M811">
        <v>23.559999000000001</v>
      </c>
    </row>
    <row r="812" spans="1:13">
      <c r="A812" s="346">
        <v>42783</v>
      </c>
      <c r="B812">
        <v>17.149999999999999</v>
      </c>
      <c r="C812">
        <v>17.799999</v>
      </c>
      <c r="D812">
        <v>17.120000999999998</v>
      </c>
      <c r="E812">
        <v>17.469999000000001</v>
      </c>
      <c r="F812">
        <v>17.469999000000001</v>
      </c>
      <c r="G812">
        <v>494100</v>
      </c>
      <c r="I812" s="346">
        <v>42783</v>
      </c>
      <c r="J812">
        <v>23.540001</v>
      </c>
      <c r="K812">
        <v>23.57</v>
      </c>
      <c r="L812">
        <v>23.469999000000001</v>
      </c>
      <c r="M812">
        <v>23.559999000000001</v>
      </c>
    </row>
    <row r="813" spans="1:13">
      <c r="A813" s="346">
        <v>42787</v>
      </c>
      <c r="B813">
        <v>17.559999000000001</v>
      </c>
      <c r="C813">
        <v>17.989999999999998</v>
      </c>
      <c r="D813">
        <v>17.559999000000001</v>
      </c>
      <c r="E813">
        <v>17.899999999999999</v>
      </c>
      <c r="F813">
        <v>17.899999999999999</v>
      </c>
      <c r="G813">
        <v>481300</v>
      </c>
      <c r="I813" s="346">
        <v>42787</v>
      </c>
      <c r="J813">
        <v>23.48</v>
      </c>
      <c r="K813">
        <v>23.57</v>
      </c>
      <c r="L813">
        <v>23.43</v>
      </c>
      <c r="M813">
        <v>23.5</v>
      </c>
    </row>
    <row r="814" spans="1:13">
      <c r="A814" s="346">
        <v>42788</v>
      </c>
      <c r="B814">
        <v>17.850000000000001</v>
      </c>
      <c r="C814">
        <v>17.899999999999999</v>
      </c>
      <c r="D814">
        <v>17.440000999999999</v>
      </c>
      <c r="E814">
        <v>17.52</v>
      </c>
      <c r="F814">
        <v>17.52</v>
      </c>
      <c r="G814">
        <v>334300</v>
      </c>
      <c r="I814" s="346">
        <v>42788</v>
      </c>
      <c r="J814">
        <v>23.469999000000001</v>
      </c>
      <c r="K814">
        <v>23.5</v>
      </c>
      <c r="L814">
        <v>23.4</v>
      </c>
      <c r="M814">
        <v>23.4</v>
      </c>
    </row>
    <row r="815" spans="1:13">
      <c r="A815" s="346">
        <v>42789</v>
      </c>
      <c r="B815">
        <v>17.610001</v>
      </c>
      <c r="C815">
        <v>17.73</v>
      </c>
      <c r="D815">
        <v>17.440000999999999</v>
      </c>
      <c r="E815">
        <v>17.469999000000001</v>
      </c>
      <c r="F815">
        <v>17.469999000000001</v>
      </c>
      <c r="G815">
        <v>355400</v>
      </c>
      <c r="I815" s="346">
        <v>42789</v>
      </c>
      <c r="J815">
        <v>23.530000999999999</v>
      </c>
      <c r="K815">
        <v>23.530000999999999</v>
      </c>
      <c r="L815">
        <v>23.280000999999999</v>
      </c>
      <c r="M815">
        <v>23.280000999999999</v>
      </c>
    </row>
    <row r="816" spans="1:13">
      <c r="A816" s="346">
        <v>42790</v>
      </c>
      <c r="B816">
        <v>17.379999000000002</v>
      </c>
      <c r="C816">
        <v>17.379999000000002</v>
      </c>
      <c r="D816">
        <v>16.899999999999999</v>
      </c>
      <c r="E816">
        <v>17.040001</v>
      </c>
      <c r="F816">
        <v>17.040001</v>
      </c>
      <c r="G816">
        <v>244500</v>
      </c>
      <c r="I816" s="346">
        <v>42790</v>
      </c>
      <c r="J816">
        <v>23.200001</v>
      </c>
      <c r="K816">
        <v>23.200001</v>
      </c>
      <c r="L816">
        <v>22.879999000000002</v>
      </c>
      <c r="M816">
        <v>22.92</v>
      </c>
    </row>
    <row r="817" spans="1:13">
      <c r="A817" s="346">
        <v>42793</v>
      </c>
      <c r="B817">
        <v>17.040001</v>
      </c>
      <c r="C817">
        <v>17.16</v>
      </c>
      <c r="D817">
        <v>16.870000999999998</v>
      </c>
      <c r="E817">
        <v>17.079999999999998</v>
      </c>
      <c r="F817">
        <v>17.079999999999998</v>
      </c>
      <c r="G817">
        <v>335400</v>
      </c>
      <c r="I817" s="346">
        <v>42793</v>
      </c>
      <c r="J817">
        <v>22.91</v>
      </c>
      <c r="K817">
        <v>23.02</v>
      </c>
      <c r="L817">
        <v>22.82</v>
      </c>
      <c r="M817">
        <v>22.99</v>
      </c>
    </row>
    <row r="818" spans="1:13">
      <c r="A818" s="346">
        <v>42794</v>
      </c>
      <c r="B818">
        <v>17.100000000000001</v>
      </c>
      <c r="C818">
        <v>17.299999</v>
      </c>
      <c r="D818">
        <v>17.040001</v>
      </c>
      <c r="E818">
        <v>17.149999999999999</v>
      </c>
      <c r="F818">
        <v>17.149999999999999</v>
      </c>
      <c r="G818">
        <v>302300</v>
      </c>
      <c r="I818" s="346">
        <v>42794</v>
      </c>
      <c r="J818">
        <v>22.860001</v>
      </c>
      <c r="K818">
        <v>22.959999</v>
      </c>
      <c r="L818">
        <v>22.76</v>
      </c>
      <c r="M818">
        <v>22.77</v>
      </c>
    </row>
    <row r="819" spans="1:13">
      <c r="A819" s="346">
        <v>42795</v>
      </c>
      <c r="B819">
        <v>17.329999999999998</v>
      </c>
      <c r="C819">
        <v>18.18</v>
      </c>
      <c r="D819">
        <v>17.329999999999998</v>
      </c>
      <c r="E819">
        <v>18.100000000000001</v>
      </c>
      <c r="F819">
        <v>18.100000000000001</v>
      </c>
      <c r="G819">
        <v>787700</v>
      </c>
      <c r="I819" s="346">
        <v>42795</v>
      </c>
      <c r="J819">
        <v>23.01</v>
      </c>
      <c r="K819">
        <v>23.09</v>
      </c>
      <c r="L819">
        <v>22.870000999999998</v>
      </c>
      <c r="M819">
        <v>23.02</v>
      </c>
    </row>
    <row r="820" spans="1:13">
      <c r="A820" s="346">
        <v>42796</v>
      </c>
      <c r="B820">
        <v>18.18</v>
      </c>
      <c r="C820">
        <v>18.420000000000002</v>
      </c>
      <c r="D820">
        <v>18.030000999999999</v>
      </c>
      <c r="E820">
        <v>18.209999</v>
      </c>
      <c r="F820">
        <v>18.209999</v>
      </c>
      <c r="G820">
        <v>448400</v>
      </c>
      <c r="I820" s="346">
        <v>42796</v>
      </c>
      <c r="J820">
        <v>23.040001</v>
      </c>
      <c r="K820">
        <v>23.09</v>
      </c>
      <c r="L820">
        <v>22.959999</v>
      </c>
      <c r="M820">
        <v>22.99</v>
      </c>
    </row>
    <row r="821" spans="1:13">
      <c r="A821" s="346">
        <v>42797</v>
      </c>
      <c r="B821">
        <v>18.360001</v>
      </c>
      <c r="C821">
        <v>18.52</v>
      </c>
      <c r="D821">
        <v>18.139999</v>
      </c>
      <c r="E821">
        <v>18.510000000000002</v>
      </c>
      <c r="F821">
        <v>18.510000000000002</v>
      </c>
      <c r="G821">
        <v>319600</v>
      </c>
      <c r="I821" s="346">
        <v>42797</v>
      </c>
      <c r="J821">
        <v>23</v>
      </c>
      <c r="K821">
        <v>23.129999000000002</v>
      </c>
      <c r="L821">
        <v>22.959999</v>
      </c>
      <c r="M821">
        <v>23.1</v>
      </c>
    </row>
    <row r="822" spans="1:13">
      <c r="A822" s="346">
        <v>42800</v>
      </c>
      <c r="B822">
        <v>18.489999999999998</v>
      </c>
      <c r="C822">
        <v>18.52</v>
      </c>
      <c r="D822">
        <v>18.16</v>
      </c>
      <c r="E822">
        <v>18.239999999999998</v>
      </c>
      <c r="F822">
        <v>18.239999999999998</v>
      </c>
      <c r="G822">
        <v>176000</v>
      </c>
      <c r="I822" s="346">
        <v>42800</v>
      </c>
      <c r="J822">
        <v>23.049999</v>
      </c>
      <c r="K822">
        <v>23.18</v>
      </c>
      <c r="L822">
        <v>22.93</v>
      </c>
      <c r="M822">
        <v>23.17</v>
      </c>
    </row>
    <row r="823" spans="1:13">
      <c r="A823" s="346">
        <v>42801</v>
      </c>
      <c r="B823">
        <v>18.27</v>
      </c>
      <c r="C823">
        <v>18.440000999999999</v>
      </c>
      <c r="D823">
        <v>17.879999000000002</v>
      </c>
      <c r="E823">
        <v>18.23</v>
      </c>
      <c r="F823">
        <v>18.23</v>
      </c>
      <c r="G823">
        <v>235400</v>
      </c>
      <c r="I823" s="346">
        <v>42801</v>
      </c>
      <c r="J823">
        <v>23.15</v>
      </c>
      <c r="K823">
        <v>23.200001</v>
      </c>
      <c r="L823">
        <v>23.1</v>
      </c>
      <c r="M823">
        <v>23.139999</v>
      </c>
    </row>
    <row r="824" spans="1:13">
      <c r="A824" s="346">
        <v>42802</v>
      </c>
      <c r="B824">
        <v>18</v>
      </c>
      <c r="C824">
        <v>18.030000999999999</v>
      </c>
      <c r="D824">
        <v>17.77</v>
      </c>
      <c r="E824">
        <v>17.940000999999999</v>
      </c>
      <c r="F824">
        <v>17.940000999999999</v>
      </c>
      <c r="G824">
        <v>516700</v>
      </c>
      <c r="I824" s="346">
        <v>42802</v>
      </c>
      <c r="J824">
        <v>23.18</v>
      </c>
      <c r="K824">
        <v>23.25</v>
      </c>
      <c r="L824">
        <v>23</v>
      </c>
      <c r="M824">
        <v>23.01</v>
      </c>
    </row>
    <row r="825" spans="1:13">
      <c r="A825" s="346">
        <v>42803</v>
      </c>
      <c r="B825">
        <v>17.93</v>
      </c>
      <c r="C825">
        <v>18.149999999999999</v>
      </c>
      <c r="D825">
        <v>17.73</v>
      </c>
      <c r="E825">
        <v>17.940000999999999</v>
      </c>
      <c r="F825">
        <v>17.940000999999999</v>
      </c>
      <c r="G825">
        <v>378000</v>
      </c>
      <c r="I825" s="346">
        <v>42803</v>
      </c>
      <c r="J825">
        <v>23.030000999999999</v>
      </c>
      <c r="K825">
        <v>23.16</v>
      </c>
      <c r="L825">
        <v>22.93</v>
      </c>
      <c r="M825">
        <v>23.040001</v>
      </c>
    </row>
    <row r="826" spans="1:13">
      <c r="A826" s="346">
        <v>42804</v>
      </c>
      <c r="B826">
        <v>17.940000999999999</v>
      </c>
      <c r="C826">
        <v>18.27</v>
      </c>
      <c r="D826">
        <v>17.870000999999998</v>
      </c>
      <c r="E826">
        <v>18.239999999999998</v>
      </c>
      <c r="F826">
        <v>18.239999999999998</v>
      </c>
      <c r="G826">
        <v>486300</v>
      </c>
      <c r="I826" s="346">
        <v>42804</v>
      </c>
      <c r="J826">
        <v>23.15</v>
      </c>
      <c r="K826">
        <v>23.16</v>
      </c>
      <c r="L826">
        <v>22.870000999999998</v>
      </c>
      <c r="M826">
        <v>22.99</v>
      </c>
    </row>
    <row r="827" spans="1:13">
      <c r="A827" s="346">
        <v>42807</v>
      </c>
      <c r="B827">
        <v>18.280000999999999</v>
      </c>
      <c r="C827">
        <v>18.370000999999998</v>
      </c>
      <c r="D827">
        <v>17.850000000000001</v>
      </c>
      <c r="E827">
        <v>17.920000000000002</v>
      </c>
      <c r="F827">
        <v>17.920000000000002</v>
      </c>
      <c r="G827">
        <v>239000</v>
      </c>
      <c r="I827" s="346">
        <v>42807</v>
      </c>
      <c r="J827">
        <v>23.030000999999999</v>
      </c>
      <c r="K827">
        <v>23.07</v>
      </c>
      <c r="L827">
        <v>22.98</v>
      </c>
      <c r="M827">
        <v>23.049999</v>
      </c>
    </row>
    <row r="828" spans="1:13">
      <c r="A828" s="346">
        <v>42808</v>
      </c>
      <c r="B828">
        <v>17.98</v>
      </c>
      <c r="C828">
        <v>18.059999000000001</v>
      </c>
      <c r="D828">
        <v>17.719999000000001</v>
      </c>
      <c r="E828">
        <v>18.030000999999999</v>
      </c>
      <c r="F828">
        <v>18.030000999999999</v>
      </c>
      <c r="G828">
        <v>314300</v>
      </c>
      <c r="I828" s="346">
        <v>42808</v>
      </c>
      <c r="J828">
        <v>22.959999</v>
      </c>
      <c r="K828">
        <v>22.959999</v>
      </c>
      <c r="L828">
        <v>22.790001</v>
      </c>
      <c r="M828">
        <v>22.809999000000001</v>
      </c>
    </row>
    <row r="829" spans="1:13">
      <c r="A829" s="346">
        <v>42809</v>
      </c>
      <c r="B829">
        <v>18.049999</v>
      </c>
      <c r="C829">
        <v>18.200001</v>
      </c>
      <c r="D829">
        <v>17.68</v>
      </c>
      <c r="E829">
        <v>17.969999000000001</v>
      </c>
      <c r="F829">
        <v>17.969999000000001</v>
      </c>
      <c r="G829">
        <v>381500</v>
      </c>
      <c r="I829" s="346">
        <v>42809</v>
      </c>
      <c r="J829">
        <v>22.870000999999998</v>
      </c>
      <c r="K829">
        <v>22.99</v>
      </c>
      <c r="L829">
        <v>22.85</v>
      </c>
      <c r="M829">
        <v>22.959999</v>
      </c>
    </row>
    <row r="830" spans="1:13">
      <c r="A830" s="346">
        <v>42810</v>
      </c>
      <c r="B830">
        <v>18</v>
      </c>
      <c r="C830">
        <v>18.23</v>
      </c>
      <c r="D830">
        <v>17.899999999999999</v>
      </c>
      <c r="E830">
        <v>17.940000999999999</v>
      </c>
      <c r="F830">
        <v>17.940000999999999</v>
      </c>
      <c r="G830">
        <v>337900</v>
      </c>
      <c r="I830" s="346">
        <v>42810</v>
      </c>
      <c r="J830">
        <v>23</v>
      </c>
      <c r="K830">
        <v>23.110001</v>
      </c>
      <c r="L830">
        <v>23</v>
      </c>
      <c r="M830">
        <v>23.040001</v>
      </c>
    </row>
    <row r="831" spans="1:13">
      <c r="A831" s="346">
        <v>42811</v>
      </c>
      <c r="B831">
        <v>17.959999</v>
      </c>
      <c r="C831">
        <v>18.079999999999998</v>
      </c>
      <c r="D831">
        <v>17.889999</v>
      </c>
      <c r="E831">
        <v>17.91</v>
      </c>
      <c r="F831">
        <v>17.91</v>
      </c>
      <c r="G831">
        <v>191200</v>
      </c>
      <c r="I831" s="346">
        <v>42811</v>
      </c>
      <c r="J831">
        <v>23.01</v>
      </c>
      <c r="K831">
        <v>23.139999</v>
      </c>
      <c r="L831">
        <v>22.92</v>
      </c>
      <c r="M831">
        <v>22.92</v>
      </c>
    </row>
    <row r="832" spans="1:13">
      <c r="A832" s="346">
        <v>42814</v>
      </c>
      <c r="B832">
        <v>17.850000000000001</v>
      </c>
      <c r="C832">
        <v>17.899999999999999</v>
      </c>
      <c r="D832">
        <v>17.57</v>
      </c>
      <c r="E832">
        <v>17.860001</v>
      </c>
      <c r="F832">
        <v>17.860001</v>
      </c>
      <c r="G832">
        <v>246300</v>
      </c>
      <c r="I832" s="346">
        <v>42814</v>
      </c>
      <c r="J832">
        <v>22.91</v>
      </c>
      <c r="K832">
        <v>22.959999</v>
      </c>
      <c r="L832">
        <v>22.76</v>
      </c>
      <c r="M832">
        <v>22.85</v>
      </c>
    </row>
    <row r="833" spans="1:13">
      <c r="A833" s="346">
        <v>42815</v>
      </c>
      <c r="B833">
        <v>17.899999999999999</v>
      </c>
      <c r="C833">
        <v>18.100000000000001</v>
      </c>
      <c r="D833">
        <v>17.260000000000002</v>
      </c>
      <c r="E833">
        <v>17.34</v>
      </c>
      <c r="F833">
        <v>17.34</v>
      </c>
      <c r="G833">
        <v>294700</v>
      </c>
      <c r="I833" s="346">
        <v>42815</v>
      </c>
      <c r="J833">
        <v>22.860001</v>
      </c>
      <c r="K833">
        <v>22.950001</v>
      </c>
      <c r="L833">
        <v>22.610001</v>
      </c>
      <c r="M833">
        <v>22.639999</v>
      </c>
    </row>
    <row r="834" spans="1:13">
      <c r="A834" s="346">
        <v>42816</v>
      </c>
      <c r="B834">
        <v>17.360001</v>
      </c>
      <c r="C834">
        <v>17.52</v>
      </c>
      <c r="D834">
        <v>17.100000000000001</v>
      </c>
      <c r="E834">
        <v>17.41</v>
      </c>
      <c r="F834">
        <v>17.41</v>
      </c>
      <c r="G834">
        <v>165100</v>
      </c>
      <c r="I834" s="346">
        <v>42816</v>
      </c>
      <c r="J834">
        <v>22.52</v>
      </c>
      <c r="K834">
        <v>22.75</v>
      </c>
      <c r="L834">
        <v>22.52</v>
      </c>
      <c r="M834">
        <v>22.719999000000001</v>
      </c>
    </row>
    <row r="835" spans="1:13">
      <c r="A835" s="346">
        <v>42817</v>
      </c>
      <c r="B835">
        <v>17.450001</v>
      </c>
      <c r="C835">
        <v>17.780000999999999</v>
      </c>
      <c r="D835">
        <v>17.32</v>
      </c>
      <c r="E835">
        <v>17.549999</v>
      </c>
      <c r="F835">
        <v>17.549999</v>
      </c>
      <c r="G835">
        <v>711100</v>
      </c>
      <c r="I835" s="346">
        <v>42817</v>
      </c>
      <c r="J835">
        <v>22.77</v>
      </c>
      <c r="K835">
        <v>22.92</v>
      </c>
      <c r="L835">
        <v>22.690000999999999</v>
      </c>
      <c r="M835">
        <v>22.85</v>
      </c>
    </row>
    <row r="836" spans="1:13">
      <c r="A836" s="346">
        <v>42818</v>
      </c>
      <c r="B836">
        <v>17.600000000000001</v>
      </c>
      <c r="C836">
        <v>17.93</v>
      </c>
      <c r="D836">
        <v>17.469999000000001</v>
      </c>
      <c r="E836">
        <v>17.59</v>
      </c>
      <c r="F836">
        <v>17.59</v>
      </c>
      <c r="G836">
        <v>125900</v>
      </c>
      <c r="I836" s="346">
        <v>42818</v>
      </c>
      <c r="J836">
        <v>22.940000999999999</v>
      </c>
      <c r="K836">
        <v>22.940000999999999</v>
      </c>
      <c r="L836">
        <v>22.83</v>
      </c>
      <c r="M836">
        <v>22.870000999999998</v>
      </c>
    </row>
    <row r="837" spans="1:13">
      <c r="A837" s="346">
        <v>42821</v>
      </c>
      <c r="B837">
        <v>17.48</v>
      </c>
      <c r="C837">
        <v>17.899999999999999</v>
      </c>
      <c r="D837">
        <v>17.309999000000001</v>
      </c>
      <c r="E837">
        <v>17.799999</v>
      </c>
      <c r="F837">
        <v>17.799999</v>
      </c>
      <c r="G837">
        <v>241000</v>
      </c>
      <c r="I837" s="346">
        <v>42821</v>
      </c>
      <c r="J837">
        <v>22.65</v>
      </c>
      <c r="K837">
        <v>22.969999000000001</v>
      </c>
      <c r="L837">
        <v>22.65</v>
      </c>
      <c r="M837">
        <v>22.959999</v>
      </c>
    </row>
    <row r="838" spans="1:13">
      <c r="A838" s="346">
        <v>42822</v>
      </c>
      <c r="B838">
        <v>17.75</v>
      </c>
      <c r="C838">
        <v>18.049999</v>
      </c>
      <c r="D838">
        <v>17.75</v>
      </c>
      <c r="E838">
        <v>17.989999999999998</v>
      </c>
      <c r="F838">
        <v>17.989999999999998</v>
      </c>
      <c r="G838">
        <v>205700</v>
      </c>
      <c r="I838" s="346">
        <v>42822</v>
      </c>
      <c r="J838">
        <v>22.98</v>
      </c>
      <c r="K838">
        <v>23.15</v>
      </c>
      <c r="L838">
        <v>22.969999000000001</v>
      </c>
      <c r="M838">
        <v>23.110001</v>
      </c>
    </row>
    <row r="839" spans="1:13">
      <c r="A839" s="346">
        <v>42823</v>
      </c>
      <c r="B839">
        <v>18</v>
      </c>
      <c r="C839">
        <v>18.200001</v>
      </c>
      <c r="D839">
        <v>17.969999000000001</v>
      </c>
      <c r="E839">
        <v>18.200001</v>
      </c>
      <c r="F839">
        <v>18.200001</v>
      </c>
      <c r="G839">
        <v>327800</v>
      </c>
      <c r="I839" s="346">
        <v>42823</v>
      </c>
      <c r="J839">
        <v>23.139999</v>
      </c>
      <c r="K839">
        <v>23.209999</v>
      </c>
      <c r="L839">
        <v>23.040001</v>
      </c>
      <c r="M839">
        <v>23.200001</v>
      </c>
    </row>
    <row r="840" spans="1:13">
      <c r="A840" s="346">
        <v>42824</v>
      </c>
      <c r="B840">
        <v>18.280000999999999</v>
      </c>
      <c r="C840">
        <v>18.280000999999999</v>
      </c>
      <c r="D840">
        <v>17.959999</v>
      </c>
      <c r="E840">
        <v>18.049999</v>
      </c>
      <c r="F840">
        <v>18.049999</v>
      </c>
      <c r="G840">
        <v>465300</v>
      </c>
      <c r="I840" s="346">
        <v>42824</v>
      </c>
      <c r="J840">
        <v>23.200001</v>
      </c>
      <c r="K840">
        <v>23.209999</v>
      </c>
      <c r="L840">
        <v>22.98</v>
      </c>
      <c r="M840">
        <v>23.059999000000001</v>
      </c>
    </row>
    <row r="841" spans="1:13">
      <c r="A841" s="346">
        <v>42825</v>
      </c>
      <c r="B841">
        <v>17.98</v>
      </c>
      <c r="C841">
        <v>18.25</v>
      </c>
      <c r="D841">
        <v>17.84</v>
      </c>
      <c r="E841">
        <v>18.129999000000002</v>
      </c>
      <c r="F841">
        <v>18.129999000000002</v>
      </c>
      <c r="G841">
        <v>533900</v>
      </c>
      <c r="I841" s="346">
        <v>42825</v>
      </c>
      <c r="J841">
        <v>23.059999000000001</v>
      </c>
      <c r="K841">
        <v>23.129999000000002</v>
      </c>
      <c r="L841">
        <v>23.02</v>
      </c>
      <c r="M841">
        <v>23.02</v>
      </c>
    </row>
    <row r="842" spans="1:13">
      <c r="A842" s="346">
        <v>42828</v>
      </c>
      <c r="B842">
        <v>18.170000000000002</v>
      </c>
      <c r="C842">
        <v>18.450001</v>
      </c>
      <c r="D842">
        <v>18.139999</v>
      </c>
      <c r="E842">
        <v>18.360001</v>
      </c>
      <c r="F842">
        <v>18.360001</v>
      </c>
      <c r="G842">
        <v>265300</v>
      </c>
      <c r="I842" s="346">
        <v>42828</v>
      </c>
      <c r="J842">
        <v>23.08</v>
      </c>
      <c r="K842">
        <v>23.17</v>
      </c>
      <c r="L842">
        <v>22.85</v>
      </c>
      <c r="M842">
        <v>23.08</v>
      </c>
    </row>
    <row r="843" spans="1:13">
      <c r="A843" s="346">
        <v>42829</v>
      </c>
      <c r="B843">
        <v>18.34</v>
      </c>
      <c r="C843">
        <v>18.719999000000001</v>
      </c>
      <c r="D843">
        <v>18.27</v>
      </c>
      <c r="E843">
        <v>18.52</v>
      </c>
      <c r="F843">
        <v>18.52</v>
      </c>
      <c r="G843">
        <v>319500</v>
      </c>
      <c r="I843" s="346">
        <v>42829</v>
      </c>
      <c r="J843">
        <v>23.049999</v>
      </c>
      <c r="K843">
        <v>23.24</v>
      </c>
      <c r="L843">
        <v>23.02</v>
      </c>
      <c r="M843">
        <v>23.200001</v>
      </c>
    </row>
    <row r="844" spans="1:13">
      <c r="A844" s="346">
        <v>42830</v>
      </c>
      <c r="B844">
        <v>18.559999000000001</v>
      </c>
      <c r="C844">
        <v>18.690000999999999</v>
      </c>
      <c r="D844">
        <v>18.389999</v>
      </c>
      <c r="E844">
        <v>18.559999000000001</v>
      </c>
      <c r="F844">
        <v>18.559999000000001</v>
      </c>
      <c r="G844">
        <v>309800</v>
      </c>
      <c r="I844" s="346">
        <v>42830</v>
      </c>
      <c r="J844">
        <v>23.27</v>
      </c>
      <c r="K844">
        <v>23.370000999999998</v>
      </c>
      <c r="L844">
        <v>23.16</v>
      </c>
      <c r="M844">
        <v>23.16</v>
      </c>
    </row>
    <row r="845" spans="1:13">
      <c r="A845" s="346">
        <v>42831</v>
      </c>
      <c r="B845">
        <v>18.620000999999998</v>
      </c>
      <c r="C845">
        <v>18.670000000000002</v>
      </c>
      <c r="D845">
        <v>18.309999000000001</v>
      </c>
      <c r="E845">
        <v>18.610001</v>
      </c>
      <c r="F845">
        <v>18.610001</v>
      </c>
      <c r="G845">
        <v>160100</v>
      </c>
      <c r="I845" s="346">
        <v>42831</v>
      </c>
      <c r="J845">
        <v>23.23</v>
      </c>
      <c r="K845">
        <v>23.34</v>
      </c>
      <c r="L845">
        <v>23.219999000000001</v>
      </c>
      <c r="M845">
        <v>23.27</v>
      </c>
    </row>
    <row r="846" spans="1:13">
      <c r="A846" s="346">
        <v>42832</v>
      </c>
      <c r="B846">
        <v>18.600000000000001</v>
      </c>
      <c r="C846">
        <v>19.190000999999999</v>
      </c>
      <c r="D846">
        <v>18.600000000000001</v>
      </c>
      <c r="E846">
        <v>19.100000000000001</v>
      </c>
      <c r="F846">
        <v>19.100000000000001</v>
      </c>
      <c r="G846">
        <v>424500</v>
      </c>
      <c r="I846" s="346">
        <v>42832</v>
      </c>
      <c r="J846">
        <v>23.27</v>
      </c>
      <c r="K846">
        <v>23.280000999999999</v>
      </c>
      <c r="L846">
        <v>23.17</v>
      </c>
      <c r="M846">
        <v>23.24</v>
      </c>
    </row>
    <row r="847" spans="1:13">
      <c r="A847" s="346">
        <v>42835</v>
      </c>
      <c r="B847">
        <v>18.959999</v>
      </c>
      <c r="C847">
        <v>19.260000000000002</v>
      </c>
      <c r="D847">
        <v>18.950001</v>
      </c>
      <c r="E847">
        <v>19.129999000000002</v>
      </c>
      <c r="F847">
        <v>19.129999000000002</v>
      </c>
      <c r="G847">
        <v>262300</v>
      </c>
      <c r="I847" s="346">
        <v>42835</v>
      </c>
      <c r="J847">
        <v>23.18</v>
      </c>
      <c r="K847">
        <v>23.360001</v>
      </c>
      <c r="L847">
        <v>23.18</v>
      </c>
      <c r="M847">
        <v>23.32</v>
      </c>
    </row>
    <row r="848" spans="1:13">
      <c r="A848" s="346">
        <v>42836</v>
      </c>
      <c r="B848">
        <v>19.059999000000001</v>
      </c>
      <c r="C848">
        <v>19.25</v>
      </c>
      <c r="D848">
        <v>18.68</v>
      </c>
      <c r="E848">
        <v>19.25</v>
      </c>
      <c r="F848">
        <v>19.25</v>
      </c>
      <c r="G848">
        <v>229800</v>
      </c>
      <c r="I848" s="346">
        <v>42836</v>
      </c>
      <c r="J848">
        <v>23.299999</v>
      </c>
      <c r="K848">
        <v>23.309999000000001</v>
      </c>
      <c r="L848">
        <v>23.09</v>
      </c>
      <c r="M848">
        <v>23.27</v>
      </c>
    </row>
    <row r="849" spans="1:13">
      <c r="A849" s="346">
        <v>42837</v>
      </c>
      <c r="B849">
        <v>19.16</v>
      </c>
      <c r="C849">
        <v>19.420000000000002</v>
      </c>
      <c r="D849">
        <v>19.149999999999999</v>
      </c>
      <c r="E849">
        <v>19.23</v>
      </c>
      <c r="F849">
        <v>19.23</v>
      </c>
      <c r="G849">
        <v>234100</v>
      </c>
      <c r="I849" s="346">
        <v>42837</v>
      </c>
      <c r="J849">
        <v>23.27</v>
      </c>
      <c r="K849">
        <v>23.27</v>
      </c>
      <c r="L849">
        <v>23.139999</v>
      </c>
      <c r="M849">
        <v>23.15</v>
      </c>
    </row>
    <row r="850" spans="1:13">
      <c r="A850" s="346">
        <v>42838</v>
      </c>
      <c r="B850">
        <v>19.27</v>
      </c>
      <c r="C850">
        <v>19.27</v>
      </c>
      <c r="D850">
        <v>18.82</v>
      </c>
      <c r="E850">
        <v>18.84</v>
      </c>
      <c r="F850">
        <v>18.84</v>
      </c>
      <c r="G850">
        <v>222000</v>
      </c>
      <c r="I850" s="346">
        <v>42838</v>
      </c>
      <c r="J850">
        <v>23.129999000000002</v>
      </c>
      <c r="K850">
        <v>23.129999000000002</v>
      </c>
      <c r="L850">
        <v>22.98</v>
      </c>
      <c r="M850">
        <v>22.99</v>
      </c>
    </row>
    <row r="851" spans="1:13">
      <c r="A851" s="346">
        <v>42842</v>
      </c>
      <c r="B851">
        <v>18.829999999999998</v>
      </c>
      <c r="C851">
        <v>18.959999</v>
      </c>
      <c r="D851">
        <v>18.719999000000001</v>
      </c>
      <c r="E851">
        <v>18.82</v>
      </c>
      <c r="F851">
        <v>18.82</v>
      </c>
      <c r="G851">
        <v>135400</v>
      </c>
      <c r="I851" s="346">
        <v>42842</v>
      </c>
      <c r="J851">
        <v>23.01</v>
      </c>
      <c r="K851">
        <v>23.25</v>
      </c>
      <c r="L851">
        <v>23.01</v>
      </c>
      <c r="M851">
        <v>23.25</v>
      </c>
    </row>
    <row r="852" spans="1:13">
      <c r="A852" s="346">
        <v>42843</v>
      </c>
      <c r="B852">
        <v>18.670000000000002</v>
      </c>
      <c r="C852">
        <v>18.870000999999998</v>
      </c>
      <c r="D852">
        <v>18.670000000000002</v>
      </c>
      <c r="E852">
        <v>18.760000000000002</v>
      </c>
      <c r="F852">
        <v>18.760000000000002</v>
      </c>
      <c r="G852">
        <v>151400</v>
      </c>
      <c r="I852" s="346">
        <v>42843</v>
      </c>
      <c r="J852">
        <v>23.190000999999999</v>
      </c>
      <c r="K852">
        <v>23.190000999999999</v>
      </c>
      <c r="L852">
        <v>23</v>
      </c>
      <c r="M852">
        <v>23.129999000000002</v>
      </c>
    </row>
    <row r="853" spans="1:13">
      <c r="A853" s="346">
        <v>42844</v>
      </c>
      <c r="B853">
        <v>18.32</v>
      </c>
      <c r="C853">
        <v>18.879999000000002</v>
      </c>
      <c r="D853">
        <v>18.100000000000001</v>
      </c>
      <c r="E853">
        <v>18.469999000000001</v>
      </c>
      <c r="F853">
        <v>18.469999000000001</v>
      </c>
      <c r="G853">
        <v>271700</v>
      </c>
      <c r="I853" s="346">
        <v>42844</v>
      </c>
      <c r="J853">
        <v>23.200001</v>
      </c>
      <c r="K853">
        <v>23.23</v>
      </c>
      <c r="L853">
        <v>23.01</v>
      </c>
      <c r="M853">
        <v>23.030000999999999</v>
      </c>
    </row>
    <row r="854" spans="1:13">
      <c r="A854" s="346">
        <v>42845</v>
      </c>
      <c r="B854">
        <v>18.559999000000001</v>
      </c>
      <c r="C854">
        <v>18.860001</v>
      </c>
      <c r="D854">
        <v>18.48</v>
      </c>
      <c r="E854">
        <v>18.75</v>
      </c>
      <c r="F854">
        <v>18.75</v>
      </c>
      <c r="G854">
        <v>198700</v>
      </c>
      <c r="I854" s="346">
        <v>42845</v>
      </c>
      <c r="J854">
        <v>23.059999000000001</v>
      </c>
      <c r="K854">
        <v>23.25</v>
      </c>
      <c r="L854">
        <v>23.049999</v>
      </c>
      <c r="M854">
        <v>23.16</v>
      </c>
    </row>
    <row r="855" spans="1:13">
      <c r="A855" s="346">
        <v>42846</v>
      </c>
      <c r="B855">
        <v>18.690000999999999</v>
      </c>
      <c r="C855">
        <v>18.93</v>
      </c>
      <c r="D855">
        <v>18.670000000000002</v>
      </c>
      <c r="E855">
        <v>18.860001</v>
      </c>
      <c r="F855">
        <v>18.860001</v>
      </c>
      <c r="G855">
        <v>231900</v>
      </c>
      <c r="I855" s="346">
        <v>42846</v>
      </c>
      <c r="J855">
        <v>23.129999000000002</v>
      </c>
      <c r="K855">
        <v>23.209999</v>
      </c>
      <c r="L855">
        <v>23.120000999999998</v>
      </c>
      <c r="M855">
        <v>23.17</v>
      </c>
    </row>
    <row r="856" spans="1:13">
      <c r="A856" s="346">
        <v>42849</v>
      </c>
      <c r="B856">
        <v>18.450001</v>
      </c>
      <c r="C856">
        <v>18.549999</v>
      </c>
      <c r="D856">
        <v>18.170000000000002</v>
      </c>
      <c r="E856">
        <v>18.18</v>
      </c>
      <c r="F856">
        <v>18.18</v>
      </c>
      <c r="G856">
        <v>465800</v>
      </c>
      <c r="I856" s="346">
        <v>42849</v>
      </c>
      <c r="J856">
        <v>23.309999000000001</v>
      </c>
      <c r="K856">
        <v>23.459999</v>
      </c>
      <c r="L856">
        <v>23.299999</v>
      </c>
      <c r="M856">
        <v>23.379999000000002</v>
      </c>
    </row>
    <row r="857" spans="1:13">
      <c r="A857" s="346">
        <v>42850</v>
      </c>
      <c r="B857">
        <v>18.82</v>
      </c>
      <c r="C857">
        <v>20.030000999999999</v>
      </c>
      <c r="D857">
        <v>18.82</v>
      </c>
      <c r="E857">
        <v>19.610001</v>
      </c>
      <c r="F857">
        <v>19.610001</v>
      </c>
      <c r="G857">
        <v>1203200</v>
      </c>
      <c r="I857" s="346">
        <v>42850</v>
      </c>
      <c r="J857">
        <v>23.42</v>
      </c>
      <c r="K857">
        <v>23.52</v>
      </c>
      <c r="L857">
        <v>23.42</v>
      </c>
      <c r="M857">
        <v>23.43</v>
      </c>
    </row>
    <row r="858" spans="1:13">
      <c r="A858" s="346">
        <v>42851</v>
      </c>
      <c r="B858">
        <v>19.469999000000001</v>
      </c>
      <c r="C858">
        <v>20.07</v>
      </c>
      <c r="D858">
        <v>19.329999999999998</v>
      </c>
      <c r="E858">
        <v>19.510000000000002</v>
      </c>
      <c r="F858">
        <v>19.510000000000002</v>
      </c>
      <c r="G858">
        <v>519100</v>
      </c>
      <c r="I858" s="346">
        <v>42851</v>
      </c>
      <c r="J858">
        <v>23.42</v>
      </c>
      <c r="K858">
        <v>23.49</v>
      </c>
      <c r="L858">
        <v>23.290001</v>
      </c>
      <c r="M858">
        <v>23.290001</v>
      </c>
    </row>
    <row r="859" spans="1:13">
      <c r="A859" s="346">
        <v>42852</v>
      </c>
      <c r="B859">
        <v>19.43</v>
      </c>
      <c r="C859">
        <v>20.32</v>
      </c>
      <c r="D859">
        <v>19.43</v>
      </c>
      <c r="E859">
        <v>20.190000999999999</v>
      </c>
      <c r="F859">
        <v>20.190000999999999</v>
      </c>
      <c r="G859">
        <v>465600</v>
      </c>
      <c r="I859" s="346">
        <v>42852</v>
      </c>
      <c r="J859">
        <v>23.290001</v>
      </c>
      <c r="K859">
        <v>23.299999</v>
      </c>
      <c r="L859">
        <v>22.91</v>
      </c>
      <c r="M859">
        <v>23.040001</v>
      </c>
    </row>
    <row r="860" spans="1:13">
      <c r="A860" s="346">
        <v>42853</v>
      </c>
      <c r="B860">
        <v>20.23</v>
      </c>
      <c r="C860">
        <v>20.530000999999999</v>
      </c>
      <c r="D860">
        <v>20.030000999999999</v>
      </c>
      <c r="E860">
        <v>20.5</v>
      </c>
      <c r="F860">
        <v>20.5</v>
      </c>
      <c r="G860">
        <v>313700</v>
      </c>
      <c r="I860" s="346">
        <v>42853</v>
      </c>
      <c r="J860">
        <v>23.07</v>
      </c>
      <c r="K860">
        <v>23.25</v>
      </c>
      <c r="L860">
        <v>23.01</v>
      </c>
      <c r="M860">
        <v>23.16</v>
      </c>
    </row>
    <row r="861" spans="1:13">
      <c r="A861" s="346">
        <v>42856</v>
      </c>
      <c r="B861">
        <v>20.51</v>
      </c>
      <c r="C861">
        <v>20.700001</v>
      </c>
      <c r="D861">
        <v>20.389999</v>
      </c>
      <c r="E861">
        <v>20.48</v>
      </c>
      <c r="F861">
        <v>20.48</v>
      </c>
      <c r="G861">
        <v>373800</v>
      </c>
      <c r="I861" s="346">
        <v>42856</v>
      </c>
      <c r="J861">
        <v>23.190000999999999</v>
      </c>
      <c r="K861">
        <v>23.190000999999999</v>
      </c>
      <c r="L861">
        <v>23.1</v>
      </c>
      <c r="M861">
        <v>23.120000999999998</v>
      </c>
    </row>
    <row r="862" spans="1:13">
      <c r="A862" s="346">
        <v>42857</v>
      </c>
      <c r="B862">
        <v>20.66</v>
      </c>
      <c r="C862">
        <v>20.92</v>
      </c>
      <c r="D862">
        <v>20.07</v>
      </c>
      <c r="E862">
        <v>20.170000000000002</v>
      </c>
      <c r="F862">
        <v>20.170000000000002</v>
      </c>
      <c r="G862">
        <v>330100</v>
      </c>
      <c r="I862" s="346">
        <v>42857</v>
      </c>
      <c r="J862">
        <v>23.120000999999998</v>
      </c>
      <c r="K862">
        <v>23.24</v>
      </c>
      <c r="L862">
        <v>23.09</v>
      </c>
      <c r="M862">
        <v>23.190000999999999</v>
      </c>
    </row>
    <row r="863" spans="1:13">
      <c r="A863" s="346">
        <v>42858</v>
      </c>
      <c r="B863">
        <v>20.09</v>
      </c>
      <c r="C863">
        <v>20.200001</v>
      </c>
      <c r="D863">
        <v>19.690000999999999</v>
      </c>
      <c r="E863">
        <v>19.850000000000001</v>
      </c>
      <c r="F863">
        <v>19.850000000000001</v>
      </c>
      <c r="G863">
        <v>233600</v>
      </c>
      <c r="I863" s="346">
        <v>42858</v>
      </c>
      <c r="J863">
        <v>23.139999</v>
      </c>
      <c r="K863">
        <v>23.23</v>
      </c>
      <c r="L863">
        <v>23.07</v>
      </c>
      <c r="M863">
        <v>23.1</v>
      </c>
    </row>
    <row r="864" spans="1:13">
      <c r="A864" s="346">
        <v>42859</v>
      </c>
      <c r="B864">
        <v>19.82</v>
      </c>
      <c r="C864">
        <v>19.82</v>
      </c>
      <c r="D864">
        <v>19.280000999999999</v>
      </c>
      <c r="E864">
        <v>19.59</v>
      </c>
      <c r="F864">
        <v>19.59</v>
      </c>
      <c r="G864">
        <v>310200</v>
      </c>
      <c r="I864" s="346">
        <v>42859</v>
      </c>
      <c r="J864">
        <v>23.07</v>
      </c>
      <c r="K864">
        <v>23.09</v>
      </c>
      <c r="L864">
        <v>22.83</v>
      </c>
      <c r="M864">
        <v>22.91</v>
      </c>
    </row>
    <row r="865" spans="1:13">
      <c r="A865" s="346">
        <v>42860</v>
      </c>
      <c r="B865">
        <v>19.149999999999999</v>
      </c>
      <c r="C865">
        <v>19.25</v>
      </c>
      <c r="D865">
        <v>18.920000000000002</v>
      </c>
      <c r="E865">
        <v>19.120000999999998</v>
      </c>
      <c r="F865">
        <v>19.120000999999998</v>
      </c>
      <c r="G865">
        <v>455100</v>
      </c>
      <c r="I865" s="346">
        <v>42860</v>
      </c>
      <c r="J865">
        <v>22.99</v>
      </c>
      <c r="K865">
        <v>23.219999000000001</v>
      </c>
      <c r="L865">
        <v>22.93</v>
      </c>
      <c r="M865">
        <v>23.200001</v>
      </c>
    </row>
    <row r="866" spans="1:13">
      <c r="A866" s="346">
        <v>42863</v>
      </c>
      <c r="B866">
        <v>19.18</v>
      </c>
      <c r="C866">
        <v>19.209999</v>
      </c>
      <c r="D866">
        <v>18.899999999999999</v>
      </c>
      <c r="E866">
        <v>19.139999</v>
      </c>
      <c r="F866">
        <v>19.139999</v>
      </c>
      <c r="G866">
        <v>367600</v>
      </c>
      <c r="I866" s="346">
        <v>42863</v>
      </c>
      <c r="J866">
        <v>23.23</v>
      </c>
      <c r="K866">
        <v>23.33</v>
      </c>
      <c r="L866">
        <v>23.219999000000001</v>
      </c>
      <c r="M866">
        <v>23.290001</v>
      </c>
    </row>
    <row r="867" spans="1:13">
      <c r="A867" s="346">
        <v>42864</v>
      </c>
      <c r="B867">
        <v>19.200001</v>
      </c>
      <c r="C867">
        <v>19.299999</v>
      </c>
      <c r="D867">
        <v>19.129999000000002</v>
      </c>
      <c r="E867">
        <v>19.23</v>
      </c>
      <c r="F867">
        <v>19.23</v>
      </c>
      <c r="G867">
        <v>232500</v>
      </c>
      <c r="I867" s="346">
        <v>42864</v>
      </c>
      <c r="J867">
        <v>23.32</v>
      </c>
      <c r="K867">
        <v>23.35</v>
      </c>
      <c r="L867">
        <v>23.07</v>
      </c>
      <c r="M867">
        <v>23.16</v>
      </c>
    </row>
    <row r="868" spans="1:13">
      <c r="A868" s="346">
        <v>42865</v>
      </c>
      <c r="B868">
        <v>19.280000999999999</v>
      </c>
      <c r="C868">
        <v>19.450001</v>
      </c>
      <c r="D868">
        <v>19.149999999999999</v>
      </c>
      <c r="E868">
        <v>19.23</v>
      </c>
      <c r="F868">
        <v>19.23</v>
      </c>
      <c r="G868">
        <v>269900</v>
      </c>
      <c r="I868" s="346">
        <v>42865</v>
      </c>
      <c r="J868">
        <v>23.190000999999999</v>
      </c>
      <c r="K868">
        <v>23.26</v>
      </c>
      <c r="L868">
        <v>23.15</v>
      </c>
      <c r="M868">
        <v>23.24</v>
      </c>
    </row>
    <row r="869" spans="1:13">
      <c r="A869" s="346">
        <v>42866</v>
      </c>
      <c r="B869">
        <v>19.239999999999998</v>
      </c>
      <c r="C869">
        <v>19.260000000000002</v>
      </c>
      <c r="D869">
        <v>18.639999</v>
      </c>
      <c r="E869">
        <v>18.77</v>
      </c>
      <c r="F869">
        <v>18.77</v>
      </c>
      <c r="G869">
        <v>275200</v>
      </c>
      <c r="I869" s="346">
        <v>42866</v>
      </c>
      <c r="J869">
        <v>23.190000999999999</v>
      </c>
      <c r="K869">
        <v>23.25</v>
      </c>
      <c r="L869">
        <v>23.07</v>
      </c>
      <c r="M869">
        <v>23.120000999999998</v>
      </c>
    </row>
    <row r="870" spans="1:13">
      <c r="A870" s="346">
        <v>42867</v>
      </c>
      <c r="B870">
        <v>18.700001</v>
      </c>
      <c r="C870">
        <v>18.950001</v>
      </c>
      <c r="D870">
        <v>18.59</v>
      </c>
      <c r="E870">
        <v>18.700001</v>
      </c>
      <c r="F870">
        <v>18.700001</v>
      </c>
      <c r="G870">
        <v>227000</v>
      </c>
      <c r="I870" s="346">
        <v>42867</v>
      </c>
      <c r="J870">
        <v>23.110001</v>
      </c>
      <c r="K870">
        <v>23.209999</v>
      </c>
      <c r="L870">
        <v>23.040001</v>
      </c>
      <c r="M870">
        <v>23.120000999999998</v>
      </c>
    </row>
    <row r="871" spans="1:13">
      <c r="A871" s="346">
        <v>42870</v>
      </c>
      <c r="B871">
        <v>18.709999</v>
      </c>
      <c r="C871">
        <v>18.950001</v>
      </c>
      <c r="D871">
        <v>18.600000000000001</v>
      </c>
      <c r="E871">
        <v>18.91</v>
      </c>
      <c r="F871">
        <v>18.91</v>
      </c>
      <c r="G871">
        <v>136900</v>
      </c>
      <c r="I871" s="346">
        <v>42870</v>
      </c>
      <c r="J871">
        <v>23.209999</v>
      </c>
      <c r="K871">
        <v>23.34</v>
      </c>
      <c r="L871">
        <v>23.209999</v>
      </c>
      <c r="M871">
        <v>23.26</v>
      </c>
    </row>
    <row r="872" spans="1:13">
      <c r="A872" s="346">
        <v>42871</v>
      </c>
      <c r="B872">
        <v>19.010000000000002</v>
      </c>
      <c r="C872">
        <v>19.23</v>
      </c>
      <c r="D872">
        <v>18.959999</v>
      </c>
      <c r="E872">
        <v>19.190000999999999</v>
      </c>
      <c r="F872">
        <v>19.190000999999999</v>
      </c>
      <c r="G872">
        <v>158000</v>
      </c>
      <c r="I872" s="346">
        <v>42871</v>
      </c>
      <c r="J872">
        <v>23.34</v>
      </c>
      <c r="K872">
        <v>23.4</v>
      </c>
      <c r="L872">
        <v>23.09</v>
      </c>
      <c r="M872">
        <v>23.1</v>
      </c>
    </row>
    <row r="873" spans="1:13">
      <c r="A873" s="346">
        <v>42872</v>
      </c>
      <c r="B873">
        <v>19.110001</v>
      </c>
      <c r="C873">
        <v>19.190000999999999</v>
      </c>
      <c r="D873">
        <v>18.77</v>
      </c>
      <c r="E873">
        <v>18.860001</v>
      </c>
      <c r="F873">
        <v>18.860001</v>
      </c>
      <c r="G873">
        <v>360100</v>
      </c>
      <c r="I873" s="346">
        <v>42872</v>
      </c>
      <c r="J873">
        <v>23.059999000000001</v>
      </c>
      <c r="K873">
        <v>23.059999000000001</v>
      </c>
      <c r="L873">
        <v>22.67</v>
      </c>
      <c r="M873">
        <v>22.67</v>
      </c>
    </row>
    <row r="874" spans="1:13">
      <c r="A874" s="346">
        <v>42873</v>
      </c>
      <c r="B874">
        <v>18.790001</v>
      </c>
      <c r="C874">
        <v>18.98</v>
      </c>
      <c r="D874">
        <v>18.66</v>
      </c>
      <c r="E874">
        <v>18.780000999999999</v>
      </c>
      <c r="F874">
        <v>18.780000999999999</v>
      </c>
      <c r="G874">
        <v>281900</v>
      </c>
      <c r="I874" s="346">
        <v>42873</v>
      </c>
      <c r="J874">
        <v>22.629999000000002</v>
      </c>
      <c r="K874">
        <v>22.799999</v>
      </c>
      <c r="L874">
        <v>22.49</v>
      </c>
      <c r="M874">
        <v>22.700001</v>
      </c>
    </row>
    <row r="875" spans="1:13">
      <c r="A875" s="346">
        <v>42874</v>
      </c>
      <c r="B875">
        <v>18.790001</v>
      </c>
      <c r="C875">
        <v>19.329999999999998</v>
      </c>
      <c r="D875">
        <v>18.77</v>
      </c>
      <c r="E875">
        <v>19.23</v>
      </c>
      <c r="F875">
        <v>19.23</v>
      </c>
      <c r="G875">
        <v>262700</v>
      </c>
      <c r="I875" s="346">
        <v>42874</v>
      </c>
      <c r="J875">
        <v>22.809999000000001</v>
      </c>
      <c r="K875">
        <v>23</v>
      </c>
      <c r="L875">
        <v>22.77</v>
      </c>
      <c r="M875">
        <v>22.959999</v>
      </c>
    </row>
    <row r="876" spans="1:13">
      <c r="A876" s="346">
        <v>42878</v>
      </c>
      <c r="B876">
        <v>19.25</v>
      </c>
      <c r="C876">
        <v>19.25</v>
      </c>
      <c r="D876">
        <v>18.940000999999999</v>
      </c>
      <c r="E876">
        <v>19.049999</v>
      </c>
      <c r="F876">
        <v>19.049999</v>
      </c>
      <c r="G876">
        <v>212300</v>
      </c>
      <c r="I876" s="346">
        <v>42878</v>
      </c>
      <c r="J876">
        <v>23.1</v>
      </c>
      <c r="K876">
        <v>23.1</v>
      </c>
      <c r="L876">
        <v>23</v>
      </c>
      <c r="M876">
        <v>23.01</v>
      </c>
    </row>
    <row r="877" spans="1:13">
      <c r="A877" s="346">
        <v>42879</v>
      </c>
      <c r="B877">
        <v>19.100000000000001</v>
      </c>
      <c r="C877">
        <v>19.120000999999998</v>
      </c>
      <c r="D877">
        <v>18.739999999999998</v>
      </c>
      <c r="E877">
        <v>19.09</v>
      </c>
      <c r="F877">
        <v>19.09</v>
      </c>
      <c r="G877">
        <v>195400</v>
      </c>
      <c r="I877" s="346">
        <v>42879</v>
      </c>
      <c r="J877">
        <v>22.85</v>
      </c>
      <c r="K877">
        <v>22.85</v>
      </c>
      <c r="L877">
        <v>22.610001</v>
      </c>
      <c r="M877">
        <v>22.75</v>
      </c>
    </row>
    <row r="878" spans="1:13">
      <c r="A878" s="346">
        <v>42880</v>
      </c>
      <c r="B878">
        <v>19.120000999999998</v>
      </c>
      <c r="C878">
        <v>19.209999</v>
      </c>
      <c r="D878">
        <v>18.879999000000002</v>
      </c>
      <c r="E878">
        <v>18.93</v>
      </c>
      <c r="F878">
        <v>18.93</v>
      </c>
      <c r="G878">
        <v>116800</v>
      </c>
      <c r="I878" s="346">
        <v>42880</v>
      </c>
      <c r="J878">
        <v>22.870000999999998</v>
      </c>
      <c r="K878">
        <v>22.9</v>
      </c>
      <c r="L878">
        <v>22.639999</v>
      </c>
      <c r="M878">
        <v>22.77</v>
      </c>
    </row>
    <row r="879" spans="1:13">
      <c r="A879" s="346">
        <v>42881</v>
      </c>
      <c r="B879">
        <v>18.920000000000002</v>
      </c>
      <c r="C879">
        <v>19.43</v>
      </c>
      <c r="D879">
        <v>18.899999999999999</v>
      </c>
      <c r="E879">
        <v>19.18</v>
      </c>
      <c r="F879">
        <v>19.18</v>
      </c>
      <c r="G879">
        <v>216100</v>
      </c>
      <c r="I879" s="346">
        <v>42881</v>
      </c>
      <c r="J879">
        <v>22.780000999999999</v>
      </c>
      <c r="K879">
        <v>22.799999</v>
      </c>
      <c r="L879">
        <v>22.690000999999999</v>
      </c>
      <c r="M879">
        <v>22.780000999999999</v>
      </c>
    </row>
    <row r="880" spans="1:13">
      <c r="A880" s="346">
        <v>42884</v>
      </c>
      <c r="B880">
        <v>19.209999</v>
      </c>
      <c r="C880">
        <v>19.360001</v>
      </c>
      <c r="D880">
        <v>19.129999000000002</v>
      </c>
      <c r="E880">
        <v>19.32</v>
      </c>
      <c r="F880">
        <v>19.32</v>
      </c>
      <c r="G880">
        <v>20400</v>
      </c>
      <c r="I880" s="346">
        <v>42884</v>
      </c>
      <c r="J880">
        <v>22.799999</v>
      </c>
      <c r="K880">
        <v>22.870000999999998</v>
      </c>
      <c r="L880">
        <v>22.77</v>
      </c>
      <c r="M880">
        <v>22.799999</v>
      </c>
    </row>
    <row r="881" spans="1:13">
      <c r="A881" s="346">
        <v>42885</v>
      </c>
      <c r="B881">
        <v>19.329999999999998</v>
      </c>
      <c r="C881">
        <v>19.350000000000001</v>
      </c>
      <c r="D881">
        <v>19.25</v>
      </c>
      <c r="E881">
        <v>19.329999999999998</v>
      </c>
      <c r="F881">
        <v>19.329999999999998</v>
      </c>
      <c r="G881">
        <v>123800</v>
      </c>
      <c r="I881" s="346">
        <v>42885</v>
      </c>
      <c r="J881">
        <v>22.75</v>
      </c>
      <c r="K881">
        <v>22.82</v>
      </c>
      <c r="L881">
        <v>22.719999000000001</v>
      </c>
      <c r="M881">
        <v>22.74</v>
      </c>
    </row>
    <row r="882" spans="1:13">
      <c r="A882" s="346">
        <v>42886</v>
      </c>
      <c r="B882">
        <v>19.329999999999998</v>
      </c>
      <c r="C882">
        <v>19.329999999999998</v>
      </c>
      <c r="D882">
        <v>18.889999</v>
      </c>
      <c r="E882">
        <v>19.239999999999998</v>
      </c>
      <c r="F882">
        <v>19.239999999999998</v>
      </c>
      <c r="G882">
        <v>428600</v>
      </c>
      <c r="I882" s="346">
        <v>42886</v>
      </c>
      <c r="J882">
        <v>22.75</v>
      </c>
      <c r="K882">
        <v>22.780000999999999</v>
      </c>
      <c r="L882">
        <v>22.59</v>
      </c>
      <c r="M882">
        <v>22.709999</v>
      </c>
    </row>
    <row r="883" spans="1:13">
      <c r="A883" s="346">
        <v>42887</v>
      </c>
      <c r="B883">
        <v>19.280000999999999</v>
      </c>
      <c r="C883">
        <v>19.549999</v>
      </c>
      <c r="D883">
        <v>18.940000999999999</v>
      </c>
      <c r="E883">
        <v>19.379999000000002</v>
      </c>
      <c r="F883">
        <v>19.379999000000002</v>
      </c>
      <c r="G883">
        <v>211000</v>
      </c>
      <c r="I883" s="346">
        <v>42887</v>
      </c>
      <c r="J883">
        <v>22.73</v>
      </c>
      <c r="K883">
        <v>22.93</v>
      </c>
      <c r="L883">
        <v>22.690000999999999</v>
      </c>
      <c r="M883">
        <v>22.889999</v>
      </c>
    </row>
    <row r="884" spans="1:13">
      <c r="A884" s="346">
        <v>42888</v>
      </c>
      <c r="B884">
        <v>19.34</v>
      </c>
      <c r="C884">
        <v>19.450001</v>
      </c>
      <c r="D884">
        <v>19.149999999999999</v>
      </c>
      <c r="E884">
        <v>19.34</v>
      </c>
      <c r="F884">
        <v>19.34</v>
      </c>
      <c r="G884">
        <v>278700</v>
      </c>
      <c r="I884" s="346">
        <v>42888</v>
      </c>
      <c r="J884">
        <v>22.84</v>
      </c>
      <c r="K884">
        <v>22.870000999999998</v>
      </c>
      <c r="L884">
        <v>22.799999</v>
      </c>
      <c r="M884">
        <v>22.84</v>
      </c>
    </row>
    <row r="885" spans="1:13">
      <c r="A885" s="346">
        <v>42891</v>
      </c>
      <c r="B885">
        <v>19.329999999999998</v>
      </c>
      <c r="C885">
        <v>19.370000999999998</v>
      </c>
      <c r="D885">
        <v>19.120000999999998</v>
      </c>
      <c r="E885">
        <v>19.239999999999998</v>
      </c>
      <c r="F885">
        <v>19.239999999999998</v>
      </c>
      <c r="G885">
        <v>67900</v>
      </c>
      <c r="I885" s="346">
        <v>42891</v>
      </c>
      <c r="J885">
        <v>22.780000999999999</v>
      </c>
      <c r="K885">
        <v>22.860001</v>
      </c>
      <c r="L885">
        <v>22.66</v>
      </c>
      <c r="M885">
        <v>22.790001</v>
      </c>
    </row>
    <row r="886" spans="1:13">
      <c r="A886" s="346">
        <v>42892</v>
      </c>
      <c r="B886">
        <v>18.98</v>
      </c>
      <c r="C886">
        <v>19.25</v>
      </c>
      <c r="D886">
        <v>18.719999000000001</v>
      </c>
      <c r="E886">
        <v>19.18</v>
      </c>
      <c r="F886">
        <v>19.18</v>
      </c>
      <c r="G886">
        <v>177900</v>
      </c>
      <c r="I886" s="346">
        <v>42892</v>
      </c>
      <c r="J886">
        <v>22.74</v>
      </c>
      <c r="K886">
        <v>22.85</v>
      </c>
      <c r="L886">
        <v>22.709999</v>
      </c>
      <c r="M886">
        <v>22.84</v>
      </c>
    </row>
    <row r="887" spans="1:13">
      <c r="A887" s="346">
        <v>42893</v>
      </c>
      <c r="B887">
        <v>19.18</v>
      </c>
      <c r="C887">
        <v>19.299999</v>
      </c>
      <c r="D887">
        <v>18.989999999999998</v>
      </c>
      <c r="E887">
        <v>19.049999</v>
      </c>
      <c r="F887">
        <v>19.049999</v>
      </c>
      <c r="G887">
        <v>106500</v>
      </c>
      <c r="I887" s="346">
        <v>42893</v>
      </c>
      <c r="J887">
        <v>22.809999000000001</v>
      </c>
      <c r="K887">
        <v>22.9</v>
      </c>
      <c r="L887">
        <v>22.67</v>
      </c>
      <c r="M887">
        <v>22.709999</v>
      </c>
    </row>
    <row r="888" spans="1:13">
      <c r="A888" s="346">
        <v>42894</v>
      </c>
      <c r="B888">
        <v>18.98</v>
      </c>
      <c r="C888">
        <v>19.07</v>
      </c>
      <c r="D888">
        <v>18.760000000000002</v>
      </c>
      <c r="E888">
        <v>19.049999</v>
      </c>
      <c r="F888">
        <v>19.049999</v>
      </c>
      <c r="G888">
        <v>101200</v>
      </c>
      <c r="I888" s="346">
        <v>42894</v>
      </c>
      <c r="J888">
        <v>22.67</v>
      </c>
      <c r="K888">
        <v>22.799999</v>
      </c>
      <c r="L888">
        <v>22.65</v>
      </c>
      <c r="M888">
        <v>22.790001</v>
      </c>
    </row>
    <row r="889" spans="1:13">
      <c r="A889" s="346">
        <v>42895</v>
      </c>
      <c r="B889">
        <v>18.969999000000001</v>
      </c>
      <c r="C889">
        <v>19.059999000000001</v>
      </c>
      <c r="D889">
        <v>18.860001</v>
      </c>
      <c r="E889">
        <v>18.989999999999998</v>
      </c>
      <c r="F889">
        <v>18.989999999999998</v>
      </c>
      <c r="G889">
        <v>93800</v>
      </c>
      <c r="I889" s="346">
        <v>42895</v>
      </c>
      <c r="J889">
        <v>22.780000999999999</v>
      </c>
      <c r="K889">
        <v>22.93</v>
      </c>
      <c r="L889">
        <v>22.76</v>
      </c>
      <c r="M889">
        <v>22.889999</v>
      </c>
    </row>
    <row r="890" spans="1:13">
      <c r="A890" s="346">
        <v>42898</v>
      </c>
      <c r="B890">
        <v>18.959999</v>
      </c>
      <c r="C890">
        <v>19.27</v>
      </c>
      <c r="D890">
        <v>18.850000000000001</v>
      </c>
      <c r="E890">
        <v>18.98</v>
      </c>
      <c r="F890">
        <v>18.98</v>
      </c>
      <c r="G890">
        <v>108400</v>
      </c>
      <c r="I890" s="346">
        <v>42898</v>
      </c>
      <c r="J890">
        <v>22.85</v>
      </c>
      <c r="K890">
        <v>23.08</v>
      </c>
      <c r="L890">
        <v>22.67</v>
      </c>
      <c r="M890">
        <v>22.719999000000001</v>
      </c>
    </row>
    <row r="891" spans="1:13">
      <c r="A891" s="346">
        <v>42899</v>
      </c>
      <c r="B891">
        <v>19.040001</v>
      </c>
      <c r="C891">
        <v>19.040001</v>
      </c>
      <c r="D891">
        <v>18.700001</v>
      </c>
      <c r="E891">
        <v>19.010000000000002</v>
      </c>
      <c r="F891">
        <v>19.010000000000002</v>
      </c>
      <c r="G891">
        <v>121000</v>
      </c>
      <c r="I891" s="346">
        <v>42899</v>
      </c>
      <c r="J891">
        <v>22.75</v>
      </c>
      <c r="K891">
        <v>22.75</v>
      </c>
      <c r="L891">
        <v>22.59</v>
      </c>
      <c r="M891">
        <v>22.709999</v>
      </c>
    </row>
    <row r="892" spans="1:13">
      <c r="A892" s="346">
        <v>42900</v>
      </c>
      <c r="B892">
        <v>18.98</v>
      </c>
      <c r="C892">
        <v>19.040001</v>
      </c>
      <c r="D892">
        <v>18.690000999999999</v>
      </c>
      <c r="E892">
        <v>18.739999999999998</v>
      </c>
      <c r="F892">
        <v>18.739999999999998</v>
      </c>
      <c r="G892">
        <v>104100</v>
      </c>
      <c r="I892" s="346">
        <v>42900</v>
      </c>
      <c r="J892">
        <v>22.719999000000001</v>
      </c>
      <c r="K892">
        <v>22.719999000000001</v>
      </c>
      <c r="L892">
        <v>22.42</v>
      </c>
      <c r="M892">
        <v>22.42</v>
      </c>
    </row>
    <row r="893" spans="1:13">
      <c r="A893" s="346">
        <v>42901</v>
      </c>
      <c r="B893">
        <v>18.610001</v>
      </c>
      <c r="C893">
        <v>18.950001</v>
      </c>
      <c r="D893">
        <v>18.610001</v>
      </c>
      <c r="E893">
        <v>18.829999999999998</v>
      </c>
      <c r="F893">
        <v>18.829999999999998</v>
      </c>
      <c r="G893">
        <v>134300</v>
      </c>
      <c r="I893" s="346">
        <v>42901</v>
      </c>
      <c r="J893">
        <v>22.35</v>
      </c>
      <c r="K893">
        <v>22.469999000000001</v>
      </c>
      <c r="L893">
        <v>22.280000999999999</v>
      </c>
      <c r="M893">
        <v>22.450001</v>
      </c>
    </row>
    <row r="894" spans="1:13">
      <c r="A894" s="346">
        <v>42902</v>
      </c>
      <c r="B894">
        <v>18.780000999999999</v>
      </c>
      <c r="C894">
        <v>19.219999000000001</v>
      </c>
      <c r="D894">
        <v>18.459999</v>
      </c>
      <c r="E894">
        <v>19.190000999999999</v>
      </c>
      <c r="F894">
        <v>19.190000999999999</v>
      </c>
      <c r="G894">
        <v>528600</v>
      </c>
      <c r="I894" s="346">
        <v>42902</v>
      </c>
      <c r="J894">
        <v>22.41</v>
      </c>
      <c r="K894">
        <v>22.540001</v>
      </c>
      <c r="L894">
        <v>22.33</v>
      </c>
      <c r="M894">
        <v>22.52</v>
      </c>
    </row>
    <row r="895" spans="1:13">
      <c r="A895" s="346">
        <v>42905</v>
      </c>
      <c r="B895">
        <v>19.23</v>
      </c>
      <c r="C895">
        <v>19.23</v>
      </c>
      <c r="D895">
        <v>18.920000000000002</v>
      </c>
      <c r="E895">
        <v>19.170000000000002</v>
      </c>
      <c r="F895">
        <v>19.170000000000002</v>
      </c>
      <c r="G895">
        <v>175900</v>
      </c>
      <c r="I895" s="346">
        <v>42905</v>
      </c>
      <c r="J895">
        <v>22.59</v>
      </c>
      <c r="K895">
        <v>22.700001</v>
      </c>
      <c r="L895">
        <v>22.57</v>
      </c>
      <c r="M895">
        <v>22.6</v>
      </c>
    </row>
    <row r="896" spans="1:13">
      <c r="A896" s="346">
        <v>42906</v>
      </c>
      <c r="B896">
        <v>19.170000000000002</v>
      </c>
      <c r="C896">
        <v>19.18</v>
      </c>
      <c r="D896">
        <v>18.93</v>
      </c>
      <c r="E896">
        <v>19.09</v>
      </c>
      <c r="F896">
        <v>19.09</v>
      </c>
      <c r="G896">
        <v>157700</v>
      </c>
      <c r="I896" s="346">
        <v>42906</v>
      </c>
      <c r="J896">
        <v>22.540001</v>
      </c>
      <c r="K896">
        <v>22.549999</v>
      </c>
      <c r="L896">
        <v>22.379999000000002</v>
      </c>
      <c r="M896">
        <v>22.4</v>
      </c>
    </row>
    <row r="897" spans="1:13">
      <c r="A897" s="346">
        <v>42907</v>
      </c>
      <c r="B897">
        <v>19.129999000000002</v>
      </c>
      <c r="C897">
        <v>19.219999000000001</v>
      </c>
      <c r="D897">
        <v>19.040001</v>
      </c>
      <c r="E897">
        <v>19.18</v>
      </c>
      <c r="F897">
        <v>19.18</v>
      </c>
      <c r="G897">
        <v>69200</v>
      </c>
      <c r="I897" s="346">
        <v>42907</v>
      </c>
      <c r="J897">
        <v>22.42</v>
      </c>
      <c r="K897">
        <v>22.559999000000001</v>
      </c>
      <c r="L897">
        <v>22.370000999999998</v>
      </c>
      <c r="M897">
        <v>22.41</v>
      </c>
    </row>
    <row r="898" spans="1:13">
      <c r="A898" s="346">
        <v>42908</v>
      </c>
      <c r="B898">
        <v>19.170000000000002</v>
      </c>
      <c r="C898">
        <v>19.290001</v>
      </c>
      <c r="D898">
        <v>19.059999000000001</v>
      </c>
      <c r="E898">
        <v>19.25</v>
      </c>
      <c r="F898">
        <v>19.25</v>
      </c>
      <c r="G898">
        <v>74500</v>
      </c>
      <c r="I898" s="346">
        <v>42908</v>
      </c>
      <c r="J898">
        <v>22.41</v>
      </c>
      <c r="K898">
        <v>22.57</v>
      </c>
      <c r="L898">
        <v>22.41</v>
      </c>
      <c r="M898">
        <v>22.51</v>
      </c>
    </row>
    <row r="899" spans="1:13">
      <c r="A899" s="346">
        <v>42909</v>
      </c>
      <c r="B899">
        <v>19.23</v>
      </c>
      <c r="C899">
        <v>19.25</v>
      </c>
      <c r="D899">
        <v>19.139999</v>
      </c>
      <c r="E899">
        <v>19.25</v>
      </c>
      <c r="F899">
        <v>19.25</v>
      </c>
      <c r="G899">
        <v>106900</v>
      </c>
      <c r="I899" s="346">
        <v>42909</v>
      </c>
      <c r="J899">
        <v>22.530000999999999</v>
      </c>
      <c r="K899">
        <v>22.690000999999999</v>
      </c>
      <c r="L899">
        <v>22.5</v>
      </c>
      <c r="M899">
        <v>22.629999000000002</v>
      </c>
    </row>
    <row r="900" spans="1:13">
      <c r="A900" s="346">
        <v>42912</v>
      </c>
      <c r="B900">
        <v>19.25</v>
      </c>
      <c r="C900">
        <v>19.27</v>
      </c>
      <c r="D900">
        <v>19.079999999999998</v>
      </c>
      <c r="E900">
        <v>19.170000000000002</v>
      </c>
      <c r="F900">
        <v>19.170000000000002</v>
      </c>
      <c r="G900">
        <v>180600</v>
      </c>
      <c r="I900" s="346">
        <v>42912</v>
      </c>
      <c r="J900">
        <v>22.690000999999999</v>
      </c>
      <c r="K900">
        <v>22.75</v>
      </c>
      <c r="L900">
        <v>22.57</v>
      </c>
      <c r="M900">
        <v>22.65</v>
      </c>
    </row>
    <row r="901" spans="1:13">
      <c r="A901" s="346">
        <v>42913</v>
      </c>
      <c r="B901">
        <v>19.16</v>
      </c>
      <c r="C901">
        <v>19.579999999999998</v>
      </c>
      <c r="D901">
        <v>19.030000999999999</v>
      </c>
      <c r="E901">
        <v>19.440000999999999</v>
      </c>
      <c r="F901">
        <v>19.440000999999999</v>
      </c>
      <c r="G901">
        <v>873500</v>
      </c>
      <c r="I901" s="346">
        <v>42913</v>
      </c>
      <c r="J901">
        <v>22.65</v>
      </c>
      <c r="K901">
        <v>22.719999000000001</v>
      </c>
      <c r="L901">
        <v>22.58</v>
      </c>
      <c r="M901">
        <v>22.629999000000002</v>
      </c>
    </row>
    <row r="902" spans="1:13">
      <c r="A902" s="346">
        <v>42914</v>
      </c>
      <c r="B902">
        <v>19.5</v>
      </c>
      <c r="C902">
        <v>20.139999</v>
      </c>
      <c r="D902">
        <v>19.43</v>
      </c>
      <c r="E902">
        <v>19.940000999999999</v>
      </c>
      <c r="F902">
        <v>19.940000999999999</v>
      </c>
      <c r="G902">
        <v>266200</v>
      </c>
      <c r="I902" s="346">
        <v>42914</v>
      </c>
      <c r="J902">
        <v>22.65</v>
      </c>
      <c r="K902">
        <v>22.76</v>
      </c>
      <c r="L902">
        <v>22.6</v>
      </c>
      <c r="M902">
        <v>22.719999000000001</v>
      </c>
    </row>
    <row r="903" spans="1:13">
      <c r="A903" s="346">
        <v>42915</v>
      </c>
      <c r="B903">
        <v>19.959999</v>
      </c>
      <c r="C903">
        <v>19.959999</v>
      </c>
      <c r="D903">
        <v>19.530000999999999</v>
      </c>
      <c r="E903">
        <v>19.690000999999999</v>
      </c>
      <c r="F903">
        <v>19.690000999999999</v>
      </c>
      <c r="G903">
        <v>252200</v>
      </c>
      <c r="I903" s="346">
        <v>42915</v>
      </c>
      <c r="J903">
        <v>22.73</v>
      </c>
      <c r="K903">
        <v>22.75</v>
      </c>
      <c r="L903">
        <v>22.43</v>
      </c>
      <c r="M903">
        <v>22.530000999999999</v>
      </c>
    </row>
    <row r="904" spans="1:13">
      <c r="A904" s="346">
        <v>42916</v>
      </c>
      <c r="B904">
        <v>19.709999</v>
      </c>
      <c r="C904">
        <v>19.709999</v>
      </c>
      <c r="D904">
        <v>19.43</v>
      </c>
      <c r="E904">
        <v>19.59</v>
      </c>
      <c r="F904">
        <v>19.59</v>
      </c>
      <c r="G904">
        <v>145900</v>
      </c>
      <c r="I904" s="346">
        <v>42916</v>
      </c>
      <c r="J904">
        <v>22.530000999999999</v>
      </c>
      <c r="K904">
        <v>22.58</v>
      </c>
      <c r="L904">
        <v>22.34</v>
      </c>
      <c r="M904">
        <v>22.43</v>
      </c>
    </row>
    <row r="905" spans="1:13">
      <c r="A905" s="346">
        <v>42920</v>
      </c>
      <c r="B905">
        <v>19.59</v>
      </c>
      <c r="C905">
        <v>19.739999999999998</v>
      </c>
      <c r="D905">
        <v>19.48</v>
      </c>
      <c r="E905">
        <v>19.700001</v>
      </c>
      <c r="F905">
        <v>19.700001</v>
      </c>
      <c r="G905">
        <v>37100</v>
      </c>
      <c r="I905" s="346">
        <v>42920</v>
      </c>
      <c r="J905">
        <v>22.540001</v>
      </c>
      <c r="K905">
        <v>22.57</v>
      </c>
      <c r="L905">
        <v>22.299999</v>
      </c>
      <c r="M905">
        <v>22.389999</v>
      </c>
    </row>
    <row r="906" spans="1:13">
      <c r="A906" s="346">
        <v>42921</v>
      </c>
      <c r="B906">
        <v>19.670000000000002</v>
      </c>
      <c r="C906">
        <v>19.73</v>
      </c>
      <c r="D906">
        <v>19.389999</v>
      </c>
      <c r="E906">
        <v>19.559999000000001</v>
      </c>
      <c r="F906">
        <v>19.559999000000001</v>
      </c>
      <c r="G906">
        <v>127500</v>
      </c>
      <c r="I906" s="346">
        <v>42921</v>
      </c>
      <c r="J906">
        <v>22.389999</v>
      </c>
      <c r="K906">
        <v>22.469999000000001</v>
      </c>
      <c r="L906">
        <v>22.219999000000001</v>
      </c>
      <c r="M906">
        <v>22.440000999999999</v>
      </c>
    </row>
    <row r="907" spans="1:13">
      <c r="A907" s="346">
        <v>42922</v>
      </c>
      <c r="B907">
        <v>19.510000000000002</v>
      </c>
      <c r="C907">
        <v>19.600000000000001</v>
      </c>
      <c r="D907">
        <v>19.110001</v>
      </c>
      <c r="E907">
        <v>19.219999000000001</v>
      </c>
      <c r="F907">
        <v>19.219999000000001</v>
      </c>
      <c r="G907">
        <v>278200</v>
      </c>
      <c r="I907" s="346">
        <v>42922</v>
      </c>
      <c r="J907">
        <v>22.35</v>
      </c>
      <c r="K907">
        <v>22.450001</v>
      </c>
      <c r="L907">
        <v>22.299999</v>
      </c>
      <c r="M907">
        <v>22.370000999999998</v>
      </c>
    </row>
    <row r="908" spans="1:13">
      <c r="A908" s="346">
        <v>42923</v>
      </c>
      <c r="B908">
        <v>19.190000999999999</v>
      </c>
      <c r="C908">
        <v>19.190000999999999</v>
      </c>
      <c r="D908">
        <v>18.469999000000001</v>
      </c>
      <c r="E908">
        <v>18.91</v>
      </c>
      <c r="F908">
        <v>18.91</v>
      </c>
      <c r="G908">
        <v>337800</v>
      </c>
      <c r="I908" s="346">
        <v>42923</v>
      </c>
      <c r="J908">
        <v>22.309999000000001</v>
      </c>
      <c r="K908">
        <v>22.309999000000001</v>
      </c>
      <c r="L908">
        <v>22.129999000000002</v>
      </c>
      <c r="M908">
        <v>22.299999</v>
      </c>
    </row>
    <row r="909" spans="1:13">
      <c r="A909" s="346">
        <v>42926</v>
      </c>
      <c r="B909">
        <v>19</v>
      </c>
      <c r="C909">
        <v>19.48</v>
      </c>
      <c r="D909">
        <v>18.920000000000002</v>
      </c>
      <c r="E909">
        <v>19.440000999999999</v>
      </c>
      <c r="F909">
        <v>19.440000999999999</v>
      </c>
      <c r="G909">
        <v>605800</v>
      </c>
      <c r="I909" s="346">
        <v>42926</v>
      </c>
      <c r="J909">
        <v>22.309999000000001</v>
      </c>
      <c r="K909">
        <v>22.469999000000001</v>
      </c>
      <c r="L909">
        <v>22.24</v>
      </c>
      <c r="M909">
        <v>22.4</v>
      </c>
    </row>
    <row r="910" spans="1:13">
      <c r="A910" s="346">
        <v>42927</v>
      </c>
      <c r="B910">
        <v>19.469999000000001</v>
      </c>
      <c r="C910">
        <v>19.75</v>
      </c>
      <c r="D910">
        <v>19.32</v>
      </c>
      <c r="E910">
        <v>19.670000000000002</v>
      </c>
      <c r="F910">
        <v>19.670000000000002</v>
      </c>
      <c r="G910">
        <v>681600</v>
      </c>
      <c r="I910" s="346">
        <v>42927</v>
      </c>
      <c r="J910">
        <v>22.42</v>
      </c>
      <c r="K910">
        <v>22.459999</v>
      </c>
      <c r="L910">
        <v>22.280000999999999</v>
      </c>
      <c r="M910">
        <v>22.459999</v>
      </c>
    </row>
    <row r="911" spans="1:13">
      <c r="A911" s="346">
        <v>42928</v>
      </c>
      <c r="B911">
        <v>19.670000000000002</v>
      </c>
      <c r="C911">
        <v>20.07</v>
      </c>
      <c r="D911">
        <v>19.670000000000002</v>
      </c>
      <c r="E911">
        <v>19.940000999999999</v>
      </c>
      <c r="F911">
        <v>19.940000999999999</v>
      </c>
      <c r="G911">
        <v>600000</v>
      </c>
      <c r="I911" s="346">
        <v>42928</v>
      </c>
      <c r="J911">
        <v>22.549999</v>
      </c>
      <c r="K911">
        <v>22.700001</v>
      </c>
      <c r="L911">
        <v>22.440000999999999</v>
      </c>
      <c r="M911">
        <v>22.450001</v>
      </c>
    </row>
    <row r="912" spans="1:13">
      <c r="A912" s="346">
        <v>42929</v>
      </c>
      <c r="B912">
        <v>19.920000000000002</v>
      </c>
      <c r="C912">
        <v>20.18</v>
      </c>
      <c r="D912">
        <v>19.84</v>
      </c>
      <c r="E912">
        <v>20.110001</v>
      </c>
      <c r="F912">
        <v>20.110001</v>
      </c>
      <c r="G912">
        <v>306800</v>
      </c>
      <c r="I912" s="346">
        <v>42929</v>
      </c>
      <c r="J912">
        <v>22.48</v>
      </c>
      <c r="K912">
        <v>22.49</v>
      </c>
      <c r="L912">
        <v>22.41</v>
      </c>
      <c r="M912">
        <v>22.450001</v>
      </c>
    </row>
    <row r="913" spans="1:13">
      <c r="A913" s="346">
        <v>42930</v>
      </c>
      <c r="B913">
        <v>20.120000999999998</v>
      </c>
      <c r="C913">
        <v>20.350000000000001</v>
      </c>
      <c r="D913">
        <v>20.02</v>
      </c>
      <c r="E913">
        <v>20.309999000000001</v>
      </c>
      <c r="F913">
        <v>20.309999000000001</v>
      </c>
      <c r="G913">
        <v>339200</v>
      </c>
      <c r="I913" s="346">
        <v>42930</v>
      </c>
      <c r="J913">
        <v>22.450001</v>
      </c>
      <c r="K913">
        <v>22.57</v>
      </c>
      <c r="L913">
        <v>22.42</v>
      </c>
      <c r="M913">
        <v>22.51</v>
      </c>
    </row>
    <row r="914" spans="1:13">
      <c r="A914" s="346">
        <v>42933</v>
      </c>
      <c r="B914">
        <v>20.350000000000001</v>
      </c>
      <c r="C914">
        <v>20.379999000000002</v>
      </c>
      <c r="D914">
        <v>20.170000000000002</v>
      </c>
      <c r="E914">
        <v>20.27</v>
      </c>
      <c r="F914">
        <v>20.27</v>
      </c>
      <c r="G914">
        <v>385300</v>
      </c>
      <c r="I914" s="346">
        <v>42933</v>
      </c>
      <c r="J914">
        <v>22.549999</v>
      </c>
      <c r="K914">
        <v>22.559999000000001</v>
      </c>
      <c r="L914">
        <v>22.469999000000001</v>
      </c>
      <c r="M914">
        <v>22.5</v>
      </c>
    </row>
    <row r="915" spans="1:13">
      <c r="A915" s="346">
        <v>42934</v>
      </c>
      <c r="B915">
        <v>20.219999000000001</v>
      </c>
      <c r="C915">
        <v>20.549999</v>
      </c>
      <c r="D915">
        <v>20.09</v>
      </c>
      <c r="E915">
        <v>20.530000999999999</v>
      </c>
      <c r="F915">
        <v>20.530000999999999</v>
      </c>
      <c r="G915">
        <v>299700</v>
      </c>
      <c r="I915" s="346">
        <v>42934</v>
      </c>
      <c r="J915">
        <v>22.49</v>
      </c>
      <c r="K915">
        <v>22.5</v>
      </c>
      <c r="L915">
        <v>22.370000999999998</v>
      </c>
      <c r="M915">
        <v>22.459999</v>
      </c>
    </row>
    <row r="916" spans="1:13">
      <c r="A916" s="346">
        <v>42935</v>
      </c>
      <c r="B916">
        <v>20.559999000000001</v>
      </c>
      <c r="C916">
        <v>20.76</v>
      </c>
      <c r="D916">
        <v>20.34</v>
      </c>
      <c r="E916">
        <v>20.620000999999998</v>
      </c>
      <c r="F916">
        <v>20.620000999999998</v>
      </c>
      <c r="G916">
        <v>603200</v>
      </c>
      <c r="I916" s="346">
        <v>42935</v>
      </c>
      <c r="J916">
        <v>22.49</v>
      </c>
      <c r="K916">
        <v>22.629999000000002</v>
      </c>
      <c r="L916">
        <v>22.49</v>
      </c>
      <c r="M916">
        <v>22.610001</v>
      </c>
    </row>
    <row r="917" spans="1:13">
      <c r="A917" s="346">
        <v>42936</v>
      </c>
      <c r="B917">
        <v>20.65</v>
      </c>
      <c r="C917">
        <v>20.709999</v>
      </c>
      <c r="D917">
        <v>20.440000999999999</v>
      </c>
      <c r="E917">
        <v>20.52</v>
      </c>
      <c r="F917">
        <v>20.52</v>
      </c>
      <c r="G917">
        <v>133300</v>
      </c>
      <c r="I917" s="346">
        <v>42936</v>
      </c>
      <c r="J917">
        <v>22.67</v>
      </c>
      <c r="K917">
        <v>22.75</v>
      </c>
      <c r="L917">
        <v>22.58</v>
      </c>
      <c r="M917">
        <v>22.66</v>
      </c>
    </row>
    <row r="918" spans="1:13">
      <c r="A918" s="346">
        <v>42937</v>
      </c>
      <c r="B918">
        <v>20.5</v>
      </c>
      <c r="C918">
        <v>20.58</v>
      </c>
      <c r="D918">
        <v>20.209999</v>
      </c>
      <c r="E918">
        <v>20.459999</v>
      </c>
      <c r="F918">
        <v>20.459999</v>
      </c>
      <c r="G918">
        <v>291000</v>
      </c>
      <c r="I918" s="346">
        <v>42937</v>
      </c>
      <c r="J918">
        <v>22.639999</v>
      </c>
      <c r="K918">
        <v>22.639999</v>
      </c>
      <c r="L918">
        <v>22.450001</v>
      </c>
      <c r="M918">
        <v>22.540001</v>
      </c>
    </row>
    <row r="919" spans="1:13">
      <c r="A919" s="346">
        <v>42940</v>
      </c>
      <c r="B919">
        <v>20.32</v>
      </c>
      <c r="C919">
        <v>20.49</v>
      </c>
      <c r="D919">
        <v>20.040001</v>
      </c>
      <c r="E919">
        <v>20.450001</v>
      </c>
      <c r="F919">
        <v>20.450001</v>
      </c>
      <c r="G919">
        <v>139900</v>
      </c>
      <c r="I919" s="346">
        <v>42940</v>
      </c>
      <c r="J919">
        <v>22.559999000000001</v>
      </c>
      <c r="K919">
        <v>22.559999000000001</v>
      </c>
      <c r="L919">
        <v>22.389999</v>
      </c>
      <c r="M919">
        <v>22.48</v>
      </c>
    </row>
    <row r="920" spans="1:13">
      <c r="A920" s="346">
        <v>42941</v>
      </c>
      <c r="B920">
        <v>20.5</v>
      </c>
      <c r="C920">
        <v>20.799999</v>
      </c>
      <c r="D920">
        <v>20.370000999999998</v>
      </c>
      <c r="E920">
        <v>20.420000000000002</v>
      </c>
      <c r="F920">
        <v>20.420000000000002</v>
      </c>
      <c r="G920">
        <v>283500</v>
      </c>
      <c r="I920" s="346">
        <v>42941</v>
      </c>
      <c r="J920">
        <v>22.6</v>
      </c>
      <c r="K920">
        <v>22.700001</v>
      </c>
      <c r="L920">
        <v>22.51</v>
      </c>
      <c r="M920">
        <v>22.559999000000001</v>
      </c>
    </row>
    <row r="921" spans="1:13">
      <c r="A921" s="346">
        <v>42942</v>
      </c>
      <c r="B921">
        <v>20.420000000000002</v>
      </c>
      <c r="C921">
        <v>20.420000000000002</v>
      </c>
      <c r="D921">
        <v>19.600000000000001</v>
      </c>
      <c r="E921">
        <v>19.739999999999998</v>
      </c>
      <c r="F921">
        <v>19.739999999999998</v>
      </c>
      <c r="G921">
        <v>241500</v>
      </c>
      <c r="I921" s="346">
        <v>42942</v>
      </c>
      <c r="J921">
        <v>22.620000999999998</v>
      </c>
      <c r="K921">
        <v>22.620000999999998</v>
      </c>
      <c r="L921">
        <v>22.469999000000001</v>
      </c>
      <c r="M921">
        <v>22.48</v>
      </c>
    </row>
    <row r="922" spans="1:13">
      <c r="A922" s="346">
        <v>42943</v>
      </c>
      <c r="B922">
        <v>20.049999</v>
      </c>
      <c r="C922">
        <v>20.84</v>
      </c>
      <c r="D922">
        <v>19.950001</v>
      </c>
      <c r="E922">
        <v>20.5</v>
      </c>
      <c r="F922">
        <v>20.5</v>
      </c>
      <c r="G922">
        <v>697200</v>
      </c>
      <c r="I922" s="346">
        <v>42943</v>
      </c>
      <c r="J922">
        <v>22.530000999999999</v>
      </c>
      <c r="K922">
        <v>22.58</v>
      </c>
      <c r="L922">
        <v>22.309999000000001</v>
      </c>
      <c r="M922">
        <v>22.52</v>
      </c>
    </row>
    <row r="923" spans="1:13">
      <c r="A923" s="346">
        <v>42944</v>
      </c>
      <c r="B923">
        <v>20.440000999999999</v>
      </c>
      <c r="C923">
        <v>20.780000999999999</v>
      </c>
      <c r="D923">
        <v>20.350000000000001</v>
      </c>
      <c r="E923">
        <v>20.709999</v>
      </c>
      <c r="F923">
        <v>20.709999</v>
      </c>
      <c r="G923">
        <v>180400</v>
      </c>
      <c r="I923" s="346">
        <v>42944</v>
      </c>
      <c r="J923">
        <v>22.469999000000001</v>
      </c>
      <c r="K923">
        <v>22.469999000000001</v>
      </c>
      <c r="L923">
        <v>22.33</v>
      </c>
      <c r="M923">
        <v>22.42</v>
      </c>
    </row>
    <row r="924" spans="1:13">
      <c r="A924" s="346">
        <v>42947</v>
      </c>
      <c r="B924">
        <v>20.84</v>
      </c>
      <c r="C924">
        <v>21.18</v>
      </c>
      <c r="D924">
        <v>20.77</v>
      </c>
      <c r="E924">
        <v>20.92</v>
      </c>
      <c r="F924">
        <v>20.92</v>
      </c>
      <c r="G924">
        <v>622400</v>
      </c>
      <c r="I924" s="346">
        <v>42947</v>
      </c>
      <c r="J924">
        <v>22.440000999999999</v>
      </c>
      <c r="K924">
        <v>22.549999</v>
      </c>
      <c r="L924">
        <v>22.440000999999999</v>
      </c>
      <c r="M924">
        <v>22.450001</v>
      </c>
    </row>
    <row r="925" spans="1:13">
      <c r="A925" s="346">
        <v>42948</v>
      </c>
      <c r="B925">
        <v>20.969999000000001</v>
      </c>
      <c r="C925">
        <v>21.34</v>
      </c>
      <c r="D925">
        <v>20.959999</v>
      </c>
      <c r="E925">
        <v>21.17</v>
      </c>
      <c r="F925">
        <v>21.17</v>
      </c>
      <c r="G925">
        <v>419000</v>
      </c>
      <c r="I925" s="346">
        <v>42948</v>
      </c>
      <c r="J925">
        <v>22.49</v>
      </c>
      <c r="K925">
        <v>22.59</v>
      </c>
      <c r="L925">
        <v>22.280000999999999</v>
      </c>
      <c r="M925">
        <v>22.530000999999999</v>
      </c>
    </row>
    <row r="926" spans="1:13">
      <c r="A926" s="346">
        <v>42949</v>
      </c>
      <c r="B926">
        <v>21.190000999999999</v>
      </c>
      <c r="C926">
        <v>21.299999</v>
      </c>
      <c r="D926">
        <v>21.1</v>
      </c>
      <c r="E926">
        <v>21.17</v>
      </c>
      <c r="F926">
        <v>21.17</v>
      </c>
      <c r="G926">
        <v>224300</v>
      </c>
      <c r="I926" s="346">
        <v>42949</v>
      </c>
      <c r="J926">
        <v>22.540001</v>
      </c>
      <c r="K926">
        <v>22.690000999999999</v>
      </c>
      <c r="L926">
        <v>22.530000999999999</v>
      </c>
      <c r="M926">
        <v>22.67</v>
      </c>
    </row>
    <row r="927" spans="1:13">
      <c r="A927" s="346">
        <v>42950</v>
      </c>
      <c r="B927">
        <v>21.17</v>
      </c>
      <c r="C927">
        <v>21.43</v>
      </c>
      <c r="D927">
        <v>21.110001</v>
      </c>
      <c r="E927">
        <v>21.290001</v>
      </c>
      <c r="F927">
        <v>21.290001</v>
      </c>
      <c r="G927">
        <v>328200</v>
      </c>
      <c r="I927" s="346">
        <v>42950</v>
      </c>
      <c r="J927">
        <v>22.68</v>
      </c>
      <c r="K927">
        <v>22.780000999999999</v>
      </c>
      <c r="L927">
        <v>22.549999</v>
      </c>
      <c r="M927">
        <v>22.58</v>
      </c>
    </row>
    <row r="928" spans="1:13">
      <c r="A928" s="346">
        <v>42951</v>
      </c>
      <c r="B928">
        <v>21.25</v>
      </c>
      <c r="C928">
        <v>21.58</v>
      </c>
      <c r="D928">
        <v>21.25</v>
      </c>
      <c r="E928">
        <v>21.52</v>
      </c>
      <c r="F928">
        <v>21.52</v>
      </c>
      <c r="G928">
        <v>213100</v>
      </c>
      <c r="I928" s="346">
        <v>42951</v>
      </c>
      <c r="J928">
        <v>22.67</v>
      </c>
      <c r="K928">
        <v>22.709999</v>
      </c>
      <c r="L928">
        <v>22.6</v>
      </c>
      <c r="M928">
        <v>22.690000999999999</v>
      </c>
    </row>
    <row r="929" spans="1:13">
      <c r="A929" s="346">
        <v>42955</v>
      </c>
      <c r="B929">
        <v>21.450001</v>
      </c>
      <c r="C929">
        <v>21.74</v>
      </c>
      <c r="D929">
        <v>21.41</v>
      </c>
      <c r="E929">
        <v>21.5</v>
      </c>
      <c r="F929">
        <v>21.5</v>
      </c>
      <c r="G929">
        <v>1519800</v>
      </c>
      <c r="I929" s="346">
        <v>42955</v>
      </c>
      <c r="J929">
        <v>22.690000999999999</v>
      </c>
      <c r="K929">
        <v>22.74</v>
      </c>
      <c r="L929">
        <v>22.620000999999998</v>
      </c>
      <c r="M929">
        <v>22.68</v>
      </c>
    </row>
    <row r="930" spans="1:13">
      <c r="A930" s="346">
        <v>42956</v>
      </c>
      <c r="B930">
        <v>21.41</v>
      </c>
      <c r="C930">
        <v>21.82</v>
      </c>
      <c r="D930">
        <v>21.309999000000001</v>
      </c>
      <c r="E930">
        <v>21.459999</v>
      </c>
      <c r="F930">
        <v>21.459999</v>
      </c>
      <c r="G930">
        <v>561800</v>
      </c>
      <c r="I930" s="346">
        <v>42956</v>
      </c>
      <c r="J930">
        <v>22.66</v>
      </c>
      <c r="K930">
        <v>22.74</v>
      </c>
      <c r="L930">
        <v>22.57</v>
      </c>
      <c r="M930">
        <v>22.629999000000002</v>
      </c>
    </row>
    <row r="931" spans="1:13">
      <c r="A931" s="346">
        <v>42957</v>
      </c>
      <c r="B931">
        <v>21.4</v>
      </c>
      <c r="C931">
        <v>21.43</v>
      </c>
      <c r="D931">
        <v>20.98</v>
      </c>
      <c r="E931">
        <v>21.1</v>
      </c>
      <c r="F931">
        <v>21.1</v>
      </c>
      <c r="G931">
        <v>368300</v>
      </c>
      <c r="I931" s="346">
        <v>42957</v>
      </c>
      <c r="J931">
        <v>22.610001</v>
      </c>
      <c r="K931">
        <v>22.629999000000002</v>
      </c>
      <c r="L931">
        <v>22.379999000000002</v>
      </c>
      <c r="M931">
        <v>22.4</v>
      </c>
    </row>
    <row r="932" spans="1:13">
      <c r="A932" s="346">
        <v>42958</v>
      </c>
      <c r="B932">
        <v>21.01</v>
      </c>
      <c r="C932">
        <v>21.360001</v>
      </c>
      <c r="D932">
        <v>21.01</v>
      </c>
      <c r="E932">
        <v>21.200001</v>
      </c>
      <c r="F932">
        <v>21.200001</v>
      </c>
      <c r="G932">
        <v>388100</v>
      </c>
      <c r="I932" s="346">
        <v>42958</v>
      </c>
      <c r="J932">
        <v>22.379999000000002</v>
      </c>
      <c r="K932">
        <v>22.43</v>
      </c>
      <c r="L932">
        <v>22.290001</v>
      </c>
      <c r="M932">
        <v>22.34</v>
      </c>
    </row>
    <row r="933" spans="1:13">
      <c r="A933" s="346">
        <v>42961</v>
      </c>
      <c r="B933">
        <v>20.870000999999998</v>
      </c>
      <c r="C933">
        <v>20.870000999999998</v>
      </c>
      <c r="D933">
        <v>20.23</v>
      </c>
      <c r="E933">
        <v>20.620000999999998</v>
      </c>
      <c r="F933">
        <v>20.620000999999998</v>
      </c>
      <c r="G933">
        <v>623800</v>
      </c>
      <c r="I933" s="346">
        <v>42961</v>
      </c>
      <c r="J933">
        <v>22.440000999999999</v>
      </c>
      <c r="K933">
        <v>22.639999</v>
      </c>
      <c r="L933">
        <v>22.42</v>
      </c>
      <c r="M933">
        <v>22.52</v>
      </c>
    </row>
    <row r="934" spans="1:13">
      <c r="A934" s="346">
        <v>42962</v>
      </c>
      <c r="B934">
        <v>20.52</v>
      </c>
      <c r="C934">
        <v>20.809999000000001</v>
      </c>
      <c r="D934">
        <v>20.379999000000002</v>
      </c>
      <c r="E934">
        <v>20.65</v>
      </c>
      <c r="F934">
        <v>20.65</v>
      </c>
      <c r="G934">
        <v>276000</v>
      </c>
      <c r="I934" s="346">
        <v>42962</v>
      </c>
      <c r="J934">
        <v>22.559999000000001</v>
      </c>
      <c r="K934">
        <v>22.559999000000001</v>
      </c>
      <c r="L934">
        <v>22.450001</v>
      </c>
      <c r="M934">
        <v>22.469999000000001</v>
      </c>
    </row>
    <row r="935" spans="1:13">
      <c r="A935" s="346">
        <v>42963</v>
      </c>
      <c r="B935">
        <v>20.719999000000001</v>
      </c>
      <c r="C935">
        <v>21.26</v>
      </c>
      <c r="D935">
        <v>20.700001</v>
      </c>
      <c r="E935">
        <v>21.139999</v>
      </c>
      <c r="F935">
        <v>21.139999</v>
      </c>
      <c r="G935">
        <v>451500</v>
      </c>
      <c r="I935" s="346">
        <v>42963</v>
      </c>
      <c r="J935">
        <v>22.549999</v>
      </c>
      <c r="K935">
        <v>22.59</v>
      </c>
      <c r="L935">
        <v>22.41</v>
      </c>
      <c r="M935">
        <v>22.43</v>
      </c>
    </row>
    <row r="936" spans="1:13">
      <c r="A936" s="346">
        <v>42964</v>
      </c>
      <c r="B936">
        <v>21</v>
      </c>
      <c r="C936">
        <v>21.17</v>
      </c>
      <c r="D936">
        <v>20.379999000000002</v>
      </c>
      <c r="E936">
        <v>20.530000999999999</v>
      </c>
      <c r="F936">
        <v>20.530000999999999</v>
      </c>
      <c r="G936">
        <v>682200</v>
      </c>
      <c r="I936" s="346">
        <v>42964</v>
      </c>
      <c r="J936">
        <v>22.41</v>
      </c>
      <c r="K936">
        <v>22.459999</v>
      </c>
      <c r="L936">
        <v>22.34</v>
      </c>
      <c r="M936">
        <v>22.34</v>
      </c>
    </row>
    <row r="937" spans="1:13">
      <c r="A937" s="346">
        <v>42965</v>
      </c>
      <c r="B937">
        <v>20.49</v>
      </c>
      <c r="C937">
        <v>20.809999000000001</v>
      </c>
      <c r="D937">
        <v>20.200001</v>
      </c>
      <c r="E937">
        <v>20.629999000000002</v>
      </c>
      <c r="F937">
        <v>20.629999000000002</v>
      </c>
      <c r="G937">
        <v>400700</v>
      </c>
      <c r="I937" s="346">
        <v>42965</v>
      </c>
      <c r="J937">
        <v>22.32</v>
      </c>
      <c r="K937">
        <v>22.32</v>
      </c>
      <c r="L937">
        <v>22.16</v>
      </c>
      <c r="M937">
        <v>22.219999000000001</v>
      </c>
    </row>
    <row r="938" spans="1:13">
      <c r="A938" s="346">
        <v>42968</v>
      </c>
      <c r="B938">
        <v>20.639999</v>
      </c>
      <c r="C938">
        <v>20.75</v>
      </c>
      <c r="D938">
        <v>20.280000999999999</v>
      </c>
      <c r="E938">
        <v>20.399999999999999</v>
      </c>
      <c r="F938">
        <v>20.399999999999999</v>
      </c>
      <c r="G938">
        <v>740700</v>
      </c>
      <c r="I938" s="346">
        <v>42968</v>
      </c>
      <c r="J938">
        <v>22.200001</v>
      </c>
      <c r="K938">
        <v>22.24</v>
      </c>
      <c r="L938">
        <v>22.15</v>
      </c>
      <c r="M938">
        <v>22.219999000000001</v>
      </c>
    </row>
    <row r="939" spans="1:13">
      <c r="A939" s="346">
        <v>42969</v>
      </c>
      <c r="B939">
        <v>20.52</v>
      </c>
      <c r="C939">
        <v>21.040001</v>
      </c>
      <c r="D939">
        <v>20.459999</v>
      </c>
      <c r="E939">
        <v>20.959999</v>
      </c>
      <c r="F939">
        <v>20.959999</v>
      </c>
      <c r="G939">
        <v>378600</v>
      </c>
      <c r="I939" s="346">
        <v>42969</v>
      </c>
      <c r="J939">
        <v>22.26</v>
      </c>
      <c r="K939">
        <v>22.290001</v>
      </c>
      <c r="L939">
        <v>22.23</v>
      </c>
      <c r="M939">
        <v>22.27</v>
      </c>
    </row>
    <row r="940" spans="1:13">
      <c r="A940" s="346">
        <v>42970</v>
      </c>
      <c r="B940">
        <v>20.870000999999998</v>
      </c>
      <c r="C940">
        <v>21.49</v>
      </c>
      <c r="D940">
        <v>20.870000999999998</v>
      </c>
      <c r="E940">
        <v>21.290001</v>
      </c>
      <c r="F940">
        <v>21.290001</v>
      </c>
      <c r="G940">
        <v>359900</v>
      </c>
      <c r="I940" s="346">
        <v>42970</v>
      </c>
      <c r="J940">
        <v>22.209999</v>
      </c>
      <c r="K940">
        <v>22.459999</v>
      </c>
      <c r="L940">
        <v>22.200001</v>
      </c>
      <c r="M940">
        <v>22.389999</v>
      </c>
    </row>
    <row r="941" spans="1:13">
      <c r="A941" s="346">
        <v>42971</v>
      </c>
      <c r="B941">
        <v>21.25</v>
      </c>
      <c r="C941">
        <v>21.49</v>
      </c>
      <c r="D941">
        <v>21.16</v>
      </c>
      <c r="E941">
        <v>21.34</v>
      </c>
      <c r="F941">
        <v>21.34</v>
      </c>
      <c r="G941">
        <v>272700</v>
      </c>
      <c r="I941" s="346">
        <v>42971</v>
      </c>
      <c r="J941">
        <v>22.27</v>
      </c>
      <c r="K941">
        <v>22.290001</v>
      </c>
      <c r="L941">
        <v>22.200001</v>
      </c>
      <c r="M941">
        <v>22.24</v>
      </c>
    </row>
    <row r="942" spans="1:13">
      <c r="A942" s="346">
        <v>42972</v>
      </c>
      <c r="B942">
        <v>21.450001</v>
      </c>
      <c r="C942">
        <v>21.780000999999999</v>
      </c>
      <c r="D942">
        <v>21.370000999999998</v>
      </c>
      <c r="E942">
        <v>21.389999</v>
      </c>
      <c r="F942">
        <v>21.389999</v>
      </c>
      <c r="G942">
        <v>242600</v>
      </c>
      <c r="I942" s="346">
        <v>42972</v>
      </c>
      <c r="J942">
        <v>22.299999</v>
      </c>
      <c r="K942">
        <v>22.299999</v>
      </c>
      <c r="L942">
        <v>22.200001</v>
      </c>
      <c r="M942">
        <v>22.200001</v>
      </c>
    </row>
    <row r="943" spans="1:13">
      <c r="A943" s="346">
        <v>42975</v>
      </c>
      <c r="B943">
        <v>21.370000999999998</v>
      </c>
      <c r="C943">
        <v>21.559999000000001</v>
      </c>
      <c r="D943">
        <v>21.18</v>
      </c>
      <c r="E943">
        <v>21.25</v>
      </c>
      <c r="F943">
        <v>21.25</v>
      </c>
      <c r="G943">
        <v>261100</v>
      </c>
      <c r="I943" s="346">
        <v>42975</v>
      </c>
      <c r="J943">
        <v>22.23</v>
      </c>
      <c r="K943">
        <v>22.23</v>
      </c>
      <c r="L943">
        <v>22.07</v>
      </c>
      <c r="M943">
        <v>22.200001</v>
      </c>
    </row>
    <row r="944" spans="1:13">
      <c r="A944" s="346">
        <v>42976</v>
      </c>
      <c r="B944">
        <v>21.030000999999999</v>
      </c>
      <c r="C944">
        <v>21.82</v>
      </c>
      <c r="D944">
        <v>20.969999000000001</v>
      </c>
      <c r="E944">
        <v>21.799999</v>
      </c>
      <c r="F944">
        <v>21.799999</v>
      </c>
      <c r="G944">
        <v>525200</v>
      </c>
      <c r="I944" s="346">
        <v>42976</v>
      </c>
      <c r="J944">
        <v>22.059999000000001</v>
      </c>
      <c r="K944">
        <v>22.219999000000001</v>
      </c>
      <c r="L944">
        <v>21.98</v>
      </c>
      <c r="M944">
        <v>22.219999000000001</v>
      </c>
    </row>
    <row r="945" spans="1:13">
      <c r="A945" s="346">
        <v>42977</v>
      </c>
      <c r="B945">
        <v>21.82</v>
      </c>
      <c r="C945">
        <v>21.959999</v>
      </c>
      <c r="D945">
        <v>21.59</v>
      </c>
      <c r="E945">
        <v>21.68</v>
      </c>
      <c r="F945">
        <v>21.68</v>
      </c>
      <c r="G945">
        <v>287700</v>
      </c>
      <c r="I945" s="346">
        <v>42977</v>
      </c>
      <c r="J945">
        <v>22.219999000000001</v>
      </c>
      <c r="K945">
        <v>22.35</v>
      </c>
      <c r="L945">
        <v>22.200001</v>
      </c>
      <c r="M945">
        <v>22.280000999999999</v>
      </c>
    </row>
    <row r="946" spans="1:13">
      <c r="A946" s="346">
        <v>42978</v>
      </c>
      <c r="B946">
        <v>21.719999000000001</v>
      </c>
      <c r="C946">
        <v>21.99</v>
      </c>
      <c r="D946">
        <v>21.719999000000001</v>
      </c>
      <c r="E946">
        <v>21.870000999999998</v>
      </c>
      <c r="F946">
        <v>21.870000999999998</v>
      </c>
      <c r="G946">
        <v>207700</v>
      </c>
      <c r="I946" s="346">
        <v>42978</v>
      </c>
      <c r="J946">
        <v>22.370000999999998</v>
      </c>
      <c r="K946">
        <v>22.4</v>
      </c>
      <c r="L946">
        <v>22.280000999999999</v>
      </c>
      <c r="M946">
        <v>22.35</v>
      </c>
    </row>
    <row r="947" spans="1:13">
      <c r="A947" s="346">
        <v>42979</v>
      </c>
      <c r="B947">
        <v>21.969999000000001</v>
      </c>
      <c r="C947">
        <v>22.08</v>
      </c>
      <c r="D947">
        <v>21.639999</v>
      </c>
      <c r="E947">
        <v>22.030000999999999</v>
      </c>
      <c r="F947">
        <v>22.030000999999999</v>
      </c>
      <c r="G947">
        <v>305800</v>
      </c>
      <c r="I947" s="346">
        <v>42979</v>
      </c>
      <c r="J947">
        <v>22.379999000000002</v>
      </c>
      <c r="K947">
        <v>22.379999000000002</v>
      </c>
      <c r="L947">
        <v>22.280000999999999</v>
      </c>
      <c r="M947">
        <v>22.35</v>
      </c>
    </row>
    <row r="948" spans="1:13">
      <c r="A948" s="346">
        <v>42983</v>
      </c>
      <c r="B948">
        <v>22.030000999999999</v>
      </c>
      <c r="C948">
        <v>22.07</v>
      </c>
      <c r="D948">
        <v>21.26</v>
      </c>
      <c r="E948">
        <v>21.58</v>
      </c>
      <c r="F948">
        <v>21.58</v>
      </c>
      <c r="G948">
        <v>434500</v>
      </c>
      <c r="I948" s="346">
        <v>42983</v>
      </c>
      <c r="J948">
        <v>22.309999000000001</v>
      </c>
      <c r="K948">
        <v>22.33</v>
      </c>
      <c r="L948">
        <v>22.059999000000001</v>
      </c>
      <c r="M948">
        <v>22.16</v>
      </c>
    </row>
    <row r="949" spans="1:13">
      <c r="A949" s="346">
        <v>42984</v>
      </c>
      <c r="B949">
        <v>21.629999000000002</v>
      </c>
      <c r="C949">
        <v>21.99</v>
      </c>
      <c r="D949">
        <v>21.459999</v>
      </c>
      <c r="E949">
        <v>21.93</v>
      </c>
      <c r="F949">
        <v>21.93</v>
      </c>
      <c r="G949">
        <v>283700</v>
      </c>
      <c r="I949" s="346">
        <v>42984</v>
      </c>
      <c r="J949">
        <v>22.209999</v>
      </c>
      <c r="K949">
        <v>22.309999000000001</v>
      </c>
      <c r="L949">
        <v>22.110001</v>
      </c>
      <c r="M949">
        <v>22.120000999999998</v>
      </c>
    </row>
    <row r="950" spans="1:13">
      <c r="A950" s="346">
        <v>42985</v>
      </c>
      <c r="B950">
        <v>22</v>
      </c>
      <c r="C950">
        <v>22.110001</v>
      </c>
      <c r="D950">
        <v>21.809999000000001</v>
      </c>
      <c r="E950">
        <v>22.059999000000001</v>
      </c>
      <c r="F950">
        <v>22.059999000000001</v>
      </c>
      <c r="G950">
        <v>257000</v>
      </c>
      <c r="I950" s="346">
        <v>42985</v>
      </c>
      <c r="J950">
        <v>22.18</v>
      </c>
      <c r="K950">
        <v>22.18</v>
      </c>
      <c r="L950">
        <v>22.059999000000001</v>
      </c>
      <c r="M950">
        <v>22.07</v>
      </c>
    </row>
    <row r="951" spans="1:13">
      <c r="A951" s="346">
        <v>42986</v>
      </c>
      <c r="B951">
        <v>22.15</v>
      </c>
      <c r="C951">
        <v>22.15</v>
      </c>
      <c r="D951">
        <v>21.860001</v>
      </c>
      <c r="E951">
        <v>22.09</v>
      </c>
      <c r="F951">
        <v>22.09</v>
      </c>
      <c r="G951">
        <v>330500</v>
      </c>
      <c r="I951" s="346">
        <v>42986</v>
      </c>
      <c r="J951">
        <v>22.040001</v>
      </c>
      <c r="K951">
        <v>22.08</v>
      </c>
      <c r="L951">
        <v>22</v>
      </c>
      <c r="M951">
        <v>22.049999</v>
      </c>
    </row>
    <row r="952" spans="1:13">
      <c r="A952" s="346">
        <v>42989</v>
      </c>
      <c r="B952">
        <v>22.23</v>
      </c>
      <c r="C952">
        <v>22.639999</v>
      </c>
      <c r="D952">
        <v>22.23</v>
      </c>
      <c r="E952">
        <v>22.610001</v>
      </c>
      <c r="F952">
        <v>22.610001</v>
      </c>
      <c r="G952">
        <v>320900</v>
      </c>
      <c r="I952" s="346">
        <v>42989</v>
      </c>
      <c r="J952">
        <v>22.139999</v>
      </c>
      <c r="K952">
        <v>22.190000999999999</v>
      </c>
      <c r="L952">
        <v>22.1</v>
      </c>
      <c r="M952">
        <v>22.15</v>
      </c>
    </row>
    <row r="953" spans="1:13">
      <c r="A953" s="346">
        <v>42990</v>
      </c>
      <c r="B953">
        <v>22.6</v>
      </c>
      <c r="C953">
        <v>22.91</v>
      </c>
      <c r="D953">
        <v>22.440000999999999</v>
      </c>
      <c r="E953">
        <v>22.610001</v>
      </c>
      <c r="F953">
        <v>22.610001</v>
      </c>
      <c r="G953">
        <v>344100</v>
      </c>
      <c r="I953" s="346">
        <v>42990</v>
      </c>
      <c r="J953">
        <v>22.200001</v>
      </c>
      <c r="K953">
        <v>22.33</v>
      </c>
      <c r="L953">
        <v>22.139999</v>
      </c>
      <c r="M953">
        <v>22.290001</v>
      </c>
    </row>
    <row r="954" spans="1:13">
      <c r="A954" s="346">
        <v>42991</v>
      </c>
      <c r="B954">
        <v>22.559999000000001</v>
      </c>
      <c r="C954">
        <v>22.639999</v>
      </c>
      <c r="D954">
        <v>22.32</v>
      </c>
      <c r="E954">
        <v>22.629999000000002</v>
      </c>
      <c r="F954">
        <v>22.629999000000002</v>
      </c>
      <c r="G954">
        <v>175600</v>
      </c>
      <c r="I954" s="346">
        <v>42991</v>
      </c>
      <c r="J954">
        <v>22.32</v>
      </c>
      <c r="K954">
        <v>22.34</v>
      </c>
      <c r="L954">
        <v>22.26</v>
      </c>
      <c r="M954">
        <v>22.26</v>
      </c>
    </row>
    <row r="955" spans="1:13">
      <c r="A955" s="346">
        <v>42992</v>
      </c>
      <c r="B955">
        <v>22.620000999999998</v>
      </c>
      <c r="C955">
        <v>22.870000999999998</v>
      </c>
      <c r="D955">
        <v>22.530000999999999</v>
      </c>
      <c r="E955">
        <v>22.82</v>
      </c>
      <c r="F955">
        <v>22.82</v>
      </c>
      <c r="G955">
        <v>190700</v>
      </c>
      <c r="I955" s="346">
        <v>42992</v>
      </c>
      <c r="J955">
        <v>22.290001</v>
      </c>
      <c r="K955">
        <v>22.370000999999998</v>
      </c>
      <c r="L955">
        <v>22.27</v>
      </c>
      <c r="M955">
        <v>22.370000999999998</v>
      </c>
    </row>
    <row r="956" spans="1:13">
      <c r="A956" s="346">
        <v>42993</v>
      </c>
      <c r="B956">
        <v>22.799999</v>
      </c>
      <c r="C956">
        <v>22.950001</v>
      </c>
      <c r="D956">
        <v>22.540001</v>
      </c>
      <c r="E956">
        <v>22.610001</v>
      </c>
      <c r="F956">
        <v>22.610001</v>
      </c>
      <c r="G956">
        <v>529500</v>
      </c>
      <c r="I956" s="346">
        <v>42993</v>
      </c>
      <c r="J956">
        <v>22.379999000000002</v>
      </c>
      <c r="K956">
        <v>22.379999000000002</v>
      </c>
      <c r="L956">
        <v>22.299999</v>
      </c>
      <c r="M956">
        <v>22.360001</v>
      </c>
    </row>
    <row r="957" spans="1:13">
      <c r="A957" s="346">
        <v>42996</v>
      </c>
      <c r="B957">
        <v>22.629999000000002</v>
      </c>
      <c r="C957">
        <v>22.84</v>
      </c>
      <c r="D957">
        <v>22.59</v>
      </c>
      <c r="E957">
        <v>22.65</v>
      </c>
      <c r="F957">
        <v>22.65</v>
      </c>
      <c r="G957">
        <v>239800</v>
      </c>
      <c r="I957" s="346">
        <v>42996</v>
      </c>
      <c r="J957">
        <v>22.4</v>
      </c>
      <c r="K957">
        <v>22.5</v>
      </c>
      <c r="L957">
        <v>22.370000999999998</v>
      </c>
      <c r="M957">
        <v>22.48</v>
      </c>
    </row>
    <row r="958" spans="1:13">
      <c r="A958" s="346">
        <v>42997</v>
      </c>
      <c r="B958">
        <v>22.719999000000001</v>
      </c>
      <c r="C958">
        <v>23.120000999999998</v>
      </c>
      <c r="D958">
        <v>22.52</v>
      </c>
      <c r="E958">
        <v>23.110001</v>
      </c>
      <c r="F958">
        <v>23.110001</v>
      </c>
      <c r="G958">
        <v>154500</v>
      </c>
      <c r="I958" s="346">
        <v>42997</v>
      </c>
      <c r="J958">
        <v>22.5</v>
      </c>
      <c r="K958">
        <v>22.610001</v>
      </c>
      <c r="L958">
        <v>22.5</v>
      </c>
      <c r="M958">
        <v>22.57</v>
      </c>
    </row>
    <row r="959" spans="1:13">
      <c r="A959" s="346">
        <v>42998</v>
      </c>
      <c r="B959">
        <v>23.1</v>
      </c>
      <c r="C959">
        <v>23.549999</v>
      </c>
      <c r="D959">
        <v>22.99</v>
      </c>
      <c r="E959">
        <v>23.43</v>
      </c>
      <c r="F959">
        <v>23.43</v>
      </c>
      <c r="G959">
        <v>424700</v>
      </c>
      <c r="I959" s="346">
        <v>42998</v>
      </c>
      <c r="J959">
        <v>22.6</v>
      </c>
      <c r="K959">
        <v>22.709999</v>
      </c>
      <c r="L959">
        <v>22.6</v>
      </c>
      <c r="M959">
        <v>22.709999</v>
      </c>
    </row>
    <row r="960" spans="1:13">
      <c r="A960" s="346">
        <v>42999</v>
      </c>
      <c r="B960">
        <v>23.459999</v>
      </c>
      <c r="C960">
        <v>23.790001</v>
      </c>
      <c r="D960">
        <v>23.4</v>
      </c>
      <c r="E960">
        <v>23.74</v>
      </c>
      <c r="F960">
        <v>23.74</v>
      </c>
      <c r="G960">
        <v>206700</v>
      </c>
      <c r="I960" s="346">
        <v>42999</v>
      </c>
      <c r="J960">
        <v>22.709999</v>
      </c>
      <c r="K960">
        <v>22.870000999999998</v>
      </c>
      <c r="L960">
        <v>22.690000999999999</v>
      </c>
      <c r="M960">
        <v>22.83</v>
      </c>
    </row>
    <row r="961" spans="1:13">
      <c r="A961" s="346">
        <v>43000</v>
      </c>
      <c r="B961">
        <v>23.83</v>
      </c>
      <c r="C961">
        <v>23.83</v>
      </c>
      <c r="D961">
        <v>23.57</v>
      </c>
      <c r="E961">
        <v>23.75</v>
      </c>
      <c r="F961">
        <v>23.75</v>
      </c>
      <c r="G961">
        <v>113900</v>
      </c>
      <c r="I961" s="346">
        <v>43000</v>
      </c>
      <c r="J961">
        <v>22.809999000000001</v>
      </c>
      <c r="K961">
        <v>22.85</v>
      </c>
      <c r="L961">
        <v>22.75</v>
      </c>
      <c r="M961">
        <v>22.809999000000001</v>
      </c>
    </row>
    <row r="962" spans="1:13">
      <c r="A962" s="346">
        <v>43003</v>
      </c>
      <c r="B962">
        <v>23.75</v>
      </c>
      <c r="C962">
        <v>23.75</v>
      </c>
      <c r="D962">
        <v>23.219999000000001</v>
      </c>
      <c r="E962">
        <v>23.25</v>
      </c>
      <c r="F962">
        <v>23.25</v>
      </c>
      <c r="G962">
        <v>180300</v>
      </c>
      <c r="I962" s="346">
        <v>43003</v>
      </c>
      <c r="J962">
        <v>22.82</v>
      </c>
      <c r="K962">
        <v>22.91</v>
      </c>
      <c r="L962">
        <v>22.780000999999999</v>
      </c>
      <c r="M962">
        <v>22.91</v>
      </c>
    </row>
    <row r="963" spans="1:13">
      <c r="A963" s="346">
        <v>43004</v>
      </c>
      <c r="B963">
        <v>23.200001</v>
      </c>
      <c r="C963">
        <v>23.25</v>
      </c>
      <c r="D963">
        <v>22.950001</v>
      </c>
      <c r="E963">
        <v>23.200001</v>
      </c>
      <c r="F963">
        <v>23.200001</v>
      </c>
      <c r="G963">
        <v>165100</v>
      </c>
      <c r="I963" s="346">
        <v>43004</v>
      </c>
      <c r="J963">
        <v>22.91</v>
      </c>
      <c r="K963">
        <v>22.91</v>
      </c>
      <c r="L963">
        <v>22.809999000000001</v>
      </c>
      <c r="M963">
        <v>22.83</v>
      </c>
    </row>
    <row r="964" spans="1:13">
      <c r="A964" s="346">
        <v>43005</v>
      </c>
      <c r="B964">
        <v>23.209999</v>
      </c>
      <c r="C964">
        <v>23.5</v>
      </c>
      <c r="D964">
        <v>23.18</v>
      </c>
      <c r="E964">
        <v>23.469999000000001</v>
      </c>
      <c r="F964">
        <v>23.469999000000001</v>
      </c>
      <c r="G964">
        <v>211600</v>
      </c>
      <c r="I964" s="346">
        <v>43005</v>
      </c>
      <c r="J964">
        <v>22.9</v>
      </c>
      <c r="K964">
        <v>23.1</v>
      </c>
      <c r="L964">
        <v>22.879999000000002</v>
      </c>
      <c r="M964">
        <v>23.09</v>
      </c>
    </row>
    <row r="965" spans="1:13">
      <c r="A965" s="346">
        <v>43006</v>
      </c>
      <c r="B965">
        <v>23.41</v>
      </c>
      <c r="C965">
        <v>23.610001</v>
      </c>
      <c r="D965">
        <v>23.309999000000001</v>
      </c>
      <c r="E965">
        <v>23.49</v>
      </c>
      <c r="F965">
        <v>23.49</v>
      </c>
      <c r="G965">
        <v>115700</v>
      </c>
      <c r="I965" s="346">
        <v>43006</v>
      </c>
      <c r="J965">
        <v>23.08</v>
      </c>
      <c r="K965">
        <v>23.16</v>
      </c>
      <c r="L965">
        <v>23.07</v>
      </c>
      <c r="M965">
        <v>23.110001</v>
      </c>
    </row>
    <row r="966" spans="1:13">
      <c r="A966" s="346">
        <v>43007</v>
      </c>
      <c r="B966">
        <v>23.5</v>
      </c>
      <c r="C966">
        <v>23.5</v>
      </c>
      <c r="D966">
        <v>22.959999</v>
      </c>
      <c r="E966">
        <v>23.440000999999999</v>
      </c>
      <c r="F966">
        <v>23.440000999999999</v>
      </c>
      <c r="G966">
        <v>274400</v>
      </c>
      <c r="I966" s="346">
        <v>43007</v>
      </c>
      <c r="J966">
        <v>23.139999</v>
      </c>
      <c r="K966">
        <v>23.25</v>
      </c>
      <c r="L966">
        <v>23.139999</v>
      </c>
      <c r="M966">
        <v>23.15</v>
      </c>
    </row>
    <row r="967" spans="1:13">
      <c r="A967" s="346">
        <v>43010</v>
      </c>
      <c r="B967">
        <v>23.450001</v>
      </c>
      <c r="C967">
        <v>23.85</v>
      </c>
      <c r="D967">
        <v>23.360001</v>
      </c>
      <c r="E967">
        <v>23.67</v>
      </c>
      <c r="F967">
        <v>23.67</v>
      </c>
      <c r="G967">
        <v>150500</v>
      </c>
      <c r="I967" s="346">
        <v>43010</v>
      </c>
      <c r="J967">
        <v>23.16</v>
      </c>
      <c r="K967">
        <v>23.290001</v>
      </c>
      <c r="L967">
        <v>23.16</v>
      </c>
      <c r="M967">
        <v>23.27</v>
      </c>
    </row>
    <row r="968" spans="1:13">
      <c r="A968" s="346">
        <v>43011</v>
      </c>
      <c r="B968">
        <v>23.6</v>
      </c>
      <c r="C968">
        <v>23.92</v>
      </c>
      <c r="D968">
        <v>23.51</v>
      </c>
      <c r="E968">
        <v>23.85</v>
      </c>
      <c r="F968">
        <v>23.85</v>
      </c>
      <c r="G968">
        <v>187700</v>
      </c>
      <c r="I968" s="346">
        <v>43011</v>
      </c>
      <c r="J968">
        <v>23.299999</v>
      </c>
      <c r="K968">
        <v>23.34</v>
      </c>
      <c r="L968">
        <v>23.280000999999999</v>
      </c>
      <c r="M968">
        <v>23.32</v>
      </c>
    </row>
    <row r="969" spans="1:13">
      <c r="A969" s="346">
        <v>43012</v>
      </c>
      <c r="B969">
        <v>23.870000999999998</v>
      </c>
      <c r="C969">
        <v>23.940000999999999</v>
      </c>
      <c r="D969">
        <v>23.6</v>
      </c>
      <c r="E969">
        <v>23.74</v>
      </c>
      <c r="F969">
        <v>23.74</v>
      </c>
      <c r="G969">
        <v>176600</v>
      </c>
      <c r="I969" s="346">
        <v>43012</v>
      </c>
      <c r="J969">
        <v>23.32</v>
      </c>
      <c r="K969">
        <v>23.35</v>
      </c>
      <c r="L969">
        <v>23.280000999999999</v>
      </c>
      <c r="M969">
        <v>23.32</v>
      </c>
    </row>
    <row r="970" spans="1:13">
      <c r="A970" s="346">
        <v>43013</v>
      </c>
      <c r="B970">
        <v>23.76</v>
      </c>
      <c r="C970">
        <v>24.01</v>
      </c>
      <c r="D970">
        <v>23.76</v>
      </c>
      <c r="E970">
        <v>23.99</v>
      </c>
      <c r="F970">
        <v>23.99</v>
      </c>
      <c r="G970">
        <v>252700</v>
      </c>
      <c r="I970" s="346">
        <v>43013</v>
      </c>
      <c r="J970">
        <v>23.35</v>
      </c>
      <c r="K970">
        <v>23.42</v>
      </c>
      <c r="L970">
        <v>23.35</v>
      </c>
      <c r="M970">
        <v>23.389999</v>
      </c>
    </row>
    <row r="971" spans="1:13">
      <c r="A971" s="346">
        <v>43014</v>
      </c>
      <c r="B971">
        <v>23.950001</v>
      </c>
      <c r="C971">
        <v>24.24</v>
      </c>
      <c r="D971">
        <v>23.940000999999999</v>
      </c>
      <c r="E971">
        <v>24.200001</v>
      </c>
      <c r="F971">
        <v>24.200001</v>
      </c>
      <c r="G971">
        <v>152500</v>
      </c>
      <c r="I971" s="346">
        <v>43014</v>
      </c>
      <c r="J971">
        <v>23.32</v>
      </c>
      <c r="K971">
        <v>23.34</v>
      </c>
      <c r="L971">
        <v>23.24</v>
      </c>
      <c r="M971">
        <v>23.309999000000001</v>
      </c>
    </row>
    <row r="972" spans="1:13">
      <c r="A972" s="346">
        <v>43018</v>
      </c>
      <c r="B972">
        <v>24.4</v>
      </c>
      <c r="C972">
        <v>24.950001</v>
      </c>
      <c r="D972">
        <v>24.299999</v>
      </c>
      <c r="E972">
        <v>24.950001</v>
      </c>
      <c r="F972">
        <v>24.950001</v>
      </c>
      <c r="G972">
        <v>451200</v>
      </c>
      <c r="I972" s="346">
        <v>43018</v>
      </c>
      <c r="J972">
        <v>23.370000999999998</v>
      </c>
      <c r="K972">
        <v>23.43</v>
      </c>
      <c r="L972">
        <v>23.35</v>
      </c>
      <c r="M972">
        <v>23.389999</v>
      </c>
    </row>
    <row r="973" spans="1:13">
      <c r="A973" s="346">
        <v>43019</v>
      </c>
      <c r="B973">
        <v>24.92</v>
      </c>
      <c r="C973">
        <v>25.02</v>
      </c>
      <c r="D973">
        <v>24.73</v>
      </c>
      <c r="E973">
        <v>24.9</v>
      </c>
      <c r="F973">
        <v>24.9</v>
      </c>
      <c r="G973">
        <v>212000</v>
      </c>
      <c r="I973" s="346">
        <v>43019</v>
      </c>
      <c r="J973">
        <v>23.389999</v>
      </c>
      <c r="K973">
        <v>23.469999000000001</v>
      </c>
      <c r="L973">
        <v>23.389999</v>
      </c>
      <c r="M973">
        <v>23.43</v>
      </c>
    </row>
    <row r="974" spans="1:13">
      <c r="A974" s="346">
        <v>43020</v>
      </c>
      <c r="B974">
        <v>24.719999000000001</v>
      </c>
      <c r="C974">
        <v>24.719999000000001</v>
      </c>
      <c r="D974">
        <v>23.99</v>
      </c>
      <c r="E974">
        <v>24.450001</v>
      </c>
      <c r="F974">
        <v>24.450001</v>
      </c>
      <c r="G974">
        <v>374400</v>
      </c>
      <c r="I974" s="346">
        <v>43020</v>
      </c>
      <c r="J974">
        <v>23.43</v>
      </c>
      <c r="K974">
        <v>23.440000999999999</v>
      </c>
      <c r="L974">
        <v>23.34</v>
      </c>
      <c r="M974">
        <v>23.360001</v>
      </c>
    </row>
    <row r="975" spans="1:13">
      <c r="A975" s="346">
        <v>43021</v>
      </c>
      <c r="B975">
        <v>24.549999</v>
      </c>
      <c r="C975">
        <v>24.549999</v>
      </c>
      <c r="D975">
        <v>24</v>
      </c>
      <c r="E975">
        <v>24.360001</v>
      </c>
      <c r="F975">
        <v>24.360001</v>
      </c>
      <c r="G975">
        <v>537900</v>
      </c>
      <c r="I975" s="346">
        <v>43021</v>
      </c>
      <c r="J975">
        <v>23.41</v>
      </c>
      <c r="K975">
        <v>23.49</v>
      </c>
      <c r="L975">
        <v>23.41</v>
      </c>
      <c r="M975">
        <v>23.450001</v>
      </c>
    </row>
    <row r="976" spans="1:13">
      <c r="A976" s="346">
        <v>43024</v>
      </c>
      <c r="B976">
        <v>24.33</v>
      </c>
      <c r="C976">
        <v>24.51</v>
      </c>
      <c r="D976">
        <v>23.93</v>
      </c>
      <c r="E976">
        <v>24.040001</v>
      </c>
      <c r="F976">
        <v>24.040001</v>
      </c>
      <c r="G976">
        <v>235300</v>
      </c>
      <c r="I976" s="346">
        <v>43024</v>
      </c>
      <c r="J976">
        <v>23.5</v>
      </c>
      <c r="K976">
        <v>23.540001</v>
      </c>
      <c r="L976">
        <v>23.450001</v>
      </c>
      <c r="M976">
        <v>23.450001</v>
      </c>
    </row>
    <row r="977" spans="1:13">
      <c r="A977" s="346">
        <v>43025</v>
      </c>
      <c r="B977">
        <v>23.93</v>
      </c>
      <c r="C977">
        <v>24.43</v>
      </c>
      <c r="D977">
        <v>23.93</v>
      </c>
      <c r="E977">
        <v>24.290001</v>
      </c>
      <c r="F977">
        <v>24.290001</v>
      </c>
      <c r="G977">
        <v>180100</v>
      </c>
      <c r="I977" s="346">
        <v>43025</v>
      </c>
      <c r="J977">
        <v>23.43</v>
      </c>
      <c r="K977">
        <v>23.540001</v>
      </c>
      <c r="L977">
        <v>23.43</v>
      </c>
      <c r="M977">
        <v>23.49</v>
      </c>
    </row>
    <row r="978" spans="1:13">
      <c r="A978" s="346">
        <v>43026</v>
      </c>
      <c r="B978">
        <v>24.01</v>
      </c>
      <c r="C978">
        <v>24.18</v>
      </c>
      <c r="D978">
        <v>23.700001</v>
      </c>
      <c r="E978">
        <v>24.16</v>
      </c>
      <c r="F978">
        <v>24.16</v>
      </c>
      <c r="G978">
        <v>252600</v>
      </c>
      <c r="I978" s="346">
        <v>43026</v>
      </c>
      <c r="J978">
        <v>23.549999</v>
      </c>
      <c r="K978">
        <v>23.57</v>
      </c>
      <c r="L978">
        <v>23.450001</v>
      </c>
      <c r="M978">
        <v>23.450001</v>
      </c>
    </row>
    <row r="979" spans="1:13">
      <c r="A979" s="346">
        <v>43027</v>
      </c>
      <c r="B979">
        <v>24.049999</v>
      </c>
      <c r="C979">
        <v>24.18</v>
      </c>
      <c r="D979">
        <v>23.889999</v>
      </c>
      <c r="E979">
        <v>24.17</v>
      </c>
      <c r="F979">
        <v>24.17</v>
      </c>
      <c r="G979">
        <v>167300</v>
      </c>
      <c r="I979" s="346">
        <v>43027</v>
      </c>
      <c r="J979">
        <v>23.389999</v>
      </c>
      <c r="K979">
        <v>23.540001</v>
      </c>
      <c r="L979">
        <v>23.389999</v>
      </c>
      <c r="M979">
        <v>23.51</v>
      </c>
    </row>
    <row r="980" spans="1:13">
      <c r="A980" s="346">
        <v>43028</v>
      </c>
      <c r="B980">
        <v>24.17</v>
      </c>
      <c r="C980">
        <v>24.219999000000001</v>
      </c>
      <c r="D980">
        <v>23.98</v>
      </c>
      <c r="E980">
        <v>24.139999</v>
      </c>
      <c r="F980">
        <v>24.139999</v>
      </c>
      <c r="G980">
        <v>137000</v>
      </c>
      <c r="I980" s="346">
        <v>43028</v>
      </c>
      <c r="J980">
        <v>23.57</v>
      </c>
      <c r="K980">
        <v>23.629999000000002</v>
      </c>
      <c r="L980">
        <v>23.57</v>
      </c>
      <c r="M980">
        <v>23.58</v>
      </c>
    </row>
    <row r="981" spans="1:13">
      <c r="A981" s="346">
        <v>43031</v>
      </c>
      <c r="B981">
        <v>24.43</v>
      </c>
      <c r="C981">
        <v>25.82</v>
      </c>
      <c r="D981">
        <v>24.4</v>
      </c>
      <c r="E981">
        <v>25.65</v>
      </c>
      <c r="F981">
        <v>25.65</v>
      </c>
      <c r="G981">
        <v>697000</v>
      </c>
      <c r="I981" s="346">
        <v>43031</v>
      </c>
      <c r="J981">
        <v>23.58</v>
      </c>
      <c r="K981">
        <v>23.65</v>
      </c>
      <c r="L981">
        <v>23.559999000000001</v>
      </c>
      <c r="M981">
        <v>23.58</v>
      </c>
    </row>
    <row r="982" spans="1:13">
      <c r="A982" s="346">
        <v>43032</v>
      </c>
      <c r="B982">
        <v>25.73</v>
      </c>
      <c r="C982">
        <v>25.950001</v>
      </c>
      <c r="D982">
        <v>25.5</v>
      </c>
      <c r="E982">
        <v>25.690000999999999</v>
      </c>
      <c r="F982">
        <v>25.690000999999999</v>
      </c>
      <c r="G982">
        <v>365500</v>
      </c>
      <c r="I982" s="346">
        <v>43032</v>
      </c>
      <c r="J982">
        <v>23.620000999999998</v>
      </c>
      <c r="K982">
        <v>23.68</v>
      </c>
      <c r="L982">
        <v>23.620000999999998</v>
      </c>
      <c r="M982">
        <v>23.66</v>
      </c>
    </row>
    <row r="983" spans="1:13">
      <c r="A983" s="346">
        <v>43033</v>
      </c>
      <c r="B983">
        <v>25.68</v>
      </c>
      <c r="C983">
        <v>25.950001</v>
      </c>
      <c r="D983">
        <v>25.370000999999998</v>
      </c>
      <c r="E983">
        <v>25.620000999999998</v>
      </c>
      <c r="F983">
        <v>25.620000999999998</v>
      </c>
      <c r="G983">
        <v>446200</v>
      </c>
      <c r="I983" s="346">
        <v>43033</v>
      </c>
      <c r="J983">
        <v>23.65</v>
      </c>
      <c r="K983">
        <v>23.68</v>
      </c>
      <c r="L983">
        <v>23.559999000000001</v>
      </c>
      <c r="M983">
        <v>23.629999000000002</v>
      </c>
    </row>
    <row r="984" spans="1:13">
      <c r="A984" s="346">
        <v>43034</v>
      </c>
      <c r="B984">
        <v>25.559999000000001</v>
      </c>
      <c r="C984">
        <v>25.92</v>
      </c>
      <c r="D984">
        <v>25.549999</v>
      </c>
      <c r="E984">
        <v>25.6</v>
      </c>
      <c r="F984">
        <v>25.6</v>
      </c>
      <c r="G984">
        <v>246500</v>
      </c>
      <c r="I984" s="346">
        <v>43034</v>
      </c>
      <c r="J984">
        <v>23.66</v>
      </c>
      <c r="K984">
        <v>23.74</v>
      </c>
      <c r="L984">
        <v>23.66</v>
      </c>
      <c r="M984">
        <v>23.690000999999999</v>
      </c>
    </row>
    <row r="985" spans="1:13">
      <c r="A985" s="346">
        <v>43035</v>
      </c>
      <c r="B985">
        <v>25.59</v>
      </c>
      <c r="C985">
        <v>25.639999</v>
      </c>
      <c r="D985">
        <v>24.860001</v>
      </c>
      <c r="E985">
        <v>25.200001</v>
      </c>
      <c r="F985">
        <v>25.200001</v>
      </c>
      <c r="G985">
        <v>437300</v>
      </c>
      <c r="I985" s="346">
        <v>43035</v>
      </c>
      <c r="J985">
        <v>23.719999000000001</v>
      </c>
      <c r="K985">
        <v>23.799999</v>
      </c>
      <c r="L985">
        <v>23.67</v>
      </c>
      <c r="M985">
        <v>23.76</v>
      </c>
    </row>
    <row r="986" spans="1:13">
      <c r="A986" s="346">
        <v>43038</v>
      </c>
      <c r="B986">
        <v>25.08</v>
      </c>
      <c r="C986">
        <v>25.559999000000001</v>
      </c>
      <c r="D986">
        <v>25.08</v>
      </c>
      <c r="E986">
        <v>25.379999000000002</v>
      </c>
      <c r="F986">
        <v>25.379999000000002</v>
      </c>
      <c r="G986">
        <v>230000</v>
      </c>
      <c r="I986" s="346">
        <v>43038</v>
      </c>
      <c r="J986">
        <v>23.780000999999999</v>
      </c>
      <c r="K986">
        <v>23.860001</v>
      </c>
      <c r="L986">
        <v>23.74</v>
      </c>
      <c r="M986">
        <v>23.82</v>
      </c>
    </row>
    <row r="987" spans="1:13">
      <c r="A987" s="346">
        <v>43039</v>
      </c>
      <c r="B987">
        <v>25.4</v>
      </c>
      <c r="C987">
        <v>25.76</v>
      </c>
      <c r="D987">
        <v>25.370000999999998</v>
      </c>
      <c r="E987">
        <v>25.66</v>
      </c>
      <c r="F987">
        <v>25.66</v>
      </c>
      <c r="G987">
        <v>361100</v>
      </c>
      <c r="I987" s="346">
        <v>43039</v>
      </c>
      <c r="J987">
        <v>23.84</v>
      </c>
      <c r="K987">
        <v>23.93</v>
      </c>
      <c r="L987">
        <v>23.83</v>
      </c>
      <c r="M987">
        <v>23.870000999999998</v>
      </c>
    </row>
    <row r="988" spans="1:13">
      <c r="A988" s="346">
        <v>43040</v>
      </c>
      <c r="B988">
        <v>25.75</v>
      </c>
      <c r="C988">
        <v>25.780000999999999</v>
      </c>
      <c r="D988">
        <v>25.25</v>
      </c>
      <c r="E988">
        <v>25.639999</v>
      </c>
      <c r="F988">
        <v>25.639999</v>
      </c>
      <c r="G988">
        <v>330000</v>
      </c>
      <c r="I988" s="346">
        <v>43040</v>
      </c>
      <c r="J988">
        <v>23.969999000000001</v>
      </c>
      <c r="K988">
        <v>23.98</v>
      </c>
      <c r="L988">
        <v>23.84</v>
      </c>
      <c r="M988">
        <v>23.85</v>
      </c>
    </row>
    <row r="989" spans="1:13">
      <c r="A989" s="346">
        <v>43041</v>
      </c>
      <c r="B989">
        <v>25.690000999999999</v>
      </c>
      <c r="C989">
        <v>26.42</v>
      </c>
      <c r="D989">
        <v>25.41</v>
      </c>
      <c r="E989">
        <v>25.870000999999998</v>
      </c>
      <c r="F989">
        <v>25.870000999999998</v>
      </c>
      <c r="G989">
        <v>631900</v>
      </c>
      <c r="I989" s="346">
        <v>43041</v>
      </c>
      <c r="J989">
        <v>23.85</v>
      </c>
      <c r="K989">
        <v>23.879999000000002</v>
      </c>
      <c r="L989">
        <v>23.799999</v>
      </c>
      <c r="M989">
        <v>23.83</v>
      </c>
    </row>
    <row r="990" spans="1:13">
      <c r="A990" s="346">
        <v>43042</v>
      </c>
      <c r="B990">
        <v>25.84</v>
      </c>
      <c r="C990">
        <v>26.030000999999999</v>
      </c>
      <c r="D990">
        <v>25.57</v>
      </c>
      <c r="E990">
        <v>25.780000999999999</v>
      </c>
      <c r="F990">
        <v>25.780000999999999</v>
      </c>
      <c r="G990">
        <v>202100</v>
      </c>
      <c r="I990" s="346">
        <v>43042</v>
      </c>
      <c r="J990">
        <v>23.84</v>
      </c>
      <c r="K990">
        <v>23.860001</v>
      </c>
      <c r="L990">
        <v>23.75</v>
      </c>
      <c r="M990">
        <v>23.85</v>
      </c>
    </row>
    <row r="991" spans="1:13">
      <c r="A991" s="346">
        <v>43045</v>
      </c>
      <c r="B991">
        <v>25.76</v>
      </c>
      <c r="C991">
        <v>26.01</v>
      </c>
      <c r="D991">
        <v>25.49</v>
      </c>
      <c r="E991">
        <v>25.57</v>
      </c>
      <c r="F991">
        <v>25.57</v>
      </c>
      <c r="G991">
        <v>194600</v>
      </c>
      <c r="I991" s="346">
        <v>43045</v>
      </c>
      <c r="J991">
        <v>23.9</v>
      </c>
      <c r="K991">
        <v>23.959999</v>
      </c>
      <c r="L991">
        <v>23.860001</v>
      </c>
      <c r="M991">
        <v>23.940000999999999</v>
      </c>
    </row>
    <row r="992" spans="1:13">
      <c r="A992" s="346">
        <v>43046</v>
      </c>
      <c r="B992">
        <v>25.620000999999998</v>
      </c>
      <c r="C992">
        <v>26.049999</v>
      </c>
      <c r="D992">
        <v>25.360001</v>
      </c>
      <c r="E992">
        <v>26</v>
      </c>
      <c r="F992">
        <v>26</v>
      </c>
      <c r="G992">
        <v>452200</v>
      </c>
      <c r="I992" s="346">
        <v>43046</v>
      </c>
      <c r="J992">
        <v>23.959999</v>
      </c>
      <c r="K992">
        <v>24.01</v>
      </c>
      <c r="L992">
        <v>23.92</v>
      </c>
      <c r="M992">
        <v>24.01</v>
      </c>
    </row>
    <row r="993" spans="1:13">
      <c r="A993" s="346">
        <v>43047</v>
      </c>
      <c r="B993">
        <v>25.91</v>
      </c>
      <c r="C993">
        <v>26.139999</v>
      </c>
      <c r="D993">
        <v>25.77</v>
      </c>
      <c r="E993">
        <v>26.1</v>
      </c>
      <c r="F993">
        <v>26.1</v>
      </c>
      <c r="G993">
        <v>645500</v>
      </c>
      <c r="I993" s="346">
        <v>43047</v>
      </c>
      <c r="J993">
        <v>23.969999000000001</v>
      </c>
      <c r="K993">
        <v>23.99</v>
      </c>
      <c r="L993">
        <v>23.92</v>
      </c>
      <c r="M993">
        <v>23.98</v>
      </c>
    </row>
    <row r="994" spans="1:13">
      <c r="A994" s="346">
        <v>43048</v>
      </c>
      <c r="B994">
        <v>26.09</v>
      </c>
      <c r="C994">
        <v>26.139999</v>
      </c>
      <c r="D994">
        <v>25.790001</v>
      </c>
      <c r="E994">
        <v>25.99</v>
      </c>
      <c r="F994">
        <v>25.99</v>
      </c>
      <c r="G994">
        <v>467900</v>
      </c>
      <c r="I994" s="346">
        <v>43048</v>
      </c>
      <c r="J994">
        <v>23.879999000000002</v>
      </c>
      <c r="K994">
        <v>23.969999000000001</v>
      </c>
      <c r="L994">
        <v>23.860001</v>
      </c>
      <c r="M994">
        <v>23.950001</v>
      </c>
    </row>
    <row r="995" spans="1:13">
      <c r="A995" s="346">
        <v>43049</v>
      </c>
      <c r="B995">
        <v>25.93</v>
      </c>
      <c r="C995">
        <v>26.17</v>
      </c>
      <c r="D995">
        <v>25.93</v>
      </c>
      <c r="E995">
        <v>26.110001</v>
      </c>
      <c r="F995">
        <v>26.110001</v>
      </c>
      <c r="G995">
        <v>79200</v>
      </c>
      <c r="I995" s="346">
        <v>43049</v>
      </c>
      <c r="J995">
        <v>23.940000999999999</v>
      </c>
      <c r="K995">
        <v>23.969999000000001</v>
      </c>
      <c r="L995">
        <v>23.85</v>
      </c>
      <c r="M995">
        <v>23.91</v>
      </c>
    </row>
    <row r="996" spans="1:13">
      <c r="A996" s="346">
        <v>43052</v>
      </c>
      <c r="B996">
        <v>26</v>
      </c>
      <c r="C996">
        <v>26.15</v>
      </c>
      <c r="D996">
        <v>25.93</v>
      </c>
      <c r="E996">
        <v>25.959999</v>
      </c>
      <c r="F996">
        <v>25.959999</v>
      </c>
      <c r="G996">
        <v>143700</v>
      </c>
      <c r="I996" s="346">
        <v>43052</v>
      </c>
      <c r="J996">
        <v>23.860001</v>
      </c>
      <c r="K996">
        <v>23.959999</v>
      </c>
      <c r="L996">
        <v>23.85</v>
      </c>
      <c r="M996">
        <v>23.91</v>
      </c>
    </row>
    <row r="997" spans="1:13">
      <c r="A997" s="346">
        <v>43053</v>
      </c>
      <c r="B997">
        <v>25.92</v>
      </c>
      <c r="C997">
        <v>26.110001</v>
      </c>
      <c r="D997">
        <v>25.57</v>
      </c>
      <c r="E997">
        <v>26</v>
      </c>
      <c r="F997">
        <v>26</v>
      </c>
      <c r="G997">
        <v>177900</v>
      </c>
      <c r="I997" s="346">
        <v>43053</v>
      </c>
      <c r="J997">
        <v>23.84</v>
      </c>
      <c r="K997">
        <v>23.85</v>
      </c>
      <c r="L997">
        <v>23.75</v>
      </c>
      <c r="M997">
        <v>23.780000999999999</v>
      </c>
    </row>
    <row r="998" spans="1:13">
      <c r="A998" s="346">
        <v>43054</v>
      </c>
      <c r="B998">
        <v>25.959999</v>
      </c>
      <c r="C998">
        <v>26.030000999999999</v>
      </c>
      <c r="D998">
        <v>25.469999000000001</v>
      </c>
      <c r="E998">
        <v>25.959999</v>
      </c>
      <c r="F998">
        <v>25.959999</v>
      </c>
      <c r="G998">
        <v>274300</v>
      </c>
      <c r="I998" s="346">
        <v>43054</v>
      </c>
      <c r="J998">
        <v>23.690000999999999</v>
      </c>
      <c r="K998">
        <v>23.799999</v>
      </c>
      <c r="L998">
        <v>23.66</v>
      </c>
      <c r="M998">
        <v>23.75</v>
      </c>
    </row>
    <row r="999" spans="1:13">
      <c r="A999" s="346">
        <v>43055</v>
      </c>
      <c r="B999">
        <v>26.049999</v>
      </c>
      <c r="C999">
        <v>26.33</v>
      </c>
      <c r="D999">
        <v>25.969999000000001</v>
      </c>
      <c r="E999">
        <v>26.25</v>
      </c>
      <c r="F999">
        <v>26.25</v>
      </c>
      <c r="G999">
        <v>302400</v>
      </c>
      <c r="I999" s="346">
        <v>43055</v>
      </c>
      <c r="J999">
        <v>23.75</v>
      </c>
      <c r="K999">
        <v>23.85</v>
      </c>
      <c r="L999">
        <v>23.75</v>
      </c>
      <c r="M999">
        <v>23.82</v>
      </c>
    </row>
    <row r="1000" spans="1:13">
      <c r="A1000" s="346">
        <v>43056</v>
      </c>
      <c r="B1000">
        <v>26.25</v>
      </c>
      <c r="C1000">
        <v>26.76</v>
      </c>
      <c r="D1000">
        <v>26.25</v>
      </c>
      <c r="E1000">
        <v>26.540001</v>
      </c>
      <c r="F1000">
        <v>26.540001</v>
      </c>
      <c r="G1000">
        <v>216300</v>
      </c>
      <c r="I1000" s="346">
        <v>43056</v>
      </c>
      <c r="J1000">
        <v>23.85</v>
      </c>
      <c r="K1000">
        <v>23.91</v>
      </c>
      <c r="L1000">
        <v>23.83</v>
      </c>
      <c r="M1000">
        <v>23.9</v>
      </c>
    </row>
    <row r="1001" spans="1:13">
      <c r="A1001" s="346">
        <v>43059</v>
      </c>
      <c r="B1001">
        <v>26.6</v>
      </c>
      <c r="C1001">
        <v>26.84</v>
      </c>
      <c r="D1001">
        <v>26.6</v>
      </c>
      <c r="E1001">
        <v>26.620000999999998</v>
      </c>
      <c r="F1001">
        <v>26.620000999999998</v>
      </c>
      <c r="G1001">
        <v>227300</v>
      </c>
      <c r="I1001" s="346">
        <v>43059</v>
      </c>
      <c r="J1001">
        <v>23.889999</v>
      </c>
      <c r="K1001">
        <v>23.969999000000001</v>
      </c>
      <c r="L1001">
        <v>23.870000999999998</v>
      </c>
      <c r="M1001">
        <v>23.93</v>
      </c>
    </row>
    <row r="1002" spans="1:13">
      <c r="A1002" s="346">
        <v>43060</v>
      </c>
      <c r="B1002">
        <v>26.67</v>
      </c>
      <c r="C1002">
        <v>26.889999</v>
      </c>
      <c r="D1002">
        <v>26.58</v>
      </c>
      <c r="E1002">
        <v>26.870000999999998</v>
      </c>
      <c r="F1002">
        <v>26.870000999999998</v>
      </c>
      <c r="G1002">
        <v>201800</v>
      </c>
      <c r="I1002" s="346">
        <v>43060</v>
      </c>
      <c r="J1002">
        <v>23.969999000000001</v>
      </c>
      <c r="K1002">
        <v>24.08</v>
      </c>
      <c r="L1002">
        <v>23.950001</v>
      </c>
      <c r="M1002">
        <v>24.030000999999999</v>
      </c>
    </row>
    <row r="1003" spans="1:13">
      <c r="A1003" s="346">
        <v>43061</v>
      </c>
      <c r="B1003">
        <v>26.940000999999999</v>
      </c>
      <c r="C1003">
        <v>27.15</v>
      </c>
      <c r="D1003">
        <v>26.629999000000002</v>
      </c>
      <c r="E1003">
        <v>26.709999</v>
      </c>
      <c r="F1003">
        <v>26.709999</v>
      </c>
      <c r="G1003">
        <v>324500</v>
      </c>
      <c r="I1003" s="346">
        <v>43061</v>
      </c>
      <c r="J1003">
        <v>23.940000999999999</v>
      </c>
      <c r="K1003">
        <v>23.940000999999999</v>
      </c>
      <c r="L1003">
        <v>23.83</v>
      </c>
      <c r="M1003">
        <v>23.860001</v>
      </c>
    </row>
    <row r="1004" spans="1:13">
      <c r="A1004" s="346">
        <v>43062</v>
      </c>
      <c r="B1004">
        <v>26.77</v>
      </c>
      <c r="C1004">
        <v>26.83</v>
      </c>
      <c r="D1004">
        <v>26.639999</v>
      </c>
      <c r="E1004">
        <v>26.83</v>
      </c>
      <c r="F1004">
        <v>26.83</v>
      </c>
      <c r="G1004">
        <v>74600</v>
      </c>
      <c r="I1004" s="346">
        <v>43062</v>
      </c>
      <c r="J1004">
        <v>23.860001</v>
      </c>
      <c r="K1004">
        <v>23.9</v>
      </c>
      <c r="L1004">
        <v>23.84</v>
      </c>
      <c r="M1004">
        <v>23.860001</v>
      </c>
    </row>
    <row r="1005" spans="1:13">
      <c r="A1005" s="346">
        <v>43063</v>
      </c>
      <c r="B1005">
        <v>26.860001</v>
      </c>
      <c r="C1005">
        <v>27.030000999999999</v>
      </c>
      <c r="D1005">
        <v>26.860001</v>
      </c>
      <c r="E1005">
        <v>26.92</v>
      </c>
      <c r="F1005">
        <v>26.92</v>
      </c>
      <c r="G1005">
        <v>78100</v>
      </c>
      <c r="I1005" s="346">
        <v>43063</v>
      </c>
      <c r="J1005">
        <v>23.889999</v>
      </c>
      <c r="K1005">
        <v>23.940000999999999</v>
      </c>
      <c r="L1005">
        <v>23.870000999999998</v>
      </c>
      <c r="M1005">
        <v>23.9</v>
      </c>
    </row>
    <row r="1006" spans="1:13">
      <c r="A1006" s="346">
        <v>43066</v>
      </c>
      <c r="B1006">
        <v>26.959999</v>
      </c>
      <c r="C1006">
        <v>27</v>
      </c>
      <c r="D1006">
        <v>26.52</v>
      </c>
      <c r="E1006">
        <v>26.559999000000001</v>
      </c>
      <c r="F1006">
        <v>26.559999000000001</v>
      </c>
      <c r="G1006">
        <v>152200</v>
      </c>
      <c r="I1006" s="346">
        <v>43066</v>
      </c>
      <c r="J1006">
        <v>23.9</v>
      </c>
      <c r="K1006">
        <v>23.9</v>
      </c>
      <c r="L1006">
        <v>23.790001</v>
      </c>
      <c r="M1006">
        <v>23.82</v>
      </c>
    </row>
    <row r="1007" spans="1:13">
      <c r="A1007" s="346">
        <v>43067</v>
      </c>
      <c r="B1007">
        <v>26.5</v>
      </c>
      <c r="C1007">
        <v>26.76</v>
      </c>
      <c r="D1007">
        <v>26.4</v>
      </c>
      <c r="E1007">
        <v>26.639999</v>
      </c>
      <c r="F1007">
        <v>26.639999</v>
      </c>
      <c r="G1007">
        <v>157000</v>
      </c>
      <c r="I1007" s="346">
        <v>43067</v>
      </c>
      <c r="J1007">
        <v>23.83</v>
      </c>
      <c r="K1007">
        <v>23.889999</v>
      </c>
      <c r="L1007">
        <v>23.790001</v>
      </c>
      <c r="M1007">
        <v>23.82</v>
      </c>
    </row>
    <row r="1008" spans="1:13">
      <c r="A1008" s="346">
        <v>43068</v>
      </c>
      <c r="B1008">
        <v>26.639999</v>
      </c>
      <c r="C1008">
        <v>26.639999</v>
      </c>
      <c r="D1008">
        <v>25.879999000000002</v>
      </c>
      <c r="E1008">
        <v>26.08</v>
      </c>
      <c r="F1008">
        <v>26.08</v>
      </c>
      <c r="G1008">
        <v>255600</v>
      </c>
      <c r="I1008" s="346">
        <v>43068</v>
      </c>
      <c r="J1008">
        <v>23.860001</v>
      </c>
      <c r="K1008">
        <v>23.860001</v>
      </c>
      <c r="L1008">
        <v>23.66</v>
      </c>
      <c r="M1008">
        <v>23.75</v>
      </c>
    </row>
    <row r="1009" spans="1:13">
      <c r="A1009" s="346">
        <v>43069</v>
      </c>
      <c r="B1009">
        <v>26.139999</v>
      </c>
      <c r="C1009">
        <v>26.57</v>
      </c>
      <c r="D1009">
        <v>26.139999</v>
      </c>
      <c r="E1009">
        <v>26.57</v>
      </c>
      <c r="F1009">
        <v>26.57</v>
      </c>
      <c r="G1009">
        <v>338000</v>
      </c>
      <c r="I1009" s="346">
        <v>43069</v>
      </c>
      <c r="J1009">
        <v>23.809999000000001</v>
      </c>
      <c r="K1009">
        <v>23.950001</v>
      </c>
      <c r="L1009">
        <v>23.799999</v>
      </c>
      <c r="M1009">
        <v>23.870000999999998</v>
      </c>
    </row>
    <row r="1010" spans="1:13">
      <c r="A1010" s="346">
        <v>43070</v>
      </c>
      <c r="B1010">
        <v>26.57</v>
      </c>
      <c r="C1010">
        <v>26.57</v>
      </c>
      <c r="D1010">
        <v>25.549999</v>
      </c>
      <c r="E1010">
        <v>26.110001</v>
      </c>
      <c r="F1010">
        <v>26.110001</v>
      </c>
      <c r="G1010">
        <v>289300</v>
      </c>
      <c r="I1010" s="346">
        <v>43070</v>
      </c>
      <c r="J1010">
        <v>23.9</v>
      </c>
      <c r="K1010">
        <v>23.959999</v>
      </c>
      <c r="L1010">
        <v>23.73</v>
      </c>
      <c r="M1010">
        <v>23.860001</v>
      </c>
    </row>
    <row r="1011" spans="1:13">
      <c r="A1011" s="346">
        <v>43073</v>
      </c>
      <c r="B1011">
        <v>26.17</v>
      </c>
      <c r="C1011">
        <v>26.200001</v>
      </c>
      <c r="D1011">
        <v>25.629999000000002</v>
      </c>
      <c r="E1011">
        <v>25.82</v>
      </c>
      <c r="F1011">
        <v>25.82</v>
      </c>
      <c r="G1011">
        <v>268300</v>
      </c>
      <c r="I1011" s="346">
        <v>43073</v>
      </c>
      <c r="J1011">
        <v>23.93</v>
      </c>
      <c r="K1011">
        <v>23.950001</v>
      </c>
      <c r="L1011">
        <v>23.76</v>
      </c>
      <c r="M1011">
        <v>23.77</v>
      </c>
    </row>
    <row r="1012" spans="1:13">
      <c r="A1012" s="346">
        <v>43074</v>
      </c>
      <c r="B1012">
        <v>25.719999000000001</v>
      </c>
      <c r="C1012">
        <v>25.92</v>
      </c>
      <c r="D1012">
        <v>25.469999000000001</v>
      </c>
      <c r="E1012">
        <v>25.559999000000001</v>
      </c>
      <c r="F1012">
        <v>25.559999000000001</v>
      </c>
      <c r="G1012">
        <v>222500</v>
      </c>
      <c r="I1012" s="346">
        <v>43074</v>
      </c>
      <c r="J1012">
        <v>23.75</v>
      </c>
      <c r="K1012">
        <v>23.790001</v>
      </c>
      <c r="L1012">
        <v>23.68</v>
      </c>
      <c r="M1012">
        <v>23.700001</v>
      </c>
    </row>
    <row r="1013" spans="1:13">
      <c r="A1013" s="346">
        <v>43075</v>
      </c>
      <c r="B1013">
        <v>25.440000999999999</v>
      </c>
      <c r="C1013">
        <v>25.440000999999999</v>
      </c>
      <c r="D1013">
        <v>24.07</v>
      </c>
      <c r="E1013">
        <v>24.58</v>
      </c>
      <c r="F1013">
        <v>24.58</v>
      </c>
      <c r="G1013">
        <v>518900</v>
      </c>
      <c r="I1013" s="346">
        <v>43075</v>
      </c>
      <c r="J1013">
        <v>23.639999</v>
      </c>
      <c r="K1013">
        <v>23.870000999999998</v>
      </c>
      <c r="L1013">
        <v>23.610001</v>
      </c>
      <c r="M1013">
        <v>23.74</v>
      </c>
    </row>
    <row r="1014" spans="1:13">
      <c r="A1014" s="346">
        <v>43076</v>
      </c>
      <c r="B1014">
        <v>24.58</v>
      </c>
      <c r="C1014">
        <v>25.16</v>
      </c>
      <c r="D1014">
        <v>24.549999</v>
      </c>
      <c r="E1014">
        <v>25.120000999999998</v>
      </c>
      <c r="F1014">
        <v>25.120000999999998</v>
      </c>
      <c r="G1014">
        <v>246100</v>
      </c>
      <c r="I1014" s="346">
        <v>43076</v>
      </c>
      <c r="J1014">
        <v>23.73</v>
      </c>
      <c r="K1014">
        <v>23.940000999999999</v>
      </c>
      <c r="L1014">
        <v>23.73</v>
      </c>
      <c r="M1014">
        <v>23.93</v>
      </c>
    </row>
    <row r="1015" spans="1:13">
      <c r="A1015" s="346">
        <v>43077</v>
      </c>
      <c r="B1015">
        <v>25.120000999999998</v>
      </c>
      <c r="C1015">
        <v>25.24</v>
      </c>
      <c r="D1015">
        <v>24.93</v>
      </c>
      <c r="E1015">
        <v>25.040001</v>
      </c>
      <c r="F1015">
        <v>25.040001</v>
      </c>
      <c r="G1015">
        <v>156600</v>
      </c>
      <c r="I1015" s="346">
        <v>43077</v>
      </c>
      <c r="J1015">
        <v>23.940000999999999</v>
      </c>
      <c r="K1015">
        <v>24.07</v>
      </c>
      <c r="L1015">
        <v>23.940000999999999</v>
      </c>
      <c r="M1015">
        <v>24.040001</v>
      </c>
    </row>
    <row r="1016" spans="1:13">
      <c r="A1016" s="346">
        <v>43080</v>
      </c>
      <c r="B1016">
        <v>25.049999</v>
      </c>
      <c r="C1016">
        <v>25.129999000000002</v>
      </c>
      <c r="D1016">
        <v>24.690000999999999</v>
      </c>
      <c r="E1016">
        <v>24.85</v>
      </c>
      <c r="F1016">
        <v>24.85</v>
      </c>
      <c r="G1016">
        <v>327000</v>
      </c>
      <c r="I1016" s="346">
        <v>43080</v>
      </c>
      <c r="J1016">
        <v>24.040001</v>
      </c>
      <c r="K1016">
        <v>24.08</v>
      </c>
      <c r="L1016">
        <v>24.01</v>
      </c>
      <c r="M1016">
        <v>24.040001</v>
      </c>
    </row>
    <row r="1017" spans="1:13">
      <c r="A1017" s="346">
        <v>43081</v>
      </c>
      <c r="B1017">
        <v>24.92</v>
      </c>
      <c r="C1017">
        <v>25.110001</v>
      </c>
      <c r="D1017">
        <v>24.780000999999999</v>
      </c>
      <c r="E1017">
        <v>24.790001</v>
      </c>
      <c r="F1017">
        <v>24.790001</v>
      </c>
      <c r="G1017">
        <v>342900</v>
      </c>
      <c r="I1017" s="346">
        <v>43081</v>
      </c>
      <c r="J1017">
        <v>24.08</v>
      </c>
      <c r="K1017">
        <v>24.120000999999998</v>
      </c>
      <c r="L1017">
        <v>24.059999000000001</v>
      </c>
      <c r="M1017">
        <v>24.08</v>
      </c>
    </row>
    <row r="1018" spans="1:13">
      <c r="A1018" s="346">
        <v>43082</v>
      </c>
      <c r="B1018">
        <v>24.66</v>
      </c>
      <c r="C1018">
        <v>24.809999000000001</v>
      </c>
      <c r="D1018">
        <v>24.559999000000001</v>
      </c>
      <c r="E1018">
        <v>24.709999</v>
      </c>
      <c r="F1018">
        <v>24.709999</v>
      </c>
      <c r="G1018">
        <v>312600</v>
      </c>
      <c r="I1018" s="346">
        <v>43082</v>
      </c>
      <c r="J1018">
        <v>24.09</v>
      </c>
      <c r="K1018">
        <v>24.18</v>
      </c>
      <c r="L1018">
        <v>24.059999000000001</v>
      </c>
      <c r="M1018">
        <v>24.07</v>
      </c>
    </row>
    <row r="1019" spans="1:13">
      <c r="A1019" s="346">
        <v>43083</v>
      </c>
      <c r="B1019">
        <v>24.620000999999998</v>
      </c>
      <c r="C1019">
        <v>25.17</v>
      </c>
      <c r="D1019">
        <v>24.58</v>
      </c>
      <c r="E1019">
        <v>25.030000999999999</v>
      </c>
      <c r="F1019">
        <v>25.030000999999999</v>
      </c>
      <c r="G1019">
        <v>372000</v>
      </c>
      <c r="I1019" s="346">
        <v>43083</v>
      </c>
      <c r="J1019">
        <v>24.09</v>
      </c>
      <c r="K1019">
        <v>24.129999000000002</v>
      </c>
      <c r="L1019">
        <v>23.870000999999998</v>
      </c>
      <c r="M1019">
        <v>23.9</v>
      </c>
    </row>
    <row r="1020" spans="1:13">
      <c r="A1020" s="346">
        <v>43084</v>
      </c>
      <c r="B1020">
        <v>25.049999</v>
      </c>
      <c r="C1020">
        <v>25.360001</v>
      </c>
      <c r="D1020">
        <v>24.82</v>
      </c>
      <c r="E1020">
        <v>24.940000999999999</v>
      </c>
      <c r="F1020">
        <v>24.940000999999999</v>
      </c>
      <c r="G1020">
        <v>529600</v>
      </c>
      <c r="I1020" s="346">
        <v>43084</v>
      </c>
      <c r="J1020">
        <v>23.950001</v>
      </c>
      <c r="K1020">
        <v>24.040001</v>
      </c>
      <c r="L1020">
        <v>23.93</v>
      </c>
      <c r="M1020">
        <v>23.950001</v>
      </c>
    </row>
    <row r="1021" spans="1:13">
      <c r="A1021" s="346">
        <v>43087</v>
      </c>
      <c r="B1021">
        <v>25.02</v>
      </c>
      <c r="C1021">
        <v>25.51</v>
      </c>
      <c r="D1021">
        <v>24.92</v>
      </c>
      <c r="E1021">
        <v>25.48</v>
      </c>
      <c r="F1021">
        <v>25.48</v>
      </c>
      <c r="G1021">
        <v>130500</v>
      </c>
      <c r="I1021" s="346">
        <v>43087</v>
      </c>
      <c r="J1021">
        <v>24.02</v>
      </c>
      <c r="K1021">
        <v>24.190000999999999</v>
      </c>
      <c r="L1021">
        <v>24.02</v>
      </c>
      <c r="M1021">
        <v>24.059999000000001</v>
      </c>
    </row>
    <row r="1022" spans="1:13">
      <c r="A1022" s="346">
        <v>43088</v>
      </c>
      <c r="B1022">
        <v>25.559999000000001</v>
      </c>
      <c r="C1022">
        <v>25.75</v>
      </c>
      <c r="D1022">
        <v>25.440000999999999</v>
      </c>
      <c r="E1022">
        <v>25.48</v>
      </c>
      <c r="F1022">
        <v>25.48</v>
      </c>
      <c r="G1022">
        <v>156500</v>
      </c>
      <c r="I1022" s="346">
        <v>43088</v>
      </c>
      <c r="J1022">
        <v>24.139999</v>
      </c>
      <c r="K1022">
        <v>24.18</v>
      </c>
      <c r="L1022">
        <v>24.049999</v>
      </c>
      <c r="M1022">
        <v>24.049999</v>
      </c>
    </row>
    <row r="1023" spans="1:13">
      <c r="A1023" s="346">
        <v>43089</v>
      </c>
      <c r="B1023">
        <v>25.540001</v>
      </c>
      <c r="C1023">
        <v>25.540001</v>
      </c>
      <c r="D1023">
        <v>25.02</v>
      </c>
      <c r="E1023">
        <v>25.309999000000001</v>
      </c>
      <c r="F1023">
        <v>25.309999000000001</v>
      </c>
      <c r="G1023">
        <v>138700</v>
      </c>
      <c r="I1023" s="346">
        <v>43089</v>
      </c>
      <c r="J1023">
        <v>24.120000999999998</v>
      </c>
      <c r="K1023">
        <v>24.120000999999998</v>
      </c>
      <c r="L1023">
        <v>23.99</v>
      </c>
      <c r="M1023">
        <v>24.07</v>
      </c>
    </row>
    <row r="1024" spans="1:13">
      <c r="A1024" s="346">
        <v>43090</v>
      </c>
      <c r="B1024">
        <v>25.309999000000001</v>
      </c>
      <c r="C1024">
        <v>25.309999000000001</v>
      </c>
      <c r="D1024">
        <v>24.92</v>
      </c>
      <c r="E1024">
        <v>25.02</v>
      </c>
      <c r="F1024">
        <v>25.02</v>
      </c>
      <c r="G1024">
        <v>122200</v>
      </c>
      <c r="I1024" s="346">
        <v>43090</v>
      </c>
      <c r="J1024">
        <v>24.08</v>
      </c>
      <c r="K1024">
        <v>24.139999</v>
      </c>
      <c r="L1024">
        <v>23.99</v>
      </c>
      <c r="M1024">
        <v>24.110001</v>
      </c>
    </row>
    <row r="1025" spans="1:13">
      <c r="A1025" s="346">
        <v>43091</v>
      </c>
      <c r="B1025">
        <v>25</v>
      </c>
      <c r="C1025">
        <v>25.110001</v>
      </c>
      <c r="D1025">
        <v>24.620000999999998</v>
      </c>
      <c r="E1025">
        <v>24.76</v>
      </c>
      <c r="F1025">
        <v>24.76</v>
      </c>
      <c r="G1025">
        <v>169800</v>
      </c>
      <c r="I1025" s="346">
        <v>43091</v>
      </c>
      <c r="J1025">
        <v>24.1</v>
      </c>
      <c r="K1025">
        <v>24.139999</v>
      </c>
      <c r="L1025">
        <v>24.049999</v>
      </c>
      <c r="M1025">
        <v>24.08</v>
      </c>
    </row>
    <row r="1026" spans="1:13">
      <c r="A1026" s="346">
        <v>43096</v>
      </c>
      <c r="B1026">
        <v>24.709999</v>
      </c>
      <c r="C1026">
        <v>25.139999</v>
      </c>
      <c r="D1026">
        <v>24.66</v>
      </c>
      <c r="E1026">
        <v>25.059999000000001</v>
      </c>
      <c r="F1026">
        <v>25.059999000000001</v>
      </c>
      <c r="G1026">
        <v>111800</v>
      </c>
      <c r="I1026" s="346">
        <v>43096</v>
      </c>
      <c r="J1026">
        <v>24.1</v>
      </c>
      <c r="K1026">
        <v>24.120000999999998</v>
      </c>
      <c r="L1026">
        <v>24.059999000000001</v>
      </c>
      <c r="M1026">
        <v>24.1</v>
      </c>
    </row>
    <row r="1027" spans="1:13">
      <c r="A1027" s="346">
        <v>43097</v>
      </c>
      <c r="B1027">
        <v>25.049999</v>
      </c>
      <c r="C1027">
        <v>25.049999</v>
      </c>
      <c r="D1027">
        <v>24.76</v>
      </c>
      <c r="E1027">
        <v>24.889999</v>
      </c>
      <c r="F1027">
        <v>24.889999</v>
      </c>
      <c r="G1027">
        <v>156500</v>
      </c>
      <c r="I1027" s="346">
        <v>43097</v>
      </c>
      <c r="J1027">
        <v>24.110001</v>
      </c>
      <c r="K1027">
        <v>24.139999</v>
      </c>
      <c r="L1027">
        <v>24</v>
      </c>
      <c r="M1027">
        <v>24.139999</v>
      </c>
    </row>
    <row r="1028" spans="1:13">
      <c r="A1028" s="346">
        <v>43098</v>
      </c>
      <c r="B1028">
        <v>24.92</v>
      </c>
      <c r="C1028">
        <v>24.92</v>
      </c>
      <c r="D1028">
        <v>24.5</v>
      </c>
      <c r="E1028">
        <v>24.780000999999999</v>
      </c>
      <c r="F1028">
        <v>24.780000999999999</v>
      </c>
      <c r="G1028">
        <v>202700</v>
      </c>
      <c r="I1028" s="346">
        <v>43098</v>
      </c>
      <c r="J1028">
        <v>24.16</v>
      </c>
      <c r="K1028">
        <v>24.18</v>
      </c>
      <c r="L1028">
        <v>24.059999000000001</v>
      </c>
      <c r="M1028">
        <v>24.15</v>
      </c>
    </row>
    <row r="1029" spans="1:13">
      <c r="A1029" s="346">
        <v>43102</v>
      </c>
      <c r="B1029">
        <v>24.75</v>
      </c>
      <c r="C1029">
        <v>25.639999</v>
      </c>
      <c r="D1029">
        <v>24.51</v>
      </c>
      <c r="E1029">
        <v>25.59</v>
      </c>
      <c r="F1029">
        <v>25.59</v>
      </c>
      <c r="G1029">
        <v>183600</v>
      </c>
      <c r="I1029" s="346">
        <v>43102</v>
      </c>
      <c r="J1029">
        <v>24.120000999999998</v>
      </c>
      <c r="K1029">
        <v>24.26</v>
      </c>
      <c r="L1029">
        <v>24.059999000000001</v>
      </c>
      <c r="M1029">
        <v>24.26</v>
      </c>
    </row>
    <row r="1030" spans="1:13">
      <c r="A1030" s="346">
        <v>43103</v>
      </c>
      <c r="B1030">
        <v>25.639999</v>
      </c>
      <c r="C1030">
        <v>25.82</v>
      </c>
      <c r="D1030">
        <v>25.32</v>
      </c>
      <c r="E1030">
        <v>25.639999</v>
      </c>
      <c r="F1030">
        <v>25.639999</v>
      </c>
      <c r="G1030">
        <v>153300</v>
      </c>
      <c r="I1030" s="346">
        <v>43103</v>
      </c>
      <c r="J1030">
        <v>24.32</v>
      </c>
      <c r="K1030">
        <v>24.41</v>
      </c>
      <c r="L1030">
        <v>24.299999</v>
      </c>
      <c r="M1030">
        <v>24.389999</v>
      </c>
    </row>
    <row r="1031" spans="1:13">
      <c r="A1031" s="346">
        <v>43104</v>
      </c>
      <c r="B1031">
        <v>25.639999</v>
      </c>
      <c r="C1031">
        <v>26.15</v>
      </c>
      <c r="D1031">
        <v>25.639999</v>
      </c>
      <c r="E1031">
        <v>25.85</v>
      </c>
      <c r="F1031">
        <v>25.85</v>
      </c>
      <c r="G1031">
        <v>160900</v>
      </c>
      <c r="I1031" s="346">
        <v>43104</v>
      </c>
      <c r="J1031">
        <v>24.450001</v>
      </c>
      <c r="K1031">
        <v>24.51</v>
      </c>
      <c r="L1031">
        <v>24.370000999999998</v>
      </c>
      <c r="M1031">
        <v>24.49</v>
      </c>
    </row>
    <row r="1032" spans="1:13">
      <c r="A1032" s="346">
        <v>43105</v>
      </c>
      <c r="B1032">
        <v>25.85</v>
      </c>
      <c r="C1032">
        <v>26.17</v>
      </c>
      <c r="D1032">
        <v>25.700001</v>
      </c>
      <c r="E1032">
        <v>26.07</v>
      </c>
      <c r="F1032">
        <v>26.07</v>
      </c>
      <c r="G1032">
        <v>249900</v>
      </c>
      <c r="I1032" s="346">
        <v>43105</v>
      </c>
      <c r="J1032">
        <v>24.469999000000001</v>
      </c>
      <c r="K1032">
        <v>24.469999000000001</v>
      </c>
      <c r="L1032">
        <v>24.35</v>
      </c>
      <c r="M1032">
        <v>24.41</v>
      </c>
    </row>
    <row r="1033" spans="1:13">
      <c r="A1033" s="346">
        <v>43108</v>
      </c>
      <c r="B1033">
        <v>26.09</v>
      </c>
      <c r="C1033">
        <v>26.389999</v>
      </c>
      <c r="D1033">
        <v>26.02</v>
      </c>
      <c r="E1033">
        <v>26.25</v>
      </c>
      <c r="F1033">
        <v>26.25</v>
      </c>
      <c r="G1033">
        <v>161400</v>
      </c>
      <c r="I1033" s="346">
        <v>43108</v>
      </c>
      <c r="J1033">
        <v>24.41</v>
      </c>
      <c r="K1033">
        <v>24.450001</v>
      </c>
      <c r="L1033">
        <v>24.32</v>
      </c>
      <c r="M1033">
        <v>24.35</v>
      </c>
    </row>
    <row r="1034" spans="1:13">
      <c r="A1034" s="346">
        <v>43109</v>
      </c>
      <c r="B1034">
        <v>26.34</v>
      </c>
      <c r="C1034">
        <v>26.6</v>
      </c>
      <c r="D1034">
        <v>26.32</v>
      </c>
      <c r="E1034">
        <v>26.379999000000002</v>
      </c>
      <c r="F1034">
        <v>26.379999000000002</v>
      </c>
      <c r="G1034">
        <v>124100</v>
      </c>
      <c r="I1034" s="346">
        <v>43109</v>
      </c>
      <c r="J1034">
        <v>24.389999</v>
      </c>
      <c r="K1034">
        <v>24.43</v>
      </c>
      <c r="L1034">
        <v>24.33</v>
      </c>
      <c r="M1034">
        <v>24.370000999999998</v>
      </c>
    </row>
    <row r="1035" spans="1:13">
      <c r="A1035" s="346">
        <v>43110</v>
      </c>
      <c r="B1035">
        <v>26.299999</v>
      </c>
      <c r="C1035">
        <v>26.4</v>
      </c>
      <c r="D1035">
        <v>25.889999</v>
      </c>
      <c r="E1035">
        <v>26.01</v>
      </c>
      <c r="F1035">
        <v>26.01</v>
      </c>
      <c r="G1035">
        <v>258400</v>
      </c>
      <c r="I1035" s="346">
        <v>43110</v>
      </c>
      <c r="J1035">
        <v>24.360001</v>
      </c>
      <c r="K1035">
        <v>24.4</v>
      </c>
      <c r="L1035">
        <v>24.209999</v>
      </c>
      <c r="M1035">
        <v>24.25</v>
      </c>
    </row>
    <row r="1036" spans="1:13">
      <c r="A1036" s="346">
        <v>43111</v>
      </c>
      <c r="B1036">
        <v>25.99</v>
      </c>
      <c r="C1036">
        <v>25.99</v>
      </c>
      <c r="D1036">
        <v>25.57</v>
      </c>
      <c r="E1036">
        <v>25.76</v>
      </c>
      <c r="F1036">
        <v>25.76</v>
      </c>
      <c r="G1036">
        <v>365700</v>
      </c>
      <c r="I1036" s="346">
        <v>43111</v>
      </c>
      <c r="J1036">
        <v>24.26</v>
      </c>
      <c r="K1036">
        <v>24.34</v>
      </c>
      <c r="L1036">
        <v>24.23</v>
      </c>
      <c r="M1036">
        <v>24.32</v>
      </c>
    </row>
    <row r="1037" spans="1:13">
      <c r="A1037" s="346">
        <v>43112</v>
      </c>
      <c r="B1037">
        <v>26.5</v>
      </c>
      <c r="C1037">
        <v>27.559999000000001</v>
      </c>
      <c r="D1037">
        <v>26.5</v>
      </c>
      <c r="E1037">
        <v>27.190000999999999</v>
      </c>
      <c r="F1037">
        <v>27.190000999999999</v>
      </c>
      <c r="G1037">
        <v>849500</v>
      </c>
      <c r="I1037" s="346">
        <v>43112</v>
      </c>
      <c r="J1037">
        <v>24.33</v>
      </c>
      <c r="K1037">
        <v>24.360001</v>
      </c>
      <c r="L1037">
        <v>24.280000999999999</v>
      </c>
      <c r="M1037">
        <v>24.34</v>
      </c>
    </row>
    <row r="1038" spans="1:13">
      <c r="A1038" s="346">
        <v>43115</v>
      </c>
      <c r="B1038">
        <v>27.15</v>
      </c>
      <c r="C1038">
        <v>27.5</v>
      </c>
      <c r="D1038">
        <v>26.93</v>
      </c>
      <c r="E1038">
        <v>27.09</v>
      </c>
      <c r="F1038">
        <v>27.09</v>
      </c>
      <c r="G1038">
        <v>153800</v>
      </c>
      <c r="I1038" s="346">
        <v>43115</v>
      </c>
      <c r="J1038">
        <v>24.360001</v>
      </c>
      <c r="K1038">
        <v>24.43</v>
      </c>
      <c r="L1038">
        <v>24.32</v>
      </c>
      <c r="M1038">
        <v>24.4</v>
      </c>
    </row>
    <row r="1039" spans="1:13">
      <c r="A1039" s="346">
        <v>43116</v>
      </c>
      <c r="B1039">
        <v>27.17</v>
      </c>
      <c r="C1039">
        <v>27.32</v>
      </c>
      <c r="D1039">
        <v>26.57</v>
      </c>
      <c r="E1039">
        <v>26.9</v>
      </c>
      <c r="F1039">
        <v>26.9</v>
      </c>
      <c r="G1039">
        <v>540600</v>
      </c>
      <c r="I1039" s="346">
        <v>43116</v>
      </c>
      <c r="J1039">
        <v>24.440000999999999</v>
      </c>
      <c r="K1039">
        <v>24.440000999999999</v>
      </c>
      <c r="L1039">
        <v>24.27</v>
      </c>
      <c r="M1039">
        <v>24.309999000000001</v>
      </c>
    </row>
    <row r="1040" spans="1:13">
      <c r="A1040" s="346">
        <v>43117</v>
      </c>
      <c r="B1040">
        <v>27</v>
      </c>
      <c r="C1040">
        <v>27.57</v>
      </c>
      <c r="D1040">
        <v>26.98</v>
      </c>
      <c r="E1040">
        <v>27.379999000000002</v>
      </c>
      <c r="F1040">
        <v>27.379999000000002</v>
      </c>
      <c r="G1040">
        <v>446600</v>
      </c>
      <c r="I1040" s="346">
        <v>43117</v>
      </c>
      <c r="J1040">
        <v>24.299999</v>
      </c>
      <c r="K1040">
        <v>24.41</v>
      </c>
      <c r="L1040">
        <v>24.25</v>
      </c>
      <c r="M1040">
        <v>24.35</v>
      </c>
    </row>
    <row r="1041" spans="1:13">
      <c r="A1041" s="346">
        <v>43118</v>
      </c>
      <c r="B1041">
        <v>27.35</v>
      </c>
      <c r="C1041">
        <v>27.68</v>
      </c>
      <c r="D1041">
        <v>27.35</v>
      </c>
      <c r="E1041">
        <v>27.58</v>
      </c>
      <c r="F1041">
        <v>27.58</v>
      </c>
      <c r="G1041">
        <v>172700</v>
      </c>
      <c r="I1041" s="346">
        <v>43118</v>
      </c>
      <c r="J1041">
        <v>24.35</v>
      </c>
      <c r="K1041">
        <v>24.389999</v>
      </c>
      <c r="L1041">
        <v>24.280000999999999</v>
      </c>
      <c r="M1041">
        <v>24.309999000000001</v>
      </c>
    </row>
    <row r="1042" spans="1:13">
      <c r="A1042" s="346">
        <v>43119</v>
      </c>
      <c r="B1042">
        <v>27.6</v>
      </c>
      <c r="C1042">
        <v>28.360001</v>
      </c>
      <c r="D1042">
        <v>27.6</v>
      </c>
      <c r="E1042">
        <v>28.34</v>
      </c>
      <c r="F1042">
        <v>28.34</v>
      </c>
      <c r="G1042">
        <v>320100</v>
      </c>
      <c r="I1042" s="346">
        <v>43119</v>
      </c>
      <c r="J1042">
        <v>24.33</v>
      </c>
      <c r="K1042">
        <v>24.41</v>
      </c>
      <c r="L1042">
        <v>24.33</v>
      </c>
      <c r="M1042">
        <v>24.4</v>
      </c>
    </row>
    <row r="1043" spans="1:13">
      <c r="A1043" s="346">
        <v>43122</v>
      </c>
      <c r="B1043">
        <v>28.379999000000002</v>
      </c>
      <c r="C1043">
        <v>28.379999000000002</v>
      </c>
      <c r="D1043">
        <v>27.85</v>
      </c>
      <c r="E1043">
        <v>28.200001</v>
      </c>
      <c r="F1043">
        <v>28.200001</v>
      </c>
      <c r="G1043">
        <v>279500</v>
      </c>
      <c r="I1043" s="346">
        <v>43122</v>
      </c>
      <c r="J1043">
        <v>24.4</v>
      </c>
      <c r="K1043">
        <v>24.41</v>
      </c>
      <c r="L1043">
        <v>24.299999</v>
      </c>
      <c r="M1043">
        <v>24.360001</v>
      </c>
    </row>
    <row r="1044" spans="1:13">
      <c r="A1044" s="346">
        <v>43123</v>
      </c>
      <c r="B1044">
        <v>28.129999000000002</v>
      </c>
      <c r="C1044">
        <v>28.440000999999999</v>
      </c>
      <c r="D1044">
        <v>27.6</v>
      </c>
      <c r="E1044">
        <v>28.35</v>
      </c>
      <c r="F1044">
        <v>28.35</v>
      </c>
      <c r="G1044">
        <v>194200</v>
      </c>
      <c r="I1044" s="346">
        <v>43123</v>
      </c>
      <c r="J1044">
        <v>24.35</v>
      </c>
      <c r="K1044">
        <v>24.43</v>
      </c>
      <c r="L1044">
        <v>24.219999000000001</v>
      </c>
      <c r="M1044">
        <v>24.35</v>
      </c>
    </row>
    <row r="1045" spans="1:13">
      <c r="A1045" s="346">
        <v>43124</v>
      </c>
      <c r="B1045">
        <v>28.42</v>
      </c>
      <c r="C1045">
        <v>28.719999000000001</v>
      </c>
      <c r="D1045">
        <v>28.32</v>
      </c>
      <c r="E1045">
        <v>28.43</v>
      </c>
      <c r="F1045">
        <v>28.43</v>
      </c>
      <c r="G1045">
        <v>191700</v>
      </c>
      <c r="I1045" s="346">
        <v>43124</v>
      </c>
      <c r="J1045">
        <v>24.360001</v>
      </c>
      <c r="K1045">
        <v>24.389999</v>
      </c>
      <c r="L1045">
        <v>24.17</v>
      </c>
      <c r="M1045">
        <v>24.25</v>
      </c>
    </row>
    <row r="1046" spans="1:13">
      <c r="A1046" s="346">
        <v>43125</v>
      </c>
      <c r="B1046">
        <v>28.52</v>
      </c>
      <c r="C1046">
        <v>28.709999</v>
      </c>
      <c r="D1046">
        <v>28.18</v>
      </c>
      <c r="E1046">
        <v>28.299999</v>
      </c>
      <c r="F1046">
        <v>28.299999</v>
      </c>
      <c r="G1046">
        <v>161300</v>
      </c>
      <c r="I1046" s="346">
        <v>43125</v>
      </c>
      <c r="J1046">
        <v>24.299999</v>
      </c>
      <c r="K1046">
        <v>24.299999</v>
      </c>
      <c r="L1046">
        <v>24.1</v>
      </c>
      <c r="M1046">
        <v>24.15</v>
      </c>
    </row>
    <row r="1047" spans="1:13">
      <c r="A1047" s="346">
        <v>43126</v>
      </c>
      <c r="B1047">
        <v>28.370000999999998</v>
      </c>
      <c r="C1047">
        <v>29.07</v>
      </c>
      <c r="D1047">
        <v>28.34</v>
      </c>
      <c r="E1047">
        <v>29.01</v>
      </c>
      <c r="F1047">
        <v>29.01</v>
      </c>
      <c r="G1047">
        <v>375300</v>
      </c>
      <c r="I1047" s="346">
        <v>43126</v>
      </c>
      <c r="J1047">
        <v>24.16</v>
      </c>
      <c r="K1047">
        <v>24.17</v>
      </c>
      <c r="L1047">
        <v>24.08</v>
      </c>
      <c r="M1047">
        <v>24.17</v>
      </c>
    </row>
    <row r="1048" spans="1:13">
      <c r="A1048" s="346">
        <v>43129</v>
      </c>
      <c r="B1048">
        <v>29.01</v>
      </c>
      <c r="C1048">
        <v>29.52</v>
      </c>
      <c r="D1048">
        <v>28.99</v>
      </c>
      <c r="E1048">
        <v>29.42</v>
      </c>
      <c r="F1048">
        <v>29.42</v>
      </c>
      <c r="G1048">
        <v>226400</v>
      </c>
      <c r="I1048" s="346">
        <v>43129</v>
      </c>
      <c r="J1048">
        <v>24.09</v>
      </c>
      <c r="K1048">
        <v>24.1</v>
      </c>
      <c r="L1048">
        <v>23.969999000000001</v>
      </c>
      <c r="M1048">
        <v>23.98</v>
      </c>
    </row>
    <row r="1049" spans="1:13">
      <c r="A1049" s="346">
        <v>43130</v>
      </c>
      <c r="B1049">
        <v>28.98</v>
      </c>
      <c r="C1049">
        <v>29.17</v>
      </c>
      <c r="D1049">
        <v>28.5</v>
      </c>
      <c r="E1049">
        <v>28.83</v>
      </c>
      <c r="F1049">
        <v>28.83</v>
      </c>
      <c r="G1049">
        <v>247700</v>
      </c>
      <c r="I1049" s="346">
        <v>43130</v>
      </c>
      <c r="J1049">
        <v>23.92</v>
      </c>
      <c r="K1049">
        <v>23.940000999999999</v>
      </c>
      <c r="L1049">
        <v>23.790001</v>
      </c>
      <c r="M1049">
        <v>23.809999000000001</v>
      </c>
    </row>
    <row r="1050" spans="1:13">
      <c r="A1050" s="346">
        <v>43131</v>
      </c>
      <c r="B1050">
        <v>28.9</v>
      </c>
      <c r="C1050">
        <v>29.219999000000001</v>
      </c>
      <c r="D1050">
        <v>28.59</v>
      </c>
      <c r="E1050">
        <v>28.85</v>
      </c>
      <c r="F1050">
        <v>28.85</v>
      </c>
      <c r="G1050">
        <v>428000</v>
      </c>
      <c r="I1050" s="346">
        <v>43131</v>
      </c>
      <c r="J1050">
        <v>23.82</v>
      </c>
      <c r="K1050">
        <v>23.85</v>
      </c>
      <c r="L1050">
        <v>23.719999000000001</v>
      </c>
      <c r="M1050">
        <v>23.790001</v>
      </c>
    </row>
    <row r="1051" spans="1:13">
      <c r="A1051" s="346">
        <v>43132</v>
      </c>
      <c r="B1051">
        <v>28.799999</v>
      </c>
      <c r="C1051">
        <v>29.15</v>
      </c>
      <c r="D1051">
        <v>28.450001</v>
      </c>
      <c r="E1051">
        <v>28.969999000000001</v>
      </c>
      <c r="F1051">
        <v>28.969999000000001</v>
      </c>
      <c r="G1051">
        <v>353200</v>
      </c>
      <c r="I1051" s="346">
        <v>43132</v>
      </c>
      <c r="J1051">
        <v>23.75</v>
      </c>
      <c r="K1051">
        <v>23.76</v>
      </c>
      <c r="L1051">
        <v>23.6</v>
      </c>
      <c r="M1051">
        <v>23.66</v>
      </c>
    </row>
    <row r="1052" spans="1:13">
      <c r="A1052" s="346">
        <v>43133</v>
      </c>
      <c r="B1052">
        <v>28.870000999999998</v>
      </c>
      <c r="C1052">
        <v>28.91</v>
      </c>
      <c r="D1052">
        <v>28.26</v>
      </c>
      <c r="E1052">
        <v>28.6</v>
      </c>
      <c r="F1052">
        <v>28.6</v>
      </c>
      <c r="G1052">
        <v>486300</v>
      </c>
      <c r="I1052" s="346">
        <v>43133</v>
      </c>
      <c r="J1052">
        <v>23.52</v>
      </c>
      <c r="K1052">
        <v>23.549999</v>
      </c>
      <c r="L1052">
        <v>23.299999</v>
      </c>
      <c r="M1052">
        <v>23.299999</v>
      </c>
    </row>
    <row r="1053" spans="1:13">
      <c r="A1053" s="346">
        <v>43136</v>
      </c>
      <c r="B1053">
        <v>28.09</v>
      </c>
      <c r="C1053">
        <v>28.780000999999999</v>
      </c>
      <c r="D1053">
        <v>27.82</v>
      </c>
      <c r="E1053">
        <v>28.290001</v>
      </c>
      <c r="F1053">
        <v>28.290001</v>
      </c>
      <c r="G1053">
        <v>280300</v>
      </c>
      <c r="I1053" s="346">
        <v>43136</v>
      </c>
      <c r="J1053">
        <v>23.09</v>
      </c>
      <c r="K1053">
        <v>23.25</v>
      </c>
      <c r="L1053">
        <v>22.76</v>
      </c>
      <c r="M1053">
        <v>22.82</v>
      </c>
    </row>
    <row r="1054" spans="1:13">
      <c r="A1054" s="346">
        <v>43137</v>
      </c>
      <c r="B1054">
        <v>27.92</v>
      </c>
      <c r="C1054">
        <v>29.290001</v>
      </c>
      <c r="D1054">
        <v>27.65</v>
      </c>
      <c r="E1054">
        <v>29.1</v>
      </c>
      <c r="F1054">
        <v>29.1</v>
      </c>
      <c r="G1054">
        <v>715500</v>
      </c>
      <c r="I1054" s="346">
        <v>43137</v>
      </c>
      <c r="J1054">
        <v>22.440000999999999</v>
      </c>
      <c r="K1054">
        <v>22.959999</v>
      </c>
      <c r="L1054">
        <v>22.209999</v>
      </c>
      <c r="M1054">
        <v>22.9</v>
      </c>
    </row>
    <row r="1055" spans="1:13">
      <c r="A1055" s="346">
        <v>43138</v>
      </c>
      <c r="B1055">
        <v>28.98</v>
      </c>
      <c r="C1055">
        <v>29.6</v>
      </c>
      <c r="D1055">
        <v>28.84</v>
      </c>
      <c r="E1055">
        <v>29.41</v>
      </c>
      <c r="F1055">
        <v>29.41</v>
      </c>
      <c r="G1055">
        <v>621700</v>
      </c>
      <c r="I1055" s="346">
        <v>43138</v>
      </c>
      <c r="J1055">
        <v>22.940000999999999</v>
      </c>
      <c r="K1055">
        <v>22.969999000000001</v>
      </c>
      <c r="L1055">
        <v>22.82</v>
      </c>
      <c r="M1055">
        <v>22.84</v>
      </c>
    </row>
    <row r="1056" spans="1:13">
      <c r="A1056" s="346">
        <v>43139</v>
      </c>
      <c r="B1056">
        <v>29.42</v>
      </c>
      <c r="C1056">
        <v>29.73</v>
      </c>
      <c r="D1056">
        <v>28.59</v>
      </c>
      <c r="E1056">
        <v>28.620000999999998</v>
      </c>
      <c r="F1056">
        <v>28.620000999999998</v>
      </c>
      <c r="G1056">
        <v>551600</v>
      </c>
      <c r="I1056" s="346">
        <v>43139</v>
      </c>
      <c r="J1056">
        <v>22.889999</v>
      </c>
      <c r="K1056">
        <v>22.889999</v>
      </c>
      <c r="L1056">
        <v>22.41</v>
      </c>
      <c r="M1056">
        <v>22.42</v>
      </c>
    </row>
    <row r="1057" spans="1:13">
      <c r="A1057" s="346">
        <v>43140</v>
      </c>
      <c r="B1057">
        <v>28.440000999999999</v>
      </c>
      <c r="C1057">
        <v>28.719999000000001</v>
      </c>
      <c r="D1057">
        <v>27.700001</v>
      </c>
      <c r="E1057">
        <v>28.5</v>
      </c>
      <c r="F1057">
        <v>28.5</v>
      </c>
      <c r="G1057">
        <v>373100</v>
      </c>
      <c r="I1057" s="346">
        <v>43140</v>
      </c>
      <c r="J1057">
        <v>22.459999</v>
      </c>
      <c r="K1057">
        <v>22.5</v>
      </c>
      <c r="L1057">
        <v>22.049999</v>
      </c>
      <c r="M1057">
        <v>22.4</v>
      </c>
    </row>
    <row r="1058" spans="1:13">
      <c r="A1058" s="346">
        <v>43143</v>
      </c>
      <c r="B1058">
        <v>28.59</v>
      </c>
      <c r="C1058">
        <v>28.84</v>
      </c>
      <c r="D1058">
        <v>28.42</v>
      </c>
      <c r="E1058">
        <v>28.65</v>
      </c>
      <c r="F1058">
        <v>28.65</v>
      </c>
      <c r="G1058">
        <v>266400</v>
      </c>
      <c r="I1058" s="346">
        <v>43143</v>
      </c>
      <c r="J1058">
        <v>22.620000999999998</v>
      </c>
      <c r="K1058">
        <v>22.77</v>
      </c>
      <c r="L1058">
        <v>22.49</v>
      </c>
      <c r="M1058">
        <v>22.68</v>
      </c>
    </row>
    <row r="1059" spans="1:13">
      <c r="A1059" s="346">
        <v>43144</v>
      </c>
      <c r="B1059">
        <v>28.6</v>
      </c>
      <c r="C1059">
        <v>29.42</v>
      </c>
      <c r="D1059">
        <v>28.530000999999999</v>
      </c>
      <c r="E1059">
        <v>28.99</v>
      </c>
      <c r="F1059">
        <v>28.99</v>
      </c>
      <c r="G1059">
        <v>164300</v>
      </c>
      <c r="I1059" s="346">
        <v>43144</v>
      </c>
      <c r="J1059">
        <v>22.629999000000002</v>
      </c>
      <c r="K1059">
        <v>22.709999</v>
      </c>
      <c r="L1059">
        <v>22.540001</v>
      </c>
      <c r="M1059">
        <v>22.67</v>
      </c>
    </row>
    <row r="1060" spans="1:13">
      <c r="A1060" s="346">
        <v>43145</v>
      </c>
      <c r="B1060">
        <v>28.9</v>
      </c>
      <c r="C1060">
        <v>30.18</v>
      </c>
      <c r="D1060">
        <v>28.9</v>
      </c>
      <c r="E1060">
        <v>30.120000999999998</v>
      </c>
      <c r="F1060">
        <v>30.120000999999998</v>
      </c>
      <c r="G1060">
        <v>353800</v>
      </c>
      <c r="I1060" s="346">
        <v>43145</v>
      </c>
      <c r="J1060">
        <v>22.57</v>
      </c>
      <c r="K1060">
        <v>22.93</v>
      </c>
      <c r="L1060">
        <v>22.52</v>
      </c>
      <c r="M1060">
        <v>22.83</v>
      </c>
    </row>
    <row r="1061" spans="1:13">
      <c r="A1061" s="346">
        <v>43146</v>
      </c>
      <c r="B1061">
        <v>30.280000999999999</v>
      </c>
      <c r="C1061">
        <v>30.459999</v>
      </c>
      <c r="D1061">
        <v>29.43</v>
      </c>
      <c r="E1061">
        <v>30.139999</v>
      </c>
      <c r="F1061">
        <v>30.139999</v>
      </c>
      <c r="G1061">
        <v>419500</v>
      </c>
      <c r="I1061" s="346">
        <v>43146</v>
      </c>
      <c r="J1061">
        <v>22.99</v>
      </c>
      <c r="K1061">
        <v>23.01</v>
      </c>
      <c r="L1061">
        <v>22.75</v>
      </c>
      <c r="M1061">
        <v>22.940000999999999</v>
      </c>
    </row>
    <row r="1062" spans="1:13">
      <c r="A1062" s="346">
        <v>43147</v>
      </c>
      <c r="B1062">
        <v>30.110001</v>
      </c>
      <c r="C1062">
        <v>30.24</v>
      </c>
      <c r="D1062">
        <v>29.809999000000001</v>
      </c>
      <c r="E1062">
        <v>30.040001</v>
      </c>
      <c r="F1062">
        <v>30.040001</v>
      </c>
      <c r="G1062">
        <v>179000</v>
      </c>
      <c r="I1062" s="346">
        <v>43147</v>
      </c>
      <c r="J1062">
        <v>22.959999</v>
      </c>
      <c r="K1062">
        <v>23.1</v>
      </c>
      <c r="L1062">
        <v>22.93</v>
      </c>
      <c r="M1062">
        <v>23.02</v>
      </c>
    </row>
    <row r="1063" spans="1:13">
      <c r="A1063" s="346">
        <v>43151</v>
      </c>
      <c r="B1063">
        <v>29.98</v>
      </c>
      <c r="C1063">
        <v>30.66</v>
      </c>
      <c r="D1063">
        <v>29.950001</v>
      </c>
      <c r="E1063">
        <v>30.5</v>
      </c>
      <c r="F1063">
        <v>30.5</v>
      </c>
      <c r="G1063">
        <v>335600</v>
      </c>
      <c r="I1063" s="346">
        <v>43151</v>
      </c>
      <c r="J1063">
        <v>22.99</v>
      </c>
      <c r="K1063">
        <v>23.1</v>
      </c>
      <c r="L1063">
        <v>22.940000999999999</v>
      </c>
      <c r="M1063">
        <v>23</v>
      </c>
    </row>
    <row r="1064" spans="1:13">
      <c r="A1064" s="346">
        <v>43152</v>
      </c>
      <c r="B1064">
        <v>30.59</v>
      </c>
      <c r="C1064">
        <v>30.99</v>
      </c>
      <c r="D1064">
        <v>30.360001</v>
      </c>
      <c r="E1064">
        <v>30.9</v>
      </c>
      <c r="F1064">
        <v>30.9</v>
      </c>
      <c r="G1064">
        <v>325700</v>
      </c>
      <c r="I1064" s="346">
        <v>43152</v>
      </c>
      <c r="J1064">
        <v>23.040001</v>
      </c>
      <c r="K1064">
        <v>23.299999</v>
      </c>
      <c r="L1064">
        <v>23.040001</v>
      </c>
      <c r="M1064">
        <v>23.18</v>
      </c>
    </row>
    <row r="1065" spans="1:13">
      <c r="A1065" s="346">
        <v>43153</v>
      </c>
      <c r="B1065">
        <v>30.91</v>
      </c>
      <c r="C1065">
        <v>31.200001</v>
      </c>
      <c r="D1065">
        <v>30.34</v>
      </c>
      <c r="E1065">
        <v>30.51</v>
      </c>
      <c r="F1065">
        <v>30.51</v>
      </c>
      <c r="G1065">
        <v>320100</v>
      </c>
      <c r="I1065" s="346">
        <v>43153</v>
      </c>
      <c r="J1065">
        <v>23.16</v>
      </c>
      <c r="K1065">
        <v>23.190000999999999</v>
      </c>
      <c r="L1065">
        <v>22.959999</v>
      </c>
      <c r="M1065">
        <v>23</v>
      </c>
    </row>
    <row r="1066" spans="1:13">
      <c r="A1066" s="346">
        <v>43154</v>
      </c>
      <c r="B1066">
        <v>31</v>
      </c>
      <c r="C1066">
        <v>31.870000999999998</v>
      </c>
      <c r="D1066">
        <v>30.51</v>
      </c>
      <c r="E1066">
        <v>30.84</v>
      </c>
      <c r="F1066">
        <v>30.84</v>
      </c>
      <c r="G1066">
        <v>1214700</v>
      </c>
      <c r="I1066" s="346">
        <v>43154</v>
      </c>
      <c r="J1066">
        <v>23.07</v>
      </c>
      <c r="K1066">
        <v>23.200001</v>
      </c>
      <c r="L1066">
        <v>23.030000999999999</v>
      </c>
      <c r="M1066">
        <v>23.200001</v>
      </c>
    </row>
    <row r="1067" spans="1:13">
      <c r="A1067" s="346">
        <v>43157</v>
      </c>
      <c r="B1067">
        <v>30.969999000000001</v>
      </c>
      <c r="C1067">
        <v>30.99</v>
      </c>
      <c r="D1067">
        <v>30.389999</v>
      </c>
      <c r="E1067">
        <v>30.809999000000001</v>
      </c>
      <c r="F1067">
        <v>30.809999000000001</v>
      </c>
      <c r="G1067">
        <v>426700</v>
      </c>
      <c r="I1067" s="346">
        <v>43157</v>
      </c>
      <c r="J1067">
        <v>23.299999</v>
      </c>
      <c r="K1067">
        <v>23.35</v>
      </c>
      <c r="L1067">
        <v>23.209999</v>
      </c>
      <c r="M1067">
        <v>23.33</v>
      </c>
    </row>
    <row r="1068" spans="1:13">
      <c r="A1068" s="346">
        <v>43158</v>
      </c>
      <c r="B1068">
        <v>30.93</v>
      </c>
      <c r="C1068">
        <v>31.24</v>
      </c>
      <c r="D1068">
        <v>30.76</v>
      </c>
      <c r="E1068">
        <v>31.15</v>
      </c>
      <c r="F1068">
        <v>31.15</v>
      </c>
      <c r="G1068">
        <v>613200</v>
      </c>
      <c r="I1068" s="346">
        <v>43158</v>
      </c>
      <c r="J1068">
        <v>23.299999</v>
      </c>
      <c r="K1068">
        <v>23.43</v>
      </c>
      <c r="L1068">
        <v>23.24</v>
      </c>
      <c r="M1068">
        <v>23.27</v>
      </c>
    </row>
    <row r="1069" spans="1:13">
      <c r="A1069" s="346">
        <v>43159</v>
      </c>
      <c r="B1069">
        <v>31.25</v>
      </c>
      <c r="C1069">
        <v>31.469999000000001</v>
      </c>
      <c r="D1069">
        <v>29.950001</v>
      </c>
      <c r="E1069">
        <v>30.32</v>
      </c>
      <c r="F1069">
        <v>30.32</v>
      </c>
      <c r="G1069">
        <v>801000</v>
      </c>
      <c r="I1069" s="346">
        <v>43159</v>
      </c>
      <c r="J1069">
        <v>23.33</v>
      </c>
      <c r="K1069">
        <v>23.360001</v>
      </c>
      <c r="L1069">
        <v>22.91</v>
      </c>
      <c r="M1069">
        <v>22.92</v>
      </c>
    </row>
    <row r="1070" spans="1:13">
      <c r="A1070" s="346">
        <v>43160</v>
      </c>
      <c r="B1070">
        <v>30.280000999999999</v>
      </c>
      <c r="C1070">
        <v>30.360001</v>
      </c>
      <c r="D1070">
        <v>29.83</v>
      </c>
      <c r="E1070">
        <v>30.09</v>
      </c>
      <c r="F1070">
        <v>30.09</v>
      </c>
      <c r="G1070">
        <v>580800</v>
      </c>
      <c r="I1070" s="346">
        <v>43160</v>
      </c>
      <c r="J1070">
        <v>22.93</v>
      </c>
      <c r="K1070">
        <v>22.940000999999999</v>
      </c>
      <c r="L1070">
        <v>22.709999</v>
      </c>
      <c r="M1070">
        <v>22.82</v>
      </c>
    </row>
    <row r="1071" spans="1:13">
      <c r="A1071" s="346">
        <v>43161</v>
      </c>
      <c r="B1071">
        <v>29.780000999999999</v>
      </c>
      <c r="C1071">
        <v>30.040001</v>
      </c>
      <c r="D1071">
        <v>29.66</v>
      </c>
      <c r="E1071">
        <v>29.84</v>
      </c>
      <c r="F1071">
        <v>29.84</v>
      </c>
      <c r="G1071">
        <v>442500</v>
      </c>
      <c r="I1071" s="346">
        <v>43161</v>
      </c>
      <c r="J1071">
        <v>22.68</v>
      </c>
      <c r="K1071">
        <v>22.82</v>
      </c>
      <c r="L1071">
        <v>22.65</v>
      </c>
      <c r="M1071">
        <v>22.799999</v>
      </c>
    </row>
    <row r="1072" spans="1:13">
      <c r="A1072" s="346">
        <v>43164</v>
      </c>
      <c r="B1072">
        <v>30</v>
      </c>
      <c r="C1072">
        <v>30</v>
      </c>
      <c r="D1072">
        <v>28.92</v>
      </c>
      <c r="E1072">
        <v>28.969999000000001</v>
      </c>
      <c r="F1072">
        <v>28.969999000000001</v>
      </c>
      <c r="G1072">
        <v>829400</v>
      </c>
      <c r="I1072" s="346">
        <v>43164</v>
      </c>
      <c r="J1072">
        <v>22.74</v>
      </c>
      <c r="K1072">
        <v>23.09</v>
      </c>
      <c r="L1072">
        <v>22.700001</v>
      </c>
      <c r="M1072">
        <v>23.049999</v>
      </c>
    </row>
    <row r="1073" spans="1:13">
      <c r="A1073" s="346">
        <v>43165</v>
      </c>
      <c r="B1073">
        <v>29</v>
      </c>
      <c r="C1073">
        <v>29.889999</v>
      </c>
      <c r="D1073">
        <v>29</v>
      </c>
      <c r="E1073">
        <v>29.639999</v>
      </c>
      <c r="F1073">
        <v>29.639999</v>
      </c>
      <c r="G1073">
        <v>675300</v>
      </c>
      <c r="I1073" s="346">
        <v>43165</v>
      </c>
      <c r="J1073">
        <v>23.1</v>
      </c>
      <c r="K1073">
        <v>23.110001</v>
      </c>
      <c r="L1073">
        <v>22.969999000000001</v>
      </c>
      <c r="M1073">
        <v>23.040001</v>
      </c>
    </row>
    <row r="1074" spans="1:13">
      <c r="A1074" s="346">
        <v>43166</v>
      </c>
      <c r="B1074">
        <v>29.57</v>
      </c>
      <c r="C1074">
        <v>31</v>
      </c>
      <c r="D1074">
        <v>29.459999</v>
      </c>
      <c r="E1074">
        <v>29.51</v>
      </c>
      <c r="F1074">
        <v>29.51</v>
      </c>
      <c r="G1074">
        <v>747200</v>
      </c>
      <c r="I1074" s="346">
        <v>43166</v>
      </c>
      <c r="J1074">
        <v>22.940000999999999</v>
      </c>
      <c r="K1074">
        <v>23.17</v>
      </c>
      <c r="L1074">
        <v>22.940000999999999</v>
      </c>
      <c r="M1074">
        <v>22.959999</v>
      </c>
    </row>
    <row r="1075" spans="1:13">
      <c r="A1075" s="346">
        <v>43167</v>
      </c>
      <c r="B1075">
        <v>29.559999000000001</v>
      </c>
      <c r="C1075">
        <v>29.82</v>
      </c>
      <c r="D1075">
        <v>29.49</v>
      </c>
      <c r="E1075">
        <v>29.6</v>
      </c>
      <c r="F1075">
        <v>29.6</v>
      </c>
      <c r="G1075">
        <v>322800</v>
      </c>
      <c r="I1075" s="346">
        <v>43167</v>
      </c>
      <c r="J1075">
        <v>23.01</v>
      </c>
      <c r="K1075">
        <v>23.07</v>
      </c>
      <c r="L1075">
        <v>22.969999000000001</v>
      </c>
      <c r="M1075">
        <v>23.049999</v>
      </c>
    </row>
    <row r="1076" spans="1:13">
      <c r="A1076" s="346">
        <v>43168</v>
      </c>
      <c r="B1076">
        <v>29.610001</v>
      </c>
      <c r="C1076">
        <v>31.01</v>
      </c>
      <c r="D1076">
        <v>29.610001</v>
      </c>
      <c r="E1076">
        <v>30.690000999999999</v>
      </c>
      <c r="F1076">
        <v>30.690000999999999</v>
      </c>
      <c r="G1076">
        <v>567700</v>
      </c>
      <c r="I1076" s="346">
        <v>43168</v>
      </c>
      <c r="J1076">
        <v>23.139999</v>
      </c>
      <c r="K1076">
        <v>23.15</v>
      </c>
      <c r="L1076">
        <v>22.969999000000001</v>
      </c>
      <c r="M1076">
        <v>23.120000999999998</v>
      </c>
    </row>
    <row r="1077" spans="1:13">
      <c r="A1077" s="346">
        <v>43171</v>
      </c>
      <c r="B1077">
        <v>30.809999000000001</v>
      </c>
      <c r="C1077">
        <v>31.209999</v>
      </c>
      <c r="D1077">
        <v>30.15</v>
      </c>
      <c r="E1077">
        <v>30.15</v>
      </c>
      <c r="F1077">
        <v>30.15</v>
      </c>
      <c r="G1077">
        <v>334200</v>
      </c>
      <c r="I1077" s="346">
        <v>43171</v>
      </c>
      <c r="J1077">
        <v>23.110001</v>
      </c>
      <c r="K1077">
        <v>23.209999</v>
      </c>
      <c r="L1077">
        <v>23.08</v>
      </c>
      <c r="M1077">
        <v>23.17</v>
      </c>
    </row>
    <row r="1078" spans="1:13">
      <c r="A1078" s="346">
        <v>43172</v>
      </c>
      <c r="B1078">
        <v>30.23</v>
      </c>
      <c r="C1078">
        <v>30.309999000000001</v>
      </c>
      <c r="D1078">
        <v>29.67</v>
      </c>
      <c r="E1078">
        <v>30.1</v>
      </c>
      <c r="F1078">
        <v>30.1</v>
      </c>
      <c r="G1078">
        <v>605100</v>
      </c>
      <c r="I1078" s="346">
        <v>43172</v>
      </c>
      <c r="J1078">
        <v>23.200001</v>
      </c>
      <c r="K1078">
        <v>23.34</v>
      </c>
      <c r="L1078">
        <v>23.200001</v>
      </c>
      <c r="M1078">
        <v>23.24</v>
      </c>
    </row>
    <row r="1079" spans="1:13">
      <c r="A1079" s="346">
        <v>43173</v>
      </c>
      <c r="B1079">
        <v>30.200001</v>
      </c>
      <c r="C1079">
        <v>30.360001</v>
      </c>
      <c r="D1079">
        <v>29.629999000000002</v>
      </c>
      <c r="E1079">
        <v>30.209999</v>
      </c>
      <c r="F1079">
        <v>30.209999</v>
      </c>
      <c r="G1079">
        <v>294000</v>
      </c>
      <c r="I1079" s="346">
        <v>43173</v>
      </c>
      <c r="J1079">
        <v>23.33</v>
      </c>
      <c r="K1079">
        <v>23.379999000000002</v>
      </c>
      <c r="L1079">
        <v>23.219999000000001</v>
      </c>
      <c r="M1079">
        <v>23.280000999999999</v>
      </c>
    </row>
    <row r="1080" spans="1:13">
      <c r="A1080" s="346">
        <v>43174</v>
      </c>
      <c r="B1080">
        <v>30.15</v>
      </c>
      <c r="C1080">
        <v>30.48</v>
      </c>
      <c r="D1080">
        <v>30.129999000000002</v>
      </c>
      <c r="E1080">
        <v>30.35</v>
      </c>
      <c r="F1080">
        <v>30.35</v>
      </c>
      <c r="G1080">
        <v>230500</v>
      </c>
      <c r="I1080" s="346">
        <v>43174</v>
      </c>
      <c r="J1080">
        <v>23.32</v>
      </c>
      <c r="K1080">
        <v>23.42</v>
      </c>
      <c r="L1080">
        <v>23.27</v>
      </c>
      <c r="M1080">
        <v>23.33</v>
      </c>
    </row>
    <row r="1081" spans="1:13">
      <c r="A1081" s="346">
        <v>43175</v>
      </c>
      <c r="B1081">
        <v>30.4</v>
      </c>
      <c r="C1081">
        <v>30.809999000000001</v>
      </c>
      <c r="D1081">
        <v>30.23</v>
      </c>
      <c r="E1081">
        <v>30.23</v>
      </c>
      <c r="F1081">
        <v>30.23</v>
      </c>
      <c r="G1081">
        <v>374200</v>
      </c>
      <c r="I1081" s="346">
        <v>43175</v>
      </c>
      <c r="J1081">
        <v>23.34</v>
      </c>
      <c r="K1081">
        <v>23.52</v>
      </c>
      <c r="L1081">
        <v>23.34</v>
      </c>
      <c r="M1081">
        <v>23.370000999999998</v>
      </c>
    </row>
    <row r="1082" spans="1:13">
      <c r="A1082" s="346">
        <v>43178</v>
      </c>
      <c r="B1082">
        <v>30.18</v>
      </c>
      <c r="C1082">
        <v>30.49</v>
      </c>
      <c r="D1082">
        <v>29.59</v>
      </c>
      <c r="E1082">
        <v>29.879999000000002</v>
      </c>
      <c r="F1082">
        <v>29.879999000000002</v>
      </c>
      <c r="G1082">
        <v>246300</v>
      </c>
      <c r="I1082" s="346">
        <v>43178</v>
      </c>
      <c r="J1082">
        <v>23.35</v>
      </c>
      <c r="K1082">
        <v>23.370000999999998</v>
      </c>
      <c r="L1082">
        <v>23.08</v>
      </c>
      <c r="M1082">
        <v>23.16</v>
      </c>
    </row>
    <row r="1083" spans="1:13">
      <c r="A1083" s="346">
        <v>43179</v>
      </c>
      <c r="B1083">
        <v>29.879999000000002</v>
      </c>
      <c r="C1083">
        <v>30.700001</v>
      </c>
      <c r="D1083">
        <v>29.870000999999998</v>
      </c>
      <c r="E1083">
        <v>30.65</v>
      </c>
      <c r="F1083">
        <v>30.65</v>
      </c>
      <c r="G1083">
        <v>439000</v>
      </c>
      <c r="I1083" s="346">
        <v>43179</v>
      </c>
      <c r="J1083">
        <v>23.200001</v>
      </c>
      <c r="K1083">
        <v>23.24</v>
      </c>
      <c r="L1083">
        <v>23.16</v>
      </c>
      <c r="M1083">
        <v>23.200001</v>
      </c>
    </row>
    <row r="1084" spans="1:13">
      <c r="A1084" s="346">
        <v>43180</v>
      </c>
      <c r="B1084">
        <v>30.57</v>
      </c>
      <c r="C1084">
        <v>31.32</v>
      </c>
      <c r="D1084">
        <v>30.57</v>
      </c>
      <c r="E1084">
        <v>30.860001</v>
      </c>
      <c r="F1084">
        <v>30.860001</v>
      </c>
      <c r="G1084">
        <v>358200</v>
      </c>
      <c r="I1084" s="346">
        <v>43180</v>
      </c>
      <c r="J1084">
        <v>23.15</v>
      </c>
      <c r="K1084">
        <v>23.35</v>
      </c>
      <c r="L1084">
        <v>23.110001</v>
      </c>
      <c r="M1084">
        <v>23.26</v>
      </c>
    </row>
    <row r="1085" spans="1:13">
      <c r="A1085" s="346">
        <v>43181</v>
      </c>
      <c r="B1085">
        <v>30.74</v>
      </c>
      <c r="C1085">
        <v>31.08</v>
      </c>
      <c r="D1085">
        <v>29.889999</v>
      </c>
      <c r="E1085">
        <v>30.07</v>
      </c>
      <c r="F1085">
        <v>30.07</v>
      </c>
      <c r="G1085">
        <v>433700</v>
      </c>
      <c r="I1085" s="346">
        <v>43181</v>
      </c>
      <c r="J1085">
        <v>23.1</v>
      </c>
      <c r="K1085">
        <v>23.1</v>
      </c>
      <c r="L1085">
        <v>22.799999</v>
      </c>
      <c r="M1085">
        <v>22.809999000000001</v>
      </c>
    </row>
    <row r="1086" spans="1:13">
      <c r="A1086" s="346">
        <v>43182</v>
      </c>
      <c r="B1086">
        <v>29.780000999999999</v>
      </c>
      <c r="C1086">
        <v>30.129999000000002</v>
      </c>
      <c r="D1086">
        <v>28.68</v>
      </c>
      <c r="E1086">
        <v>28.91</v>
      </c>
      <c r="F1086">
        <v>28.91</v>
      </c>
      <c r="G1086">
        <v>576500</v>
      </c>
      <c r="I1086" s="346">
        <v>43182</v>
      </c>
      <c r="J1086">
        <v>22.870000999999998</v>
      </c>
      <c r="K1086">
        <v>22.879999000000002</v>
      </c>
      <c r="L1086">
        <v>22.5</v>
      </c>
      <c r="M1086">
        <v>22.530000999999999</v>
      </c>
    </row>
    <row r="1087" spans="1:13">
      <c r="A1087" s="346">
        <v>43185</v>
      </c>
      <c r="B1087">
        <v>29.27</v>
      </c>
      <c r="C1087">
        <v>29.280000999999999</v>
      </c>
      <c r="D1087">
        <v>28.18</v>
      </c>
      <c r="E1087">
        <v>28.799999</v>
      </c>
      <c r="F1087">
        <v>28.799999</v>
      </c>
      <c r="G1087">
        <v>445000</v>
      </c>
      <c r="I1087" s="346">
        <v>43185</v>
      </c>
      <c r="J1087">
        <v>22.709999</v>
      </c>
      <c r="K1087">
        <v>22.75</v>
      </c>
      <c r="L1087">
        <v>22.549999</v>
      </c>
      <c r="M1087">
        <v>22.68</v>
      </c>
    </row>
    <row r="1088" spans="1:13">
      <c r="A1088" s="346">
        <v>43186</v>
      </c>
      <c r="B1088">
        <v>28.780000999999999</v>
      </c>
      <c r="C1088">
        <v>29.1</v>
      </c>
      <c r="D1088">
        <v>28.16</v>
      </c>
      <c r="E1088">
        <v>28.379999000000002</v>
      </c>
      <c r="F1088">
        <v>28.379999000000002</v>
      </c>
      <c r="G1088">
        <v>376200</v>
      </c>
      <c r="I1088" s="346">
        <v>43186</v>
      </c>
      <c r="J1088">
        <v>22.74</v>
      </c>
      <c r="K1088">
        <v>22.82</v>
      </c>
      <c r="L1088">
        <v>22.52</v>
      </c>
      <c r="M1088">
        <v>22.6</v>
      </c>
    </row>
    <row r="1089" spans="1:13">
      <c r="A1089" s="346">
        <v>43187</v>
      </c>
      <c r="B1089">
        <v>28.309999000000001</v>
      </c>
      <c r="C1089">
        <v>28.57</v>
      </c>
      <c r="D1089">
        <v>27.790001</v>
      </c>
      <c r="E1089">
        <v>28.1</v>
      </c>
      <c r="F1089">
        <v>28.1</v>
      </c>
      <c r="G1089">
        <v>458100</v>
      </c>
      <c r="I1089" s="346">
        <v>43187</v>
      </c>
      <c r="J1089">
        <v>22.6</v>
      </c>
      <c r="K1089">
        <v>22.65</v>
      </c>
      <c r="L1089">
        <v>22.52</v>
      </c>
      <c r="M1089">
        <v>22.549999</v>
      </c>
    </row>
    <row r="1090" spans="1:13">
      <c r="A1090" s="346">
        <v>43188</v>
      </c>
      <c r="B1090">
        <v>28.129999000000002</v>
      </c>
      <c r="C1090">
        <v>29.85</v>
      </c>
      <c r="D1090">
        <v>28.129999000000002</v>
      </c>
      <c r="E1090">
        <v>29.35</v>
      </c>
      <c r="F1090">
        <v>29.35</v>
      </c>
      <c r="G1090">
        <v>785400</v>
      </c>
      <c r="I1090" s="346">
        <v>43188</v>
      </c>
      <c r="J1090">
        <v>22.629999000000002</v>
      </c>
      <c r="K1090">
        <v>22.889999</v>
      </c>
      <c r="L1090">
        <v>22.6</v>
      </c>
      <c r="M1090">
        <v>22.870000999999998</v>
      </c>
    </row>
    <row r="1091" spans="1:13">
      <c r="A1091" s="346">
        <v>43192</v>
      </c>
      <c r="B1091">
        <v>29.4</v>
      </c>
      <c r="C1091">
        <v>29.4</v>
      </c>
      <c r="D1091">
        <v>28.01</v>
      </c>
      <c r="E1091">
        <v>28.57</v>
      </c>
      <c r="F1091">
        <v>28.57</v>
      </c>
      <c r="G1091">
        <v>608300</v>
      </c>
      <c r="I1091" s="346">
        <v>43192</v>
      </c>
      <c r="J1091">
        <v>22.860001</v>
      </c>
      <c r="K1091">
        <v>22.860001</v>
      </c>
      <c r="L1091">
        <v>22.52</v>
      </c>
      <c r="M1091">
        <v>22.6</v>
      </c>
    </row>
    <row r="1092" spans="1:13">
      <c r="A1092" s="346">
        <v>43193</v>
      </c>
      <c r="B1092">
        <v>28.639999</v>
      </c>
      <c r="C1092">
        <v>29.5</v>
      </c>
      <c r="D1092">
        <v>28.559999000000001</v>
      </c>
      <c r="E1092">
        <v>29.309999000000001</v>
      </c>
      <c r="F1092">
        <v>29.309999000000001</v>
      </c>
      <c r="G1092">
        <v>453400</v>
      </c>
      <c r="I1092" s="346">
        <v>43193</v>
      </c>
      <c r="J1092">
        <v>22.65</v>
      </c>
      <c r="K1092">
        <v>22.65</v>
      </c>
      <c r="L1092">
        <v>22.440000999999999</v>
      </c>
      <c r="M1092">
        <v>22.559999000000001</v>
      </c>
    </row>
    <row r="1093" spans="1:13">
      <c r="A1093" s="346">
        <v>43194</v>
      </c>
      <c r="B1093">
        <v>29.040001</v>
      </c>
      <c r="C1093">
        <v>29.950001</v>
      </c>
      <c r="D1093">
        <v>28.85</v>
      </c>
      <c r="E1093">
        <v>29.93</v>
      </c>
      <c r="F1093">
        <v>29.93</v>
      </c>
      <c r="G1093">
        <v>306900</v>
      </c>
      <c r="I1093" s="346">
        <v>43194</v>
      </c>
      <c r="J1093">
        <v>22.360001</v>
      </c>
      <c r="K1093">
        <v>22.57</v>
      </c>
      <c r="L1093">
        <v>22.25</v>
      </c>
      <c r="M1093">
        <v>22.540001</v>
      </c>
    </row>
    <row r="1094" spans="1:13">
      <c r="A1094" s="346">
        <v>43195</v>
      </c>
      <c r="B1094">
        <v>30.02</v>
      </c>
      <c r="C1094">
        <v>30.98</v>
      </c>
      <c r="D1094">
        <v>30.02</v>
      </c>
      <c r="E1094">
        <v>30.24</v>
      </c>
      <c r="F1094">
        <v>30.24</v>
      </c>
      <c r="G1094">
        <v>295900</v>
      </c>
      <c r="I1094" s="346">
        <v>43195</v>
      </c>
      <c r="J1094">
        <v>22.610001</v>
      </c>
      <c r="K1094">
        <v>22.860001</v>
      </c>
      <c r="L1094">
        <v>22.559999000000001</v>
      </c>
      <c r="M1094">
        <v>22.84</v>
      </c>
    </row>
    <row r="1095" spans="1:13">
      <c r="A1095" s="346">
        <v>43196</v>
      </c>
      <c r="B1095">
        <v>30.120000999999998</v>
      </c>
      <c r="C1095">
        <v>30.51</v>
      </c>
      <c r="D1095">
        <v>29.98</v>
      </c>
      <c r="E1095">
        <v>30.33</v>
      </c>
      <c r="F1095">
        <v>30.33</v>
      </c>
      <c r="G1095">
        <v>138200</v>
      </c>
      <c r="I1095" s="346">
        <v>43196</v>
      </c>
      <c r="J1095">
        <v>22.709999</v>
      </c>
      <c r="K1095">
        <v>22.84</v>
      </c>
      <c r="L1095">
        <v>22.52</v>
      </c>
      <c r="M1095">
        <v>22.59</v>
      </c>
    </row>
    <row r="1096" spans="1:13">
      <c r="A1096" s="346">
        <v>43199</v>
      </c>
      <c r="B1096">
        <v>30.459999</v>
      </c>
      <c r="C1096">
        <v>31</v>
      </c>
      <c r="D1096">
        <v>30.370000999999998</v>
      </c>
      <c r="E1096">
        <v>30.43</v>
      </c>
      <c r="F1096">
        <v>30.43</v>
      </c>
      <c r="G1096">
        <v>252500</v>
      </c>
      <c r="I1096" s="346">
        <v>43199</v>
      </c>
      <c r="J1096">
        <v>22.719999000000001</v>
      </c>
      <c r="K1096">
        <v>22.790001</v>
      </c>
      <c r="L1096">
        <v>22.620000999999998</v>
      </c>
      <c r="M1096">
        <v>22.66</v>
      </c>
    </row>
    <row r="1097" spans="1:13">
      <c r="A1097" s="346">
        <v>43200</v>
      </c>
      <c r="B1097">
        <v>30.709999</v>
      </c>
      <c r="C1097">
        <v>30.99</v>
      </c>
      <c r="D1097">
        <v>30.059999000000001</v>
      </c>
      <c r="E1097">
        <v>30.370000999999998</v>
      </c>
      <c r="F1097">
        <v>30.370000999999998</v>
      </c>
      <c r="G1097">
        <v>174900</v>
      </c>
      <c r="I1097" s="346">
        <v>43200</v>
      </c>
      <c r="J1097">
        <v>22.84</v>
      </c>
      <c r="K1097">
        <v>22.85</v>
      </c>
      <c r="L1097">
        <v>22.67</v>
      </c>
      <c r="M1097">
        <v>22.67</v>
      </c>
    </row>
    <row r="1098" spans="1:13">
      <c r="A1098" s="346">
        <v>43201</v>
      </c>
      <c r="B1098">
        <v>30.35</v>
      </c>
      <c r="C1098">
        <v>31.030000999999999</v>
      </c>
      <c r="D1098">
        <v>30.299999</v>
      </c>
      <c r="E1098">
        <v>30.459999</v>
      </c>
      <c r="F1098">
        <v>30.459999</v>
      </c>
      <c r="G1098">
        <v>283300</v>
      </c>
      <c r="I1098" s="346">
        <v>43201</v>
      </c>
      <c r="J1098">
        <v>22.629999000000002</v>
      </c>
      <c r="K1098">
        <v>22.74</v>
      </c>
      <c r="L1098">
        <v>22.610001</v>
      </c>
      <c r="M1098">
        <v>22.639999</v>
      </c>
    </row>
    <row r="1099" spans="1:13">
      <c r="A1099" s="346">
        <v>43202</v>
      </c>
      <c r="B1099">
        <v>30.530000999999999</v>
      </c>
      <c r="C1099">
        <v>30.77</v>
      </c>
      <c r="D1099">
        <v>30.23</v>
      </c>
      <c r="E1099">
        <v>30.52</v>
      </c>
      <c r="F1099">
        <v>30.52</v>
      </c>
      <c r="G1099">
        <v>152100</v>
      </c>
      <c r="I1099" s="346">
        <v>43202</v>
      </c>
      <c r="J1099">
        <v>22.67</v>
      </c>
      <c r="K1099">
        <v>22.74</v>
      </c>
      <c r="L1099">
        <v>22.639999</v>
      </c>
      <c r="M1099">
        <v>22.66</v>
      </c>
    </row>
    <row r="1100" spans="1:13">
      <c r="A1100" s="346">
        <v>43203</v>
      </c>
      <c r="B1100">
        <v>30.65</v>
      </c>
      <c r="C1100">
        <v>30.65</v>
      </c>
      <c r="D1100">
        <v>29.74</v>
      </c>
      <c r="E1100">
        <v>30.24</v>
      </c>
      <c r="F1100">
        <v>30.24</v>
      </c>
      <c r="G1100">
        <v>198600</v>
      </c>
      <c r="I1100" s="346">
        <v>43203</v>
      </c>
      <c r="J1100">
        <v>22.75</v>
      </c>
      <c r="K1100">
        <v>22.790001</v>
      </c>
      <c r="L1100">
        <v>22.629999000000002</v>
      </c>
      <c r="M1100">
        <v>22.65</v>
      </c>
    </row>
    <row r="1101" spans="1:13">
      <c r="A1101" s="346">
        <v>43206</v>
      </c>
      <c r="B1101">
        <v>30.35</v>
      </c>
      <c r="C1101">
        <v>30.41</v>
      </c>
      <c r="D1101">
        <v>29.73</v>
      </c>
      <c r="E1101">
        <v>29.969999000000001</v>
      </c>
      <c r="F1101">
        <v>29.969999000000001</v>
      </c>
      <c r="G1101">
        <v>114100</v>
      </c>
      <c r="I1101" s="346">
        <v>43206</v>
      </c>
      <c r="J1101">
        <v>22.709999</v>
      </c>
      <c r="K1101">
        <v>22.74</v>
      </c>
      <c r="L1101">
        <v>22.639999</v>
      </c>
      <c r="M1101">
        <v>22.700001</v>
      </c>
    </row>
    <row r="1102" spans="1:13">
      <c r="A1102" s="346">
        <v>43207</v>
      </c>
      <c r="B1102">
        <v>30.83</v>
      </c>
      <c r="C1102">
        <v>32</v>
      </c>
      <c r="D1102">
        <v>30.83</v>
      </c>
      <c r="E1102">
        <v>31.709999</v>
      </c>
      <c r="F1102">
        <v>31.709999</v>
      </c>
      <c r="G1102">
        <v>718700</v>
      </c>
      <c r="I1102" s="346">
        <v>43207</v>
      </c>
      <c r="J1102">
        <v>22.75</v>
      </c>
      <c r="K1102">
        <v>22.85</v>
      </c>
      <c r="L1102">
        <v>22.719999000000001</v>
      </c>
      <c r="M1102">
        <v>22.76</v>
      </c>
    </row>
    <row r="1103" spans="1:13">
      <c r="A1103" s="346">
        <v>43208</v>
      </c>
      <c r="B1103">
        <v>31.860001</v>
      </c>
      <c r="C1103">
        <v>31.99</v>
      </c>
      <c r="D1103">
        <v>30.48</v>
      </c>
      <c r="E1103">
        <v>30.75</v>
      </c>
      <c r="F1103">
        <v>30.75</v>
      </c>
      <c r="G1103">
        <v>391700</v>
      </c>
      <c r="I1103" s="346">
        <v>43208</v>
      </c>
      <c r="J1103">
        <v>22.85</v>
      </c>
      <c r="K1103">
        <v>23.09</v>
      </c>
      <c r="L1103">
        <v>22.85</v>
      </c>
      <c r="M1103">
        <v>23.030000999999999</v>
      </c>
    </row>
    <row r="1104" spans="1:13">
      <c r="A1104" s="346">
        <v>43209</v>
      </c>
      <c r="B1104">
        <v>30.58</v>
      </c>
      <c r="C1104">
        <v>30.719999000000001</v>
      </c>
      <c r="D1104">
        <v>29.870000999999998</v>
      </c>
      <c r="E1104">
        <v>30.32</v>
      </c>
      <c r="F1104">
        <v>30.32</v>
      </c>
      <c r="G1104">
        <v>277500</v>
      </c>
      <c r="I1104" s="346">
        <v>43209</v>
      </c>
      <c r="J1104">
        <v>23.02</v>
      </c>
      <c r="K1104">
        <v>23.07</v>
      </c>
      <c r="L1104">
        <v>22.860001</v>
      </c>
      <c r="M1104">
        <v>22.889999</v>
      </c>
    </row>
    <row r="1105" spans="1:13">
      <c r="A1105" s="346">
        <v>43210</v>
      </c>
      <c r="B1105">
        <v>30.32</v>
      </c>
      <c r="C1105">
        <v>30.32</v>
      </c>
      <c r="D1105">
        <v>29.700001</v>
      </c>
      <c r="E1105">
        <v>29.9</v>
      </c>
      <c r="F1105">
        <v>29.9</v>
      </c>
      <c r="G1105">
        <v>175500</v>
      </c>
      <c r="I1105" s="346">
        <v>43210</v>
      </c>
      <c r="J1105">
        <v>22.92</v>
      </c>
      <c r="K1105">
        <v>22.99</v>
      </c>
      <c r="L1105">
        <v>22.889999</v>
      </c>
      <c r="M1105">
        <v>22.950001</v>
      </c>
    </row>
    <row r="1106" spans="1:13">
      <c r="A1106" s="346">
        <v>43213</v>
      </c>
      <c r="B1106">
        <v>29.92</v>
      </c>
      <c r="C1106">
        <v>30.18</v>
      </c>
      <c r="D1106">
        <v>29.459999</v>
      </c>
      <c r="E1106">
        <v>29.690000999999999</v>
      </c>
      <c r="F1106">
        <v>29.690000999999999</v>
      </c>
      <c r="G1106">
        <v>208900</v>
      </c>
      <c r="I1106" s="346">
        <v>43213</v>
      </c>
      <c r="J1106">
        <v>22.969999000000001</v>
      </c>
      <c r="K1106">
        <v>23.129999000000002</v>
      </c>
      <c r="L1106">
        <v>22.969999000000001</v>
      </c>
      <c r="M1106">
        <v>23.07</v>
      </c>
    </row>
    <row r="1107" spans="1:13">
      <c r="A1107" s="346">
        <v>43214</v>
      </c>
      <c r="B1107">
        <v>29.77</v>
      </c>
      <c r="C1107">
        <v>30.4</v>
      </c>
      <c r="D1107">
        <v>29.73</v>
      </c>
      <c r="E1107">
        <v>30.23</v>
      </c>
      <c r="F1107">
        <v>30.23</v>
      </c>
      <c r="G1107">
        <v>374700</v>
      </c>
      <c r="I1107" s="346">
        <v>43214</v>
      </c>
      <c r="J1107">
        <v>23.139999</v>
      </c>
      <c r="K1107">
        <v>23.15</v>
      </c>
      <c r="L1107">
        <v>22.889999</v>
      </c>
      <c r="M1107">
        <v>22.969999000000001</v>
      </c>
    </row>
    <row r="1108" spans="1:13">
      <c r="A1108" s="346">
        <v>43215</v>
      </c>
      <c r="B1108">
        <v>31.09</v>
      </c>
      <c r="C1108">
        <v>31.309999000000001</v>
      </c>
      <c r="D1108">
        <v>29.629999000000002</v>
      </c>
      <c r="E1108">
        <v>30.32</v>
      </c>
      <c r="F1108">
        <v>30.32</v>
      </c>
      <c r="G1108">
        <v>311000</v>
      </c>
      <c r="I1108" s="346">
        <v>43215</v>
      </c>
      <c r="J1108">
        <v>22.98</v>
      </c>
      <c r="K1108">
        <v>23.1</v>
      </c>
      <c r="L1108">
        <v>22.92</v>
      </c>
      <c r="M1108">
        <v>23.059999000000001</v>
      </c>
    </row>
    <row r="1109" spans="1:13">
      <c r="A1109" s="346">
        <v>43216</v>
      </c>
      <c r="B1109">
        <v>30.49</v>
      </c>
      <c r="C1109">
        <v>30.559999000000001</v>
      </c>
      <c r="D1109">
        <v>29.110001</v>
      </c>
      <c r="E1109">
        <v>29.940000999999999</v>
      </c>
      <c r="F1109">
        <v>29.940000999999999</v>
      </c>
      <c r="G1109">
        <v>432200</v>
      </c>
      <c r="I1109" s="346">
        <v>43216</v>
      </c>
      <c r="J1109">
        <v>23.1</v>
      </c>
      <c r="K1109">
        <v>23.299999</v>
      </c>
      <c r="L1109">
        <v>23.09</v>
      </c>
      <c r="M1109">
        <v>23.26</v>
      </c>
    </row>
    <row r="1110" spans="1:13">
      <c r="A1110" s="346">
        <v>43217</v>
      </c>
      <c r="B1110">
        <v>29.9</v>
      </c>
      <c r="C1110">
        <v>29.9</v>
      </c>
      <c r="D1110">
        <v>29</v>
      </c>
      <c r="E1110">
        <v>29.27</v>
      </c>
      <c r="F1110">
        <v>29.27</v>
      </c>
      <c r="G1110">
        <v>98200</v>
      </c>
      <c r="I1110" s="346">
        <v>43217</v>
      </c>
      <c r="J1110">
        <v>23.299999</v>
      </c>
      <c r="K1110">
        <v>23.35</v>
      </c>
      <c r="L1110">
        <v>23.27</v>
      </c>
      <c r="M1110">
        <v>23.32</v>
      </c>
    </row>
    <row r="1111" spans="1:13">
      <c r="A1111" s="346">
        <v>43220</v>
      </c>
      <c r="B1111">
        <v>29.530000999999999</v>
      </c>
      <c r="C1111">
        <v>30.059999000000001</v>
      </c>
      <c r="D1111">
        <v>29.34</v>
      </c>
      <c r="E1111">
        <v>29.49</v>
      </c>
      <c r="F1111">
        <v>29.49</v>
      </c>
      <c r="G1111">
        <v>373700</v>
      </c>
      <c r="I1111" s="346">
        <v>43220</v>
      </c>
      <c r="J1111">
        <v>23.360001</v>
      </c>
      <c r="K1111">
        <v>23.389999</v>
      </c>
      <c r="L1111">
        <v>23.23</v>
      </c>
      <c r="M1111">
        <v>23.23</v>
      </c>
    </row>
    <row r="1112" spans="1:13">
      <c r="A1112" s="346">
        <v>43221</v>
      </c>
      <c r="B1112">
        <v>29.440000999999999</v>
      </c>
      <c r="C1112">
        <v>29.73</v>
      </c>
      <c r="D1112">
        <v>29.030000999999999</v>
      </c>
      <c r="E1112">
        <v>29.690000999999999</v>
      </c>
      <c r="F1112">
        <v>29.690000999999999</v>
      </c>
      <c r="G1112">
        <v>243200</v>
      </c>
      <c r="I1112" s="346">
        <v>43221</v>
      </c>
      <c r="J1112">
        <v>23.219999000000001</v>
      </c>
      <c r="K1112">
        <v>23.280000999999999</v>
      </c>
      <c r="L1112">
        <v>23.15</v>
      </c>
      <c r="M1112">
        <v>23.27</v>
      </c>
    </row>
    <row r="1113" spans="1:13">
      <c r="A1113" s="346">
        <v>43222</v>
      </c>
      <c r="B1113">
        <v>29.77</v>
      </c>
      <c r="C1113">
        <v>30.92</v>
      </c>
      <c r="D1113">
        <v>29.77</v>
      </c>
      <c r="E1113">
        <v>30.610001</v>
      </c>
      <c r="F1113">
        <v>30.610001</v>
      </c>
      <c r="G1113">
        <v>454700</v>
      </c>
      <c r="I1113" s="346">
        <v>43222</v>
      </c>
      <c r="J1113">
        <v>23.290001</v>
      </c>
      <c r="K1113">
        <v>23.370000999999998</v>
      </c>
      <c r="L1113">
        <v>23.24</v>
      </c>
      <c r="M1113">
        <v>23.25</v>
      </c>
    </row>
    <row r="1114" spans="1:13">
      <c r="A1114" s="346">
        <v>43223</v>
      </c>
      <c r="B1114">
        <v>30.57</v>
      </c>
      <c r="C1114">
        <v>30.57</v>
      </c>
      <c r="D1114">
        <v>29.620000999999998</v>
      </c>
      <c r="E1114">
        <v>29.91</v>
      </c>
      <c r="F1114">
        <v>29.91</v>
      </c>
      <c r="G1114">
        <v>740200</v>
      </c>
      <c r="I1114" s="346">
        <v>43223</v>
      </c>
      <c r="J1114">
        <v>23.25</v>
      </c>
      <c r="K1114">
        <v>23.290001</v>
      </c>
      <c r="L1114">
        <v>23.139999</v>
      </c>
      <c r="M1114">
        <v>23.24</v>
      </c>
    </row>
    <row r="1115" spans="1:13">
      <c r="A1115" s="346">
        <v>43224</v>
      </c>
      <c r="B1115">
        <v>29.870000999999998</v>
      </c>
      <c r="C1115">
        <v>30.25</v>
      </c>
      <c r="D1115">
        <v>29.48</v>
      </c>
      <c r="E1115">
        <v>29.959999</v>
      </c>
      <c r="F1115">
        <v>29.959999</v>
      </c>
      <c r="G1115">
        <v>313700</v>
      </c>
      <c r="I1115" s="346">
        <v>43224</v>
      </c>
      <c r="J1115">
        <v>23.24</v>
      </c>
      <c r="K1115">
        <v>23.469999000000001</v>
      </c>
      <c r="L1115">
        <v>23.200001</v>
      </c>
      <c r="M1115">
        <v>23.43</v>
      </c>
    </row>
    <row r="1116" spans="1:13">
      <c r="A1116" s="346">
        <v>43227</v>
      </c>
      <c r="B1116">
        <v>30.129999000000002</v>
      </c>
      <c r="C1116">
        <v>30.209999</v>
      </c>
      <c r="D1116">
        <v>29.66</v>
      </c>
      <c r="E1116">
        <v>29.940000999999999</v>
      </c>
      <c r="F1116">
        <v>29.940000999999999</v>
      </c>
      <c r="G1116">
        <v>154300</v>
      </c>
      <c r="I1116" s="346">
        <v>43227</v>
      </c>
      <c r="J1116">
        <v>23.52</v>
      </c>
      <c r="K1116">
        <v>23.610001</v>
      </c>
      <c r="L1116">
        <v>23.469999000000001</v>
      </c>
      <c r="M1116">
        <v>23.559999000000001</v>
      </c>
    </row>
    <row r="1117" spans="1:13">
      <c r="A1117" s="346">
        <v>43228</v>
      </c>
      <c r="B1117">
        <v>30</v>
      </c>
      <c r="C1117">
        <v>31.309999000000001</v>
      </c>
      <c r="D1117">
        <v>29.969999000000001</v>
      </c>
      <c r="E1117">
        <v>31.25</v>
      </c>
      <c r="F1117">
        <v>31.25</v>
      </c>
      <c r="G1117">
        <v>651300</v>
      </c>
      <c r="I1117" s="346">
        <v>43228</v>
      </c>
      <c r="J1117">
        <v>23.57</v>
      </c>
      <c r="K1117">
        <v>23.629999000000002</v>
      </c>
      <c r="L1117">
        <v>23.51</v>
      </c>
      <c r="M1117">
        <v>23.629999000000002</v>
      </c>
    </row>
    <row r="1118" spans="1:13">
      <c r="A1118" s="346">
        <v>43229</v>
      </c>
      <c r="B1118">
        <v>31.219999000000001</v>
      </c>
      <c r="C1118">
        <v>31.639999</v>
      </c>
      <c r="D1118">
        <v>30.959999</v>
      </c>
      <c r="E1118">
        <v>31.389999</v>
      </c>
      <c r="F1118">
        <v>31.389999</v>
      </c>
      <c r="G1118">
        <v>441200</v>
      </c>
      <c r="I1118" s="346">
        <v>43229</v>
      </c>
      <c r="J1118">
        <v>23.700001</v>
      </c>
      <c r="K1118">
        <v>23.74</v>
      </c>
      <c r="L1118">
        <v>23.610001</v>
      </c>
      <c r="M1118">
        <v>23.719999000000001</v>
      </c>
    </row>
    <row r="1119" spans="1:13">
      <c r="A1119" s="346">
        <v>43230</v>
      </c>
      <c r="B1119">
        <v>31.41</v>
      </c>
      <c r="C1119">
        <v>31.68</v>
      </c>
      <c r="D1119">
        <v>31.01</v>
      </c>
      <c r="E1119">
        <v>31.200001</v>
      </c>
      <c r="F1119">
        <v>31.200001</v>
      </c>
      <c r="G1119">
        <v>314900</v>
      </c>
      <c r="I1119" s="346">
        <v>43230</v>
      </c>
      <c r="J1119">
        <v>23.76</v>
      </c>
      <c r="K1119">
        <v>23.879999000000002</v>
      </c>
      <c r="L1119">
        <v>23.719999000000001</v>
      </c>
      <c r="M1119">
        <v>23.84</v>
      </c>
    </row>
    <row r="1120" spans="1:13">
      <c r="A1120" s="346">
        <v>43231</v>
      </c>
      <c r="B1120">
        <v>31.200001</v>
      </c>
      <c r="C1120">
        <v>31.23</v>
      </c>
      <c r="D1120">
        <v>30.889999</v>
      </c>
      <c r="E1120">
        <v>31.15</v>
      </c>
      <c r="F1120">
        <v>31.15</v>
      </c>
      <c r="G1120">
        <v>152500</v>
      </c>
      <c r="I1120" s="346">
        <v>43231</v>
      </c>
      <c r="J1120">
        <v>23.860001</v>
      </c>
      <c r="K1120">
        <v>23.950001</v>
      </c>
      <c r="L1120">
        <v>23.85</v>
      </c>
      <c r="M1120">
        <v>23.889999</v>
      </c>
    </row>
    <row r="1121" spans="1:13">
      <c r="A1121" s="346">
        <v>43234</v>
      </c>
      <c r="B1121">
        <v>31.299999</v>
      </c>
      <c r="C1121">
        <v>31.389999</v>
      </c>
      <c r="D1121">
        <v>30.799999</v>
      </c>
      <c r="E1121">
        <v>31.200001</v>
      </c>
      <c r="F1121">
        <v>31.200001</v>
      </c>
      <c r="G1121">
        <v>158900</v>
      </c>
      <c r="I1121" s="346">
        <v>43234</v>
      </c>
      <c r="J1121">
        <v>23.99</v>
      </c>
      <c r="K1121">
        <v>24.09</v>
      </c>
      <c r="L1121">
        <v>23.950001</v>
      </c>
      <c r="M1121">
        <v>24.07</v>
      </c>
    </row>
    <row r="1122" spans="1:13">
      <c r="A1122" s="346">
        <v>43235</v>
      </c>
      <c r="B1122">
        <v>31.059999000000001</v>
      </c>
      <c r="C1122">
        <v>31.889999</v>
      </c>
      <c r="D1122">
        <v>31.01</v>
      </c>
      <c r="E1122">
        <v>31.85</v>
      </c>
      <c r="F1122">
        <v>31.85</v>
      </c>
      <c r="G1122">
        <v>214200</v>
      </c>
      <c r="I1122" s="346">
        <v>43235</v>
      </c>
      <c r="J1122">
        <v>24.07</v>
      </c>
      <c r="K1122">
        <v>24.16</v>
      </c>
      <c r="L1122">
        <v>24.040001</v>
      </c>
      <c r="M1122">
        <v>24.120000999999998</v>
      </c>
    </row>
    <row r="1123" spans="1:13">
      <c r="A1123" s="346">
        <v>43236</v>
      </c>
      <c r="B1123">
        <v>31.940000999999999</v>
      </c>
      <c r="C1123">
        <v>32.979999999999997</v>
      </c>
      <c r="D1123">
        <v>31.9</v>
      </c>
      <c r="E1123">
        <v>32.82</v>
      </c>
      <c r="F1123">
        <v>32.82</v>
      </c>
      <c r="G1123">
        <v>381900</v>
      </c>
      <c r="I1123" s="346">
        <v>43236</v>
      </c>
      <c r="J1123">
        <v>24.110001</v>
      </c>
      <c r="K1123">
        <v>24.15</v>
      </c>
      <c r="L1123">
        <v>24.049999</v>
      </c>
      <c r="M1123">
        <v>24.139999</v>
      </c>
    </row>
    <row r="1124" spans="1:13">
      <c r="A1124" s="346">
        <v>43237</v>
      </c>
      <c r="B1124">
        <v>32.889999000000003</v>
      </c>
      <c r="C1124">
        <v>33.25</v>
      </c>
      <c r="D1124">
        <v>32.020000000000003</v>
      </c>
      <c r="E1124">
        <v>32.240001999999997</v>
      </c>
      <c r="F1124">
        <v>32.240001999999997</v>
      </c>
      <c r="G1124">
        <v>168100</v>
      </c>
      <c r="I1124" s="346">
        <v>43237</v>
      </c>
      <c r="J1124">
        <v>24.129999000000002</v>
      </c>
      <c r="K1124">
        <v>24.24</v>
      </c>
      <c r="L1124">
        <v>24.129999000000002</v>
      </c>
      <c r="M1124">
        <v>24.17</v>
      </c>
    </row>
    <row r="1125" spans="1:13">
      <c r="A1125" s="346">
        <v>43238</v>
      </c>
      <c r="B1125">
        <v>32.279998999999997</v>
      </c>
      <c r="C1125">
        <v>32.459999000000003</v>
      </c>
      <c r="D1125">
        <v>32.110000999999997</v>
      </c>
      <c r="E1125">
        <v>32.439999</v>
      </c>
      <c r="F1125">
        <v>32.439999</v>
      </c>
      <c r="G1125">
        <v>136600</v>
      </c>
      <c r="I1125" s="346">
        <v>43238</v>
      </c>
      <c r="J1125">
        <v>24.15</v>
      </c>
      <c r="K1125">
        <v>24.190000999999999</v>
      </c>
      <c r="L1125">
        <v>24.08</v>
      </c>
      <c r="M1125">
        <v>24.16</v>
      </c>
    </row>
    <row r="1126" spans="1:13">
      <c r="A1126" s="346">
        <v>43242</v>
      </c>
      <c r="B1126">
        <v>32.549999</v>
      </c>
      <c r="C1126">
        <v>32.840000000000003</v>
      </c>
      <c r="D1126">
        <v>32.189999</v>
      </c>
      <c r="E1126">
        <v>32.310001</v>
      </c>
      <c r="F1126">
        <v>32.310001</v>
      </c>
      <c r="G1126">
        <v>243800</v>
      </c>
      <c r="I1126" s="346">
        <v>43242</v>
      </c>
      <c r="J1126">
        <v>24.190000999999999</v>
      </c>
      <c r="K1126">
        <v>24.299999</v>
      </c>
      <c r="L1126">
        <v>24.129999000000002</v>
      </c>
      <c r="M1126">
        <v>24.139999</v>
      </c>
    </row>
    <row r="1127" spans="1:13">
      <c r="A1127" s="346">
        <v>43243</v>
      </c>
      <c r="B1127">
        <v>32.150002000000001</v>
      </c>
      <c r="C1127">
        <v>32.209999000000003</v>
      </c>
      <c r="D1127">
        <v>31.43</v>
      </c>
      <c r="E1127">
        <v>31.98</v>
      </c>
      <c r="F1127">
        <v>31.98</v>
      </c>
      <c r="G1127">
        <v>296200</v>
      </c>
      <c r="I1127" s="346">
        <v>43243</v>
      </c>
      <c r="J1127">
        <v>24.049999</v>
      </c>
      <c r="K1127">
        <v>24.15</v>
      </c>
      <c r="L1127">
        <v>24.02</v>
      </c>
      <c r="M1127">
        <v>24.110001</v>
      </c>
    </row>
    <row r="1128" spans="1:13">
      <c r="A1128" s="346">
        <v>43244</v>
      </c>
      <c r="B1128">
        <v>31.9</v>
      </c>
      <c r="C1128">
        <v>33.110000999999997</v>
      </c>
      <c r="D1128">
        <v>31.74</v>
      </c>
      <c r="E1128">
        <v>32.880001</v>
      </c>
      <c r="F1128">
        <v>32.880001</v>
      </c>
      <c r="G1128">
        <v>354600</v>
      </c>
      <c r="I1128" s="346">
        <v>43244</v>
      </c>
      <c r="J1128">
        <v>24.16</v>
      </c>
      <c r="K1128">
        <v>24.18</v>
      </c>
      <c r="L1128">
        <v>24.030000999999999</v>
      </c>
      <c r="M1128">
        <v>24.08</v>
      </c>
    </row>
    <row r="1129" spans="1:13">
      <c r="A1129" s="346">
        <v>43245</v>
      </c>
      <c r="B1129">
        <v>32.740001999999997</v>
      </c>
      <c r="C1129">
        <v>33</v>
      </c>
      <c r="D1129">
        <v>32.57</v>
      </c>
      <c r="E1129">
        <v>32.909999999999997</v>
      </c>
      <c r="F1129">
        <v>32.909999999999997</v>
      </c>
      <c r="G1129">
        <v>161300</v>
      </c>
      <c r="I1129" s="346">
        <v>43245</v>
      </c>
      <c r="J1129">
        <v>23.84</v>
      </c>
      <c r="K1129">
        <v>23.98</v>
      </c>
      <c r="L1129">
        <v>23.83</v>
      </c>
      <c r="M1129">
        <v>23.870000999999998</v>
      </c>
    </row>
    <row r="1130" spans="1:13">
      <c r="A1130" s="346">
        <v>43248</v>
      </c>
      <c r="B1130">
        <v>32.950001</v>
      </c>
      <c r="C1130">
        <v>33</v>
      </c>
      <c r="D1130">
        <v>32.020000000000003</v>
      </c>
      <c r="E1130">
        <v>32.639999000000003</v>
      </c>
      <c r="F1130">
        <v>32.639999000000003</v>
      </c>
      <c r="G1130">
        <v>109200</v>
      </c>
      <c r="I1130" s="346">
        <v>43248</v>
      </c>
      <c r="J1130">
        <v>23.870000999999998</v>
      </c>
      <c r="K1130">
        <v>23.9</v>
      </c>
      <c r="L1130">
        <v>23.74</v>
      </c>
      <c r="M1130">
        <v>23.77</v>
      </c>
    </row>
    <row r="1131" spans="1:13">
      <c r="A1131" s="346">
        <v>43249</v>
      </c>
      <c r="B1131">
        <v>32.419998</v>
      </c>
      <c r="C1131">
        <v>32.849997999999999</v>
      </c>
      <c r="D1131">
        <v>32.220001000000003</v>
      </c>
      <c r="E1131">
        <v>32.770000000000003</v>
      </c>
      <c r="F1131">
        <v>32.770000000000003</v>
      </c>
      <c r="G1131">
        <v>166200</v>
      </c>
      <c r="I1131" s="346">
        <v>43249</v>
      </c>
      <c r="J1131">
        <v>23.65</v>
      </c>
      <c r="K1131">
        <v>23.76</v>
      </c>
      <c r="L1131">
        <v>23.540001</v>
      </c>
      <c r="M1131">
        <v>23.6</v>
      </c>
    </row>
    <row r="1132" spans="1:13">
      <c r="A1132" s="346">
        <v>43250</v>
      </c>
      <c r="B1132">
        <v>32.950001</v>
      </c>
      <c r="C1132">
        <v>33.439999</v>
      </c>
      <c r="D1132">
        <v>32.950001</v>
      </c>
      <c r="E1132">
        <v>33.419998</v>
      </c>
      <c r="F1132">
        <v>33.419998</v>
      </c>
      <c r="G1132">
        <v>210600</v>
      </c>
      <c r="I1132" s="346">
        <v>43250</v>
      </c>
      <c r="J1132">
        <v>23.68</v>
      </c>
      <c r="K1132">
        <v>23.790001</v>
      </c>
      <c r="L1132">
        <v>23.629999000000002</v>
      </c>
      <c r="M1132">
        <v>23.780000999999999</v>
      </c>
    </row>
    <row r="1133" spans="1:13">
      <c r="A1133" s="346">
        <v>43251</v>
      </c>
      <c r="B1133">
        <v>33.299999</v>
      </c>
      <c r="C1133">
        <v>33.330002</v>
      </c>
      <c r="D1133">
        <v>32.029998999999997</v>
      </c>
      <c r="E1133">
        <v>32.470001000000003</v>
      </c>
      <c r="F1133">
        <v>32.470001000000003</v>
      </c>
      <c r="G1133">
        <v>557400</v>
      </c>
      <c r="I1133" s="346">
        <v>43251</v>
      </c>
      <c r="J1133">
        <v>23.74</v>
      </c>
      <c r="K1133">
        <v>23.84</v>
      </c>
      <c r="L1133">
        <v>23.67</v>
      </c>
      <c r="M1133">
        <v>23.83</v>
      </c>
    </row>
    <row r="1134" spans="1:13">
      <c r="A1134" s="346">
        <v>43252</v>
      </c>
      <c r="B1134">
        <v>32.529998999999997</v>
      </c>
      <c r="C1134">
        <v>32.57</v>
      </c>
      <c r="D1134">
        <v>32.279998999999997</v>
      </c>
      <c r="E1134">
        <v>32.439999</v>
      </c>
      <c r="F1134">
        <v>32.439999</v>
      </c>
      <c r="G1134">
        <v>198300</v>
      </c>
      <c r="I1134" s="346">
        <v>43252</v>
      </c>
      <c r="J1134">
        <v>23.860001</v>
      </c>
      <c r="K1134">
        <v>23.879999000000002</v>
      </c>
      <c r="L1134">
        <v>23.780000999999999</v>
      </c>
      <c r="M1134">
        <v>23.790001</v>
      </c>
    </row>
    <row r="1135" spans="1:13">
      <c r="A1135" s="346">
        <v>43255</v>
      </c>
      <c r="B1135">
        <v>32.459999000000003</v>
      </c>
      <c r="C1135">
        <v>32.770000000000003</v>
      </c>
      <c r="D1135">
        <v>32.400002000000001</v>
      </c>
      <c r="E1135">
        <v>32.729999999999997</v>
      </c>
      <c r="F1135">
        <v>32.729999999999997</v>
      </c>
      <c r="G1135">
        <v>179000</v>
      </c>
      <c r="I1135" s="346">
        <v>43255</v>
      </c>
      <c r="J1135">
        <v>23.809999000000001</v>
      </c>
      <c r="K1135">
        <v>23.91</v>
      </c>
      <c r="L1135">
        <v>23.780000999999999</v>
      </c>
      <c r="M1135">
        <v>23.790001</v>
      </c>
    </row>
    <row r="1136" spans="1:13">
      <c r="A1136" s="346">
        <v>43256</v>
      </c>
      <c r="B1136">
        <v>32.740001999999997</v>
      </c>
      <c r="C1136">
        <v>33.130001</v>
      </c>
      <c r="D1136">
        <v>32.32</v>
      </c>
      <c r="E1136">
        <v>33.130001</v>
      </c>
      <c r="F1136">
        <v>33.130001</v>
      </c>
      <c r="G1136">
        <v>366400</v>
      </c>
      <c r="I1136" s="346">
        <v>43256</v>
      </c>
      <c r="J1136">
        <v>23.84</v>
      </c>
      <c r="K1136">
        <v>23.98</v>
      </c>
      <c r="L1136">
        <v>23.84</v>
      </c>
      <c r="M1136">
        <v>23.870000999999998</v>
      </c>
    </row>
    <row r="1137" spans="1:13">
      <c r="A1137" s="346">
        <v>43257</v>
      </c>
      <c r="B1137">
        <v>33.159999999999997</v>
      </c>
      <c r="C1137">
        <v>33.860000999999997</v>
      </c>
      <c r="D1137">
        <v>32.950001</v>
      </c>
      <c r="E1137">
        <v>33.849997999999999</v>
      </c>
      <c r="F1137">
        <v>33.849997999999999</v>
      </c>
      <c r="G1137">
        <v>286800</v>
      </c>
      <c r="I1137" s="346">
        <v>43257</v>
      </c>
      <c r="J1137">
        <v>23.879999000000002</v>
      </c>
      <c r="K1137">
        <v>23.969999000000001</v>
      </c>
      <c r="L1137">
        <v>23.790001</v>
      </c>
      <c r="M1137">
        <v>23.969999000000001</v>
      </c>
    </row>
    <row r="1138" spans="1:13">
      <c r="A1138" s="346">
        <v>43258</v>
      </c>
      <c r="B1138">
        <v>33.779998999999997</v>
      </c>
      <c r="C1138">
        <v>34.040000999999997</v>
      </c>
      <c r="D1138">
        <v>33.43</v>
      </c>
      <c r="E1138">
        <v>33.970001000000003</v>
      </c>
      <c r="F1138">
        <v>33.970001000000003</v>
      </c>
      <c r="G1138">
        <v>230800</v>
      </c>
      <c r="I1138" s="346">
        <v>43258</v>
      </c>
      <c r="J1138">
        <v>24</v>
      </c>
      <c r="K1138">
        <v>24.09</v>
      </c>
      <c r="L1138">
        <v>23.93</v>
      </c>
      <c r="M1138">
        <v>24</v>
      </c>
    </row>
    <row r="1139" spans="1:13">
      <c r="A1139" s="346">
        <v>43259</v>
      </c>
      <c r="B1139">
        <v>33.82</v>
      </c>
      <c r="C1139">
        <v>33.830002</v>
      </c>
      <c r="D1139">
        <v>33.090000000000003</v>
      </c>
      <c r="E1139">
        <v>33.619999</v>
      </c>
      <c r="F1139">
        <v>33.619999</v>
      </c>
      <c r="G1139">
        <v>279000</v>
      </c>
      <c r="I1139" s="346">
        <v>43259</v>
      </c>
      <c r="J1139">
        <v>23.98</v>
      </c>
      <c r="K1139">
        <v>24.02</v>
      </c>
      <c r="L1139">
        <v>23.93</v>
      </c>
      <c r="M1139">
        <v>24.01</v>
      </c>
    </row>
    <row r="1140" spans="1:13">
      <c r="A1140" s="346">
        <v>43262</v>
      </c>
      <c r="B1140">
        <v>33.619999</v>
      </c>
      <c r="C1140">
        <v>33.700001</v>
      </c>
      <c r="D1140">
        <v>32.25</v>
      </c>
      <c r="E1140">
        <v>32.380001</v>
      </c>
      <c r="F1140">
        <v>32.380001</v>
      </c>
      <c r="G1140">
        <v>263000</v>
      </c>
      <c r="I1140" s="346">
        <v>43262</v>
      </c>
      <c r="J1140">
        <v>24.040001</v>
      </c>
      <c r="K1140">
        <v>24.190000999999999</v>
      </c>
      <c r="L1140">
        <v>24.040001</v>
      </c>
      <c r="M1140">
        <v>24.129999000000002</v>
      </c>
    </row>
    <row r="1141" spans="1:13">
      <c r="A1141" s="346">
        <v>43263</v>
      </c>
      <c r="B1141">
        <v>32.380001</v>
      </c>
      <c r="C1141">
        <v>32.419998</v>
      </c>
      <c r="D1141">
        <v>31.52</v>
      </c>
      <c r="E1141">
        <v>31.940000999999999</v>
      </c>
      <c r="F1141">
        <v>31.940000999999999</v>
      </c>
      <c r="G1141">
        <v>301700</v>
      </c>
      <c r="I1141" s="346">
        <v>43263</v>
      </c>
      <c r="J1141">
        <v>24.17</v>
      </c>
      <c r="K1141">
        <v>24.17</v>
      </c>
      <c r="L1141">
        <v>24.08</v>
      </c>
      <c r="M1141">
        <v>24.16</v>
      </c>
    </row>
    <row r="1142" spans="1:13">
      <c r="A1142" s="346">
        <v>43264</v>
      </c>
      <c r="B1142">
        <v>31.75</v>
      </c>
      <c r="C1142">
        <v>32</v>
      </c>
      <c r="D1142">
        <v>30.34</v>
      </c>
      <c r="E1142">
        <v>30.51</v>
      </c>
      <c r="F1142">
        <v>30.51</v>
      </c>
      <c r="G1142">
        <v>376400</v>
      </c>
      <c r="I1142" s="346">
        <v>43264</v>
      </c>
      <c r="J1142">
        <v>24.17</v>
      </c>
      <c r="K1142">
        <v>24.209999</v>
      </c>
      <c r="L1142">
        <v>24.129999000000002</v>
      </c>
      <c r="M1142">
        <v>24.129999000000002</v>
      </c>
    </row>
    <row r="1143" spans="1:13">
      <c r="A1143" s="346">
        <v>43265</v>
      </c>
      <c r="B1143">
        <v>30.309999000000001</v>
      </c>
      <c r="C1143">
        <v>30.450001</v>
      </c>
      <c r="D1143">
        <v>29.65</v>
      </c>
      <c r="E1143">
        <v>30.18</v>
      </c>
      <c r="F1143">
        <v>30.18</v>
      </c>
      <c r="G1143">
        <v>428400</v>
      </c>
      <c r="I1143" s="346">
        <v>43265</v>
      </c>
      <c r="J1143">
        <v>24.219999000000001</v>
      </c>
      <c r="K1143">
        <v>24.299999</v>
      </c>
      <c r="L1143">
        <v>24.120000999999998</v>
      </c>
      <c r="M1143">
        <v>24.25</v>
      </c>
    </row>
    <row r="1144" spans="1:13">
      <c r="A1144" s="346">
        <v>43266</v>
      </c>
      <c r="B1144">
        <v>30.120000999999998</v>
      </c>
      <c r="C1144">
        <v>30.85</v>
      </c>
      <c r="D1144">
        <v>29.780000999999999</v>
      </c>
      <c r="E1144">
        <v>30.809999000000001</v>
      </c>
      <c r="F1144">
        <v>30.809999000000001</v>
      </c>
      <c r="G1144">
        <v>553200</v>
      </c>
      <c r="I1144" s="346">
        <v>43266</v>
      </c>
      <c r="J1144">
        <v>24.200001</v>
      </c>
      <c r="K1144">
        <v>24.26</v>
      </c>
      <c r="L1144">
        <v>24.129999000000002</v>
      </c>
      <c r="M1144">
        <v>24.190000999999999</v>
      </c>
    </row>
    <row r="1145" spans="1:13">
      <c r="A1145" s="346">
        <v>43269</v>
      </c>
      <c r="B1145">
        <v>30.620000999999998</v>
      </c>
      <c r="C1145">
        <v>31</v>
      </c>
      <c r="D1145">
        <v>30.25</v>
      </c>
      <c r="E1145">
        <v>30.9</v>
      </c>
      <c r="F1145">
        <v>30.9</v>
      </c>
      <c r="G1145">
        <v>222700</v>
      </c>
      <c r="I1145" s="346">
        <v>43269</v>
      </c>
      <c r="J1145">
        <v>24.129999000000002</v>
      </c>
      <c r="K1145">
        <v>24.32</v>
      </c>
      <c r="L1145">
        <v>24.120000999999998</v>
      </c>
      <c r="M1145">
        <v>24.309999000000001</v>
      </c>
    </row>
    <row r="1146" spans="1:13">
      <c r="A1146" s="346">
        <v>43270</v>
      </c>
      <c r="B1146">
        <v>30.73</v>
      </c>
      <c r="C1146">
        <v>30.84</v>
      </c>
      <c r="D1146">
        <v>30.200001</v>
      </c>
      <c r="E1146">
        <v>30.639999</v>
      </c>
      <c r="F1146">
        <v>30.639999</v>
      </c>
      <c r="G1146">
        <v>125400</v>
      </c>
      <c r="I1146" s="346">
        <v>43270</v>
      </c>
      <c r="J1146">
        <v>24.17</v>
      </c>
      <c r="K1146">
        <v>24.24</v>
      </c>
      <c r="L1146">
        <v>24.120000999999998</v>
      </c>
      <c r="M1146">
        <v>24.200001</v>
      </c>
    </row>
    <row r="1147" spans="1:13">
      <c r="A1147" s="346">
        <v>43271</v>
      </c>
      <c r="B1147">
        <v>30.67</v>
      </c>
      <c r="C1147">
        <v>30.889999</v>
      </c>
      <c r="D1147">
        <v>30.219999000000001</v>
      </c>
      <c r="E1147">
        <v>30.57</v>
      </c>
      <c r="F1147">
        <v>30.57</v>
      </c>
      <c r="G1147">
        <v>189200</v>
      </c>
      <c r="I1147" s="346">
        <v>43271</v>
      </c>
      <c r="J1147">
        <v>24.290001</v>
      </c>
      <c r="K1147">
        <v>24.42</v>
      </c>
      <c r="L1147">
        <v>24.27</v>
      </c>
      <c r="M1147">
        <v>24.389999</v>
      </c>
    </row>
    <row r="1148" spans="1:13">
      <c r="A1148" s="346">
        <v>43272</v>
      </c>
      <c r="B1148">
        <v>30.52</v>
      </c>
      <c r="C1148">
        <v>30.700001</v>
      </c>
      <c r="D1148">
        <v>29.92</v>
      </c>
      <c r="E1148">
        <v>30.209999</v>
      </c>
      <c r="F1148">
        <v>30.209999</v>
      </c>
      <c r="G1148">
        <v>263700</v>
      </c>
      <c r="I1148" s="346">
        <v>43272</v>
      </c>
      <c r="J1148">
        <v>24.360001</v>
      </c>
      <c r="K1148">
        <v>24.360001</v>
      </c>
      <c r="L1148">
        <v>24.219999000000001</v>
      </c>
      <c r="M1148">
        <v>24.25</v>
      </c>
    </row>
    <row r="1149" spans="1:13">
      <c r="A1149" s="346">
        <v>43273</v>
      </c>
      <c r="B1149">
        <v>30.389999</v>
      </c>
      <c r="C1149">
        <v>30.73</v>
      </c>
      <c r="D1149">
        <v>30.27</v>
      </c>
      <c r="E1149">
        <v>30.67</v>
      </c>
      <c r="F1149">
        <v>30.67</v>
      </c>
      <c r="G1149">
        <v>148200</v>
      </c>
      <c r="I1149" s="346">
        <v>43273</v>
      </c>
      <c r="J1149">
        <v>24.379999000000002</v>
      </c>
      <c r="K1149">
        <v>24.52</v>
      </c>
      <c r="L1149">
        <v>24.379999000000002</v>
      </c>
      <c r="M1149">
        <v>24.450001</v>
      </c>
    </row>
    <row r="1150" spans="1:13">
      <c r="A1150" s="346">
        <v>43276</v>
      </c>
      <c r="B1150">
        <v>30.620000999999998</v>
      </c>
      <c r="C1150">
        <v>30.620000999999998</v>
      </c>
      <c r="D1150">
        <v>29.450001</v>
      </c>
      <c r="E1150">
        <v>29.809999000000001</v>
      </c>
      <c r="F1150">
        <v>29.809999000000001</v>
      </c>
      <c r="G1150">
        <v>286500</v>
      </c>
      <c r="I1150" s="346">
        <v>43276</v>
      </c>
      <c r="J1150">
        <v>24.35</v>
      </c>
      <c r="K1150">
        <v>24.360001</v>
      </c>
      <c r="L1150">
        <v>24.01</v>
      </c>
      <c r="M1150">
        <v>24.049999</v>
      </c>
    </row>
    <row r="1151" spans="1:13">
      <c r="A1151" s="346">
        <v>43277</v>
      </c>
      <c r="B1151">
        <v>29.84</v>
      </c>
      <c r="C1151">
        <v>30.559999000000001</v>
      </c>
      <c r="D1151">
        <v>29.84</v>
      </c>
      <c r="E1151">
        <v>30.32</v>
      </c>
      <c r="F1151">
        <v>30.32</v>
      </c>
      <c r="G1151">
        <v>221500</v>
      </c>
      <c r="I1151" s="346">
        <v>43277</v>
      </c>
      <c r="J1151">
        <v>24.08</v>
      </c>
      <c r="K1151">
        <v>24.34</v>
      </c>
      <c r="L1151">
        <v>24.08</v>
      </c>
      <c r="M1151">
        <v>24.25</v>
      </c>
    </row>
    <row r="1152" spans="1:13">
      <c r="A1152" s="346">
        <v>43278</v>
      </c>
      <c r="B1152">
        <v>30.4</v>
      </c>
      <c r="C1152">
        <v>30.870000999999998</v>
      </c>
      <c r="D1152">
        <v>30.4</v>
      </c>
      <c r="E1152">
        <v>30.65</v>
      </c>
      <c r="F1152">
        <v>30.65</v>
      </c>
      <c r="G1152">
        <v>202700</v>
      </c>
      <c r="I1152" s="346">
        <v>43278</v>
      </c>
      <c r="J1152">
        <v>24.299999</v>
      </c>
      <c r="K1152">
        <v>24.35</v>
      </c>
      <c r="L1152">
        <v>24.139999</v>
      </c>
      <c r="M1152">
        <v>24.18</v>
      </c>
    </row>
    <row r="1153" spans="1:13">
      <c r="A1153" s="346">
        <v>43279</v>
      </c>
      <c r="B1153">
        <v>30.549999</v>
      </c>
      <c r="C1153">
        <v>31</v>
      </c>
      <c r="D1153">
        <v>30.18</v>
      </c>
      <c r="E1153">
        <v>30.860001</v>
      </c>
      <c r="F1153">
        <v>30.860001</v>
      </c>
      <c r="G1153">
        <v>346000</v>
      </c>
      <c r="I1153" s="346">
        <v>43279</v>
      </c>
      <c r="J1153">
        <v>24.110001</v>
      </c>
      <c r="K1153">
        <v>24.17</v>
      </c>
      <c r="L1153">
        <v>23.99</v>
      </c>
      <c r="M1153">
        <v>24.1</v>
      </c>
    </row>
    <row r="1154" spans="1:13">
      <c r="A1154" s="346">
        <v>43280</v>
      </c>
      <c r="B1154">
        <v>30.92</v>
      </c>
      <c r="C1154">
        <v>31.9</v>
      </c>
      <c r="D1154">
        <v>30.790001</v>
      </c>
      <c r="E1154">
        <v>31.639999</v>
      </c>
      <c r="F1154">
        <v>31.639999</v>
      </c>
      <c r="G1154">
        <v>191000</v>
      </c>
      <c r="I1154" s="346">
        <v>43280</v>
      </c>
      <c r="J1154">
        <v>24.18</v>
      </c>
      <c r="K1154">
        <v>24.33</v>
      </c>
      <c r="L1154">
        <v>24.18</v>
      </c>
      <c r="M1154">
        <v>24.280000999999999</v>
      </c>
    </row>
    <row r="1155" spans="1:13">
      <c r="A1155" s="346">
        <v>43284</v>
      </c>
      <c r="B1155">
        <v>31.67</v>
      </c>
      <c r="C1155">
        <v>31.870000999999998</v>
      </c>
      <c r="D1155">
        <v>31.190000999999999</v>
      </c>
      <c r="E1155">
        <v>31.6</v>
      </c>
      <c r="F1155">
        <v>31.6</v>
      </c>
      <c r="G1155">
        <v>146800</v>
      </c>
      <c r="I1155" s="346">
        <v>43284</v>
      </c>
      <c r="J1155">
        <v>24.379999000000002</v>
      </c>
      <c r="K1155">
        <v>24.4</v>
      </c>
      <c r="L1155">
        <v>24.139999</v>
      </c>
      <c r="M1155">
        <v>24.219999000000001</v>
      </c>
    </row>
    <row r="1156" spans="1:13">
      <c r="A1156" s="346">
        <v>43285</v>
      </c>
      <c r="B1156">
        <v>31.74</v>
      </c>
      <c r="C1156">
        <v>31.809999000000001</v>
      </c>
      <c r="D1156">
        <v>31.23</v>
      </c>
      <c r="E1156">
        <v>31.370000999999998</v>
      </c>
      <c r="F1156">
        <v>31.370000999999998</v>
      </c>
      <c r="G1156">
        <v>104800</v>
      </c>
      <c r="I1156" s="346">
        <v>43285</v>
      </c>
      <c r="J1156">
        <v>24.25</v>
      </c>
      <c r="K1156">
        <v>24.309999000000001</v>
      </c>
      <c r="L1156">
        <v>24.200001</v>
      </c>
      <c r="M1156">
        <v>24.280000999999999</v>
      </c>
    </row>
    <row r="1157" spans="1:13">
      <c r="A1157" s="346">
        <v>43286</v>
      </c>
      <c r="B1157">
        <v>31.379999000000002</v>
      </c>
      <c r="C1157">
        <v>31.379999000000002</v>
      </c>
      <c r="D1157">
        <v>30.75</v>
      </c>
      <c r="E1157">
        <v>31</v>
      </c>
      <c r="F1157">
        <v>31</v>
      </c>
      <c r="G1157">
        <v>278100</v>
      </c>
      <c r="I1157" s="346">
        <v>43286</v>
      </c>
      <c r="J1157">
        <v>24.299999</v>
      </c>
      <c r="K1157">
        <v>24.309999000000001</v>
      </c>
      <c r="L1157">
        <v>24.17</v>
      </c>
      <c r="M1157">
        <v>24.200001</v>
      </c>
    </row>
    <row r="1158" spans="1:13">
      <c r="A1158" s="346">
        <v>43287</v>
      </c>
      <c r="B1158">
        <v>30.959999</v>
      </c>
      <c r="C1158">
        <v>31.379999000000002</v>
      </c>
      <c r="D1158">
        <v>30.83</v>
      </c>
      <c r="E1158">
        <v>31.139999</v>
      </c>
      <c r="F1158">
        <v>31.139999</v>
      </c>
      <c r="G1158">
        <v>232300</v>
      </c>
      <c r="I1158" s="346">
        <v>43287</v>
      </c>
      <c r="J1158">
        <v>24.15</v>
      </c>
      <c r="K1158">
        <v>24.4</v>
      </c>
      <c r="L1158">
        <v>24.15</v>
      </c>
      <c r="M1158">
        <v>24.389999</v>
      </c>
    </row>
    <row r="1159" spans="1:13">
      <c r="A1159" s="346">
        <v>43290</v>
      </c>
      <c r="B1159">
        <v>31.24</v>
      </c>
      <c r="C1159">
        <v>31.860001</v>
      </c>
      <c r="D1159">
        <v>31.24</v>
      </c>
      <c r="E1159">
        <v>31.690000999999999</v>
      </c>
      <c r="F1159">
        <v>31.690000999999999</v>
      </c>
      <c r="G1159">
        <v>127500</v>
      </c>
      <c r="I1159" s="346">
        <v>43290</v>
      </c>
      <c r="J1159">
        <v>24.440000999999999</v>
      </c>
      <c r="K1159">
        <v>24.540001</v>
      </c>
      <c r="L1159">
        <v>24.42</v>
      </c>
      <c r="M1159">
        <v>24.530000999999999</v>
      </c>
    </row>
    <row r="1160" spans="1:13">
      <c r="A1160" s="346">
        <v>43291</v>
      </c>
      <c r="B1160">
        <v>31.799999</v>
      </c>
      <c r="C1160">
        <v>31.799999</v>
      </c>
      <c r="D1160">
        <v>31.219999000000001</v>
      </c>
      <c r="E1160">
        <v>31.68</v>
      </c>
      <c r="F1160">
        <v>31.68</v>
      </c>
      <c r="G1160">
        <v>160100</v>
      </c>
      <c r="I1160" s="346">
        <v>43291</v>
      </c>
      <c r="J1160">
        <v>24.559999000000001</v>
      </c>
      <c r="K1160">
        <v>24.719999000000001</v>
      </c>
      <c r="L1160">
        <v>24.540001</v>
      </c>
      <c r="M1160">
        <v>24.700001</v>
      </c>
    </row>
    <row r="1161" spans="1:13">
      <c r="A1161" s="346">
        <v>43292</v>
      </c>
      <c r="B1161">
        <v>31.5</v>
      </c>
      <c r="C1161">
        <v>31.5</v>
      </c>
      <c r="D1161">
        <v>30.360001</v>
      </c>
      <c r="E1161">
        <v>30.74</v>
      </c>
      <c r="F1161">
        <v>30.74</v>
      </c>
      <c r="G1161">
        <v>236700</v>
      </c>
      <c r="I1161" s="346">
        <v>43292</v>
      </c>
      <c r="J1161">
        <v>24.530000999999999</v>
      </c>
      <c r="K1161">
        <v>24.57</v>
      </c>
      <c r="L1161">
        <v>24.469999000000001</v>
      </c>
      <c r="M1161">
        <v>24.540001</v>
      </c>
    </row>
    <row r="1162" spans="1:13">
      <c r="A1162" s="346">
        <v>43293</v>
      </c>
      <c r="B1162">
        <v>30.780000999999999</v>
      </c>
      <c r="C1162">
        <v>31.4</v>
      </c>
      <c r="D1162">
        <v>30.77</v>
      </c>
      <c r="E1162">
        <v>31.35</v>
      </c>
      <c r="F1162">
        <v>31.35</v>
      </c>
      <c r="G1162">
        <v>152300</v>
      </c>
      <c r="I1162" s="346">
        <v>43293</v>
      </c>
      <c r="J1162">
        <v>24.610001</v>
      </c>
      <c r="K1162">
        <v>24.780000999999999</v>
      </c>
      <c r="L1162">
        <v>24.57</v>
      </c>
      <c r="M1162">
        <v>24.76</v>
      </c>
    </row>
    <row r="1163" spans="1:13">
      <c r="A1163" s="346">
        <v>43294</v>
      </c>
      <c r="B1163">
        <v>31.440000999999999</v>
      </c>
      <c r="C1163">
        <v>32.220001000000003</v>
      </c>
      <c r="D1163">
        <v>31.440000999999999</v>
      </c>
      <c r="E1163">
        <v>31.84</v>
      </c>
      <c r="F1163">
        <v>31.84</v>
      </c>
      <c r="G1163">
        <v>212900</v>
      </c>
      <c r="I1163" s="346">
        <v>43294</v>
      </c>
      <c r="J1163">
        <v>24.74</v>
      </c>
      <c r="K1163">
        <v>24.780000999999999</v>
      </c>
      <c r="L1163">
        <v>24.709999</v>
      </c>
      <c r="M1163">
        <v>24.74</v>
      </c>
    </row>
    <row r="1164" spans="1:13">
      <c r="A1164" s="346">
        <v>43297</v>
      </c>
      <c r="B1164">
        <v>31.92</v>
      </c>
      <c r="C1164">
        <v>32.5</v>
      </c>
      <c r="D1164">
        <v>31.77</v>
      </c>
      <c r="E1164">
        <v>32.290000999999997</v>
      </c>
      <c r="F1164">
        <v>32.290000999999997</v>
      </c>
      <c r="G1164">
        <v>151600</v>
      </c>
      <c r="I1164" s="346">
        <v>43297</v>
      </c>
      <c r="J1164">
        <v>24.68</v>
      </c>
      <c r="K1164">
        <v>24.709999</v>
      </c>
      <c r="L1164">
        <v>24.610001</v>
      </c>
      <c r="M1164">
        <v>24.66</v>
      </c>
    </row>
    <row r="1165" spans="1:13">
      <c r="A1165" s="346">
        <v>43298</v>
      </c>
      <c r="B1165">
        <v>32.150002000000001</v>
      </c>
      <c r="C1165">
        <v>33.740001999999997</v>
      </c>
      <c r="D1165">
        <v>32.139999000000003</v>
      </c>
      <c r="E1165">
        <v>33.18</v>
      </c>
      <c r="F1165">
        <v>33.18</v>
      </c>
      <c r="G1165">
        <v>315900</v>
      </c>
      <c r="I1165" s="346">
        <v>43298</v>
      </c>
      <c r="J1165">
        <v>24.59</v>
      </c>
      <c r="K1165">
        <v>24.73</v>
      </c>
      <c r="L1165">
        <v>24.57</v>
      </c>
      <c r="M1165">
        <v>24.67</v>
      </c>
    </row>
    <row r="1166" spans="1:13">
      <c r="A1166" s="346">
        <v>43299</v>
      </c>
      <c r="B1166">
        <v>33.189999</v>
      </c>
      <c r="C1166">
        <v>33.200001</v>
      </c>
      <c r="D1166">
        <v>31.309999000000001</v>
      </c>
      <c r="E1166">
        <v>31.9</v>
      </c>
      <c r="F1166">
        <v>31.9</v>
      </c>
      <c r="G1166">
        <v>451700</v>
      </c>
      <c r="I1166" s="346">
        <v>43299</v>
      </c>
      <c r="J1166">
        <v>24.73</v>
      </c>
      <c r="K1166">
        <v>24.75</v>
      </c>
      <c r="L1166">
        <v>24.610001</v>
      </c>
      <c r="M1166">
        <v>24.610001</v>
      </c>
    </row>
    <row r="1167" spans="1:13">
      <c r="A1167" s="346">
        <v>43300</v>
      </c>
      <c r="B1167">
        <v>31.6</v>
      </c>
      <c r="C1167">
        <v>32.279998999999997</v>
      </c>
      <c r="D1167">
        <v>30.639999</v>
      </c>
      <c r="E1167">
        <v>30.889999</v>
      </c>
      <c r="F1167">
        <v>30.889999</v>
      </c>
      <c r="G1167">
        <v>202000</v>
      </c>
      <c r="I1167" s="346">
        <v>43300</v>
      </c>
      <c r="J1167">
        <v>24.6</v>
      </c>
      <c r="K1167">
        <v>24.76</v>
      </c>
      <c r="L1167">
        <v>24.58</v>
      </c>
      <c r="M1167">
        <v>24.74</v>
      </c>
    </row>
    <row r="1168" spans="1:13">
      <c r="A1168" s="346">
        <v>43301</v>
      </c>
      <c r="B1168">
        <v>31.25</v>
      </c>
      <c r="C1168">
        <v>31.41</v>
      </c>
      <c r="D1168">
        <v>29.040001</v>
      </c>
      <c r="E1168">
        <v>29.379999000000002</v>
      </c>
      <c r="F1168">
        <v>29.379999000000002</v>
      </c>
      <c r="G1168">
        <v>477000</v>
      </c>
      <c r="I1168" s="346">
        <v>43301</v>
      </c>
      <c r="J1168">
        <v>24.68</v>
      </c>
      <c r="K1168">
        <v>24.68</v>
      </c>
      <c r="L1168">
        <v>24.559999000000001</v>
      </c>
      <c r="M1168">
        <v>24.58</v>
      </c>
    </row>
    <row r="1169" spans="1:13">
      <c r="A1169" s="346">
        <v>43304</v>
      </c>
      <c r="B1169">
        <v>29.4</v>
      </c>
      <c r="C1169">
        <v>29.620000999999998</v>
      </c>
      <c r="D1169">
        <v>28.6</v>
      </c>
      <c r="E1169">
        <v>28.639999</v>
      </c>
      <c r="F1169">
        <v>28.639999</v>
      </c>
      <c r="G1169">
        <v>318600</v>
      </c>
      <c r="I1169" s="346">
        <v>43304</v>
      </c>
      <c r="J1169">
        <v>24.59</v>
      </c>
      <c r="K1169">
        <v>24.59</v>
      </c>
      <c r="L1169">
        <v>24.49</v>
      </c>
      <c r="M1169">
        <v>24.549999</v>
      </c>
    </row>
    <row r="1170" spans="1:13">
      <c r="A1170" s="346">
        <v>43305</v>
      </c>
      <c r="B1170">
        <v>28.65</v>
      </c>
      <c r="C1170">
        <v>28.950001</v>
      </c>
      <c r="D1170">
        <v>28.469999000000001</v>
      </c>
      <c r="E1170">
        <v>28.719999000000001</v>
      </c>
      <c r="F1170">
        <v>28.719999000000001</v>
      </c>
      <c r="G1170">
        <v>359300</v>
      </c>
      <c r="I1170" s="346">
        <v>43305</v>
      </c>
      <c r="J1170">
        <v>24.610001</v>
      </c>
      <c r="K1170">
        <v>24.700001</v>
      </c>
      <c r="L1170">
        <v>24.52</v>
      </c>
      <c r="M1170">
        <v>24.530000999999999</v>
      </c>
    </row>
    <row r="1171" spans="1:13">
      <c r="A1171" s="346">
        <v>43306</v>
      </c>
      <c r="B1171">
        <v>28.75</v>
      </c>
      <c r="C1171">
        <v>29.08</v>
      </c>
      <c r="D1171">
        <v>28.200001</v>
      </c>
      <c r="E1171">
        <v>28.25</v>
      </c>
      <c r="F1171">
        <v>28.25</v>
      </c>
      <c r="G1171">
        <v>207100</v>
      </c>
      <c r="I1171" s="346">
        <v>43306</v>
      </c>
      <c r="J1171">
        <v>24.52</v>
      </c>
      <c r="K1171">
        <v>24.59</v>
      </c>
      <c r="L1171">
        <v>24.459999</v>
      </c>
      <c r="M1171">
        <v>24.58</v>
      </c>
    </row>
    <row r="1172" spans="1:13">
      <c r="A1172" s="346">
        <v>43307</v>
      </c>
      <c r="B1172">
        <v>29.68</v>
      </c>
      <c r="C1172">
        <v>30</v>
      </c>
      <c r="D1172">
        <v>28.639999</v>
      </c>
      <c r="E1172">
        <v>29.51</v>
      </c>
      <c r="F1172">
        <v>29.51</v>
      </c>
      <c r="G1172">
        <v>571800</v>
      </c>
      <c r="I1172" s="346">
        <v>43307</v>
      </c>
      <c r="J1172">
        <v>24.530000999999999</v>
      </c>
      <c r="K1172">
        <v>24.67</v>
      </c>
      <c r="L1172">
        <v>24.48</v>
      </c>
      <c r="M1172">
        <v>24.639999</v>
      </c>
    </row>
    <row r="1173" spans="1:13">
      <c r="A1173" s="346">
        <v>43308</v>
      </c>
      <c r="B1173">
        <v>29.59</v>
      </c>
      <c r="C1173">
        <v>29.92</v>
      </c>
      <c r="D1173">
        <v>28.860001</v>
      </c>
      <c r="E1173">
        <v>29.27</v>
      </c>
      <c r="F1173">
        <v>29.27</v>
      </c>
      <c r="G1173">
        <v>489100</v>
      </c>
      <c r="I1173" s="346">
        <v>43308</v>
      </c>
      <c r="J1173">
        <v>24.610001</v>
      </c>
      <c r="K1173">
        <v>24.68</v>
      </c>
      <c r="L1173">
        <v>24.49</v>
      </c>
      <c r="M1173">
        <v>24.559999000000001</v>
      </c>
    </row>
    <row r="1174" spans="1:13">
      <c r="A1174" s="346">
        <v>43311</v>
      </c>
      <c r="B1174">
        <v>29.379999000000002</v>
      </c>
      <c r="C1174">
        <v>29.440000999999999</v>
      </c>
      <c r="D1174">
        <v>27.57</v>
      </c>
      <c r="E1174">
        <v>27.620000999999998</v>
      </c>
      <c r="F1174">
        <v>27.620000999999998</v>
      </c>
      <c r="G1174">
        <v>583300</v>
      </c>
      <c r="I1174" s="346">
        <v>43311</v>
      </c>
      <c r="J1174">
        <v>24.629999000000002</v>
      </c>
      <c r="K1174">
        <v>24.629999000000002</v>
      </c>
      <c r="L1174">
        <v>24.51</v>
      </c>
      <c r="M1174">
        <v>24.52</v>
      </c>
    </row>
    <row r="1175" spans="1:13">
      <c r="A1175" s="346">
        <v>43312</v>
      </c>
      <c r="B1175">
        <v>27.620000999999998</v>
      </c>
      <c r="C1175">
        <v>28.65</v>
      </c>
      <c r="D1175">
        <v>27.620000999999998</v>
      </c>
      <c r="E1175">
        <v>28.52</v>
      </c>
      <c r="F1175">
        <v>28.52</v>
      </c>
      <c r="G1175">
        <v>1016200</v>
      </c>
      <c r="I1175" s="346">
        <v>43312</v>
      </c>
      <c r="J1175">
        <v>24.549999</v>
      </c>
      <c r="K1175">
        <v>24.67</v>
      </c>
      <c r="L1175">
        <v>24.52</v>
      </c>
      <c r="M1175">
        <v>24.629999000000002</v>
      </c>
    </row>
    <row r="1176" spans="1:13">
      <c r="A1176" s="346">
        <v>43313</v>
      </c>
      <c r="B1176">
        <v>28.52</v>
      </c>
      <c r="C1176">
        <v>28.67</v>
      </c>
      <c r="D1176">
        <v>27.690000999999999</v>
      </c>
      <c r="E1176">
        <v>27.93</v>
      </c>
      <c r="F1176">
        <v>27.93</v>
      </c>
      <c r="G1176">
        <v>470100</v>
      </c>
      <c r="I1176" s="346">
        <v>43313</v>
      </c>
      <c r="J1176">
        <v>24.629999000000002</v>
      </c>
      <c r="K1176">
        <v>24.65</v>
      </c>
      <c r="L1176">
        <v>24.49</v>
      </c>
      <c r="M1176">
        <v>24.559999000000001</v>
      </c>
    </row>
    <row r="1177" spans="1:13">
      <c r="A1177" s="346">
        <v>43314</v>
      </c>
      <c r="B1177">
        <v>27.780000999999999</v>
      </c>
      <c r="C1177">
        <v>28.42</v>
      </c>
      <c r="D1177">
        <v>27.76</v>
      </c>
      <c r="E1177">
        <v>28.25</v>
      </c>
      <c r="F1177">
        <v>28.25</v>
      </c>
      <c r="G1177">
        <v>355500</v>
      </c>
      <c r="I1177" s="346">
        <v>43314</v>
      </c>
      <c r="J1177">
        <v>24.49</v>
      </c>
      <c r="K1177">
        <v>24.629999000000002</v>
      </c>
      <c r="L1177">
        <v>24.370000999999998</v>
      </c>
      <c r="M1177">
        <v>24.620000999999998</v>
      </c>
    </row>
    <row r="1178" spans="1:13">
      <c r="A1178" s="346">
        <v>43315</v>
      </c>
      <c r="B1178">
        <v>28.24</v>
      </c>
      <c r="C1178">
        <v>28.24</v>
      </c>
      <c r="D1178">
        <v>27.540001</v>
      </c>
      <c r="E1178">
        <v>27.73</v>
      </c>
      <c r="F1178">
        <v>27.73</v>
      </c>
      <c r="G1178">
        <v>358300</v>
      </c>
      <c r="I1178" s="346">
        <v>43315</v>
      </c>
      <c r="J1178">
        <v>24.57</v>
      </c>
      <c r="K1178">
        <v>24.629999000000002</v>
      </c>
      <c r="L1178">
        <v>24.530000999999999</v>
      </c>
      <c r="M1178">
        <v>24.610001</v>
      </c>
    </row>
    <row r="1179" spans="1:13">
      <c r="A1179" s="346">
        <v>43319</v>
      </c>
      <c r="B1179">
        <v>27.700001</v>
      </c>
      <c r="C1179">
        <v>28.1</v>
      </c>
      <c r="D1179">
        <v>26.889999</v>
      </c>
      <c r="E1179">
        <v>27.139999</v>
      </c>
      <c r="F1179">
        <v>27.139999</v>
      </c>
      <c r="G1179">
        <v>836800</v>
      </c>
      <c r="I1179" s="346">
        <v>43319</v>
      </c>
      <c r="J1179">
        <v>24.700001</v>
      </c>
      <c r="K1179">
        <v>24.73</v>
      </c>
      <c r="L1179">
        <v>24.4</v>
      </c>
      <c r="M1179">
        <v>24.42</v>
      </c>
    </row>
    <row r="1180" spans="1:13">
      <c r="A1180" s="346">
        <v>43320</v>
      </c>
      <c r="B1180">
        <v>27.129999000000002</v>
      </c>
      <c r="C1180">
        <v>27.68</v>
      </c>
      <c r="D1180">
        <v>27.030000999999999</v>
      </c>
      <c r="E1180">
        <v>27.5</v>
      </c>
      <c r="F1180">
        <v>27.5</v>
      </c>
      <c r="G1180">
        <v>406100</v>
      </c>
      <c r="I1180" s="346">
        <v>43320</v>
      </c>
      <c r="J1180">
        <v>24.4</v>
      </c>
      <c r="K1180">
        <v>24.49</v>
      </c>
      <c r="L1180">
        <v>24.33</v>
      </c>
      <c r="M1180">
        <v>24.469999000000001</v>
      </c>
    </row>
    <row r="1181" spans="1:13">
      <c r="A1181" s="346">
        <v>43321</v>
      </c>
      <c r="B1181">
        <v>27.33</v>
      </c>
      <c r="C1181">
        <v>27.780000999999999</v>
      </c>
      <c r="D1181">
        <v>27.33</v>
      </c>
      <c r="E1181">
        <v>27.5</v>
      </c>
      <c r="F1181">
        <v>27.5</v>
      </c>
      <c r="G1181">
        <v>230800</v>
      </c>
      <c r="I1181" s="346">
        <v>43321</v>
      </c>
      <c r="J1181">
        <v>24.49</v>
      </c>
      <c r="K1181">
        <v>24.67</v>
      </c>
      <c r="L1181">
        <v>24.48</v>
      </c>
      <c r="M1181">
        <v>24.639999</v>
      </c>
    </row>
    <row r="1182" spans="1:13">
      <c r="A1182" s="346">
        <v>43322</v>
      </c>
      <c r="B1182">
        <v>27.370000999999998</v>
      </c>
      <c r="C1182">
        <v>28.530000999999999</v>
      </c>
      <c r="D1182">
        <v>27.370000999999998</v>
      </c>
      <c r="E1182">
        <v>28.200001</v>
      </c>
      <c r="F1182">
        <v>28.200001</v>
      </c>
      <c r="G1182">
        <v>323400</v>
      </c>
      <c r="I1182" s="346">
        <v>43322</v>
      </c>
      <c r="J1182">
        <v>24.559999000000001</v>
      </c>
      <c r="K1182">
        <v>24.559999000000001</v>
      </c>
      <c r="L1182">
        <v>24.4</v>
      </c>
      <c r="M1182">
        <v>24.49</v>
      </c>
    </row>
    <row r="1183" spans="1:13">
      <c r="A1183" s="346">
        <v>43325</v>
      </c>
      <c r="B1183">
        <v>28.200001</v>
      </c>
      <c r="C1183">
        <v>29.1</v>
      </c>
      <c r="D1183">
        <v>28.200001</v>
      </c>
      <c r="E1183">
        <v>28.459999</v>
      </c>
      <c r="F1183">
        <v>28.459999</v>
      </c>
      <c r="G1183">
        <v>249400</v>
      </c>
      <c r="I1183" s="346">
        <v>43325</v>
      </c>
      <c r="J1183">
        <v>24.469999000000001</v>
      </c>
      <c r="K1183">
        <v>24.58</v>
      </c>
      <c r="L1183">
        <v>24.379999000000002</v>
      </c>
      <c r="M1183">
        <v>24.42</v>
      </c>
    </row>
    <row r="1184" spans="1:13">
      <c r="A1184" s="346">
        <v>43326</v>
      </c>
      <c r="B1184">
        <v>28.549999</v>
      </c>
      <c r="C1184">
        <v>29.27</v>
      </c>
      <c r="D1184">
        <v>28.549999</v>
      </c>
      <c r="E1184">
        <v>28.98</v>
      </c>
      <c r="F1184">
        <v>28.98</v>
      </c>
      <c r="G1184">
        <v>559200</v>
      </c>
      <c r="I1184" s="346">
        <v>43326</v>
      </c>
      <c r="J1184">
        <v>24.48</v>
      </c>
      <c r="K1184">
        <v>24.59</v>
      </c>
      <c r="L1184">
        <v>24.43</v>
      </c>
      <c r="M1184">
        <v>24.59</v>
      </c>
    </row>
    <row r="1185" spans="1:13">
      <c r="A1185" s="346">
        <v>43327</v>
      </c>
      <c r="B1185">
        <v>28.98</v>
      </c>
      <c r="C1185">
        <v>29.860001</v>
      </c>
      <c r="D1185">
        <v>28.93</v>
      </c>
      <c r="E1185">
        <v>29.5</v>
      </c>
      <c r="F1185">
        <v>29.5</v>
      </c>
      <c r="G1185">
        <v>359700</v>
      </c>
      <c r="I1185" s="346">
        <v>43327</v>
      </c>
      <c r="J1185">
        <v>24.440000999999999</v>
      </c>
      <c r="K1185">
        <v>24.440000999999999</v>
      </c>
      <c r="L1185">
        <v>24.17</v>
      </c>
      <c r="M1185">
        <v>24.26</v>
      </c>
    </row>
    <row r="1186" spans="1:13">
      <c r="A1186" s="346">
        <v>43328</v>
      </c>
      <c r="B1186">
        <v>29.67</v>
      </c>
      <c r="C1186">
        <v>30.969999000000001</v>
      </c>
      <c r="D1186">
        <v>29.65</v>
      </c>
      <c r="E1186">
        <v>30.9</v>
      </c>
      <c r="F1186">
        <v>30.9</v>
      </c>
      <c r="G1186">
        <v>501800</v>
      </c>
      <c r="I1186" s="346">
        <v>43328</v>
      </c>
      <c r="J1186">
        <v>24.370000999999998</v>
      </c>
      <c r="K1186">
        <v>24.5</v>
      </c>
      <c r="L1186">
        <v>24.370000999999998</v>
      </c>
      <c r="M1186">
        <v>24.41</v>
      </c>
    </row>
    <row r="1187" spans="1:13">
      <c r="A1187" s="346">
        <v>43329</v>
      </c>
      <c r="B1187">
        <v>30.77</v>
      </c>
      <c r="C1187">
        <v>31.389999</v>
      </c>
      <c r="D1187">
        <v>30.290001</v>
      </c>
      <c r="E1187">
        <v>31.35</v>
      </c>
      <c r="F1187">
        <v>31.35</v>
      </c>
      <c r="G1187">
        <v>426400</v>
      </c>
      <c r="I1187" s="346">
        <v>43329</v>
      </c>
      <c r="J1187">
        <v>24.41</v>
      </c>
      <c r="K1187">
        <v>24.59</v>
      </c>
      <c r="L1187">
        <v>24.360001</v>
      </c>
      <c r="M1187">
        <v>24.57</v>
      </c>
    </row>
    <row r="1188" spans="1:13">
      <c r="A1188" s="346">
        <v>43332</v>
      </c>
      <c r="B1188">
        <v>31.34</v>
      </c>
      <c r="C1188">
        <v>32.32</v>
      </c>
      <c r="D1188">
        <v>31.34</v>
      </c>
      <c r="E1188">
        <v>31.67</v>
      </c>
      <c r="F1188">
        <v>31.67</v>
      </c>
      <c r="G1188">
        <v>285100</v>
      </c>
      <c r="I1188" s="346">
        <v>43332</v>
      </c>
      <c r="J1188">
        <v>24.6</v>
      </c>
      <c r="K1188">
        <v>24.629999000000002</v>
      </c>
      <c r="L1188">
        <v>24.530000999999999</v>
      </c>
      <c r="M1188">
        <v>24.549999</v>
      </c>
    </row>
    <row r="1189" spans="1:13">
      <c r="A1189" s="346">
        <v>43333</v>
      </c>
      <c r="B1189">
        <v>31.67</v>
      </c>
      <c r="C1189">
        <v>31.959999</v>
      </c>
      <c r="D1189">
        <v>31.299999</v>
      </c>
      <c r="E1189">
        <v>31.360001</v>
      </c>
      <c r="F1189">
        <v>31.360001</v>
      </c>
      <c r="G1189">
        <v>284800</v>
      </c>
      <c r="I1189" s="346">
        <v>43333</v>
      </c>
      <c r="J1189">
        <v>24.59</v>
      </c>
      <c r="K1189">
        <v>24.639999</v>
      </c>
      <c r="L1189">
        <v>24.450001</v>
      </c>
      <c r="M1189">
        <v>24.450001</v>
      </c>
    </row>
    <row r="1190" spans="1:13">
      <c r="A1190" s="346">
        <v>43334</v>
      </c>
      <c r="B1190">
        <v>31.26</v>
      </c>
      <c r="C1190">
        <v>31.360001</v>
      </c>
      <c r="D1190">
        <v>30.76</v>
      </c>
      <c r="E1190">
        <v>30.950001</v>
      </c>
      <c r="F1190">
        <v>30.950001</v>
      </c>
      <c r="G1190">
        <v>186400</v>
      </c>
      <c r="I1190" s="346">
        <v>43334</v>
      </c>
      <c r="J1190">
        <v>24.469999000000001</v>
      </c>
      <c r="K1190">
        <v>24.610001</v>
      </c>
      <c r="L1190">
        <v>24.469999000000001</v>
      </c>
      <c r="M1190">
        <v>24.52</v>
      </c>
    </row>
    <row r="1191" spans="1:13">
      <c r="A1191" s="346">
        <v>43335</v>
      </c>
      <c r="B1191">
        <v>30.93</v>
      </c>
      <c r="C1191">
        <v>31</v>
      </c>
      <c r="D1191">
        <v>30.139999</v>
      </c>
      <c r="E1191">
        <v>30.51</v>
      </c>
      <c r="F1191">
        <v>30.51</v>
      </c>
      <c r="G1191">
        <v>266400</v>
      </c>
      <c r="I1191" s="346">
        <v>43335</v>
      </c>
      <c r="J1191">
        <v>24.530000999999999</v>
      </c>
      <c r="K1191">
        <v>24.549999</v>
      </c>
      <c r="L1191">
        <v>24.469999000000001</v>
      </c>
      <c r="M1191">
        <v>24.51</v>
      </c>
    </row>
    <row r="1192" spans="1:13">
      <c r="A1192" s="346">
        <v>43336</v>
      </c>
      <c r="B1192">
        <v>30.549999</v>
      </c>
      <c r="C1192">
        <v>30.790001</v>
      </c>
      <c r="D1192">
        <v>30.33</v>
      </c>
      <c r="E1192">
        <v>30.360001</v>
      </c>
      <c r="F1192">
        <v>30.360001</v>
      </c>
      <c r="G1192">
        <v>182300</v>
      </c>
      <c r="I1192" s="346">
        <v>43336</v>
      </c>
      <c r="J1192">
        <v>24.549999</v>
      </c>
      <c r="K1192">
        <v>24.59</v>
      </c>
      <c r="L1192">
        <v>24.49</v>
      </c>
      <c r="M1192">
        <v>24.51</v>
      </c>
    </row>
    <row r="1193" spans="1:13">
      <c r="A1193" s="346">
        <v>43339</v>
      </c>
      <c r="B1193">
        <v>30.459999</v>
      </c>
      <c r="C1193">
        <v>31.200001</v>
      </c>
      <c r="D1193">
        <v>30.41</v>
      </c>
      <c r="E1193">
        <v>30.73</v>
      </c>
      <c r="F1193">
        <v>30.73</v>
      </c>
      <c r="G1193">
        <v>223700</v>
      </c>
      <c r="I1193" s="346">
        <v>43339</v>
      </c>
      <c r="J1193">
        <v>24.440000999999999</v>
      </c>
      <c r="K1193">
        <v>24.5</v>
      </c>
      <c r="L1193">
        <v>24.42</v>
      </c>
      <c r="M1193">
        <v>24.459999</v>
      </c>
    </row>
    <row r="1194" spans="1:13">
      <c r="A1194" s="346">
        <v>43340</v>
      </c>
      <c r="B1194">
        <v>30.75</v>
      </c>
      <c r="C1194">
        <v>31.08</v>
      </c>
      <c r="D1194">
        <v>30.49</v>
      </c>
      <c r="E1194">
        <v>30.92</v>
      </c>
      <c r="F1194">
        <v>30.92</v>
      </c>
      <c r="G1194">
        <v>128200</v>
      </c>
      <c r="I1194" s="346">
        <v>43340</v>
      </c>
      <c r="J1194">
        <v>24.51</v>
      </c>
      <c r="K1194">
        <v>24.52</v>
      </c>
      <c r="L1194">
        <v>24.299999</v>
      </c>
      <c r="M1194">
        <v>24.33</v>
      </c>
    </row>
    <row r="1195" spans="1:13">
      <c r="A1195" s="346">
        <v>43341</v>
      </c>
      <c r="B1195">
        <v>30.92</v>
      </c>
      <c r="C1195">
        <v>31.01</v>
      </c>
      <c r="D1195">
        <v>30.5</v>
      </c>
      <c r="E1195">
        <v>30.51</v>
      </c>
      <c r="F1195">
        <v>30.51</v>
      </c>
      <c r="G1195">
        <v>132800</v>
      </c>
      <c r="I1195" s="346">
        <v>43341</v>
      </c>
      <c r="J1195">
        <v>24.34</v>
      </c>
      <c r="K1195">
        <v>24.459999</v>
      </c>
      <c r="L1195">
        <v>24.309999000000001</v>
      </c>
      <c r="M1195">
        <v>24.389999</v>
      </c>
    </row>
    <row r="1196" spans="1:13">
      <c r="A1196" s="346">
        <v>43342</v>
      </c>
      <c r="B1196">
        <v>30.469999000000001</v>
      </c>
      <c r="C1196">
        <v>30.799999</v>
      </c>
      <c r="D1196">
        <v>30.16</v>
      </c>
      <c r="E1196">
        <v>30.299999</v>
      </c>
      <c r="F1196">
        <v>30.299999</v>
      </c>
      <c r="G1196">
        <v>126200</v>
      </c>
      <c r="I1196" s="346">
        <v>43342</v>
      </c>
      <c r="J1196">
        <v>24.379999000000002</v>
      </c>
      <c r="K1196">
        <v>24.48</v>
      </c>
      <c r="L1196">
        <v>24.35</v>
      </c>
      <c r="M1196">
        <v>24.4</v>
      </c>
    </row>
    <row r="1197" spans="1:13">
      <c r="A1197" s="346">
        <v>43343</v>
      </c>
      <c r="B1197">
        <v>30.15</v>
      </c>
      <c r="C1197">
        <v>30.469999000000001</v>
      </c>
      <c r="D1197">
        <v>30.01</v>
      </c>
      <c r="E1197">
        <v>30.09</v>
      </c>
      <c r="F1197">
        <v>30.09</v>
      </c>
      <c r="G1197">
        <v>139000</v>
      </c>
      <c r="I1197" s="346">
        <v>43343</v>
      </c>
      <c r="J1197">
        <v>24.35</v>
      </c>
      <c r="K1197">
        <v>24.43</v>
      </c>
      <c r="L1197">
        <v>24.200001</v>
      </c>
      <c r="M1197">
        <v>24.25</v>
      </c>
    </row>
    <row r="1198" spans="1:13">
      <c r="A1198" s="346">
        <v>43347</v>
      </c>
      <c r="B1198">
        <v>29.940000999999999</v>
      </c>
      <c r="C1198">
        <v>30.17</v>
      </c>
      <c r="D1198">
        <v>29.23</v>
      </c>
      <c r="E1198">
        <v>30.059999000000001</v>
      </c>
      <c r="F1198">
        <v>30.059999000000001</v>
      </c>
      <c r="G1198">
        <v>222300</v>
      </c>
      <c r="I1198" s="346">
        <v>43347</v>
      </c>
      <c r="J1198">
        <v>24.200001</v>
      </c>
      <c r="K1198">
        <v>24.219999000000001</v>
      </c>
      <c r="L1198">
        <v>24.07</v>
      </c>
      <c r="M1198">
        <v>24.07</v>
      </c>
    </row>
    <row r="1199" spans="1:13">
      <c r="A1199" s="346">
        <v>43348</v>
      </c>
      <c r="B1199">
        <v>29.98</v>
      </c>
      <c r="C1199">
        <v>30.33</v>
      </c>
      <c r="D1199">
        <v>29.280000999999999</v>
      </c>
      <c r="E1199">
        <v>30.280000999999999</v>
      </c>
      <c r="F1199">
        <v>30.280000999999999</v>
      </c>
      <c r="G1199">
        <v>190300</v>
      </c>
      <c r="I1199" s="346">
        <v>43348</v>
      </c>
      <c r="J1199">
        <v>24.049999</v>
      </c>
      <c r="K1199">
        <v>24.120000999999998</v>
      </c>
      <c r="L1199">
        <v>23.92</v>
      </c>
      <c r="M1199">
        <v>24.1</v>
      </c>
    </row>
    <row r="1200" spans="1:13">
      <c r="A1200" s="346">
        <v>43349</v>
      </c>
      <c r="B1200">
        <v>30.23</v>
      </c>
      <c r="C1200">
        <v>30.360001</v>
      </c>
      <c r="D1200">
        <v>29.639999</v>
      </c>
      <c r="E1200">
        <v>29.719999000000001</v>
      </c>
      <c r="F1200">
        <v>29.719999000000001</v>
      </c>
      <c r="G1200">
        <v>205100</v>
      </c>
      <c r="I1200" s="346">
        <v>43349</v>
      </c>
      <c r="J1200">
        <v>24.07</v>
      </c>
      <c r="K1200">
        <v>24.200001</v>
      </c>
      <c r="L1200">
        <v>24.02</v>
      </c>
      <c r="M1200">
        <v>24.040001</v>
      </c>
    </row>
    <row r="1201" spans="1:13">
      <c r="A1201" s="346">
        <v>43350</v>
      </c>
      <c r="B1201">
        <v>29.59</v>
      </c>
      <c r="C1201">
        <v>30.139999</v>
      </c>
      <c r="D1201">
        <v>29.59</v>
      </c>
      <c r="E1201">
        <v>29.959999</v>
      </c>
      <c r="F1201">
        <v>29.959999</v>
      </c>
      <c r="G1201">
        <v>139300</v>
      </c>
      <c r="I1201" s="346">
        <v>43350</v>
      </c>
      <c r="J1201">
        <v>23.950001</v>
      </c>
      <c r="K1201">
        <v>24</v>
      </c>
      <c r="L1201">
        <v>23.84</v>
      </c>
      <c r="M1201">
        <v>24</v>
      </c>
    </row>
    <row r="1202" spans="1:13">
      <c r="A1202" s="346">
        <v>43353</v>
      </c>
      <c r="B1202">
        <v>30.030000999999999</v>
      </c>
      <c r="C1202">
        <v>30.200001</v>
      </c>
      <c r="D1202">
        <v>29.629999000000002</v>
      </c>
      <c r="E1202">
        <v>29.969999000000001</v>
      </c>
      <c r="F1202">
        <v>29.969999000000001</v>
      </c>
      <c r="G1202">
        <v>187900</v>
      </c>
      <c r="I1202" s="346">
        <v>43353</v>
      </c>
      <c r="J1202">
        <v>24.02</v>
      </c>
      <c r="K1202">
        <v>24.09</v>
      </c>
      <c r="L1202">
        <v>23.92</v>
      </c>
      <c r="M1202">
        <v>23.92</v>
      </c>
    </row>
    <row r="1203" spans="1:13">
      <c r="A1203" s="346">
        <v>43354</v>
      </c>
      <c r="B1203">
        <v>29.9</v>
      </c>
      <c r="C1203">
        <v>30.790001</v>
      </c>
      <c r="D1203">
        <v>29.5</v>
      </c>
      <c r="E1203">
        <v>30.75</v>
      </c>
      <c r="F1203">
        <v>30.75</v>
      </c>
      <c r="G1203">
        <v>127500</v>
      </c>
      <c r="I1203" s="346">
        <v>43354</v>
      </c>
      <c r="J1203">
        <v>23.870000999999998</v>
      </c>
      <c r="K1203">
        <v>23.98</v>
      </c>
      <c r="L1203">
        <v>23.799999</v>
      </c>
      <c r="M1203">
        <v>23.950001</v>
      </c>
    </row>
    <row r="1204" spans="1:13">
      <c r="A1204" s="346">
        <v>43355</v>
      </c>
      <c r="B1204">
        <v>30.719999000000001</v>
      </c>
      <c r="C1204">
        <v>30.959999</v>
      </c>
      <c r="D1204">
        <v>30.6</v>
      </c>
      <c r="E1204">
        <v>30.75</v>
      </c>
      <c r="F1204">
        <v>30.75</v>
      </c>
      <c r="G1204">
        <v>181700</v>
      </c>
      <c r="I1204" s="346">
        <v>43355</v>
      </c>
      <c r="J1204">
        <v>23.98</v>
      </c>
      <c r="K1204">
        <v>23.98</v>
      </c>
      <c r="L1204">
        <v>23.77</v>
      </c>
      <c r="M1204">
        <v>23.84</v>
      </c>
    </row>
    <row r="1205" spans="1:13">
      <c r="A1205" s="346">
        <v>43356</v>
      </c>
      <c r="B1205">
        <v>30.780000999999999</v>
      </c>
      <c r="C1205">
        <v>30.85</v>
      </c>
      <c r="D1205">
        <v>30.440000999999999</v>
      </c>
      <c r="E1205">
        <v>30.49</v>
      </c>
      <c r="F1205">
        <v>30.49</v>
      </c>
      <c r="G1205">
        <v>127400</v>
      </c>
      <c r="I1205" s="346">
        <v>43356</v>
      </c>
      <c r="J1205">
        <v>23.870000999999998</v>
      </c>
      <c r="K1205">
        <v>23.870000999999998</v>
      </c>
      <c r="L1205">
        <v>23.780000999999999</v>
      </c>
      <c r="M1205">
        <v>23.809999000000001</v>
      </c>
    </row>
    <row r="1206" spans="1:13">
      <c r="A1206" s="346">
        <v>43357</v>
      </c>
      <c r="B1206">
        <v>30.469999000000001</v>
      </c>
      <c r="C1206">
        <v>30.5</v>
      </c>
      <c r="D1206">
        <v>29.48</v>
      </c>
      <c r="E1206">
        <v>29.709999</v>
      </c>
      <c r="F1206">
        <v>29.709999</v>
      </c>
      <c r="G1206">
        <v>247000</v>
      </c>
      <c r="I1206" s="346">
        <v>43357</v>
      </c>
      <c r="J1206">
        <v>23.83</v>
      </c>
      <c r="K1206">
        <v>23.85</v>
      </c>
      <c r="L1206">
        <v>23.790001</v>
      </c>
      <c r="M1206">
        <v>23.83</v>
      </c>
    </row>
    <row r="1207" spans="1:13">
      <c r="A1207" s="346">
        <v>43360</v>
      </c>
      <c r="B1207">
        <v>29.620000999999998</v>
      </c>
      <c r="C1207">
        <v>30.219999000000001</v>
      </c>
      <c r="D1207">
        <v>29.49</v>
      </c>
      <c r="E1207">
        <v>29.74</v>
      </c>
      <c r="F1207">
        <v>29.74</v>
      </c>
      <c r="G1207">
        <v>242100</v>
      </c>
      <c r="I1207" s="346">
        <v>43360</v>
      </c>
      <c r="J1207">
        <v>23.809999000000001</v>
      </c>
      <c r="K1207">
        <v>24</v>
      </c>
      <c r="L1207">
        <v>23.809999000000001</v>
      </c>
      <c r="M1207">
        <v>23.940000999999999</v>
      </c>
    </row>
    <row r="1208" spans="1:13">
      <c r="A1208" s="346">
        <v>43361</v>
      </c>
      <c r="B1208">
        <v>29.75</v>
      </c>
      <c r="C1208">
        <v>29.75</v>
      </c>
      <c r="D1208">
        <v>27.780000999999999</v>
      </c>
      <c r="E1208">
        <v>28.290001</v>
      </c>
      <c r="F1208">
        <v>28.290001</v>
      </c>
      <c r="G1208">
        <v>496700</v>
      </c>
      <c r="I1208" s="346">
        <v>43361</v>
      </c>
      <c r="J1208">
        <v>23.959999</v>
      </c>
      <c r="K1208">
        <v>24.120000999999998</v>
      </c>
      <c r="L1208">
        <v>23.940000999999999</v>
      </c>
      <c r="M1208">
        <v>24.110001</v>
      </c>
    </row>
    <row r="1209" spans="1:13">
      <c r="A1209" s="346">
        <v>43362</v>
      </c>
      <c r="B1209">
        <v>27.75</v>
      </c>
      <c r="C1209">
        <v>27.75</v>
      </c>
      <c r="D1209">
        <v>25.959999</v>
      </c>
      <c r="E1209">
        <v>26.58</v>
      </c>
      <c r="F1209">
        <v>26.58</v>
      </c>
      <c r="G1209">
        <v>748500</v>
      </c>
      <c r="I1209" s="346">
        <v>43362</v>
      </c>
      <c r="J1209">
        <v>24.09</v>
      </c>
      <c r="K1209">
        <v>24.129999000000002</v>
      </c>
      <c r="L1209">
        <v>24.040001</v>
      </c>
      <c r="M1209">
        <v>24.040001</v>
      </c>
    </row>
    <row r="1210" spans="1:13">
      <c r="A1210" s="346">
        <v>43363</v>
      </c>
      <c r="B1210">
        <v>26.58</v>
      </c>
      <c r="C1210">
        <v>26.780000999999999</v>
      </c>
      <c r="D1210">
        <v>25.690000999999999</v>
      </c>
      <c r="E1210">
        <v>25.91</v>
      </c>
      <c r="F1210">
        <v>25.91</v>
      </c>
      <c r="G1210">
        <v>550400</v>
      </c>
      <c r="I1210" s="346">
        <v>43363</v>
      </c>
      <c r="J1210">
        <v>24.110001</v>
      </c>
      <c r="K1210">
        <v>24.17</v>
      </c>
      <c r="L1210">
        <v>24.040001</v>
      </c>
      <c r="M1210">
        <v>24.15</v>
      </c>
    </row>
    <row r="1211" spans="1:13">
      <c r="A1211" s="346">
        <v>43364</v>
      </c>
      <c r="B1211">
        <v>25.870000999999998</v>
      </c>
      <c r="C1211">
        <v>26.35</v>
      </c>
      <c r="D1211">
        <v>25.799999</v>
      </c>
      <c r="E1211">
        <v>26.280000999999999</v>
      </c>
      <c r="F1211">
        <v>26.280000999999999</v>
      </c>
      <c r="G1211">
        <v>670800</v>
      </c>
      <c r="I1211" s="346">
        <v>43364</v>
      </c>
      <c r="J1211">
        <v>24.190000999999999</v>
      </c>
      <c r="K1211">
        <v>24.25</v>
      </c>
      <c r="L1211">
        <v>24.15</v>
      </c>
      <c r="M1211">
        <v>24.15</v>
      </c>
    </row>
    <row r="1212" spans="1:13">
      <c r="A1212" s="346">
        <v>43367</v>
      </c>
      <c r="B1212">
        <v>26.059999000000001</v>
      </c>
      <c r="C1212">
        <v>26.809999000000001</v>
      </c>
      <c r="D1212">
        <v>26.059999000000001</v>
      </c>
      <c r="E1212">
        <v>26.09</v>
      </c>
      <c r="F1212">
        <v>26.09</v>
      </c>
      <c r="G1212">
        <v>455100</v>
      </c>
      <c r="I1212" s="346">
        <v>43367</v>
      </c>
      <c r="J1212">
        <v>24.219999000000001</v>
      </c>
      <c r="K1212">
        <v>24.25</v>
      </c>
      <c r="L1212">
        <v>24.1</v>
      </c>
      <c r="M1212">
        <v>24.1</v>
      </c>
    </row>
    <row r="1213" spans="1:13">
      <c r="A1213" s="346">
        <v>43368</v>
      </c>
      <c r="B1213">
        <v>26.110001</v>
      </c>
      <c r="C1213">
        <v>26.34</v>
      </c>
      <c r="D1213">
        <v>25.4</v>
      </c>
      <c r="E1213">
        <v>25.42</v>
      </c>
      <c r="F1213">
        <v>25.42</v>
      </c>
      <c r="G1213">
        <v>617300</v>
      </c>
      <c r="I1213" s="346">
        <v>43368</v>
      </c>
      <c r="J1213">
        <v>24.200001</v>
      </c>
      <c r="K1213">
        <v>24.25</v>
      </c>
      <c r="L1213">
        <v>24.030000999999999</v>
      </c>
      <c r="M1213">
        <v>24.040001</v>
      </c>
    </row>
    <row r="1214" spans="1:13">
      <c r="A1214" s="346">
        <v>43369</v>
      </c>
      <c r="B1214">
        <v>25.35</v>
      </c>
      <c r="C1214">
        <v>25.75</v>
      </c>
      <c r="D1214">
        <v>24.870000999999998</v>
      </c>
      <c r="E1214">
        <v>25.73</v>
      </c>
      <c r="F1214">
        <v>25.73</v>
      </c>
      <c r="G1214">
        <v>1052500</v>
      </c>
      <c r="I1214" s="346">
        <v>43369</v>
      </c>
      <c r="J1214">
        <v>24.01</v>
      </c>
      <c r="K1214">
        <v>24.200001</v>
      </c>
      <c r="L1214">
        <v>24.01</v>
      </c>
      <c r="M1214">
        <v>24.08</v>
      </c>
    </row>
    <row r="1215" spans="1:13">
      <c r="A1215" s="346">
        <v>43370</v>
      </c>
      <c r="B1215">
        <v>25.700001</v>
      </c>
      <c r="C1215">
        <v>25.74</v>
      </c>
      <c r="D1215">
        <v>25.030000999999999</v>
      </c>
      <c r="E1215">
        <v>25.18</v>
      </c>
      <c r="F1215">
        <v>25.18</v>
      </c>
      <c r="G1215">
        <v>536400</v>
      </c>
      <c r="I1215" s="346">
        <v>43370</v>
      </c>
      <c r="J1215">
        <v>24.129999000000002</v>
      </c>
      <c r="K1215">
        <v>24.290001</v>
      </c>
      <c r="L1215">
        <v>24.129999000000002</v>
      </c>
      <c r="M1215">
        <v>24.219999000000001</v>
      </c>
    </row>
    <row r="1216" spans="1:13">
      <c r="A1216" s="346">
        <v>43371</v>
      </c>
      <c r="B1216">
        <v>25.07</v>
      </c>
      <c r="C1216">
        <v>25.280000999999999</v>
      </c>
      <c r="D1216">
        <v>23.98</v>
      </c>
      <c r="E1216">
        <v>24.08</v>
      </c>
      <c r="F1216">
        <v>24.08</v>
      </c>
      <c r="G1216">
        <v>560200</v>
      </c>
      <c r="I1216" s="346">
        <v>43371</v>
      </c>
      <c r="J1216">
        <v>24.16</v>
      </c>
      <c r="K1216">
        <v>24.18</v>
      </c>
      <c r="L1216">
        <v>23.92</v>
      </c>
      <c r="M1216">
        <v>23.940000999999999</v>
      </c>
    </row>
    <row r="1217" spans="1:13">
      <c r="A1217" s="346">
        <v>43374</v>
      </c>
      <c r="B1217">
        <v>24.27</v>
      </c>
      <c r="C1217">
        <v>24.6</v>
      </c>
      <c r="D1217">
        <v>23.77</v>
      </c>
      <c r="E1217">
        <v>23.959999</v>
      </c>
      <c r="F1217">
        <v>23.959999</v>
      </c>
      <c r="G1217">
        <v>392600</v>
      </c>
      <c r="I1217" s="346">
        <v>43374</v>
      </c>
      <c r="J1217">
        <v>24.09</v>
      </c>
      <c r="K1217">
        <v>24.129999000000002</v>
      </c>
      <c r="L1217">
        <v>23.940000999999999</v>
      </c>
      <c r="M1217">
        <v>24.02</v>
      </c>
    </row>
    <row r="1218" spans="1:13">
      <c r="A1218" s="346">
        <v>43375</v>
      </c>
      <c r="B1218">
        <v>23.879999000000002</v>
      </c>
      <c r="C1218">
        <v>23.9</v>
      </c>
      <c r="D1218">
        <v>23.25</v>
      </c>
      <c r="E1218">
        <v>23.59</v>
      </c>
      <c r="F1218">
        <v>23.59</v>
      </c>
      <c r="G1218">
        <v>610600</v>
      </c>
      <c r="I1218" s="346">
        <v>43375</v>
      </c>
      <c r="J1218">
        <v>23.99</v>
      </c>
      <c r="K1218">
        <v>24.02</v>
      </c>
      <c r="L1218">
        <v>23.82</v>
      </c>
      <c r="M1218">
        <v>23.889999</v>
      </c>
    </row>
    <row r="1219" spans="1:13">
      <c r="A1219" s="346">
        <v>43376</v>
      </c>
      <c r="B1219">
        <v>23.549999</v>
      </c>
      <c r="C1219">
        <v>23.85</v>
      </c>
      <c r="D1219">
        <v>23.09</v>
      </c>
      <c r="E1219">
        <v>23.51</v>
      </c>
      <c r="F1219">
        <v>23.51</v>
      </c>
      <c r="G1219">
        <v>305600</v>
      </c>
      <c r="I1219" s="346">
        <v>43376</v>
      </c>
      <c r="J1219">
        <v>23.93</v>
      </c>
      <c r="K1219">
        <v>23.99</v>
      </c>
      <c r="L1219">
        <v>23.860001</v>
      </c>
      <c r="M1219">
        <v>23.959999</v>
      </c>
    </row>
    <row r="1220" spans="1:13">
      <c r="A1220" s="346">
        <v>43377</v>
      </c>
      <c r="B1220">
        <v>23.48</v>
      </c>
      <c r="C1220">
        <v>23.48</v>
      </c>
      <c r="D1220">
        <v>22.459999</v>
      </c>
      <c r="E1220">
        <v>22.879999000000002</v>
      </c>
      <c r="F1220">
        <v>22.879999000000002</v>
      </c>
      <c r="G1220">
        <v>674600</v>
      </c>
      <c r="I1220" s="346">
        <v>43377</v>
      </c>
      <c r="J1220">
        <v>23.950001</v>
      </c>
      <c r="K1220">
        <v>23.950001</v>
      </c>
      <c r="L1220">
        <v>23.780000999999999</v>
      </c>
      <c r="M1220">
        <v>23.92</v>
      </c>
    </row>
    <row r="1221" spans="1:13">
      <c r="A1221" s="346">
        <v>43378</v>
      </c>
      <c r="B1221">
        <v>22.879999000000002</v>
      </c>
      <c r="C1221">
        <v>23.299999</v>
      </c>
      <c r="D1221">
        <v>22.77</v>
      </c>
      <c r="E1221">
        <v>23.01</v>
      </c>
      <c r="F1221">
        <v>23.01</v>
      </c>
      <c r="G1221">
        <v>638700</v>
      </c>
      <c r="I1221" s="346">
        <v>43378</v>
      </c>
      <c r="J1221">
        <v>23.85</v>
      </c>
      <c r="K1221">
        <v>23.959999</v>
      </c>
      <c r="L1221">
        <v>23.780000999999999</v>
      </c>
      <c r="M1221">
        <v>23.82</v>
      </c>
    </row>
    <row r="1222" spans="1:13">
      <c r="A1222" s="346">
        <v>43382</v>
      </c>
      <c r="B1222">
        <v>22.860001</v>
      </c>
      <c r="C1222">
        <v>23.01</v>
      </c>
      <c r="D1222">
        <v>21.389999</v>
      </c>
      <c r="E1222">
        <v>21.719999000000001</v>
      </c>
      <c r="F1222">
        <v>21.719999000000001</v>
      </c>
      <c r="G1222">
        <v>648900</v>
      </c>
      <c r="I1222" s="346">
        <v>43382</v>
      </c>
      <c r="J1222">
        <v>23.77</v>
      </c>
      <c r="K1222">
        <v>23.799999</v>
      </c>
      <c r="L1222">
        <v>23.690000999999999</v>
      </c>
      <c r="M1222">
        <v>23.700001</v>
      </c>
    </row>
    <row r="1223" spans="1:13">
      <c r="A1223" s="346">
        <v>43383</v>
      </c>
      <c r="B1223">
        <v>21.58</v>
      </c>
      <c r="C1223">
        <v>21.66</v>
      </c>
      <c r="D1223">
        <v>20.98</v>
      </c>
      <c r="E1223">
        <v>21.25</v>
      </c>
      <c r="F1223">
        <v>21.25</v>
      </c>
      <c r="G1223">
        <v>850700</v>
      </c>
      <c r="I1223" s="346">
        <v>43383</v>
      </c>
      <c r="J1223">
        <v>23.65</v>
      </c>
      <c r="K1223">
        <v>23.65</v>
      </c>
      <c r="L1223">
        <v>23.16</v>
      </c>
      <c r="M1223">
        <v>23.18</v>
      </c>
    </row>
    <row r="1224" spans="1:13">
      <c r="A1224" s="346">
        <v>43384</v>
      </c>
      <c r="B1224">
        <v>20.98</v>
      </c>
      <c r="C1224">
        <v>21.549999</v>
      </c>
      <c r="D1224">
        <v>20.889999</v>
      </c>
      <c r="E1224">
        <v>21.26</v>
      </c>
      <c r="F1224">
        <v>21.26</v>
      </c>
      <c r="G1224">
        <v>744100</v>
      </c>
      <c r="I1224" s="346">
        <v>43384</v>
      </c>
      <c r="J1224">
        <v>23</v>
      </c>
      <c r="K1224">
        <v>23.1</v>
      </c>
      <c r="L1224">
        <v>22.84</v>
      </c>
      <c r="M1224">
        <v>22.84</v>
      </c>
    </row>
    <row r="1225" spans="1:13">
      <c r="A1225" s="346">
        <v>43385</v>
      </c>
      <c r="B1225">
        <v>21.51</v>
      </c>
      <c r="C1225">
        <v>21.690000999999999</v>
      </c>
      <c r="D1225">
        <v>20.940000999999999</v>
      </c>
      <c r="E1225">
        <v>21.26</v>
      </c>
      <c r="F1225">
        <v>21.26</v>
      </c>
      <c r="G1225">
        <v>422500</v>
      </c>
      <c r="I1225" s="346">
        <v>43385</v>
      </c>
      <c r="J1225">
        <v>23.1</v>
      </c>
      <c r="K1225">
        <v>23.1</v>
      </c>
      <c r="L1225">
        <v>22.790001</v>
      </c>
      <c r="M1225">
        <v>22.93</v>
      </c>
    </row>
    <row r="1226" spans="1:13">
      <c r="A1226" s="346">
        <v>43388</v>
      </c>
      <c r="B1226">
        <v>21.26</v>
      </c>
      <c r="C1226">
        <v>21.48</v>
      </c>
      <c r="D1226">
        <v>20.860001</v>
      </c>
      <c r="E1226">
        <v>21.33</v>
      </c>
      <c r="F1226">
        <v>21.33</v>
      </c>
      <c r="G1226">
        <v>399400</v>
      </c>
      <c r="I1226" s="346">
        <v>43388</v>
      </c>
      <c r="J1226">
        <v>22.969999000000001</v>
      </c>
      <c r="K1226">
        <v>23.01</v>
      </c>
      <c r="L1226">
        <v>22.889999</v>
      </c>
      <c r="M1226">
        <v>22.9</v>
      </c>
    </row>
    <row r="1227" spans="1:13">
      <c r="A1227" s="346">
        <v>43389</v>
      </c>
      <c r="B1227">
        <v>21.379999000000002</v>
      </c>
      <c r="C1227">
        <v>21.459999</v>
      </c>
      <c r="D1227">
        <v>20.860001</v>
      </c>
      <c r="E1227">
        <v>21.42</v>
      </c>
      <c r="F1227">
        <v>21.42</v>
      </c>
      <c r="G1227">
        <v>687600</v>
      </c>
      <c r="I1227" s="346">
        <v>43389</v>
      </c>
      <c r="J1227">
        <v>22.969999000000001</v>
      </c>
      <c r="K1227">
        <v>23.17</v>
      </c>
      <c r="L1227">
        <v>22.9</v>
      </c>
      <c r="M1227">
        <v>23.16</v>
      </c>
    </row>
    <row r="1228" spans="1:13">
      <c r="A1228" s="346">
        <v>43390</v>
      </c>
      <c r="B1228">
        <v>21.4</v>
      </c>
      <c r="C1228">
        <v>21.469999000000001</v>
      </c>
      <c r="D1228">
        <v>19.639999</v>
      </c>
      <c r="E1228">
        <v>19.75</v>
      </c>
      <c r="F1228">
        <v>19.75</v>
      </c>
      <c r="G1228">
        <v>706900</v>
      </c>
      <c r="I1228" s="346">
        <v>43390</v>
      </c>
      <c r="J1228">
        <v>23.15</v>
      </c>
      <c r="K1228">
        <v>23.15</v>
      </c>
      <c r="L1228">
        <v>23.01</v>
      </c>
      <c r="M1228">
        <v>23.15</v>
      </c>
    </row>
    <row r="1229" spans="1:13">
      <c r="A1229" s="346">
        <v>43391</v>
      </c>
      <c r="B1229">
        <v>19.760000000000002</v>
      </c>
      <c r="C1229">
        <v>20.280000999999999</v>
      </c>
      <c r="D1229">
        <v>19.27</v>
      </c>
      <c r="E1229">
        <v>20.170000000000002</v>
      </c>
      <c r="F1229">
        <v>20.170000000000002</v>
      </c>
      <c r="G1229">
        <v>1225700</v>
      </c>
      <c r="I1229" s="346">
        <v>43391</v>
      </c>
      <c r="J1229">
        <v>23.09</v>
      </c>
      <c r="K1229">
        <v>23.1</v>
      </c>
      <c r="L1229">
        <v>22.91</v>
      </c>
      <c r="M1229">
        <v>22.950001</v>
      </c>
    </row>
    <row r="1230" spans="1:13">
      <c r="A1230" s="346">
        <v>43392</v>
      </c>
      <c r="B1230">
        <v>20.23</v>
      </c>
      <c r="C1230">
        <v>20.76</v>
      </c>
      <c r="D1230">
        <v>20.129999000000002</v>
      </c>
      <c r="E1230">
        <v>20.49</v>
      </c>
      <c r="F1230">
        <v>20.49</v>
      </c>
      <c r="G1230">
        <v>546600</v>
      </c>
      <c r="I1230" s="346">
        <v>43392</v>
      </c>
      <c r="J1230">
        <v>23.02</v>
      </c>
      <c r="K1230">
        <v>23.23</v>
      </c>
      <c r="L1230">
        <v>23.02</v>
      </c>
      <c r="M1230">
        <v>23.1</v>
      </c>
    </row>
    <row r="1231" spans="1:13">
      <c r="A1231" s="346">
        <v>43395</v>
      </c>
      <c r="B1231">
        <v>20.57</v>
      </c>
      <c r="C1231">
        <v>21.09</v>
      </c>
      <c r="D1231">
        <v>20.16</v>
      </c>
      <c r="E1231">
        <v>20.219999000000001</v>
      </c>
      <c r="F1231">
        <v>20.219999000000001</v>
      </c>
      <c r="G1231">
        <v>723500</v>
      </c>
      <c r="I1231" s="346">
        <v>43395</v>
      </c>
      <c r="J1231">
        <v>23.129999000000002</v>
      </c>
      <c r="K1231">
        <v>23.129999000000002</v>
      </c>
      <c r="L1231">
        <v>22.950001</v>
      </c>
      <c r="M1231">
        <v>23.040001</v>
      </c>
    </row>
    <row r="1232" spans="1:13">
      <c r="A1232" s="346">
        <v>43396</v>
      </c>
      <c r="B1232">
        <v>19.84</v>
      </c>
      <c r="C1232">
        <v>20.559999000000001</v>
      </c>
      <c r="D1232">
        <v>19.309999000000001</v>
      </c>
      <c r="E1232">
        <v>20.360001</v>
      </c>
      <c r="F1232">
        <v>20.360001</v>
      </c>
      <c r="G1232">
        <v>631700</v>
      </c>
      <c r="I1232" s="346">
        <v>43396</v>
      </c>
      <c r="J1232">
        <v>22.83</v>
      </c>
      <c r="K1232">
        <v>22.91</v>
      </c>
      <c r="L1232">
        <v>22.58</v>
      </c>
      <c r="M1232">
        <v>22.83</v>
      </c>
    </row>
    <row r="1233" spans="1:13">
      <c r="A1233" s="346">
        <v>43397</v>
      </c>
      <c r="B1233">
        <v>20.49</v>
      </c>
      <c r="C1233">
        <v>20.49</v>
      </c>
      <c r="D1233">
        <v>18.66</v>
      </c>
      <c r="E1233">
        <v>19.07</v>
      </c>
      <c r="F1233">
        <v>19.07</v>
      </c>
      <c r="G1233">
        <v>552300</v>
      </c>
      <c r="I1233" s="346">
        <v>43397</v>
      </c>
      <c r="J1233">
        <v>22.85</v>
      </c>
      <c r="K1233">
        <v>22.870000999999998</v>
      </c>
      <c r="L1233">
        <v>22.299999</v>
      </c>
      <c r="M1233">
        <v>22.309999000000001</v>
      </c>
    </row>
    <row r="1234" spans="1:13">
      <c r="A1234" s="346">
        <v>43398</v>
      </c>
      <c r="B1234">
        <v>19.260000000000002</v>
      </c>
      <c r="C1234">
        <v>21.139999</v>
      </c>
      <c r="D1234">
        <v>19.260000000000002</v>
      </c>
      <c r="E1234">
        <v>20.49</v>
      </c>
      <c r="F1234">
        <v>20.49</v>
      </c>
      <c r="G1234">
        <v>786500</v>
      </c>
      <c r="I1234" s="346">
        <v>43398</v>
      </c>
      <c r="J1234">
        <v>22.440000999999999</v>
      </c>
      <c r="K1234">
        <v>22.469999000000001</v>
      </c>
      <c r="L1234">
        <v>22.290001</v>
      </c>
      <c r="M1234">
        <v>22.309999000000001</v>
      </c>
    </row>
    <row r="1235" spans="1:13">
      <c r="A1235" s="346">
        <v>43399</v>
      </c>
      <c r="B1235">
        <v>20.290001</v>
      </c>
      <c r="C1235">
        <v>20.290001</v>
      </c>
      <c r="D1235">
        <v>18.84</v>
      </c>
      <c r="E1235">
        <v>19.040001</v>
      </c>
      <c r="F1235">
        <v>19.040001</v>
      </c>
      <c r="G1235">
        <v>959800</v>
      </c>
      <c r="I1235" s="346">
        <v>43399</v>
      </c>
      <c r="J1235">
        <v>22.200001</v>
      </c>
      <c r="K1235">
        <v>22.360001</v>
      </c>
      <c r="L1235">
        <v>22.02</v>
      </c>
      <c r="M1235">
        <v>22.26</v>
      </c>
    </row>
    <row r="1236" spans="1:13">
      <c r="A1236" s="346">
        <v>43402</v>
      </c>
      <c r="B1236">
        <v>18.91</v>
      </c>
      <c r="C1236">
        <v>20.059999000000001</v>
      </c>
      <c r="D1236">
        <v>18.329999999999998</v>
      </c>
      <c r="E1236">
        <v>18.5</v>
      </c>
      <c r="F1236">
        <v>18.5</v>
      </c>
      <c r="G1236">
        <v>722700</v>
      </c>
      <c r="I1236" s="346">
        <v>43402</v>
      </c>
      <c r="J1236">
        <v>22.42</v>
      </c>
      <c r="K1236">
        <v>22.49</v>
      </c>
      <c r="L1236">
        <v>21.969999000000001</v>
      </c>
      <c r="M1236">
        <v>22.110001</v>
      </c>
    </row>
    <row r="1237" spans="1:13">
      <c r="A1237" s="346">
        <v>43403</v>
      </c>
      <c r="B1237">
        <v>18.59</v>
      </c>
      <c r="C1237">
        <v>19.280000999999999</v>
      </c>
      <c r="D1237">
        <v>18.27</v>
      </c>
      <c r="E1237">
        <v>19.239999999999998</v>
      </c>
      <c r="F1237">
        <v>19.239999999999998</v>
      </c>
      <c r="G1237">
        <v>507300</v>
      </c>
      <c r="I1237" s="346">
        <v>43403</v>
      </c>
      <c r="J1237">
        <v>22.110001</v>
      </c>
      <c r="K1237">
        <v>22.41</v>
      </c>
      <c r="L1237">
        <v>22.08</v>
      </c>
      <c r="M1237">
        <v>22.4</v>
      </c>
    </row>
    <row r="1238" spans="1:13">
      <c r="A1238" s="346">
        <v>43404</v>
      </c>
      <c r="B1238">
        <v>19.350000000000001</v>
      </c>
      <c r="C1238">
        <v>19.68</v>
      </c>
      <c r="D1238">
        <v>18.639999</v>
      </c>
      <c r="E1238">
        <v>18.91</v>
      </c>
      <c r="F1238">
        <v>18.91</v>
      </c>
      <c r="G1238">
        <v>410200</v>
      </c>
      <c r="I1238" s="346">
        <v>43404</v>
      </c>
      <c r="J1238">
        <v>22.57</v>
      </c>
      <c r="K1238">
        <v>22.67</v>
      </c>
      <c r="L1238">
        <v>22.530000999999999</v>
      </c>
      <c r="M1238">
        <v>22.540001</v>
      </c>
    </row>
    <row r="1239" spans="1:13">
      <c r="A1239" s="346">
        <v>43405</v>
      </c>
      <c r="B1239">
        <v>19.02</v>
      </c>
      <c r="C1239">
        <v>19.969999000000001</v>
      </c>
      <c r="D1239">
        <v>18.790001</v>
      </c>
      <c r="E1239">
        <v>19.920000000000002</v>
      </c>
      <c r="F1239">
        <v>19.920000000000002</v>
      </c>
      <c r="G1239">
        <v>639300</v>
      </c>
      <c r="I1239" s="346">
        <v>43405</v>
      </c>
      <c r="J1239">
        <v>22.620000999999998</v>
      </c>
      <c r="K1239">
        <v>22.74</v>
      </c>
      <c r="L1239">
        <v>22.540001</v>
      </c>
      <c r="M1239">
        <v>22.719999000000001</v>
      </c>
    </row>
    <row r="1240" spans="1:13">
      <c r="A1240" s="346">
        <v>43406</v>
      </c>
      <c r="B1240">
        <v>20</v>
      </c>
      <c r="C1240">
        <v>21.969999000000001</v>
      </c>
      <c r="D1240">
        <v>19.969999000000001</v>
      </c>
      <c r="E1240">
        <v>21.23</v>
      </c>
      <c r="F1240">
        <v>21.23</v>
      </c>
      <c r="G1240">
        <v>1001800</v>
      </c>
      <c r="I1240" s="346">
        <v>43406</v>
      </c>
      <c r="J1240">
        <v>22.84</v>
      </c>
      <c r="K1240">
        <v>22.879999000000002</v>
      </c>
      <c r="L1240">
        <v>22.6</v>
      </c>
      <c r="M1240">
        <v>22.700001</v>
      </c>
    </row>
    <row r="1241" spans="1:13">
      <c r="A1241" s="346">
        <v>43409</v>
      </c>
      <c r="B1241">
        <v>21.120000999999998</v>
      </c>
      <c r="C1241">
        <v>21.120000999999998</v>
      </c>
      <c r="D1241">
        <v>20.059999000000001</v>
      </c>
      <c r="E1241">
        <v>20.25</v>
      </c>
      <c r="F1241">
        <v>20.25</v>
      </c>
      <c r="G1241">
        <v>593600</v>
      </c>
      <c r="I1241" s="346">
        <v>43409</v>
      </c>
      <c r="J1241">
        <v>22.700001</v>
      </c>
      <c r="K1241">
        <v>22.870000999999998</v>
      </c>
      <c r="L1241">
        <v>22.700001</v>
      </c>
      <c r="M1241">
        <v>22.83</v>
      </c>
    </row>
    <row r="1242" spans="1:13">
      <c r="A1242" s="346">
        <v>43410</v>
      </c>
      <c r="B1242">
        <v>20.290001</v>
      </c>
      <c r="C1242">
        <v>20.450001</v>
      </c>
      <c r="D1242">
        <v>19.5</v>
      </c>
      <c r="E1242">
        <v>19.700001</v>
      </c>
      <c r="F1242">
        <v>19.700001</v>
      </c>
      <c r="G1242">
        <v>438600</v>
      </c>
      <c r="I1242" s="346">
        <v>43410</v>
      </c>
      <c r="J1242">
        <v>22.860001</v>
      </c>
      <c r="K1242">
        <v>22.969999000000001</v>
      </c>
      <c r="L1242">
        <v>22.809999000000001</v>
      </c>
      <c r="M1242">
        <v>22.950001</v>
      </c>
    </row>
    <row r="1243" spans="1:13">
      <c r="A1243" s="346">
        <v>43411</v>
      </c>
      <c r="B1243">
        <v>19.899999999999999</v>
      </c>
      <c r="C1243">
        <v>19.940000999999999</v>
      </c>
      <c r="D1243">
        <v>19.23</v>
      </c>
      <c r="E1243">
        <v>19.290001</v>
      </c>
      <c r="F1243">
        <v>19.290001</v>
      </c>
      <c r="G1243">
        <v>481200</v>
      </c>
      <c r="I1243" s="346">
        <v>43411</v>
      </c>
      <c r="J1243">
        <v>23.07</v>
      </c>
      <c r="K1243">
        <v>23.1</v>
      </c>
      <c r="L1243">
        <v>22.940000999999999</v>
      </c>
      <c r="M1243">
        <v>23.059999000000001</v>
      </c>
    </row>
    <row r="1244" spans="1:13">
      <c r="A1244" s="346">
        <v>43412</v>
      </c>
      <c r="B1244">
        <v>19.32</v>
      </c>
      <c r="C1244">
        <v>19.75</v>
      </c>
      <c r="D1244">
        <v>19.129999000000002</v>
      </c>
      <c r="E1244">
        <v>19.670000000000002</v>
      </c>
      <c r="F1244">
        <v>19.670000000000002</v>
      </c>
      <c r="G1244">
        <v>367000</v>
      </c>
      <c r="I1244" s="346">
        <v>43412</v>
      </c>
      <c r="J1244">
        <v>23.08</v>
      </c>
      <c r="K1244">
        <v>23.139999</v>
      </c>
      <c r="L1244">
        <v>22.99</v>
      </c>
      <c r="M1244">
        <v>23.1</v>
      </c>
    </row>
    <row r="1245" spans="1:13">
      <c r="A1245" s="346">
        <v>43413</v>
      </c>
      <c r="B1245">
        <v>19.450001</v>
      </c>
      <c r="C1245">
        <v>19.450001</v>
      </c>
      <c r="D1245">
        <v>18.75</v>
      </c>
      <c r="E1245">
        <v>19.09</v>
      </c>
      <c r="F1245">
        <v>19.09</v>
      </c>
      <c r="G1245">
        <v>395400</v>
      </c>
      <c r="I1245" s="346">
        <v>43413</v>
      </c>
      <c r="J1245">
        <v>22.950001</v>
      </c>
      <c r="K1245">
        <v>23.059999000000001</v>
      </c>
      <c r="L1245">
        <v>22.91</v>
      </c>
      <c r="M1245">
        <v>23</v>
      </c>
    </row>
    <row r="1246" spans="1:13">
      <c r="A1246" s="346">
        <v>43416</v>
      </c>
      <c r="B1246">
        <v>19.040001</v>
      </c>
      <c r="C1246">
        <v>19.700001</v>
      </c>
      <c r="D1246">
        <v>18.68</v>
      </c>
      <c r="E1246">
        <v>19.389999</v>
      </c>
      <c r="F1246">
        <v>19.389999</v>
      </c>
      <c r="G1246">
        <v>383000</v>
      </c>
      <c r="I1246" s="346">
        <v>43416</v>
      </c>
      <c r="J1246">
        <v>23.02</v>
      </c>
      <c r="K1246">
        <v>23.030000999999999</v>
      </c>
      <c r="L1246">
        <v>22.84</v>
      </c>
      <c r="M1246">
        <v>22.870000999999998</v>
      </c>
    </row>
    <row r="1247" spans="1:13">
      <c r="A1247" s="346">
        <v>43417</v>
      </c>
      <c r="B1247">
        <v>19.32</v>
      </c>
      <c r="C1247">
        <v>19.790001</v>
      </c>
      <c r="D1247">
        <v>18.989999999999998</v>
      </c>
      <c r="E1247">
        <v>19.07</v>
      </c>
      <c r="F1247">
        <v>19.07</v>
      </c>
      <c r="G1247">
        <v>290700</v>
      </c>
      <c r="I1247" s="346">
        <v>43417</v>
      </c>
      <c r="J1247">
        <v>22.84</v>
      </c>
      <c r="K1247">
        <v>23.040001</v>
      </c>
      <c r="L1247">
        <v>22.809999000000001</v>
      </c>
      <c r="M1247">
        <v>22.860001</v>
      </c>
    </row>
    <row r="1248" spans="1:13">
      <c r="A1248" s="346">
        <v>43418</v>
      </c>
      <c r="B1248">
        <v>19.100000000000001</v>
      </c>
      <c r="C1248">
        <v>19.66</v>
      </c>
      <c r="D1248">
        <v>19.09</v>
      </c>
      <c r="E1248">
        <v>19.540001</v>
      </c>
      <c r="F1248">
        <v>19.540001</v>
      </c>
      <c r="G1248">
        <v>254700</v>
      </c>
      <c r="I1248" s="346">
        <v>43418</v>
      </c>
      <c r="J1248">
        <v>22.92</v>
      </c>
      <c r="K1248">
        <v>23.059999000000001</v>
      </c>
      <c r="L1248">
        <v>22.76</v>
      </c>
      <c r="M1248">
        <v>22.879999000000002</v>
      </c>
    </row>
    <row r="1249" spans="1:13">
      <c r="A1249" s="346">
        <v>43419</v>
      </c>
      <c r="B1249">
        <v>19.530000999999999</v>
      </c>
      <c r="C1249">
        <v>19.549999</v>
      </c>
      <c r="D1249">
        <v>16.709999</v>
      </c>
      <c r="E1249">
        <v>18.010000000000002</v>
      </c>
      <c r="F1249">
        <v>18.010000000000002</v>
      </c>
      <c r="G1249">
        <v>2382200</v>
      </c>
      <c r="I1249" s="346">
        <v>43419</v>
      </c>
      <c r="J1249">
        <v>22.860001</v>
      </c>
      <c r="K1249">
        <v>22.950001</v>
      </c>
      <c r="L1249">
        <v>22.76</v>
      </c>
      <c r="M1249">
        <v>22.9</v>
      </c>
    </row>
    <row r="1250" spans="1:13">
      <c r="A1250" s="346">
        <v>43420</v>
      </c>
      <c r="B1250">
        <v>18.280000999999999</v>
      </c>
      <c r="C1250">
        <v>18.760000000000002</v>
      </c>
      <c r="D1250">
        <v>17.610001</v>
      </c>
      <c r="E1250">
        <v>18.350000000000001</v>
      </c>
      <c r="F1250">
        <v>18.350000000000001</v>
      </c>
      <c r="G1250">
        <v>1227100</v>
      </c>
      <c r="I1250" s="346">
        <v>43420</v>
      </c>
      <c r="J1250">
        <v>22.83</v>
      </c>
      <c r="K1250">
        <v>22.93</v>
      </c>
      <c r="L1250">
        <v>22.799999</v>
      </c>
      <c r="M1250">
        <v>22.9</v>
      </c>
    </row>
    <row r="1251" spans="1:13">
      <c r="A1251" s="346">
        <v>43423</v>
      </c>
      <c r="B1251">
        <v>18.329999999999998</v>
      </c>
      <c r="C1251">
        <v>18.73</v>
      </c>
      <c r="D1251">
        <v>18.139999</v>
      </c>
      <c r="E1251">
        <v>18.48</v>
      </c>
      <c r="F1251">
        <v>18.48</v>
      </c>
      <c r="G1251">
        <v>1217100</v>
      </c>
      <c r="I1251" s="346">
        <v>43423</v>
      </c>
      <c r="J1251">
        <v>22.879999000000002</v>
      </c>
      <c r="K1251">
        <v>22.950001</v>
      </c>
      <c r="L1251">
        <v>22.77</v>
      </c>
      <c r="M1251">
        <v>22.83</v>
      </c>
    </row>
    <row r="1252" spans="1:13">
      <c r="A1252" s="346">
        <v>43424</v>
      </c>
      <c r="B1252">
        <v>18.370000999999998</v>
      </c>
      <c r="C1252">
        <v>18.59</v>
      </c>
      <c r="D1252">
        <v>17.98</v>
      </c>
      <c r="E1252">
        <v>18.469999000000001</v>
      </c>
      <c r="F1252">
        <v>18.469999000000001</v>
      </c>
      <c r="G1252">
        <v>500900</v>
      </c>
      <c r="I1252" s="346">
        <v>43424</v>
      </c>
      <c r="J1252">
        <v>22.68</v>
      </c>
      <c r="K1252">
        <v>22.68</v>
      </c>
      <c r="L1252">
        <v>22.450001</v>
      </c>
      <c r="M1252">
        <v>22.52</v>
      </c>
    </row>
    <row r="1253" spans="1:13">
      <c r="A1253" s="346">
        <v>43425</v>
      </c>
      <c r="B1253">
        <v>18.510000000000002</v>
      </c>
      <c r="C1253">
        <v>18.959999</v>
      </c>
      <c r="D1253">
        <v>18.5</v>
      </c>
      <c r="E1253">
        <v>18.559999000000001</v>
      </c>
      <c r="F1253">
        <v>18.559999000000001</v>
      </c>
      <c r="G1253">
        <v>691600</v>
      </c>
      <c r="I1253" s="346">
        <v>43425</v>
      </c>
      <c r="J1253">
        <v>22.620000999999998</v>
      </c>
      <c r="K1253">
        <v>23.02</v>
      </c>
      <c r="L1253">
        <v>22.58</v>
      </c>
      <c r="M1253">
        <v>22.870000999999998</v>
      </c>
    </row>
    <row r="1254" spans="1:13">
      <c r="A1254" s="346">
        <v>43426</v>
      </c>
      <c r="B1254">
        <v>18.610001</v>
      </c>
      <c r="C1254">
        <v>19.209999</v>
      </c>
      <c r="D1254">
        <v>18.610001</v>
      </c>
      <c r="E1254">
        <v>18.879999000000002</v>
      </c>
      <c r="F1254">
        <v>18.879999000000002</v>
      </c>
      <c r="G1254">
        <v>264600</v>
      </c>
      <c r="I1254" s="346">
        <v>43426</v>
      </c>
      <c r="J1254">
        <v>22.889999</v>
      </c>
      <c r="K1254">
        <v>22.889999</v>
      </c>
      <c r="L1254">
        <v>22.780000999999999</v>
      </c>
      <c r="M1254">
        <v>22.84</v>
      </c>
    </row>
    <row r="1255" spans="1:13">
      <c r="A1255" s="346">
        <v>43427</v>
      </c>
      <c r="B1255">
        <v>18.850000000000001</v>
      </c>
      <c r="C1255">
        <v>19.209999</v>
      </c>
      <c r="D1255">
        <v>18.84</v>
      </c>
      <c r="E1255">
        <v>19</v>
      </c>
      <c r="F1255">
        <v>19</v>
      </c>
      <c r="G1255">
        <v>222500</v>
      </c>
      <c r="I1255" s="346">
        <v>43427</v>
      </c>
      <c r="J1255">
        <v>22.73</v>
      </c>
      <c r="K1255">
        <v>22.74</v>
      </c>
      <c r="L1255">
        <v>22.530000999999999</v>
      </c>
      <c r="M1255">
        <v>22.690000999999999</v>
      </c>
    </row>
    <row r="1256" spans="1:13">
      <c r="A1256" s="346">
        <v>43430</v>
      </c>
      <c r="B1256">
        <v>19.110001</v>
      </c>
      <c r="C1256">
        <v>19.780000999999999</v>
      </c>
      <c r="D1256">
        <v>19.079999999999998</v>
      </c>
      <c r="E1256">
        <v>19.700001</v>
      </c>
      <c r="F1256">
        <v>19.700001</v>
      </c>
      <c r="G1256">
        <v>701000</v>
      </c>
      <c r="I1256" s="346">
        <v>43430</v>
      </c>
      <c r="J1256">
        <v>22.809999000000001</v>
      </c>
      <c r="K1256">
        <v>22.92</v>
      </c>
      <c r="L1256">
        <v>22.74</v>
      </c>
      <c r="M1256">
        <v>22.77</v>
      </c>
    </row>
    <row r="1257" spans="1:13">
      <c r="A1257" s="346">
        <v>43431</v>
      </c>
      <c r="B1257">
        <v>19.52</v>
      </c>
      <c r="C1257">
        <v>19.600000000000001</v>
      </c>
      <c r="D1257">
        <v>18.600000000000001</v>
      </c>
      <c r="E1257">
        <v>18.649999999999999</v>
      </c>
      <c r="F1257">
        <v>18.649999999999999</v>
      </c>
      <c r="G1257">
        <v>350300</v>
      </c>
      <c r="I1257" s="346">
        <v>43431</v>
      </c>
      <c r="J1257">
        <v>22.6</v>
      </c>
      <c r="K1257">
        <v>22.620000999999998</v>
      </c>
      <c r="L1257">
        <v>22.459999</v>
      </c>
      <c r="M1257">
        <v>22.51</v>
      </c>
    </row>
    <row r="1258" spans="1:13">
      <c r="A1258" s="346">
        <v>43432</v>
      </c>
      <c r="B1258">
        <v>18.75</v>
      </c>
      <c r="C1258">
        <v>18.93</v>
      </c>
      <c r="D1258">
        <v>18.139999</v>
      </c>
      <c r="E1258">
        <v>18.469999000000001</v>
      </c>
      <c r="F1258">
        <v>18.469999000000001</v>
      </c>
      <c r="G1258">
        <v>498800</v>
      </c>
      <c r="I1258" s="346">
        <v>43432</v>
      </c>
      <c r="J1258">
        <v>22.610001</v>
      </c>
      <c r="K1258">
        <v>22.860001</v>
      </c>
      <c r="L1258">
        <v>22.57</v>
      </c>
      <c r="M1258">
        <v>22.84</v>
      </c>
    </row>
    <row r="1259" spans="1:13">
      <c r="A1259" s="346">
        <v>43433</v>
      </c>
      <c r="B1259">
        <v>18.450001</v>
      </c>
      <c r="C1259">
        <v>19.379999000000002</v>
      </c>
      <c r="D1259">
        <v>18.41</v>
      </c>
      <c r="E1259">
        <v>18.889999</v>
      </c>
      <c r="F1259">
        <v>18.889999</v>
      </c>
      <c r="G1259">
        <v>318000</v>
      </c>
      <c r="I1259" s="346">
        <v>43433</v>
      </c>
      <c r="J1259">
        <v>22.85</v>
      </c>
      <c r="K1259">
        <v>23</v>
      </c>
      <c r="L1259">
        <v>22.82</v>
      </c>
      <c r="M1259">
        <v>22.91</v>
      </c>
    </row>
    <row r="1260" spans="1:13">
      <c r="A1260" s="346">
        <v>43434</v>
      </c>
      <c r="B1260">
        <v>18.879999000000002</v>
      </c>
      <c r="C1260">
        <v>18.879999000000002</v>
      </c>
      <c r="D1260">
        <v>17.989999999999998</v>
      </c>
      <c r="E1260">
        <v>18.209999</v>
      </c>
      <c r="F1260">
        <v>18.209999</v>
      </c>
      <c r="G1260">
        <v>413900</v>
      </c>
      <c r="I1260" s="346">
        <v>43434</v>
      </c>
      <c r="J1260">
        <v>22.84</v>
      </c>
      <c r="K1260">
        <v>22.93</v>
      </c>
      <c r="L1260">
        <v>22.82</v>
      </c>
      <c r="M1260">
        <v>22.889999</v>
      </c>
    </row>
  </sheetData>
  <sortState ref="I6:M1264">
    <sortCondition descending="1" ref="I6"/>
  </sortState>
  <mergeCells count="4">
    <mergeCell ref="A1:G1"/>
    <mergeCell ref="A2:G2"/>
    <mergeCell ref="I1:M1"/>
    <mergeCell ref="I2:M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A34D2-D53D-FF4F-A99D-2F6556E544BB}">
  <sheetPr>
    <tabColor rgb="FFFF0000"/>
  </sheetPr>
  <dimension ref="A1:XFD32"/>
  <sheetViews>
    <sheetView workbookViewId="0">
      <selection activeCell="A23" sqref="A23"/>
    </sheetView>
  </sheetViews>
  <sheetFormatPr baseColWidth="10" defaultRowHeight="16"/>
  <cols>
    <col min="1" max="1" width="46.83203125" bestFit="1" customWidth="1"/>
    <col min="2" max="9" width="8.83203125" customWidth="1"/>
    <col min="10" max="12" width="9.83203125" bestFit="1" customWidth="1"/>
    <col min="14" max="14" width="36.5" bestFit="1" customWidth="1"/>
    <col min="26" max="26" width="42.6640625" customWidth="1"/>
  </cols>
  <sheetData>
    <row r="1" spans="1:16384" ht="19">
      <c r="A1" s="389" t="s">
        <v>263</v>
      </c>
      <c r="B1" s="389"/>
      <c r="C1" s="389"/>
      <c r="D1" s="389"/>
      <c r="E1" s="389"/>
      <c r="F1" s="389"/>
      <c r="G1" s="389"/>
      <c r="H1" s="389"/>
      <c r="I1" s="389"/>
      <c r="J1" s="389"/>
      <c r="K1" s="389"/>
      <c r="L1" s="389"/>
      <c r="M1" s="77"/>
      <c r="N1" s="389" t="s">
        <v>264</v>
      </c>
      <c r="O1" s="389"/>
      <c r="P1" s="389"/>
      <c r="Q1" s="389"/>
      <c r="R1" s="389"/>
      <c r="S1" s="389"/>
      <c r="T1" s="389"/>
      <c r="U1" s="389"/>
      <c r="V1" s="389"/>
      <c r="W1" s="389"/>
      <c r="X1" s="389"/>
      <c r="Y1" s="77"/>
      <c r="Z1" s="389" t="s">
        <v>265</v>
      </c>
      <c r="AA1" s="389"/>
      <c r="AB1" s="389"/>
      <c r="AC1" s="389"/>
      <c r="AD1" s="389"/>
      <c r="AE1" s="389"/>
      <c r="AF1" s="389"/>
      <c r="AG1" s="389"/>
      <c r="AH1" s="389"/>
      <c r="AI1" s="389"/>
      <c r="AJ1" s="389"/>
      <c r="AK1" s="389"/>
      <c r="AL1" s="77"/>
      <c r="AM1" s="77"/>
      <c r="AN1" s="77"/>
      <c r="AO1" s="77"/>
      <c r="AP1" s="77"/>
      <c r="AQ1" s="77"/>
      <c r="AR1" s="77"/>
      <c r="AS1" s="77"/>
      <c r="AT1" s="77"/>
      <c r="AU1" s="77"/>
      <c r="AV1" s="77"/>
      <c r="AW1" s="77"/>
      <c r="AX1" s="77"/>
      <c r="AY1" s="77"/>
      <c r="AZ1" s="77"/>
      <c r="BA1" s="77"/>
      <c r="BB1" s="77"/>
      <c r="BC1" s="77"/>
      <c r="BD1" s="77"/>
      <c r="BE1" s="77"/>
      <c r="BF1" s="77"/>
      <c r="BG1" s="77"/>
      <c r="BH1" s="77"/>
      <c r="BI1" s="77"/>
      <c r="BJ1" s="77"/>
      <c r="BK1" s="77"/>
      <c r="BL1" s="77"/>
      <c r="BM1" s="77"/>
      <c r="BN1" s="77"/>
      <c r="BO1" s="77"/>
      <c r="BP1" s="77"/>
      <c r="BQ1" s="77"/>
      <c r="BR1" s="77"/>
      <c r="BS1" s="77"/>
      <c r="BT1" s="77"/>
      <c r="BU1" s="77"/>
      <c r="BV1" s="77"/>
      <c r="BW1" s="77"/>
      <c r="BX1" s="77"/>
      <c r="BY1" s="77"/>
      <c r="BZ1" s="77"/>
      <c r="CA1" s="77"/>
      <c r="CB1" s="77"/>
      <c r="CC1" s="77"/>
      <c r="CD1" s="77"/>
      <c r="CE1" s="77"/>
      <c r="CF1" s="77"/>
      <c r="CG1" s="77"/>
      <c r="CH1" s="77"/>
      <c r="CI1" s="77"/>
      <c r="CJ1" s="77"/>
      <c r="CK1" s="77"/>
      <c r="CL1" s="77"/>
      <c r="CM1" s="77"/>
      <c r="CN1" s="77"/>
      <c r="CO1" s="77"/>
      <c r="CP1" s="77"/>
      <c r="CQ1" s="77"/>
      <c r="CR1" s="77"/>
      <c r="CS1" s="77"/>
      <c r="CT1" s="77"/>
      <c r="CU1" s="77"/>
      <c r="CV1" s="77"/>
      <c r="CW1" s="77"/>
      <c r="CX1" s="77"/>
      <c r="CY1" s="77"/>
      <c r="CZ1" s="77"/>
      <c r="DA1" s="77"/>
      <c r="DB1" s="77"/>
      <c r="DC1" s="77"/>
      <c r="DD1" s="77"/>
      <c r="DE1" s="77"/>
      <c r="DF1" s="77"/>
      <c r="DG1" s="77"/>
      <c r="DH1" s="77"/>
      <c r="DI1" s="77"/>
      <c r="DJ1" s="77"/>
      <c r="DK1" s="77"/>
      <c r="DL1" s="77"/>
      <c r="DM1" s="77"/>
      <c r="DN1" s="77"/>
      <c r="DO1" s="77"/>
      <c r="DP1" s="77"/>
      <c r="DQ1" s="77"/>
      <c r="DR1" s="77"/>
      <c r="DS1" s="77"/>
      <c r="DT1" s="77"/>
      <c r="DU1" s="77"/>
      <c r="DV1" s="77"/>
      <c r="DW1" s="77"/>
      <c r="DX1" s="77"/>
      <c r="DY1" s="77"/>
      <c r="DZ1" s="77"/>
      <c r="EA1" s="77"/>
      <c r="EB1" s="77"/>
      <c r="EC1" s="77"/>
      <c r="ED1" s="77"/>
      <c r="EE1" s="77"/>
      <c r="EF1" s="77"/>
      <c r="EG1" s="77"/>
      <c r="EH1" s="77"/>
      <c r="EI1" s="77"/>
      <c r="EJ1" s="77"/>
      <c r="EK1" s="77"/>
      <c r="EL1" s="77"/>
      <c r="EM1" s="77"/>
      <c r="EN1" s="77"/>
      <c r="EO1" s="77"/>
      <c r="EP1" s="77"/>
      <c r="EQ1" s="77"/>
      <c r="ER1" s="77"/>
      <c r="ES1" s="77"/>
      <c r="ET1" s="77"/>
      <c r="EU1" s="77"/>
      <c r="EV1" s="77"/>
      <c r="EW1" s="77"/>
      <c r="EX1" s="77"/>
      <c r="EY1" s="77"/>
      <c r="EZ1" s="77"/>
      <c r="FA1" s="77"/>
      <c r="FB1" s="77"/>
      <c r="FC1" s="77"/>
      <c r="FD1" s="77"/>
      <c r="FE1" s="77"/>
      <c r="FF1" s="77"/>
      <c r="FG1" s="77"/>
      <c r="FH1" s="77"/>
      <c r="FI1" s="77"/>
      <c r="FJ1" s="77"/>
      <c r="FK1" s="77"/>
      <c r="FL1" s="77"/>
      <c r="FM1" s="77"/>
      <c r="FN1" s="77"/>
      <c r="FO1" s="77"/>
      <c r="FP1" s="77"/>
      <c r="FQ1" s="77"/>
      <c r="FR1" s="77"/>
      <c r="FS1" s="77"/>
      <c r="FT1" s="77"/>
      <c r="FU1" s="77"/>
      <c r="FV1" s="77"/>
      <c r="FW1" s="77"/>
      <c r="FX1" s="77"/>
      <c r="FY1" s="77"/>
      <c r="FZ1" s="77"/>
      <c r="GA1" s="77"/>
      <c r="GB1" s="77"/>
      <c r="GC1" s="77"/>
      <c r="GD1" s="77"/>
      <c r="GE1" s="77"/>
      <c r="GF1" s="77"/>
      <c r="GG1" s="77"/>
      <c r="GH1" s="77"/>
      <c r="GI1" s="77"/>
      <c r="GJ1" s="77"/>
      <c r="GK1" s="77"/>
      <c r="GL1" s="77"/>
      <c r="GM1" s="77"/>
      <c r="GN1" s="77"/>
      <c r="GO1" s="77"/>
      <c r="GP1" s="77"/>
      <c r="GQ1" s="77"/>
      <c r="GR1" s="77"/>
      <c r="GS1" s="77"/>
      <c r="GT1" s="77"/>
      <c r="GU1" s="77"/>
      <c r="GV1" s="77"/>
      <c r="GW1" s="77"/>
      <c r="GX1" s="77"/>
      <c r="GY1" s="77"/>
      <c r="GZ1" s="77"/>
      <c r="HA1" s="77"/>
      <c r="HB1" s="77"/>
      <c r="HC1" s="77"/>
      <c r="HD1" s="77"/>
      <c r="HE1" s="77"/>
      <c r="HF1" s="77"/>
      <c r="HG1" s="77"/>
      <c r="HH1" s="77"/>
      <c r="HI1" s="77"/>
      <c r="HJ1" s="77"/>
      <c r="HK1" s="77"/>
      <c r="HL1" s="77"/>
      <c r="HM1" s="77"/>
      <c r="HN1" s="77"/>
      <c r="HO1" s="77"/>
      <c r="HP1" s="77"/>
      <c r="HQ1" s="77"/>
      <c r="HR1" s="77"/>
      <c r="HS1" s="77"/>
      <c r="HT1" s="77"/>
      <c r="HU1" s="77"/>
      <c r="HV1" s="77"/>
      <c r="HW1" s="77"/>
      <c r="HX1" s="77"/>
      <c r="HY1" s="77"/>
      <c r="HZ1" s="77"/>
      <c r="IA1" s="77"/>
      <c r="IB1" s="77"/>
      <c r="IC1" s="77"/>
      <c r="ID1" s="77"/>
      <c r="IE1" s="77"/>
      <c r="IF1" s="77"/>
      <c r="IG1" s="77"/>
      <c r="IH1" s="77"/>
      <c r="II1" s="77"/>
      <c r="IJ1" s="77"/>
      <c r="IK1" s="77"/>
      <c r="IL1" s="77"/>
      <c r="IM1" s="77"/>
      <c r="IN1" s="77"/>
      <c r="IO1" s="77"/>
      <c r="IP1" s="77"/>
      <c r="IQ1" s="77"/>
      <c r="IR1" s="77"/>
      <c r="IS1" s="77"/>
      <c r="IT1" s="77"/>
      <c r="IU1" s="77"/>
      <c r="IV1" s="77"/>
      <c r="IW1" s="77"/>
      <c r="IX1" s="77"/>
      <c r="IY1" s="77"/>
      <c r="IZ1" s="77"/>
      <c r="JA1" s="77"/>
      <c r="JB1" s="77"/>
      <c r="JC1" s="77"/>
      <c r="JD1" s="77"/>
      <c r="JE1" s="77"/>
      <c r="JF1" s="77"/>
      <c r="JG1" s="77"/>
      <c r="JH1" s="77"/>
      <c r="JI1" s="77"/>
      <c r="JJ1" s="77"/>
      <c r="JK1" s="77"/>
      <c r="JL1" s="77"/>
      <c r="JM1" s="77"/>
      <c r="JN1" s="77"/>
      <c r="JO1" s="77"/>
      <c r="JP1" s="77"/>
      <c r="JQ1" s="77"/>
      <c r="JR1" s="77"/>
      <c r="JS1" s="77"/>
      <c r="JT1" s="77"/>
      <c r="JU1" s="77"/>
      <c r="JV1" s="77"/>
      <c r="JW1" s="77"/>
      <c r="JX1" s="77"/>
      <c r="JY1" s="77"/>
      <c r="JZ1" s="77"/>
      <c r="KA1" s="77"/>
      <c r="KB1" s="77"/>
      <c r="KC1" s="77"/>
      <c r="KD1" s="77"/>
      <c r="KE1" s="77"/>
      <c r="KF1" s="77"/>
      <c r="KG1" s="77"/>
      <c r="KH1" s="77"/>
      <c r="KI1" s="77"/>
      <c r="KJ1" s="77"/>
      <c r="KK1" s="77"/>
      <c r="KL1" s="77"/>
      <c r="KM1" s="77"/>
      <c r="KN1" s="77"/>
      <c r="KO1" s="77"/>
      <c r="KP1" s="77"/>
      <c r="KQ1" s="77"/>
      <c r="KR1" s="77"/>
      <c r="KS1" s="77"/>
      <c r="KT1" s="77"/>
      <c r="KU1" s="77"/>
      <c r="KV1" s="77"/>
      <c r="KW1" s="77"/>
      <c r="KX1" s="77"/>
      <c r="KY1" s="77"/>
      <c r="KZ1" s="77"/>
      <c r="LA1" s="77"/>
      <c r="LB1" s="77"/>
      <c r="LC1" s="77"/>
      <c r="LD1" s="77"/>
      <c r="LE1" s="77"/>
      <c r="LF1" s="77"/>
      <c r="LG1" s="77"/>
      <c r="LH1" s="77"/>
      <c r="LI1" s="77"/>
      <c r="LJ1" s="77"/>
      <c r="LK1" s="77"/>
      <c r="LL1" s="77"/>
      <c r="LM1" s="77"/>
      <c r="LN1" s="77"/>
      <c r="LO1" s="77"/>
      <c r="LP1" s="77"/>
      <c r="LQ1" s="77"/>
      <c r="LR1" s="77"/>
      <c r="LS1" s="77"/>
      <c r="LT1" s="77"/>
      <c r="LU1" s="77"/>
      <c r="LV1" s="77"/>
      <c r="LW1" s="77"/>
      <c r="LX1" s="77"/>
      <c r="LY1" s="77"/>
      <c r="LZ1" s="77"/>
      <c r="MA1" s="77"/>
      <c r="MB1" s="77"/>
      <c r="MC1" s="77"/>
      <c r="MD1" s="77"/>
      <c r="ME1" s="77"/>
      <c r="MF1" s="77"/>
      <c r="MG1" s="77"/>
      <c r="MH1" s="77"/>
      <c r="MI1" s="77"/>
      <c r="MJ1" s="77"/>
      <c r="MK1" s="77"/>
      <c r="ML1" s="77"/>
      <c r="MM1" s="77"/>
      <c r="MN1" s="77"/>
      <c r="MO1" s="77"/>
      <c r="MP1" s="77"/>
      <c r="MQ1" s="77"/>
      <c r="MR1" s="77"/>
      <c r="MS1" s="77"/>
      <c r="MT1" s="77"/>
      <c r="MU1" s="77"/>
      <c r="MV1" s="77"/>
      <c r="MW1" s="77"/>
      <c r="MX1" s="77"/>
      <c r="MY1" s="77"/>
      <c r="MZ1" s="77"/>
      <c r="NA1" s="77"/>
      <c r="NB1" s="77"/>
      <c r="NC1" s="77"/>
      <c r="ND1" s="77"/>
      <c r="NE1" s="77"/>
      <c r="NF1" s="77"/>
      <c r="NG1" s="77"/>
      <c r="NH1" s="77"/>
      <c r="NI1" s="77"/>
      <c r="NJ1" s="77"/>
      <c r="NK1" s="77"/>
      <c r="NL1" s="77"/>
      <c r="NM1" s="77"/>
      <c r="NN1" s="77"/>
      <c r="NO1" s="77"/>
      <c r="NP1" s="77"/>
      <c r="NQ1" s="77"/>
      <c r="NR1" s="77"/>
      <c r="NS1" s="77"/>
      <c r="NT1" s="77"/>
      <c r="NU1" s="77"/>
      <c r="NV1" s="77"/>
      <c r="NW1" s="77"/>
      <c r="NX1" s="77"/>
      <c r="NY1" s="77"/>
      <c r="NZ1" s="77"/>
      <c r="OA1" s="77"/>
      <c r="OB1" s="77"/>
      <c r="OC1" s="77"/>
      <c r="OD1" s="77"/>
      <c r="OE1" s="77"/>
      <c r="OF1" s="77"/>
      <c r="OG1" s="77"/>
      <c r="OH1" s="77"/>
      <c r="OI1" s="77"/>
      <c r="OJ1" s="77"/>
      <c r="OK1" s="77"/>
      <c r="OL1" s="77"/>
      <c r="OM1" s="77"/>
      <c r="ON1" s="77"/>
      <c r="OO1" s="77"/>
      <c r="OP1" s="77"/>
      <c r="OQ1" s="77"/>
      <c r="OR1" s="77"/>
      <c r="OS1" s="77"/>
      <c r="OT1" s="77"/>
      <c r="OU1" s="77"/>
      <c r="OV1" s="77"/>
      <c r="OW1" s="77"/>
      <c r="OX1" s="77"/>
      <c r="OY1" s="77"/>
      <c r="OZ1" s="77"/>
      <c r="PA1" s="77"/>
      <c r="PB1" s="77"/>
      <c r="PC1" s="77"/>
      <c r="PD1" s="77"/>
      <c r="PE1" s="77"/>
      <c r="PF1" s="77"/>
      <c r="PG1" s="77"/>
      <c r="PH1" s="77"/>
      <c r="PI1" s="77"/>
      <c r="PJ1" s="77"/>
      <c r="PK1" s="77"/>
      <c r="PL1" s="77"/>
      <c r="PM1" s="77"/>
      <c r="PN1" s="77"/>
      <c r="PO1" s="77"/>
      <c r="PP1" s="77"/>
      <c r="PQ1" s="77"/>
      <c r="PR1" s="77"/>
      <c r="PS1" s="77"/>
      <c r="PT1" s="77"/>
      <c r="PU1" s="77"/>
      <c r="PV1" s="77"/>
      <c r="PW1" s="77"/>
      <c r="PX1" s="77"/>
      <c r="PY1" s="77"/>
      <c r="PZ1" s="77"/>
      <c r="QA1" s="77"/>
      <c r="QB1" s="77"/>
      <c r="QC1" s="77"/>
      <c r="QD1" s="77"/>
      <c r="QE1" s="77"/>
      <c r="QF1" s="77"/>
      <c r="QG1" s="77"/>
      <c r="QH1" s="77"/>
      <c r="QI1" s="77"/>
      <c r="QJ1" s="77"/>
      <c r="QK1" s="77"/>
      <c r="QL1" s="77"/>
      <c r="QM1" s="77"/>
      <c r="QN1" s="77"/>
      <c r="QO1" s="77"/>
      <c r="QP1" s="77"/>
      <c r="QQ1" s="77"/>
      <c r="QR1" s="77"/>
      <c r="QS1" s="77"/>
      <c r="QT1" s="77"/>
      <c r="QU1" s="77"/>
      <c r="QV1" s="77"/>
      <c r="QW1" s="77"/>
      <c r="QX1" s="77"/>
      <c r="QY1" s="77"/>
      <c r="QZ1" s="77"/>
      <c r="RA1" s="77"/>
      <c r="RB1" s="77"/>
      <c r="RC1" s="77"/>
      <c r="RD1" s="77"/>
      <c r="RE1" s="77"/>
      <c r="RF1" s="77"/>
      <c r="RG1" s="77"/>
      <c r="RH1" s="77"/>
      <c r="RI1" s="77"/>
      <c r="RJ1" s="77"/>
      <c r="RK1" s="77"/>
      <c r="RL1" s="77"/>
      <c r="RM1" s="77"/>
      <c r="RN1" s="77"/>
      <c r="RO1" s="77"/>
      <c r="RP1" s="77"/>
      <c r="RQ1" s="77"/>
      <c r="RR1" s="77"/>
      <c r="RS1" s="77"/>
      <c r="RT1" s="77"/>
      <c r="RU1" s="77"/>
      <c r="RV1" s="77"/>
      <c r="RW1" s="77"/>
      <c r="RX1" s="77"/>
      <c r="RY1" s="77"/>
      <c r="RZ1" s="77"/>
      <c r="SA1" s="77"/>
      <c r="SB1" s="77"/>
      <c r="SC1" s="77"/>
      <c r="SD1" s="77"/>
      <c r="SE1" s="77"/>
      <c r="SF1" s="77"/>
      <c r="SG1" s="77"/>
      <c r="SH1" s="77"/>
      <c r="SI1" s="77"/>
      <c r="SJ1" s="77"/>
      <c r="SK1" s="77"/>
      <c r="SL1" s="77"/>
      <c r="SM1" s="77"/>
      <c r="SN1" s="77"/>
      <c r="SO1" s="77"/>
      <c r="SP1" s="77"/>
      <c r="SQ1" s="77"/>
      <c r="SR1" s="77"/>
      <c r="SS1" s="77"/>
      <c r="ST1" s="77"/>
      <c r="SU1" s="77"/>
      <c r="SV1" s="77"/>
      <c r="SW1" s="77"/>
      <c r="SX1" s="77"/>
      <c r="SY1" s="77"/>
      <c r="SZ1" s="77"/>
      <c r="TA1" s="77"/>
      <c r="TB1" s="77"/>
      <c r="TC1" s="77"/>
      <c r="TD1" s="77"/>
      <c r="TE1" s="77"/>
      <c r="TF1" s="77"/>
      <c r="TG1" s="77"/>
      <c r="TH1" s="77"/>
      <c r="TI1" s="77"/>
      <c r="TJ1" s="77"/>
      <c r="TK1" s="77"/>
      <c r="TL1" s="77"/>
      <c r="TM1" s="77"/>
      <c r="TN1" s="77"/>
      <c r="TO1" s="77"/>
      <c r="TP1" s="77"/>
      <c r="TQ1" s="77"/>
      <c r="TR1" s="77"/>
      <c r="TS1" s="77"/>
      <c r="TT1" s="77"/>
      <c r="TU1" s="77"/>
      <c r="TV1" s="77"/>
      <c r="TW1" s="77"/>
      <c r="TX1" s="77"/>
      <c r="TY1" s="77"/>
      <c r="TZ1" s="77"/>
      <c r="UA1" s="77"/>
      <c r="UB1" s="77"/>
      <c r="UC1" s="77"/>
      <c r="UD1" s="77"/>
      <c r="UE1" s="77"/>
      <c r="UF1" s="77"/>
      <c r="UG1" s="77"/>
      <c r="UH1" s="77"/>
      <c r="UI1" s="77"/>
      <c r="UJ1" s="77"/>
      <c r="UK1" s="77"/>
      <c r="UL1" s="77"/>
      <c r="UM1" s="77"/>
      <c r="UN1" s="77"/>
      <c r="UO1" s="77"/>
      <c r="UP1" s="77"/>
      <c r="UQ1" s="77"/>
      <c r="UR1" s="77"/>
      <c r="US1" s="77"/>
      <c r="UT1" s="77"/>
      <c r="UU1" s="77"/>
      <c r="UV1" s="77"/>
      <c r="UW1" s="77"/>
      <c r="UX1" s="77"/>
      <c r="UY1" s="77"/>
      <c r="UZ1" s="77"/>
      <c r="VA1" s="77"/>
      <c r="VB1" s="77"/>
      <c r="VC1" s="77"/>
      <c r="VD1" s="77"/>
      <c r="VE1" s="77"/>
      <c r="VF1" s="77"/>
      <c r="VG1" s="77"/>
      <c r="VH1" s="77"/>
      <c r="VI1" s="77"/>
      <c r="VJ1" s="77"/>
      <c r="VK1" s="77"/>
      <c r="VL1" s="77"/>
      <c r="VM1" s="77"/>
      <c r="VN1" s="77"/>
      <c r="VO1" s="77"/>
      <c r="VP1" s="77"/>
      <c r="VQ1" s="77"/>
      <c r="VR1" s="77"/>
      <c r="VS1" s="77"/>
      <c r="VT1" s="77"/>
      <c r="VU1" s="77"/>
      <c r="VV1" s="77"/>
      <c r="VW1" s="77"/>
      <c r="VX1" s="77"/>
      <c r="VY1" s="77"/>
      <c r="VZ1" s="77"/>
      <c r="WA1" s="77"/>
      <c r="WB1" s="77"/>
      <c r="WC1" s="77"/>
      <c r="WD1" s="77"/>
      <c r="WE1" s="77"/>
      <c r="WF1" s="77"/>
      <c r="WG1" s="77"/>
      <c r="WH1" s="77"/>
      <c r="WI1" s="77"/>
      <c r="WJ1" s="77"/>
      <c r="WK1" s="77"/>
      <c r="WL1" s="77"/>
      <c r="WM1" s="77"/>
      <c r="WN1" s="77"/>
      <c r="WO1" s="77"/>
      <c r="WP1" s="77"/>
      <c r="WQ1" s="77"/>
      <c r="WR1" s="77"/>
      <c r="WS1" s="77"/>
      <c r="WT1" s="77"/>
      <c r="WU1" s="77"/>
      <c r="WV1" s="77"/>
      <c r="WW1" s="77"/>
      <c r="WX1" s="77"/>
      <c r="WY1" s="77"/>
      <c r="WZ1" s="77"/>
      <c r="XA1" s="77"/>
      <c r="XB1" s="77"/>
      <c r="XC1" s="77"/>
      <c r="XD1" s="77"/>
      <c r="XE1" s="77"/>
      <c r="XF1" s="77"/>
      <c r="XG1" s="77"/>
      <c r="XH1" s="77"/>
      <c r="XI1" s="77"/>
      <c r="XJ1" s="77"/>
      <c r="XK1" s="77"/>
      <c r="XL1" s="77"/>
      <c r="XM1" s="77"/>
      <c r="XN1" s="77"/>
      <c r="XO1" s="77"/>
      <c r="XP1" s="77"/>
      <c r="XQ1" s="77"/>
      <c r="XR1" s="77"/>
      <c r="XS1" s="77"/>
      <c r="XT1" s="77"/>
      <c r="XU1" s="77"/>
      <c r="XV1" s="77"/>
      <c r="XW1" s="77"/>
      <c r="XX1" s="77"/>
      <c r="XY1" s="77"/>
      <c r="XZ1" s="77"/>
      <c r="YA1" s="77"/>
      <c r="YB1" s="77"/>
      <c r="YC1" s="77"/>
      <c r="YD1" s="77"/>
      <c r="YE1" s="77"/>
      <c r="YF1" s="77"/>
      <c r="YG1" s="77"/>
      <c r="YH1" s="77"/>
      <c r="YI1" s="77"/>
      <c r="YJ1" s="77"/>
      <c r="YK1" s="77"/>
      <c r="YL1" s="77"/>
      <c r="YM1" s="77"/>
      <c r="YN1" s="77"/>
      <c r="YO1" s="77"/>
      <c r="YP1" s="77"/>
      <c r="YQ1" s="77"/>
      <c r="YR1" s="77"/>
      <c r="YS1" s="77"/>
      <c r="YT1" s="77"/>
      <c r="YU1" s="77"/>
      <c r="YV1" s="77"/>
      <c r="YW1" s="77"/>
      <c r="YX1" s="77"/>
      <c r="YY1" s="77"/>
      <c r="YZ1" s="77"/>
      <c r="ZA1" s="77"/>
      <c r="ZB1" s="77"/>
      <c r="ZC1" s="77"/>
      <c r="ZD1" s="77"/>
      <c r="ZE1" s="77"/>
      <c r="ZF1" s="77"/>
      <c r="ZG1" s="77"/>
      <c r="ZH1" s="77"/>
      <c r="ZI1" s="77"/>
      <c r="ZJ1" s="77"/>
      <c r="ZK1" s="77"/>
      <c r="ZL1" s="77"/>
      <c r="ZM1" s="77"/>
      <c r="ZN1" s="77"/>
      <c r="ZO1" s="77"/>
      <c r="ZP1" s="77"/>
      <c r="ZQ1" s="77"/>
      <c r="ZR1" s="77"/>
      <c r="ZS1" s="77"/>
      <c r="ZT1" s="77"/>
      <c r="ZU1" s="77"/>
      <c r="ZV1" s="77"/>
      <c r="ZW1" s="77"/>
      <c r="ZX1" s="77"/>
      <c r="ZY1" s="77"/>
      <c r="ZZ1" s="77"/>
      <c r="AAA1" s="77"/>
      <c r="AAB1" s="77"/>
      <c r="AAC1" s="77"/>
      <c r="AAD1" s="77"/>
      <c r="AAE1" s="77"/>
      <c r="AAF1" s="77"/>
      <c r="AAG1" s="77"/>
      <c r="AAH1" s="77"/>
      <c r="AAI1" s="77"/>
      <c r="AAJ1" s="77"/>
      <c r="AAK1" s="77"/>
      <c r="AAL1" s="77"/>
      <c r="AAM1" s="77"/>
      <c r="AAN1" s="77"/>
      <c r="AAO1" s="77"/>
      <c r="AAP1" s="77"/>
      <c r="AAQ1" s="77"/>
      <c r="AAR1" s="77"/>
      <c r="AAS1" s="77"/>
      <c r="AAT1" s="77"/>
      <c r="AAU1" s="77"/>
      <c r="AAV1" s="77"/>
      <c r="AAW1" s="77"/>
      <c r="AAX1" s="77"/>
      <c r="AAY1" s="77"/>
      <c r="AAZ1" s="77"/>
      <c r="ABA1" s="77"/>
      <c r="ABB1" s="77"/>
      <c r="ABC1" s="77"/>
      <c r="ABD1" s="77"/>
      <c r="ABE1" s="77"/>
      <c r="ABF1" s="77"/>
      <c r="ABG1" s="77"/>
      <c r="ABH1" s="77"/>
      <c r="ABI1" s="77"/>
      <c r="ABJ1" s="77"/>
      <c r="ABK1" s="77"/>
      <c r="ABL1" s="77"/>
      <c r="ABM1" s="77"/>
      <c r="ABN1" s="77"/>
      <c r="ABO1" s="77"/>
      <c r="ABP1" s="77"/>
      <c r="ABQ1" s="77"/>
      <c r="ABR1" s="77"/>
      <c r="ABS1" s="77"/>
      <c r="ABT1" s="77"/>
      <c r="ABU1" s="77"/>
      <c r="ABV1" s="77"/>
      <c r="ABW1" s="77"/>
      <c r="ABX1" s="77"/>
      <c r="ABY1" s="77"/>
      <c r="ABZ1" s="77"/>
      <c r="ACA1" s="77"/>
      <c r="ACB1" s="77"/>
      <c r="ACC1" s="77"/>
      <c r="ACD1" s="77"/>
      <c r="ACE1" s="77"/>
      <c r="ACF1" s="77"/>
      <c r="ACG1" s="77"/>
      <c r="ACH1" s="77"/>
      <c r="ACI1" s="77"/>
      <c r="ACJ1" s="77"/>
      <c r="ACK1" s="77"/>
      <c r="ACL1" s="77"/>
      <c r="ACM1" s="77"/>
      <c r="ACN1" s="77"/>
      <c r="ACO1" s="77"/>
      <c r="ACP1" s="77"/>
      <c r="ACQ1" s="77"/>
      <c r="ACR1" s="77"/>
      <c r="ACS1" s="77"/>
      <c r="ACT1" s="77"/>
      <c r="ACU1" s="77"/>
      <c r="ACV1" s="77"/>
      <c r="ACW1" s="77"/>
      <c r="ACX1" s="77"/>
      <c r="ACY1" s="77"/>
      <c r="ACZ1" s="77"/>
      <c r="ADA1" s="77"/>
      <c r="ADB1" s="77"/>
      <c r="ADC1" s="77"/>
      <c r="ADD1" s="77"/>
      <c r="ADE1" s="77"/>
      <c r="ADF1" s="77"/>
      <c r="ADG1" s="77"/>
      <c r="ADH1" s="77"/>
      <c r="ADI1" s="77"/>
      <c r="ADJ1" s="77"/>
      <c r="ADK1" s="77"/>
      <c r="ADL1" s="77"/>
      <c r="ADM1" s="77"/>
      <c r="ADN1" s="77"/>
      <c r="ADO1" s="77"/>
      <c r="ADP1" s="77"/>
      <c r="ADQ1" s="77"/>
      <c r="ADR1" s="77"/>
      <c r="ADS1" s="77"/>
      <c r="ADT1" s="77"/>
      <c r="ADU1" s="77"/>
      <c r="ADV1" s="77"/>
      <c r="ADW1" s="77"/>
      <c r="ADX1" s="77"/>
      <c r="ADY1" s="77"/>
      <c r="ADZ1" s="77"/>
      <c r="AEA1" s="77"/>
      <c r="AEB1" s="77"/>
      <c r="AEC1" s="77"/>
      <c r="AED1" s="77"/>
      <c r="AEE1" s="77"/>
      <c r="AEF1" s="77"/>
      <c r="AEG1" s="77"/>
      <c r="AEH1" s="77"/>
      <c r="AEI1" s="77"/>
      <c r="AEJ1" s="77"/>
      <c r="AEK1" s="77"/>
      <c r="AEL1" s="77"/>
      <c r="AEM1" s="77"/>
      <c r="AEN1" s="77"/>
      <c r="AEO1" s="77"/>
      <c r="AEP1" s="77"/>
      <c r="AEQ1" s="77"/>
      <c r="AER1" s="77"/>
      <c r="AES1" s="77"/>
      <c r="AET1" s="77"/>
      <c r="AEU1" s="77"/>
      <c r="AEV1" s="77"/>
      <c r="AEW1" s="77"/>
      <c r="AEX1" s="77"/>
      <c r="AEY1" s="77"/>
      <c r="AEZ1" s="77"/>
      <c r="AFA1" s="77"/>
      <c r="AFB1" s="77"/>
      <c r="AFC1" s="77"/>
      <c r="AFD1" s="77"/>
      <c r="AFE1" s="77"/>
      <c r="AFF1" s="77"/>
      <c r="AFG1" s="77"/>
      <c r="AFH1" s="77"/>
      <c r="AFI1" s="77"/>
      <c r="AFJ1" s="77"/>
      <c r="AFK1" s="77"/>
      <c r="AFL1" s="77"/>
      <c r="AFM1" s="77"/>
      <c r="AFN1" s="77"/>
      <c r="AFO1" s="77"/>
      <c r="AFP1" s="77"/>
      <c r="AFQ1" s="77"/>
      <c r="AFR1" s="77"/>
      <c r="AFS1" s="77"/>
      <c r="AFT1" s="77"/>
      <c r="AFU1" s="77"/>
      <c r="AFV1" s="77"/>
      <c r="AFW1" s="77"/>
      <c r="AFX1" s="77"/>
      <c r="AFY1" s="77"/>
      <c r="AFZ1" s="77"/>
      <c r="AGA1" s="77"/>
      <c r="AGB1" s="77"/>
      <c r="AGC1" s="77"/>
      <c r="AGD1" s="77"/>
      <c r="AGE1" s="77"/>
      <c r="AGF1" s="77"/>
      <c r="AGG1" s="77"/>
      <c r="AGH1" s="77"/>
      <c r="AGI1" s="77"/>
      <c r="AGJ1" s="77"/>
      <c r="AGK1" s="77"/>
      <c r="AGL1" s="77"/>
      <c r="AGM1" s="77"/>
      <c r="AGN1" s="77"/>
      <c r="AGO1" s="77"/>
      <c r="AGP1" s="77"/>
      <c r="AGQ1" s="77"/>
      <c r="AGR1" s="77"/>
      <c r="AGS1" s="77"/>
      <c r="AGT1" s="77"/>
      <c r="AGU1" s="77"/>
      <c r="AGV1" s="77"/>
      <c r="AGW1" s="77"/>
      <c r="AGX1" s="77"/>
      <c r="AGY1" s="77"/>
      <c r="AGZ1" s="77"/>
      <c r="AHA1" s="77"/>
      <c r="AHB1" s="77"/>
      <c r="AHC1" s="77"/>
      <c r="AHD1" s="77"/>
      <c r="AHE1" s="77"/>
      <c r="AHF1" s="77"/>
      <c r="AHG1" s="77"/>
      <c r="AHH1" s="77"/>
      <c r="AHI1" s="77"/>
      <c r="AHJ1" s="77"/>
      <c r="AHK1" s="77"/>
      <c r="AHL1" s="77"/>
      <c r="AHM1" s="77"/>
      <c r="AHN1" s="77"/>
      <c r="AHO1" s="77"/>
      <c r="AHP1" s="77"/>
      <c r="AHQ1" s="77"/>
      <c r="AHR1" s="77"/>
      <c r="AHS1" s="77"/>
      <c r="AHT1" s="77"/>
      <c r="AHU1" s="77"/>
      <c r="AHV1" s="77"/>
      <c r="AHW1" s="77"/>
      <c r="AHX1" s="77"/>
      <c r="AHY1" s="77"/>
      <c r="AHZ1" s="77"/>
      <c r="AIA1" s="77"/>
      <c r="AIB1" s="77"/>
      <c r="AIC1" s="77"/>
      <c r="AID1" s="77"/>
      <c r="AIE1" s="77"/>
      <c r="AIF1" s="77"/>
      <c r="AIG1" s="77"/>
      <c r="AIH1" s="77"/>
      <c r="AII1" s="77"/>
      <c r="AIJ1" s="77"/>
      <c r="AIK1" s="77"/>
      <c r="AIL1" s="77"/>
      <c r="AIM1" s="77"/>
      <c r="AIN1" s="77"/>
      <c r="AIO1" s="77"/>
      <c r="AIP1" s="77"/>
      <c r="AIQ1" s="77"/>
      <c r="AIR1" s="77"/>
      <c r="AIS1" s="77"/>
      <c r="AIT1" s="77"/>
      <c r="AIU1" s="77"/>
      <c r="AIV1" s="77"/>
      <c r="AIW1" s="77"/>
      <c r="AIX1" s="77"/>
      <c r="AIY1" s="77"/>
      <c r="AIZ1" s="77"/>
      <c r="AJA1" s="77"/>
      <c r="AJB1" s="77"/>
      <c r="AJC1" s="77"/>
      <c r="AJD1" s="77"/>
      <c r="AJE1" s="77"/>
      <c r="AJF1" s="77"/>
      <c r="AJG1" s="77"/>
      <c r="AJH1" s="77"/>
      <c r="AJI1" s="77"/>
      <c r="AJJ1" s="77"/>
      <c r="AJK1" s="77"/>
      <c r="AJL1" s="77"/>
      <c r="AJM1" s="77"/>
      <c r="AJN1" s="77"/>
      <c r="AJO1" s="77"/>
      <c r="AJP1" s="77"/>
      <c r="AJQ1" s="77"/>
      <c r="AJR1" s="77"/>
      <c r="AJS1" s="77"/>
      <c r="AJT1" s="77"/>
      <c r="AJU1" s="77"/>
      <c r="AJV1" s="77"/>
      <c r="AJW1" s="77"/>
      <c r="AJX1" s="77"/>
      <c r="AJY1" s="77"/>
      <c r="AJZ1" s="77"/>
      <c r="AKA1" s="77"/>
      <c r="AKB1" s="77"/>
      <c r="AKC1" s="77"/>
      <c r="AKD1" s="77"/>
      <c r="AKE1" s="77"/>
      <c r="AKF1" s="77"/>
      <c r="AKG1" s="77"/>
      <c r="AKH1" s="77"/>
      <c r="AKI1" s="77"/>
      <c r="AKJ1" s="77"/>
      <c r="AKK1" s="77"/>
      <c r="AKL1" s="77"/>
      <c r="AKM1" s="77"/>
      <c r="AKN1" s="77"/>
      <c r="AKO1" s="77"/>
      <c r="AKP1" s="77"/>
      <c r="AKQ1" s="77"/>
      <c r="AKR1" s="77"/>
      <c r="AKS1" s="77"/>
      <c r="AKT1" s="77"/>
      <c r="AKU1" s="77"/>
      <c r="AKV1" s="77"/>
      <c r="AKW1" s="77"/>
      <c r="AKX1" s="77"/>
      <c r="AKY1" s="77"/>
      <c r="AKZ1" s="77"/>
      <c r="ALA1" s="77"/>
      <c r="ALB1" s="77"/>
      <c r="ALC1" s="77"/>
      <c r="ALD1" s="77"/>
      <c r="ALE1" s="77"/>
      <c r="ALF1" s="77"/>
      <c r="ALG1" s="77"/>
      <c r="ALH1" s="77"/>
      <c r="ALI1" s="77"/>
      <c r="ALJ1" s="77"/>
      <c r="ALK1" s="77"/>
      <c r="ALL1" s="77"/>
      <c r="ALM1" s="77"/>
      <c r="ALN1" s="77"/>
      <c r="ALO1" s="77"/>
      <c r="ALP1" s="77"/>
      <c r="ALQ1" s="77"/>
      <c r="ALR1" s="77"/>
      <c r="ALS1" s="77"/>
      <c r="ALT1" s="77"/>
      <c r="ALU1" s="77"/>
      <c r="ALV1" s="77"/>
      <c r="ALW1" s="77"/>
      <c r="ALX1" s="77"/>
      <c r="ALY1" s="77"/>
      <c r="ALZ1" s="77"/>
      <c r="AMA1" s="77"/>
      <c r="AMB1" s="77"/>
      <c r="AMC1" s="77"/>
      <c r="AMD1" s="77"/>
      <c r="AME1" s="77"/>
      <c r="AMF1" s="77"/>
      <c r="AMG1" s="77"/>
      <c r="AMH1" s="77"/>
      <c r="AMI1" s="77"/>
      <c r="AMJ1" s="77"/>
      <c r="AMK1" s="77"/>
      <c r="AML1" s="77"/>
      <c r="AMM1" s="77"/>
      <c r="AMN1" s="77"/>
      <c r="AMO1" s="77"/>
      <c r="AMP1" s="77"/>
      <c r="AMQ1" s="77"/>
      <c r="AMR1" s="77"/>
      <c r="AMS1" s="77"/>
      <c r="AMT1" s="77"/>
      <c r="AMU1" s="77"/>
      <c r="AMV1" s="77"/>
      <c r="AMW1" s="77"/>
      <c r="AMX1" s="77"/>
      <c r="AMY1" s="77"/>
      <c r="AMZ1" s="77"/>
      <c r="ANA1" s="77"/>
      <c r="ANB1" s="77"/>
      <c r="ANC1" s="77"/>
      <c r="AND1" s="77"/>
      <c r="ANE1" s="77"/>
      <c r="ANF1" s="77"/>
      <c r="ANG1" s="77"/>
      <c r="ANH1" s="77"/>
      <c r="ANI1" s="77"/>
      <c r="ANJ1" s="77"/>
      <c r="ANK1" s="77"/>
      <c r="ANL1" s="77"/>
      <c r="ANM1" s="77"/>
      <c r="ANN1" s="77"/>
      <c r="ANO1" s="77"/>
      <c r="ANP1" s="77"/>
      <c r="ANQ1" s="77"/>
      <c r="ANR1" s="77"/>
      <c r="ANS1" s="77"/>
      <c r="ANT1" s="77"/>
      <c r="ANU1" s="77"/>
      <c r="ANV1" s="77"/>
      <c r="ANW1" s="77"/>
      <c r="ANX1" s="77"/>
      <c r="ANY1" s="77"/>
      <c r="ANZ1" s="77"/>
      <c r="AOA1" s="77"/>
      <c r="AOB1" s="77"/>
      <c r="AOC1" s="77"/>
      <c r="AOD1" s="77"/>
      <c r="AOE1" s="77"/>
      <c r="AOF1" s="77"/>
      <c r="AOG1" s="77"/>
      <c r="AOH1" s="77"/>
      <c r="AOI1" s="77"/>
      <c r="AOJ1" s="77"/>
      <c r="AOK1" s="77"/>
      <c r="AOL1" s="77"/>
      <c r="AOM1" s="77"/>
      <c r="AON1" s="77"/>
      <c r="AOO1" s="77"/>
      <c r="AOP1" s="77"/>
      <c r="AOQ1" s="77"/>
      <c r="AOR1" s="77"/>
      <c r="AOS1" s="77"/>
      <c r="AOT1" s="77"/>
      <c r="AOU1" s="77"/>
      <c r="AOV1" s="77"/>
      <c r="AOW1" s="77"/>
      <c r="AOX1" s="77"/>
      <c r="AOY1" s="77"/>
      <c r="AOZ1" s="77"/>
      <c r="APA1" s="77"/>
      <c r="APB1" s="77"/>
      <c r="APC1" s="77"/>
      <c r="APD1" s="77"/>
      <c r="APE1" s="77"/>
      <c r="APF1" s="77"/>
      <c r="APG1" s="77"/>
      <c r="APH1" s="77"/>
      <c r="API1" s="77"/>
      <c r="APJ1" s="77"/>
      <c r="APK1" s="77"/>
      <c r="APL1" s="77"/>
      <c r="APM1" s="77"/>
      <c r="APN1" s="77"/>
      <c r="APO1" s="77"/>
      <c r="APP1" s="77"/>
      <c r="APQ1" s="77"/>
      <c r="APR1" s="77"/>
      <c r="APS1" s="77"/>
      <c r="APT1" s="77"/>
      <c r="APU1" s="77"/>
      <c r="APV1" s="77"/>
      <c r="APW1" s="77"/>
      <c r="APX1" s="77"/>
      <c r="APY1" s="77"/>
      <c r="APZ1" s="77"/>
      <c r="AQA1" s="77"/>
      <c r="AQB1" s="77"/>
      <c r="AQC1" s="77"/>
      <c r="AQD1" s="77"/>
      <c r="AQE1" s="77"/>
      <c r="AQF1" s="77"/>
      <c r="AQG1" s="77"/>
      <c r="AQH1" s="77"/>
      <c r="AQI1" s="77"/>
      <c r="AQJ1" s="77"/>
      <c r="AQK1" s="77"/>
      <c r="AQL1" s="77"/>
      <c r="AQM1" s="77"/>
      <c r="AQN1" s="77"/>
      <c r="AQO1" s="77"/>
      <c r="AQP1" s="77"/>
      <c r="AQQ1" s="77"/>
      <c r="AQR1" s="77"/>
      <c r="AQS1" s="77"/>
      <c r="AQT1" s="77"/>
      <c r="AQU1" s="77"/>
      <c r="AQV1" s="77"/>
      <c r="AQW1" s="77"/>
      <c r="AQX1" s="77"/>
      <c r="AQY1" s="77"/>
      <c r="AQZ1" s="77"/>
      <c r="ARA1" s="77"/>
      <c r="ARB1" s="77"/>
      <c r="ARC1" s="77"/>
      <c r="ARD1" s="77"/>
      <c r="ARE1" s="77"/>
      <c r="ARF1" s="77"/>
      <c r="ARG1" s="77"/>
      <c r="ARH1" s="77"/>
      <c r="ARI1" s="77"/>
      <c r="ARJ1" s="77"/>
      <c r="ARK1" s="77"/>
      <c r="ARL1" s="77"/>
      <c r="ARM1" s="77"/>
      <c r="ARN1" s="77"/>
      <c r="ARO1" s="77"/>
      <c r="ARP1" s="77"/>
      <c r="ARQ1" s="77"/>
      <c r="ARR1" s="77"/>
      <c r="ARS1" s="77"/>
      <c r="ART1" s="77"/>
      <c r="ARU1" s="77"/>
      <c r="ARV1" s="77"/>
      <c r="ARW1" s="77"/>
      <c r="ARX1" s="77"/>
      <c r="ARY1" s="77"/>
      <c r="ARZ1" s="77"/>
      <c r="ASA1" s="77"/>
      <c r="ASB1" s="77"/>
      <c r="ASC1" s="77"/>
      <c r="ASD1" s="77"/>
      <c r="ASE1" s="77"/>
      <c r="ASF1" s="77"/>
      <c r="ASG1" s="77"/>
      <c r="ASH1" s="77"/>
      <c r="ASI1" s="77"/>
      <c r="ASJ1" s="77"/>
      <c r="ASK1" s="77"/>
      <c r="ASL1" s="77"/>
      <c r="ASM1" s="77"/>
      <c r="ASN1" s="77"/>
      <c r="ASO1" s="77"/>
      <c r="ASP1" s="77"/>
      <c r="ASQ1" s="77"/>
      <c r="ASR1" s="77"/>
      <c r="ASS1" s="77"/>
      <c r="AST1" s="77"/>
      <c r="ASU1" s="77"/>
      <c r="ASV1" s="77"/>
      <c r="ASW1" s="77"/>
      <c r="ASX1" s="77"/>
      <c r="ASY1" s="77"/>
      <c r="ASZ1" s="77"/>
      <c r="ATA1" s="77"/>
      <c r="ATB1" s="77"/>
      <c r="ATC1" s="77"/>
      <c r="ATD1" s="77"/>
      <c r="ATE1" s="77"/>
      <c r="ATF1" s="77"/>
      <c r="ATG1" s="77"/>
      <c r="ATH1" s="77"/>
      <c r="ATI1" s="77"/>
      <c r="ATJ1" s="77"/>
      <c r="ATK1" s="77"/>
      <c r="ATL1" s="77"/>
      <c r="ATM1" s="77"/>
      <c r="ATN1" s="77"/>
      <c r="ATO1" s="77"/>
      <c r="ATP1" s="77"/>
      <c r="ATQ1" s="77"/>
      <c r="ATR1" s="77"/>
      <c r="ATS1" s="77"/>
      <c r="ATT1" s="77"/>
      <c r="ATU1" s="77"/>
      <c r="ATV1" s="77"/>
      <c r="ATW1" s="77"/>
      <c r="ATX1" s="77"/>
      <c r="ATY1" s="77"/>
      <c r="ATZ1" s="77"/>
      <c r="AUA1" s="77"/>
      <c r="AUB1" s="77"/>
      <c r="AUC1" s="77"/>
      <c r="AUD1" s="77"/>
      <c r="AUE1" s="77"/>
      <c r="AUF1" s="77"/>
      <c r="AUG1" s="77"/>
      <c r="AUH1" s="77"/>
      <c r="AUI1" s="77"/>
      <c r="AUJ1" s="77"/>
      <c r="AUK1" s="77"/>
      <c r="AUL1" s="77"/>
      <c r="AUM1" s="77"/>
      <c r="AUN1" s="77"/>
      <c r="AUO1" s="77"/>
      <c r="AUP1" s="77"/>
      <c r="AUQ1" s="77"/>
      <c r="AUR1" s="77"/>
      <c r="AUS1" s="77"/>
      <c r="AUT1" s="77"/>
      <c r="AUU1" s="77"/>
      <c r="AUV1" s="77"/>
      <c r="AUW1" s="77"/>
      <c r="AUX1" s="77"/>
      <c r="AUY1" s="77"/>
      <c r="AUZ1" s="77"/>
      <c r="AVA1" s="77"/>
      <c r="AVB1" s="77"/>
      <c r="AVC1" s="77"/>
      <c r="AVD1" s="77"/>
      <c r="AVE1" s="77"/>
      <c r="AVF1" s="77"/>
      <c r="AVG1" s="77"/>
      <c r="AVH1" s="77"/>
      <c r="AVI1" s="77"/>
      <c r="AVJ1" s="77"/>
      <c r="AVK1" s="77"/>
      <c r="AVL1" s="77"/>
      <c r="AVM1" s="77"/>
      <c r="AVN1" s="77"/>
      <c r="AVO1" s="77"/>
      <c r="AVP1" s="77"/>
      <c r="AVQ1" s="77"/>
      <c r="AVR1" s="77"/>
      <c r="AVS1" s="77"/>
      <c r="AVT1" s="77"/>
      <c r="AVU1" s="77"/>
      <c r="AVV1" s="77"/>
      <c r="AVW1" s="77"/>
      <c r="AVX1" s="77"/>
      <c r="AVY1" s="77"/>
      <c r="AVZ1" s="77"/>
      <c r="AWA1" s="77"/>
      <c r="AWB1" s="77"/>
      <c r="AWC1" s="77"/>
      <c r="AWD1" s="77"/>
      <c r="AWE1" s="77"/>
      <c r="AWF1" s="77"/>
      <c r="AWG1" s="77"/>
      <c r="AWH1" s="77"/>
      <c r="AWI1" s="77"/>
      <c r="AWJ1" s="77"/>
      <c r="AWK1" s="77"/>
      <c r="AWL1" s="77"/>
      <c r="AWM1" s="77"/>
      <c r="AWN1" s="77"/>
      <c r="AWO1" s="77"/>
      <c r="AWP1" s="77"/>
      <c r="AWQ1" s="77"/>
      <c r="AWR1" s="77"/>
      <c r="AWS1" s="77"/>
      <c r="AWT1" s="77"/>
      <c r="AWU1" s="77"/>
      <c r="AWV1" s="77"/>
      <c r="AWW1" s="77"/>
      <c r="AWX1" s="77"/>
      <c r="AWY1" s="77"/>
      <c r="AWZ1" s="77"/>
      <c r="AXA1" s="77"/>
      <c r="AXB1" s="77"/>
      <c r="AXC1" s="77"/>
      <c r="AXD1" s="77"/>
      <c r="AXE1" s="77"/>
      <c r="AXF1" s="77"/>
      <c r="AXG1" s="77"/>
      <c r="AXH1" s="77"/>
      <c r="AXI1" s="77"/>
      <c r="AXJ1" s="77"/>
      <c r="AXK1" s="77"/>
      <c r="AXL1" s="77"/>
      <c r="AXM1" s="77"/>
      <c r="AXN1" s="77"/>
      <c r="AXO1" s="77"/>
      <c r="AXP1" s="77"/>
      <c r="AXQ1" s="77"/>
      <c r="AXR1" s="77"/>
      <c r="AXS1" s="77"/>
      <c r="AXT1" s="77"/>
      <c r="AXU1" s="77"/>
      <c r="AXV1" s="77"/>
      <c r="AXW1" s="77"/>
      <c r="AXX1" s="77"/>
      <c r="AXY1" s="77"/>
      <c r="AXZ1" s="77"/>
      <c r="AYA1" s="77"/>
      <c r="AYB1" s="77"/>
      <c r="AYC1" s="77"/>
      <c r="AYD1" s="77"/>
      <c r="AYE1" s="77"/>
      <c r="AYF1" s="77"/>
      <c r="AYG1" s="77"/>
      <c r="AYH1" s="77"/>
      <c r="AYI1" s="77"/>
      <c r="AYJ1" s="77"/>
      <c r="AYK1" s="77"/>
      <c r="AYL1" s="77"/>
      <c r="AYM1" s="77"/>
      <c r="AYN1" s="77"/>
      <c r="AYO1" s="77"/>
      <c r="AYP1" s="77"/>
      <c r="AYQ1" s="77"/>
      <c r="AYR1" s="77"/>
      <c r="AYS1" s="77"/>
      <c r="AYT1" s="77"/>
      <c r="AYU1" s="77"/>
      <c r="AYV1" s="77"/>
      <c r="AYW1" s="77"/>
      <c r="AYX1" s="77"/>
      <c r="AYY1" s="77"/>
      <c r="AYZ1" s="77"/>
      <c r="AZA1" s="77"/>
      <c r="AZB1" s="77"/>
      <c r="AZC1" s="77"/>
      <c r="AZD1" s="77"/>
      <c r="AZE1" s="77"/>
      <c r="AZF1" s="77"/>
      <c r="AZG1" s="77"/>
      <c r="AZH1" s="77"/>
      <c r="AZI1" s="77"/>
      <c r="AZJ1" s="77"/>
      <c r="AZK1" s="77"/>
      <c r="AZL1" s="77"/>
      <c r="AZM1" s="77"/>
      <c r="AZN1" s="77"/>
      <c r="AZO1" s="77"/>
      <c r="AZP1" s="77"/>
      <c r="AZQ1" s="77"/>
      <c r="AZR1" s="77"/>
      <c r="AZS1" s="77"/>
      <c r="AZT1" s="77"/>
      <c r="AZU1" s="77"/>
      <c r="AZV1" s="77"/>
      <c r="AZW1" s="77"/>
      <c r="AZX1" s="77"/>
      <c r="AZY1" s="77"/>
      <c r="AZZ1" s="77"/>
      <c r="BAA1" s="77"/>
      <c r="BAB1" s="77"/>
      <c r="BAC1" s="77"/>
      <c r="BAD1" s="77"/>
      <c r="BAE1" s="77"/>
      <c r="BAF1" s="77"/>
      <c r="BAG1" s="77"/>
      <c r="BAH1" s="77"/>
      <c r="BAI1" s="77"/>
      <c r="BAJ1" s="77"/>
      <c r="BAK1" s="77"/>
      <c r="BAL1" s="77"/>
      <c r="BAM1" s="77"/>
      <c r="BAN1" s="77"/>
      <c r="BAO1" s="77"/>
      <c r="BAP1" s="77"/>
      <c r="BAQ1" s="77"/>
      <c r="BAR1" s="77"/>
      <c r="BAS1" s="77"/>
      <c r="BAT1" s="77"/>
      <c r="BAU1" s="77"/>
      <c r="BAV1" s="77"/>
      <c r="BAW1" s="77"/>
      <c r="BAX1" s="77"/>
      <c r="BAY1" s="77"/>
      <c r="BAZ1" s="77"/>
      <c r="BBA1" s="77"/>
      <c r="BBB1" s="77"/>
      <c r="BBC1" s="77"/>
      <c r="BBD1" s="77"/>
      <c r="BBE1" s="77"/>
      <c r="BBF1" s="77"/>
      <c r="BBG1" s="77"/>
      <c r="BBH1" s="77"/>
      <c r="BBI1" s="77"/>
      <c r="BBJ1" s="77"/>
      <c r="BBK1" s="77"/>
      <c r="BBL1" s="77"/>
      <c r="BBM1" s="77"/>
      <c r="BBN1" s="77"/>
      <c r="BBO1" s="77"/>
      <c r="BBP1" s="77"/>
      <c r="BBQ1" s="77"/>
      <c r="BBR1" s="77"/>
      <c r="BBS1" s="77"/>
      <c r="BBT1" s="77"/>
      <c r="BBU1" s="77"/>
      <c r="BBV1" s="77"/>
      <c r="BBW1" s="77"/>
      <c r="BBX1" s="77"/>
      <c r="BBY1" s="77"/>
      <c r="BBZ1" s="77"/>
      <c r="BCA1" s="77"/>
      <c r="BCB1" s="77"/>
      <c r="BCC1" s="77"/>
      <c r="BCD1" s="77"/>
      <c r="BCE1" s="77"/>
      <c r="BCF1" s="77"/>
      <c r="BCG1" s="77"/>
      <c r="BCH1" s="77"/>
      <c r="BCI1" s="77"/>
      <c r="BCJ1" s="77"/>
      <c r="BCK1" s="77"/>
      <c r="BCL1" s="77"/>
      <c r="BCM1" s="77"/>
      <c r="BCN1" s="77"/>
      <c r="BCO1" s="77"/>
      <c r="BCP1" s="77"/>
      <c r="BCQ1" s="77"/>
      <c r="BCR1" s="77"/>
      <c r="BCS1" s="77"/>
      <c r="BCT1" s="77"/>
      <c r="BCU1" s="77"/>
      <c r="BCV1" s="77"/>
      <c r="BCW1" s="77"/>
      <c r="BCX1" s="77"/>
      <c r="BCY1" s="77"/>
      <c r="BCZ1" s="77"/>
      <c r="BDA1" s="77"/>
      <c r="BDB1" s="77"/>
      <c r="BDC1" s="77"/>
      <c r="BDD1" s="77"/>
      <c r="BDE1" s="77"/>
      <c r="BDF1" s="77"/>
      <c r="BDG1" s="77"/>
      <c r="BDH1" s="77"/>
      <c r="BDI1" s="77"/>
      <c r="BDJ1" s="77"/>
      <c r="BDK1" s="77"/>
      <c r="BDL1" s="77"/>
      <c r="BDM1" s="77"/>
      <c r="BDN1" s="77"/>
      <c r="BDO1" s="77"/>
      <c r="BDP1" s="77"/>
      <c r="BDQ1" s="77"/>
      <c r="BDR1" s="77"/>
      <c r="BDS1" s="77"/>
      <c r="BDT1" s="77"/>
      <c r="BDU1" s="77"/>
      <c r="BDV1" s="77"/>
      <c r="BDW1" s="77"/>
      <c r="BDX1" s="77"/>
      <c r="BDY1" s="77"/>
      <c r="BDZ1" s="77"/>
      <c r="BEA1" s="77"/>
      <c r="BEB1" s="77"/>
      <c r="BEC1" s="77"/>
      <c r="BED1" s="77"/>
      <c r="BEE1" s="77"/>
      <c r="BEF1" s="77"/>
      <c r="BEG1" s="77"/>
      <c r="BEH1" s="77"/>
      <c r="BEI1" s="77"/>
      <c r="BEJ1" s="77"/>
      <c r="BEK1" s="77"/>
      <c r="BEL1" s="77"/>
      <c r="BEM1" s="77"/>
      <c r="BEN1" s="77"/>
      <c r="BEO1" s="77"/>
      <c r="BEP1" s="77"/>
      <c r="BEQ1" s="77"/>
      <c r="BER1" s="77"/>
      <c r="BES1" s="77"/>
      <c r="BET1" s="77"/>
      <c r="BEU1" s="77"/>
      <c r="BEV1" s="77"/>
      <c r="BEW1" s="77"/>
      <c r="BEX1" s="77"/>
      <c r="BEY1" s="77"/>
      <c r="BEZ1" s="77"/>
      <c r="BFA1" s="77"/>
      <c r="BFB1" s="77"/>
      <c r="BFC1" s="77"/>
      <c r="BFD1" s="77"/>
      <c r="BFE1" s="77"/>
      <c r="BFF1" s="77"/>
      <c r="BFG1" s="77"/>
      <c r="BFH1" s="77"/>
      <c r="BFI1" s="77"/>
      <c r="BFJ1" s="77"/>
      <c r="BFK1" s="77"/>
      <c r="BFL1" s="77"/>
      <c r="BFM1" s="77"/>
      <c r="BFN1" s="77"/>
      <c r="BFO1" s="77"/>
      <c r="BFP1" s="77"/>
      <c r="BFQ1" s="77"/>
      <c r="BFR1" s="77"/>
      <c r="BFS1" s="77"/>
      <c r="BFT1" s="77"/>
      <c r="BFU1" s="77"/>
      <c r="BFV1" s="77"/>
      <c r="BFW1" s="77"/>
      <c r="BFX1" s="77"/>
      <c r="BFY1" s="77"/>
      <c r="BFZ1" s="77"/>
      <c r="BGA1" s="77"/>
      <c r="BGB1" s="77"/>
      <c r="BGC1" s="77"/>
      <c r="BGD1" s="77"/>
      <c r="BGE1" s="77"/>
      <c r="BGF1" s="77"/>
      <c r="BGG1" s="77"/>
      <c r="BGH1" s="77"/>
      <c r="BGI1" s="77"/>
      <c r="BGJ1" s="77"/>
      <c r="BGK1" s="77"/>
      <c r="BGL1" s="77"/>
      <c r="BGM1" s="77"/>
      <c r="BGN1" s="77"/>
      <c r="BGO1" s="77"/>
      <c r="BGP1" s="77"/>
      <c r="BGQ1" s="77"/>
      <c r="BGR1" s="77"/>
      <c r="BGS1" s="77"/>
      <c r="BGT1" s="77"/>
      <c r="BGU1" s="77"/>
      <c r="BGV1" s="77"/>
      <c r="BGW1" s="77"/>
      <c r="BGX1" s="77"/>
      <c r="BGY1" s="77"/>
      <c r="BGZ1" s="77"/>
      <c r="BHA1" s="77"/>
      <c r="BHB1" s="77"/>
      <c r="BHC1" s="77"/>
      <c r="BHD1" s="77"/>
      <c r="BHE1" s="77"/>
      <c r="BHF1" s="77"/>
      <c r="BHG1" s="77"/>
      <c r="BHH1" s="77"/>
      <c r="BHI1" s="77"/>
      <c r="BHJ1" s="77"/>
      <c r="BHK1" s="77"/>
      <c r="BHL1" s="77"/>
      <c r="BHM1" s="77"/>
      <c r="BHN1" s="77"/>
      <c r="BHO1" s="77"/>
      <c r="BHP1" s="77"/>
      <c r="BHQ1" s="77"/>
      <c r="BHR1" s="77"/>
      <c r="BHS1" s="77"/>
      <c r="BHT1" s="77"/>
      <c r="BHU1" s="77"/>
      <c r="BHV1" s="77"/>
      <c r="BHW1" s="77"/>
      <c r="BHX1" s="77"/>
      <c r="BHY1" s="77"/>
      <c r="BHZ1" s="77"/>
      <c r="BIA1" s="77"/>
      <c r="BIB1" s="77"/>
      <c r="BIC1" s="77"/>
      <c r="BID1" s="77"/>
      <c r="BIE1" s="77"/>
      <c r="BIF1" s="77"/>
      <c r="BIG1" s="77"/>
      <c r="BIH1" s="77"/>
      <c r="BII1" s="77"/>
      <c r="BIJ1" s="77"/>
      <c r="BIK1" s="77"/>
      <c r="BIL1" s="77"/>
      <c r="BIM1" s="77"/>
      <c r="BIN1" s="77"/>
      <c r="BIO1" s="77"/>
      <c r="BIP1" s="77"/>
      <c r="BIQ1" s="77"/>
      <c r="BIR1" s="77"/>
      <c r="BIS1" s="77"/>
      <c r="BIT1" s="77"/>
      <c r="BIU1" s="77"/>
      <c r="BIV1" s="77"/>
      <c r="BIW1" s="77"/>
      <c r="BIX1" s="77"/>
      <c r="BIY1" s="77"/>
      <c r="BIZ1" s="77"/>
      <c r="BJA1" s="77"/>
      <c r="BJB1" s="77"/>
      <c r="BJC1" s="77"/>
      <c r="BJD1" s="77"/>
      <c r="BJE1" s="77"/>
      <c r="BJF1" s="77"/>
      <c r="BJG1" s="77"/>
      <c r="BJH1" s="77"/>
      <c r="BJI1" s="77"/>
      <c r="BJJ1" s="77"/>
      <c r="BJK1" s="77"/>
      <c r="BJL1" s="77"/>
      <c r="BJM1" s="77"/>
      <c r="BJN1" s="77"/>
      <c r="BJO1" s="77"/>
      <c r="BJP1" s="77"/>
      <c r="BJQ1" s="77"/>
      <c r="BJR1" s="77"/>
      <c r="BJS1" s="77"/>
      <c r="BJT1" s="77"/>
      <c r="BJU1" s="77"/>
      <c r="BJV1" s="77"/>
      <c r="BJW1" s="77"/>
      <c r="BJX1" s="77"/>
      <c r="BJY1" s="77"/>
      <c r="BJZ1" s="77"/>
      <c r="BKA1" s="77"/>
      <c r="BKB1" s="77"/>
      <c r="BKC1" s="77"/>
      <c r="BKD1" s="77"/>
      <c r="BKE1" s="77"/>
      <c r="BKF1" s="77"/>
      <c r="BKG1" s="77"/>
      <c r="BKH1" s="77"/>
      <c r="BKI1" s="77"/>
      <c r="BKJ1" s="77"/>
      <c r="BKK1" s="77"/>
      <c r="BKL1" s="77"/>
      <c r="BKM1" s="77"/>
      <c r="BKN1" s="77"/>
      <c r="BKO1" s="77"/>
      <c r="BKP1" s="77"/>
      <c r="BKQ1" s="77"/>
      <c r="BKR1" s="77"/>
      <c r="BKS1" s="77"/>
      <c r="BKT1" s="77"/>
      <c r="BKU1" s="77"/>
      <c r="BKV1" s="77"/>
      <c r="BKW1" s="77"/>
      <c r="BKX1" s="77"/>
      <c r="BKY1" s="77"/>
      <c r="BKZ1" s="77"/>
      <c r="BLA1" s="77"/>
      <c r="BLB1" s="77"/>
      <c r="BLC1" s="77"/>
      <c r="BLD1" s="77"/>
      <c r="BLE1" s="77"/>
      <c r="BLF1" s="77"/>
      <c r="BLG1" s="77"/>
      <c r="BLH1" s="77"/>
      <c r="BLI1" s="77"/>
      <c r="BLJ1" s="77"/>
      <c r="BLK1" s="77"/>
      <c r="BLL1" s="77"/>
      <c r="BLM1" s="77"/>
      <c r="BLN1" s="77"/>
      <c r="BLO1" s="77"/>
      <c r="BLP1" s="77"/>
      <c r="BLQ1" s="77"/>
      <c r="BLR1" s="77"/>
      <c r="BLS1" s="77"/>
      <c r="BLT1" s="77"/>
      <c r="BLU1" s="77"/>
      <c r="BLV1" s="77"/>
      <c r="BLW1" s="77"/>
      <c r="BLX1" s="77"/>
      <c r="BLY1" s="77"/>
      <c r="BLZ1" s="77"/>
      <c r="BMA1" s="77"/>
      <c r="BMB1" s="77"/>
      <c r="BMC1" s="77"/>
      <c r="BMD1" s="77"/>
      <c r="BME1" s="77"/>
      <c r="BMF1" s="77"/>
      <c r="BMG1" s="77"/>
      <c r="BMH1" s="77"/>
      <c r="BMI1" s="77"/>
      <c r="BMJ1" s="77"/>
      <c r="BMK1" s="77"/>
      <c r="BML1" s="77"/>
      <c r="BMM1" s="77"/>
      <c r="BMN1" s="77"/>
      <c r="BMO1" s="77"/>
      <c r="BMP1" s="77"/>
      <c r="BMQ1" s="77"/>
      <c r="BMR1" s="77"/>
      <c r="BMS1" s="77"/>
      <c r="BMT1" s="77"/>
      <c r="BMU1" s="77"/>
      <c r="BMV1" s="77"/>
      <c r="BMW1" s="77"/>
      <c r="BMX1" s="77"/>
      <c r="BMY1" s="77"/>
      <c r="BMZ1" s="77"/>
      <c r="BNA1" s="77"/>
      <c r="BNB1" s="77"/>
      <c r="BNC1" s="77"/>
      <c r="BND1" s="77"/>
      <c r="BNE1" s="77"/>
      <c r="BNF1" s="77"/>
      <c r="BNG1" s="77"/>
      <c r="BNH1" s="77"/>
      <c r="BNI1" s="77"/>
      <c r="BNJ1" s="77"/>
      <c r="BNK1" s="77"/>
      <c r="BNL1" s="77"/>
      <c r="BNM1" s="77"/>
      <c r="BNN1" s="77"/>
      <c r="BNO1" s="77"/>
      <c r="BNP1" s="77"/>
      <c r="BNQ1" s="77"/>
      <c r="BNR1" s="77"/>
      <c r="BNS1" s="77"/>
      <c r="BNT1" s="77"/>
      <c r="BNU1" s="77"/>
      <c r="BNV1" s="77"/>
      <c r="BNW1" s="77"/>
      <c r="BNX1" s="77"/>
      <c r="BNY1" s="77"/>
      <c r="BNZ1" s="77"/>
      <c r="BOA1" s="77"/>
      <c r="BOB1" s="77"/>
      <c r="BOC1" s="77"/>
      <c r="BOD1" s="77"/>
      <c r="BOE1" s="77"/>
      <c r="BOF1" s="77"/>
      <c r="BOG1" s="77"/>
      <c r="BOH1" s="77"/>
      <c r="BOI1" s="77"/>
      <c r="BOJ1" s="77"/>
      <c r="BOK1" s="77"/>
      <c r="BOL1" s="77"/>
      <c r="BOM1" s="77"/>
      <c r="BON1" s="77"/>
      <c r="BOO1" s="77"/>
      <c r="BOP1" s="77"/>
      <c r="BOQ1" s="77"/>
      <c r="BOR1" s="77"/>
      <c r="BOS1" s="77"/>
      <c r="BOT1" s="77"/>
      <c r="BOU1" s="77"/>
      <c r="BOV1" s="77"/>
      <c r="BOW1" s="77"/>
      <c r="BOX1" s="77"/>
      <c r="BOY1" s="77"/>
      <c r="BOZ1" s="77"/>
      <c r="BPA1" s="77"/>
      <c r="BPB1" s="77"/>
      <c r="BPC1" s="77"/>
      <c r="BPD1" s="77"/>
      <c r="BPE1" s="77"/>
      <c r="BPF1" s="77"/>
      <c r="BPG1" s="77"/>
      <c r="BPH1" s="77"/>
      <c r="BPI1" s="77"/>
      <c r="BPJ1" s="77"/>
      <c r="BPK1" s="77"/>
      <c r="BPL1" s="77"/>
      <c r="BPM1" s="77"/>
      <c r="BPN1" s="77"/>
      <c r="BPO1" s="77"/>
      <c r="BPP1" s="77"/>
      <c r="BPQ1" s="77"/>
      <c r="BPR1" s="77"/>
      <c r="BPS1" s="77"/>
      <c r="BPT1" s="77"/>
      <c r="BPU1" s="77"/>
      <c r="BPV1" s="77"/>
      <c r="BPW1" s="77"/>
      <c r="BPX1" s="77"/>
      <c r="BPY1" s="77"/>
      <c r="BPZ1" s="77"/>
      <c r="BQA1" s="77"/>
      <c r="BQB1" s="77"/>
      <c r="BQC1" s="77"/>
      <c r="BQD1" s="77"/>
      <c r="BQE1" s="77"/>
      <c r="BQF1" s="77"/>
      <c r="BQG1" s="77"/>
      <c r="BQH1" s="77"/>
      <c r="BQI1" s="77"/>
      <c r="BQJ1" s="77"/>
      <c r="BQK1" s="77"/>
      <c r="BQL1" s="77"/>
      <c r="BQM1" s="77"/>
      <c r="BQN1" s="77"/>
      <c r="BQO1" s="77"/>
      <c r="BQP1" s="77"/>
      <c r="BQQ1" s="77"/>
      <c r="BQR1" s="77"/>
      <c r="BQS1" s="77"/>
      <c r="BQT1" s="77"/>
      <c r="BQU1" s="77"/>
      <c r="BQV1" s="77"/>
      <c r="BQW1" s="77"/>
      <c r="BQX1" s="77"/>
      <c r="BQY1" s="77"/>
      <c r="BQZ1" s="77"/>
      <c r="BRA1" s="77"/>
      <c r="BRB1" s="77"/>
      <c r="BRC1" s="77"/>
      <c r="BRD1" s="77"/>
      <c r="BRE1" s="77"/>
      <c r="BRF1" s="77"/>
      <c r="BRG1" s="77"/>
      <c r="BRH1" s="77"/>
      <c r="BRI1" s="77"/>
      <c r="BRJ1" s="77"/>
      <c r="BRK1" s="77"/>
      <c r="BRL1" s="77"/>
      <c r="BRM1" s="77"/>
      <c r="BRN1" s="77"/>
      <c r="BRO1" s="77"/>
      <c r="BRP1" s="77"/>
      <c r="BRQ1" s="77"/>
      <c r="BRR1" s="77"/>
      <c r="BRS1" s="77"/>
      <c r="BRT1" s="77"/>
      <c r="BRU1" s="77"/>
      <c r="BRV1" s="77"/>
      <c r="BRW1" s="77"/>
      <c r="BRX1" s="77"/>
      <c r="BRY1" s="77"/>
      <c r="BRZ1" s="77"/>
      <c r="BSA1" s="77"/>
      <c r="BSB1" s="77"/>
      <c r="BSC1" s="77"/>
      <c r="BSD1" s="77"/>
      <c r="BSE1" s="77"/>
      <c r="BSF1" s="77"/>
      <c r="BSG1" s="77"/>
      <c r="BSH1" s="77"/>
      <c r="BSI1" s="77"/>
      <c r="BSJ1" s="77"/>
      <c r="BSK1" s="77"/>
      <c r="BSL1" s="77"/>
      <c r="BSM1" s="77"/>
      <c r="BSN1" s="77"/>
      <c r="BSO1" s="77"/>
      <c r="BSP1" s="77"/>
      <c r="BSQ1" s="77"/>
      <c r="BSR1" s="77"/>
      <c r="BSS1" s="77"/>
      <c r="BST1" s="77"/>
      <c r="BSU1" s="77"/>
      <c r="BSV1" s="77"/>
      <c r="BSW1" s="77"/>
      <c r="BSX1" s="77"/>
      <c r="BSY1" s="77"/>
      <c r="BSZ1" s="77"/>
      <c r="BTA1" s="77"/>
      <c r="BTB1" s="77"/>
      <c r="BTC1" s="77"/>
      <c r="BTD1" s="77"/>
      <c r="BTE1" s="77"/>
      <c r="BTF1" s="77"/>
      <c r="BTG1" s="77"/>
      <c r="BTH1" s="77"/>
      <c r="BTI1" s="77"/>
      <c r="BTJ1" s="77"/>
      <c r="BTK1" s="77"/>
      <c r="BTL1" s="77"/>
      <c r="BTM1" s="77"/>
      <c r="BTN1" s="77"/>
      <c r="BTO1" s="77"/>
      <c r="BTP1" s="77"/>
      <c r="BTQ1" s="77"/>
      <c r="BTR1" s="77"/>
      <c r="BTS1" s="77"/>
      <c r="BTT1" s="77"/>
      <c r="BTU1" s="77"/>
      <c r="BTV1" s="77"/>
      <c r="BTW1" s="77"/>
      <c r="BTX1" s="77"/>
      <c r="BTY1" s="77"/>
      <c r="BTZ1" s="77"/>
      <c r="BUA1" s="77"/>
      <c r="BUB1" s="77"/>
      <c r="BUC1" s="77"/>
      <c r="BUD1" s="77"/>
      <c r="BUE1" s="77"/>
      <c r="BUF1" s="77"/>
      <c r="BUG1" s="77"/>
      <c r="BUH1" s="77"/>
      <c r="BUI1" s="77"/>
      <c r="BUJ1" s="77"/>
      <c r="BUK1" s="77"/>
      <c r="BUL1" s="77"/>
      <c r="BUM1" s="77"/>
      <c r="BUN1" s="77"/>
      <c r="BUO1" s="77"/>
      <c r="BUP1" s="77"/>
      <c r="BUQ1" s="77"/>
      <c r="BUR1" s="77"/>
      <c r="BUS1" s="77"/>
      <c r="BUT1" s="77"/>
      <c r="BUU1" s="77"/>
      <c r="BUV1" s="77"/>
      <c r="BUW1" s="77"/>
      <c r="BUX1" s="77"/>
      <c r="BUY1" s="77"/>
      <c r="BUZ1" s="77"/>
      <c r="BVA1" s="77"/>
      <c r="BVB1" s="77"/>
      <c r="BVC1" s="77"/>
      <c r="BVD1" s="77"/>
      <c r="BVE1" s="77"/>
      <c r="BVF1" s="77"/>
      <c r="BVG1" s="77"/>
      <c r="BVH1" s="77"/>
      <c r="BVI1" s="77"/>
      <c r="BVJ1" s="77"/>
      <c r="BVK1" s="77"/>
      <c r="BVL1" s="77"/>
      <c r="BVM1" s="77"/>
      <c r="BVN1" s="77"/>
      <c r="BVO1" s="77"/>
      <c r="BVP1" s="77"/>
      <c r="BVQ1" s="77"/>
      <c r="BVR1" s="77"/>
      <c r="BVS1" s="77"/>
      <c r="BVT1" s="77"/>
      <c r="BVU1" s="77"/>
      <c r="BVV1" s="77"/>
      <c r="BVW1" s="77"/>
      <c r="BVX1" s="77"/>
      <c r="BVY1" s="77"/>
      <c r="BVZ1" s="77"/>
      <c r="BWA1" s="77"/>
      <c r="BWB1" s="77"/>
      <c r="BWC1" s="77"/>
      <c r="BWD1" s="77"/>
      <c r="BWE1" s="77"/>
      <c r="BWF1" s="77"/>
      <c r="BWG1" s="77"/>
      <c r="BWH1" s="77"/>
      <c r="BWI1" s="77"/>
      <c r="BWJ1" s="77"/>
      <c r="BWK1" s="77"/>
      <c r="BWL1" s="77"/>
      <c r="BWM1" s="77"/>
      <c r="BWN1" s="77"/>
      <c r="BWO1" s="77"/>
      <c r="BWP1" s="77"/>
      <c r="BWQ1" s="77"/>
      <c r="BWR1" s="77"/>
      <c r="BWS1" s="77"/>
      <c r="BWT1" s="77"/>
      <c r="BWU1" s="77"/>
      <c r="BWV1" s="77"/>
      <c r="BWW1" s="77"/>
      <c r="BWX1" s="77"/>
      <c r="BWY1" s="77"/>
      <c r="BWZ1" s="77"/>
      <c r="BXA1" s="77"/>
      <c r="BXB1" s="77"/>
      <c r="BXC1" s="77"/>
      <c r="BXD1" s="77"/>
      <c r="BXE1" s="77"/>
      <c r="BXF1" s="77"/>
      <c r="BXG1" s="77"/>
      <c r="BXH1" s="77"/>
      <c r="BXI1" s="77"/>
      <c r="BXJ1" s="77"/>
      <c r="BXK1" s="77"/>
      <c r="BXL1" s="77"/>
      <c r="BXM1" s="77"/>
      <c r="BXN1" s="77"/>
      <c r="BXO1" s="77"/>
      <c r="BXP1" s="77"/>
      <c r="BXQ1" s="77"/>
      <c r="BXR1" s="77"/>
      <c r="BXS1" s="77"/>
      <c r="BXT1" s="77"/>
      <c r="BXU1" s="77"/>
      <c r="BXV1" s="77"/>
      <c r="BXW1" s="77"/>
      <c r="BXX1" s="77"/>
      <c r="BXY1" s="77"/>
      <c r="BXZ1" s="77"/>
      <c r="BYA1" s="77"/>
      <c r="BYB1" s="77"/>
      <c r="BYC1" s="77"/>
      <c r="BYD1" s="77"/>
      <c r="BYE1" s="77"/>
      <c r="BYF1" s="77"/>
      <c r="BYG1" s="77"/>
      <c r="BYH1" s="77"/>
      <c r="BYI1" s="77"/>
      <c r="BYJ1" s="77"/>
      <c r="BYK1" s="77"/>
      <c r="BYL1" s="77"/>
      <c r="BYM1" s="77"/>
      <c r="BYN1" s="77"/>
      <c r="BYO1" s="77"/>
      <c r="BYP1" s="77"/>
      <c r="BYQ1" s="77"/>
      <c r="BYR1" s="77"/>
      <c r="BYS1" s="77"/>
      <c r="BYT1" s="77"/>
      <c r="BYU1" s="77"/>
      <c r="BYV1" s="77"/>
      <c r="BYW1" s="77"/>
      <c r="BYX1" s="77"/>
      <c r="BYY1" s="77"/>
      <c r="BYZ1" s="77"/>
      <c r="BZA1" s="77"/>
      <c r="BZB1" s="77"/>
      <c r="BZC1" s="77"/>
      <c r="BZD1" s="77"/>
      <c r="BZE1" s="77"/>
      <c r="BZF1" s="77"/>
      <c r="BZG1" s="77"/>
      <c r="BZH1" s="77"/>
      <c r="BZI1" s="77"/>
      <c r="BZJ1" s="77"/>
      <c r="BZK1" s="77"/>
      <c r="BZL1" s="77"/>
      <c r="BZM1" s="77"/>
      <c r="BZN1" s="77"/>
      <c r="BZO1" s="77"/>
      <c r="BZP1" s="77"/>
      <c r="BZQ1" s="77"/>
      <c r="BZR1" s="77"/>
      <c r="BZS1" s="77"/>
      <c r="BZT1" s="77"/>
      <c r="BZU1" s="77"/>
      <c r="BZV1" s="77"/>
      <c r="BZW1" s="77"/>
      <c r="BZX1" s="77"/>
      <c r="BZY1" s="77"/>
      <c r="BZZ1" s="77"/>
      <c r="CAA1" s="77"/>
      <c r="CAB1" s="77"/>
      <c r="CAC1" s="77"/>
      <c r="CAD1" s="77"/>
      <c r="CAE1" s="77"/>
      <c r="CAF1" s="77"/>
      <c r="CAG1" s="77"/>
      <c r="CAH1" s="77"/>
      <c r="CAI1" s="77"/>
      <c r="CAJ1" s="77"/>
      <c r="CAK1" s="77"/>
      <c r="CAL1" s="77"/>
      <c r="CAM1" s="77"/>
      <c r="CAN1" s="77"/>
      <c r="CAO1" s="77"/>
      <c r="CAP1" s="77"/>
      <c r="CAQ1" s="77"/>
      <c r="CAR1" s="77"/>
      <c r="CAS1" s="77"/>
      <c r="CAT1" s="77"/>
      <c r="CAU1" s="77"/>
      <c r="CAV1" s="77"/>
      <c r="CAW1" s="77"/>
      <c r="CAX1" s="77"/>
      <c r="CAY1" s="77"/>
      <c r="CAZ1" s="77"/>
      <c r="CBA1" s="77"/>
      <c r="CBB1" s="77"/>
      <c r="CBC1" s="77"/>
      <c r="CBD1" s="77"/>
      <c r="CBE1" s="77"/>
      <c r="CBF1" s="77"/>
      <c r="CBG1" s="77"/>
      <c r="CBH1" s="77"/>
      <c r="CBI1" s="77"/>
      <c r="CBJ1" s="77"/>
      <c r="CBK1" s="77"/>
      <c r="CBL1" s="77"/>
      <c r="CBM1" s="77"/>
      <c r="CBN1" s="77"/>
      <c r="CBO1" s="77"/>
      <c r="CBP1" s="77"/>
      <c r="CBQ1" s="77"/>
      <c r="CBR1" s="77"/>
      <c r="CBS1" s="77"/>
      <c r="CBT1" s="77"/>
      <c r="CBU1" s="77"/>
      <c r="CBV1" s="77"/>
      <c r="CBW1" s="77"/>
      <c r="CBX1" s="77"/>
      <c r="CBY1" s="77"/>
      <c r="CBZ1" s="77"/>
      <c r="CCA1" s="77"/>
      <c r="CCB1" s="77"/>
      <c r="CCC1" s="77"/>
      <c r="CCD1" s="77"/>
      <c r="CCE1" s="77"/>
      <c r="CCF1" s="77"/>
      <c r="CCG1" s="77"/>
      <c r="CCH1" s="77"/>
      <c r="CCI1" s="77"/>
      <c r="CCJ1" s="77"/>
      <c r="CCK1" s="77"/>
      <c r="CCL1" s="77"/>
      <c r="CCM1" s="77"/>
      <c r="CCN1" s="77"/>
      <c r="CCO1" s="77"/>
      <c r="CCP1" s="77"/>
      <c r="CCQ1" s="77"/>
      <c r="CCR1" s="77"/>
      <c r="CCS1" s="77"/>
      <c r="CCT1" s="77"/>
      <c r="CCU1" s="77"/>
      <c r="CCV1" s="77"/>
      <c r="CCW1" s="77"/>
      <c r="CCX1" s="77"/>
      <c r="CCY1" s="77"/>
      <c r="CCZ1" s="77"/>
      <c r="CDA1" s="77"/>
      <c r="CDB1" s="77"/>
      <c r="CDC1" s="77"/>
      <c r="CDD1" s="77"/>
      <c r="CDE1" s="77"/>
      <c r="CDF1" s="77"/>
      <c r="CDG1" s="77"/>
      <c r="CDH1" s="77"/>
      <c r="CDI1" s="77"/>
      <c r="CDJ1" s="77"/>
      <c r="CDK1" s="77"/>
      <c r="CDL1" s="77"/>
      <c r="CDM1" s="77"/>
      <c r="CDN1" s="77"/>
      <c r="CDO1" s="77"/>
      <c r="CDP1" s="77"/>
      <c r="CDQ1" s="77"/>
      <c r="CDR1" s="77"/>
      <c r="CDS1" s="77"/>
      <c r="CDT1" s="77"/>
      <c r="CDU1" s="77"/>
      <c r="CDV1" s="77"/>
      <c r="CDW1" s="77"/>
      <c r="CDX1" s="77"/>
      <c r="CDY1" s="77"/>
      <c r="CDZ1" s="77"/>
      <c r="CEA1" s="77"/>
      <c r="CEB1" s="77"/>
      <c r="CEC1" s="77"/>
      <c r="CED1" s="77"/>
      <c r="CEE1" s="77"/>
      <c r="CEF1" s="77"/>
      <c r="CEG1" s="77"/>
      <c r="CEH1" s="77"/>
      <c r="CEI1" s="77"/>
      <c r="CEJ1" s="77"/>
      <c r="CEK1" s="77"/>
      <c r="CEL1" s="77"/>
      <c r="CEM1" s="77"/>
      <c r="CEN1" s="77"/>
      <c r="CEO1" s="77"/>
      <c r="CEP1" s="77"/>
      <c r="CEQ1" s="77"/>
      <c r="CER1" s="77"/>
      <c r="CES1" s="77"/>
      <c r="CET1" s="77"/>
      <c r="CEU1" s="77"/>
      <c r="CEV1" s="77"/>
      <c r="CEW1" s="77"/>
      <c r="CEX1" s="77"/>
      <c r="CEY1" s="77"/>
      <c r="CEZ1" s="77"/>
      <c r="CFA1" s="77"/>
      <c r="CFB1" s="77"/>
      <c r="CFC1" s="77"/>
      <c r="CFD1" s="77"/>
      <c r="CFE1" s="77"/>
      <c r="CFF1" s="77"/>
      <c r="CFG1" s="77"/>
      <c r="CFH1" s="77"/>
      <c r="CFI1" s="77"/>
      <c r="CFJ1" s="77"/>
      <c r="CFK1" s="77"/>
      <c r="CFL1" s="77"/>
      <c r="CFM1" s="77"/>
      <c r="CFN1" s="77"/>
      <c r="CFO1" s="77"/>
      <c r="CFP1" s="77"/>
      <c r="CFQ1" s="77"/>
      <c r="CFR1" s="77"/>
      <c r="CFS1" s="77"/>
      <c r="CFT1" s="77"/>
      <c r="CFU1" s="77"/>
      <c r="CFV1" s="77"/>
      <c r="CFW1" s="77"/>
      <c r="CFX1" s="77"/>
      <c r="CFY1" s="77"/>
      <c r="CFZ1" s="77"/>
      <c r="CGA1" s="77"/>
      <c r="CGB1" s="77"/>
      <c r="CGC1" s="77"/>
      <c r="CGD1" s="77"/>
      <c r="CGE1" s="77"/>
      <c r="CGF1" s="77"/>
      <c r="CGG1" s="77"/>
      <c r="CGH1" s="77"/>
      <c r="CGI1" s="77"/>
      <c r="CGJ1" s="77"/>
      <c r="CGK1" s="77"/>
      <c r="CGL1" s="77"/>
      <c r="CGM1" s="77"/>
      <c r="CGN1" s="77"/>
      <c r="CGO1" s="77"/>
      <c r="CGP1" s="77"/>
      <c r="CGQ1" s="77"/>
      <c r="CGR1" s="77"/>
      <c r="CGS1" s="77"/>
      <c r="CGT1" s="77"/>
      <c r="CGU1" s="77"/>
      <c r="CGV1" s="77"/>
      <c r="CGW1" s="77"/>
      <c r="CGX1" s="77"/>
      <c r="CGY1" s="77"/>
      <c r="CGZ1" s="77"/>
      <c r="CHA1" s="77"/>
      <c r="CHB1" s="77"/>
      <c r="CHC1" s="77"/>
      <c r="CHD1" s="77"/>
      <c r="CHE1" s="77"/>
      <c r="CHF1" s="77"/>
      <c r="CHG1" s="77"/>
      <c r="CHH1" s="77"/>
      <c r="CHI1" s="77"/>
      <c r="CHJ1" s="77"/>
      <c r="CHK1" s="77"/>
      <c r="CHL1" s="77"/>
      <c r="CHM1" s="77"/>
      <c r="CHN1" s="77"/>
      <c r="CHO1" s="77"/>
      <c r="CHP1" s="77"/>
      <c r="CHQ1" s="77"/>
      <c r="CHR1" s="77"/>
      <c r="CHS1" s="77"/>
      <c r="CHT1" s="77"/>
      <c r="CHU1" s="77"/>
      <c r="CHV1" s="77"/>
      <c r="CHW1" s="77"/>
      <c r="CHX1" s="77"/>
      <c r="CHY1" s="77"/>
      <c r="CHZ1" s="77"/>
      <c r="CIA1" s="77"/>
      <c r="CIB1" s="77"/>
      <c r="CIC1" s="77"/>
      <c r="CID1" s="77"/>
      <c r="CIE1" s="77"/>
      <c r="CIF1" s="77"/>
      <c r="CIG1" s="77"/>
      <c r="CIH1" s="77"/>
      <c r="CII1" s="77"/>
      <c r="CIJ1" s="77"/>
      <c r="CIK1" s="77"/>
      <c r="CIL1" s="77"/>
      <c r="CIM1" s="77"/>
      <c r="CIN1" s="77"/>
      <c r="CIO1" s="77"/>
      <c r="CIP1" s="77"/>
      <c r="CIQ1" s="77"/>
      <c r="CIR1" s="77"/>
      <c r="CIS1" s="77"/>
      <c r="CIT1" s="77"/>
      <c r="CIU1" s="77"/>
      <c r="CIV1" s="77"/>
      <c r="CIW1" s="77"/>
      <c r="CIX1" s="77"/>
      <c r="CIY1" s="77"/>
      <c r="CIZ1" s="77"/>
      <c r="CJA1" s="77"/>
      <c r="CJB1" s="77"/>
      <c r="CJC1" s="77"/>
      <c r="CJD1" s="77"/>
      <c r="CJE1" s="77"/>
      <c r="CJF1" s="77"/>
      <c r="CJG1" s="77"/>
      <c r="CJH1" s="77"/>
      <c r="CJI1" s="77"/>
      <c r="CJJ1" s="77"/>
      <c r="CJK1" s="77"/>
      <c r="CJL1" s="77"/>
      <c r="CJM1" s="77"/>
      <c r="CJN1" s="77"/>
      <c r="CJO1" s="77"/>
      <c r="CJP1" s="77"/>
      <c r="CJQ1" s="77"/>
      <c r="CJR1" s="77"/>
      <c r="CJS1" s="77"/>
      <c r="CJT1" s="77"/>
      <c r="CJU1" s="77"/>
      <c r="CJV1" s="77"/>
      <c r="CJW1" s="77"/>
      <c r="CJX1" s="77"/>
      <c r="CJY1" s="77"/>
      <c r="CJZ1" s="77"/>
      <c r="CKA1" s="77"/>
      <c r="CKB1" s="77"/>
      <c r="CKC1" s="77"/>
      <c r="CKD1" s="77"/>
      <c r="CKE1" s="77"/>
      <c r="CKF1" s="77"/>
      <c r="CKG1" s="77"/>
      <c r="CKH1" s="77"/>
      <c r="CKI1" s="77"/>
      <c r="CKJ1" s="77"/>
      <c r="CKK1" s="77"/>
      <c r="CKL1" s="77"/>
      <c r="CKM1" s="77"/>
      <c r="CKN1" s="77"/>
      <c r="CKO1" s="77"/>
      <c r="CKP1" s="77"/>
      <c r="CKQ1" s="77"/>
      <c r="CKR1" s="77"/>
      <c r="CKS1" s="77"/>
      <c r="CKT1" s="77"/>
      <c r="CKU1" s="77"/>
      <c r="CKV1" s="77"/>
      <c r="CKW1" s="77"/>
      <c r="CKX1" s="77"/>
      <c r="CKY1" s="77"/>
      <c r="CKZ1" s="77"/>
      <c r="CLA1" s="77"/>
      <c r="CLB1" s="77"/>
      <c r="CLC1" s="77"/>
      <c r="CLD1" s="77"/>
      <c r="CLE1" s="77"/>
      <c r="CLF1" s="77"/>
      <c r="CLG1" s="77"/>
      <c r="CLH1" s="77"/>
      <c r="CLI1" s="77"/>
      <c r="CLJ1" s="77"/>
      <c r="CLK1" s="77"/>
      <c r="CLL1" s="77"/>
      <c r="CLM1" s="77"/>
      <c r="CLN1" s="77"/>
      <c r="CLO1" s="77"/>
      <c r="CLP1" s="77"/>
      <c r="CLQ1" s="77"/>
      <c r="CLR1" s="77"/>
      <c r="CLS1" s="77"/>
      <c r="CLT1" s="77"/>
      <c r="CLU1" s="77"/>
      <c r="CLV1" s="77"/>
      <c r="CLW1" s="77"/>
      <c r="CLX1" s="77"/>
      <c r="CLY1" s="77"/>
      <c r="CLZ1" s="77"/>
      <c r="CMA1" s="77"/>
      <c r="CMB1" s="77"/>
      <c r="CMC1" s="77"/>
      <c r="CMD1" s="77"/>
      <c r="CME1" s="77"/>
      <c r="CMF1" s="77"/>
      <c r="CMG1" s="77"/>
      <c r="CMH1" s="77"/>
      <c r="CMI1" s="77"/>
      <c r="CMJ1" s="77"/>
      <c r="CMK1" s="77"/>
      <c r="CML1" s="77"/>
      <c r="CMM1" s="77"/>
      <c r="CMN1" s="77"/>
      <c r="CMO1" s="77"/>
      <c r="CMP1" s="77"/>
      <c r="CMQ1" s="77"/>
      <c r="CMR1" s="77"/>
      <c r="CMS1" s="77"/>
      <c r="CMT1" s="77"/>
      <c r="CMU1" s="77"/>
      <c r="CMV1" s="77"/>
      <c r="CMW1" s="77"/>
      <c r="CMX1" s="77"/>
      <c r="CMY1" s="77"/>
      <c r="CMZ1" s="77"/>
      <c r="CNA1" s="77"/>
      <c r="CNB1" s="77"/>
      <c r="CNC1" s="77"/>
      <c r="CND1" s="77"/>
      <c r="CNE1" s="77"/>
      <c r="CNF1" s="77"/>
      <c r="CNG1" s="77"/>
      <c r="CNH1" s="77"/>
      <c r="CNI1" s="77"/>
      <c r="CNJ1" s="77"/>
      <c r="CNK1" s="77"/>
      <c r="CNL1" s="77"/>
      <c r="CNM1" s="77"/>
      <c r="CNN1" s="77"/>
      <c r="CNO1" s="77"/>
      <c r="CNP1" s="77"/>
      <c r="CNQ1" s="77"/>
      <c r="CNR1" s="77"/>
      <c r="CNS1" s="77"/>
      <c r="CNT1" s="77"/>
      <c r="CNU1" s="77"/>
      <c r="CNV1" s="77"/>
      <c r="CNW1" s="77"/>
      <c r="CNX1" s="77"/>
      <c r="CNY1" s="77"/>
      <c r="CNZ1" s="77"/>
      <c r="COA1" s="77"/>
      <c r="COB1" s="77"/>
      <c r="COC1" s="77"/>
      <c r="COD1" s="77"/>
      <c r="COE1" s="77"/>
      <c r="COF1" s="77"/>
      <c r="COG1" s="77"/>
      <c r="COH1" s="77"/>
      <c r="COI1" s="77"/>
      <c r="COJ1" s="77"/>
      <c r="COK1" s="77"/>
      <c r="COL1" s="77"/>
      <c r="COM1" s="77"/>
      <c r="CON1" s="77"/>
      <c r="COO1" s="77"/>
      <c r="COP1" s="77"/>
      <c r="COQ1" s="77"/>
      <c r="COR1" s="77"/>
      <c r="COS1" s="77"/>
      <c r="COT1" s="77"/>
      <c r="COU1" s="77"/>
      <c r="COV1" s="77"/>
      <c r="COW1" s="77"/>
      <c r="COX1" s="77"/>
      <c r="COY1" s="77"/>
      <c r="COZ1" s="77"/>
      <c r="CPA1" s="77"/>
      <c r="CPB1" s="77"/>
      <c r="CPC1" s="77"/>
      <c r="CPD1" s="77"/>
      <c r="CPE1" s="77"/>
      <c r="CPF1" s="77"/>
      <c r="CPG1" s="77"/>
      <c r="CPH1" s="77"/>
      <c r="CPI1" s="77"/>
      <c r="CPJ1" s="77"/>
      <c r="CPK1" s="77"/>
      <c r="CPL1" s="77"/>
      <c r="CPM1" s="77"/>
      <c r="CPN1" s="77"/>
      <c r="CPO1" s="77"/>
      <c r="CPP1" s="77"/>
      <c r="CPQ1" s="77"/>
      <c r="CPR1" s="77"/>
      <c r="CPS1" s="77"/>
      <c r="CPT1" s="77"/>
      <c r="CPU1" s="77"/>
      <c r="CPV1" s="77"/>
      <c r="CPW1" s="77"/>
      <c r="CPX1" s="77"/>
      <c r="CPY1" s="77"/>
      <c r="CPZ1" s="77"/>
      <c r="CQA1" s="77"/>
      <c r="CQB1" s="77"/>
      <c r="CQC1" s="77"/>
      <c r="CQD1" s="77"/>
      <c r="CQE1" s="77"/>
      <c r="CQF1" s="77"/>
      <c r="CQG1" s="77"/>
      <c r="CQH1" s="77"/>
      <c r="CQI1" s="77"/>
      <c r="CQJ1" s="77"/>
      <c r="CQK1" s="77"/>
      <c r="CQL1" s="77"/>
      <c r="CQM1" s="77"/>
      <c r="CQN1" s="77"/>
      <c r="CQO1" s="77"/>
      <c r="CQP1" s="77"/>
      <c r="CQQ1" s="77"/>
      <c r="CQR1" s="77"/>
      <c r="CQS1" s="77"/>
      <c r="CQT1" s="77"/>
      <c r="CQU1" s="77"/>
      <c r="CQV1" s="77"/>
      <c r="CQW1" s="77"/>
      <c r="CQX1" s="77"/>
      <c r="CQY1" s="77"/>
      <c r="CQZ1" s="77"/>
      <c r="CRA1" s="77"/>
      <c r="CRB1" s="77"/>
      <c r="CRC1" s="77"/>
      <c r="CRD1" s="77"/>
      <c r="CRE1" s="77"/>
      <c r="CRF1" s="77"/>
      <c r="CRG1" s="77"/>
      <c r="CRH1" s="77"/>
      <c r="CRI1" s="77"/>
      <c r="CRJ1" s="77"/>
      <c r="CRK1" s="77"/>
      <c r="CRL1" s="77"/>
      <c r="CRM1" s="77"/>
      <c r="CRN1" s="77"/>
      <c r="CRO1" s="77"/>
      <c r="CRP1" s="77"/>
      <c r="CRQ1" s="77"/>
      <c r="CRR1" s="77"/>
      <c r="CRS1" s="77"/>
      <c r="CRT1" s="77"/>
      <c r="CRU1" s="77"/>
      <c r="CRV1" s="77"/>
      <c r="CRW1" s="77"/>
      <c r="CRX1" s="77"/>
      <c r="CRY1" s="77"/>
      <c r="CRZ1" s="77"/>
      <c r="CSA1" s="77"/>
      <c r="CSB1" s="77"/>
      <c r="CSC1" s="77"/>
      <c r="CSD1" s="77"/>
      <c r="CSE1" s="77"/>
      <c r="CSF1" s="77"/>
      <c r="CSG1" s="77"/>
      <c r="CSH1" s="77"/>
      <c r="CSI1" s="77"/>
      <c r="CSJ1" s="77"/>
      <c r="CSK1" s="77"/>
      <c r="CSL1" s="77"/>
      <c r="CSM1" s="77"/>
      <c r="CSN1" s="77"/>
      <c r="CSO1" s="77"/>
      <c r="CSP1" s="77"/>
      <c r="CSQ1" s="77"/>
      <c r="CSR1" s="77"/>
      <c r="CSS1" s="77"/>
      <c r="CST1" s="77"/>
      <c r="CSU1" s="77"/>
      <c r="CSV1" s="77"/>
      <c r="CSW1" s="77"/>
      <c r="CSX1" s="77"/>
      <c r="CSY1" s="77"/>
      <c r="CSZ1" s="77"/>
      <c r="CTA1" s="77"/>
      <c r="CTB1" s="77"/>
      <c r="CTC1" s="77"/>
      <c r="CTD1" s="77"/>
      <c r="CTE1" s="77"/>
      <c r="CTF1" s="77"/>
      <c r="CTG1" s="77"/>
      <c r="CTH1" s="77"/>
      <c r="CTI1" s="77"/>
      <c r="CTJ1" s="77"/>
      <c r="CTK1" s="77"/>
      <c r="CTL1" s="77"/>
      <c r="CTM1" s="77"/>
      <c r="CTN1" s="77"/>
      <c r="CTO1" s="77"/>
      <c r="CTP1" s="77"/>
      <c r="CTQ1" s="77"/>
      <c r="CTR1" s="77"/>
      <c r="CTS1" s="77"/>
      <c r="CTT1" s="77"/>
      <c r="CTU1" s="77"/>
      <c r="CTV1" s="77"/>
      <c r="CTW1" s="77"/>
      <c r="CTX1" s="77"/>
      <c r="CTY1" s="77"/>
      <c r="CTZ1" s="77"/>
      <c r="CUA1" s="77"/>
      <c r="CUB1" s="77"/>
      <c r="CUC1" s="77"/>
      <c r="CUD1" s="77"/>
      <c r="CUE1" s="77"/>
      <c r="CUF1" s="77"/>
      <c r="CUG1" s="77"/>
      <c r="CUH1" s="77"/>
      <c r="CUI1" s="77"/>
      <c r="CUJ1" s="77"/>
      <c r="CUK1" s="77"/>
      <c r="CUL1" s="77"/>
      <c r="CUM1" s="77"/>
      <c r="CUN1" s="77"/>
      <c r="CUO1" s="77"/>
      <c r="CUP1" s="77"/>
      <c r="CUQ1" s="77"/>
      <c r="CUR1" s="77"/>
      <c r="CUS1" s="77"/>
      <c r="CUT1" s="77"/>
      <c r="CUU1" s="77"/>
      <c r="CUV1" s="77"/>
      <c r="CUW1" s="77"/>
      <c r="CUX1" s="77"/>
      <c r="CUY1" s="77"/>
      <c r="CUZ1" s="77"/>
      <c r="CVA1" s="77"/>
      <c r="CVB1" s="77"/>
      <c r="CVC1" s="77"/>
      <c r="CVD1" s="77"/>
      <c r="CVE1" s="77"/>
      <c r="CVF1" s="77"/>
      <c r="CVG1" s="77"/>
      <c r="CVH1" s="77"/>
      <c r="CVI1" s="77"/>
      <c r="CVJ1" s="77"/>
      <c r="CVK1" s="77"/>
      <c r="CVL1" s="77"/>
      <c r="CVM1" s="77"/>
      <c r="CVN1" s="77"/>
      <c r="CVO1" s="77"/>
      <c r="CVP1" s="77"/>
      <c r="CVQ1" s="77"/>
      <c r="CVR1" s="77"/>
      <c r="CVS1" s="77"/>
      <c r="CVT1" s="77"/>
      <c r="CVU1" s="77"/>
      <c r="CVV1" s="77"/>
      <c r="CVW1" s="77"/>
      <c r="CVX1" s="77"/>
      <c r="CVY1" s="77"/>
      <c r="CVZ1" s="77"/>
      <c r="CWA1" s="77"/>
      <c r="CWB1" s="77"/>
      <c r="CWC1" s="77"/>
      <c r="CWD1" s="77"/>
      <c r="CWE1" s="77"/>
      <c r="CWF1" s="77"/>
      <c r="CWG1" s="77"/>
      <c r="CWH1" s="77"/>
      <c r="CWI1" s="77"/>
      <c r="CWJ1" s="77"/>
      <c r="CWK1" s="77"/>
      <c r="CWL1" s="77"/>
      <c r="CWM1" s="77"/>
      <c r="CWN1" s="77"/>
      <c r="CWO1" s="77"/>
      <c r="CWP1" s="77"/>
      <c r="CWQ1" s="77"/>
      <c r="CWR1" s="77"/>
      <c r="CWS1" s="77"/>
      <c r="CWT1" s="77"/>
      <c r="CWU1" s="77"/>
      <c r="CWV1" s="77"/>
      <c r="CWW1" s="77"/>
      <c r="CWX1" s="77"/>
      <c r="CWY1" s="77"/>
      <c r="CWZ1" s="77"/>
      <c r="CXA1" s="77"/>
      <c r="CXB1" s="77"/>
      <c r="CXC1" s="77"/>
      <c r="CXD1" s="77"/>
      <c r="CXE1" s="77"/>
      <c r="CXF1" s="77"/>
      <c r="CXG1" s="77"/>
      <c r="CXH1" s="77"/>
      <c r="CXI1" s="77"/>
      <c r="CXJ1" s="77"/>
      <c r="CXK1" s="77"/>
      <c r="CXL1" s="77"/>
      <c r="CXM1" s="77"/>
      <c r="CXN1" s="77"/>
      <c r="CXO1" s="77"/>
      <c r="CXP1" s="77"/>
      <c r="CXQ1" s="77"/>
      <c r="CXR1" s="77"/>
      <c r="CXS1" s="77"/>
      <c r="CXT1" s="77"/>
      <c r="CXU1" s="77"/>
      <c r="CXV1" s="77"/>
      <c r="CXW1" s="77"/>
      <c r="CXX1" s="77"/>
      <c r="CXY1" s="77"/>
      <c r="CXZ1" s="77"/>
      <c r="CYA1" s="77"/>
      <c r="CYB1" s="77"/>
      <c r="CYC1" s="77"/>
      <c r="CYD1" s="77"/>
      <c r="CYE1" s="77"/>
      <c r="CYF1" s="77"/>
      <c r="CYG1" s="77"/>
      <c r="CYH1" s="77"/>
      <c r="CYI1" s="77"/>
      <c r="CYJ1" s="77"/>
      <c r="CYK1" s="77"/>
      <c r="CYL1" s="77"/>
      <c r="CYM1" s="77"/>
      <c r="CYN1" s="77"/>
      <c r="CYO1" s="77"/>
      <c r="CYP1" s="77"/>
      <c r="CYQ1" s="77"/>
      <c r="CYR1" s="77"/>
      <c r="CYS1" s="77"/>
      <c r="CYT1" s="77"/>
      <c r="CYU1" s="77"/>
      <c r="CYV1" s="77"/>
      <c r="CYW1" s="77"/>
      <c r="CYX1" s="77"/>
      <c r="CYY1" s="77"/>
      <c r="CYZ1" s="77"/>
      <c r="CZA1" s="77"/>
      <c r="CZB1" s="77"/>
      <c r="CZC1" s="77"/>
      <c r="CZD1" s="77"/>
      <c r="CZE1" s="77"/>
      <c r="CZF1" s="77"/>
      <c r="CZG1" s="77"/>
      <c r="CZH1" s="77"/>
      <c r="CZI1" s="77"/>
      <c r="CZJ1" s="77"/>
      <c r="CZK1" s="77"/>
      <c r="CZL1" s="77"/>
      <c r="CZM1" s="77"/>
      <c r="CZN1" s="77"/>
      <c r="CZO1" s="77"/>
      <c r="CZP1" s="77"/>
      <c r="CZQ1" s="77"/>
      <c r="CZR1" s="77"/>
      <c r="CZS1" s="77"/>
      <c r="CZT1" s="77"/>
      <c r="CZU1" s="77"/>
      <c r="CZV1" s="77"/>
      <c r="CZW1" s="77"/>
      <c r="CZX1" s="77"/>
      <c r="CZY1" s="77"/>
      <c r="CZZ1" s="77"/>
      <c r="DAA1" s="77"/>
      <c r="DAB1" s="77"/>
      <c r="DAC1" s="77"/>
      <c r="DAD1" s="77"/>
      <c r="DAE1" s="77"/>
      <c r="DAF1" s="77"/>
      <c r="DAG1" s="77"/>
      <c r="DAH1" s="77"/>
      <c r="DAI1" s="77"/>
      <c r="DAJ1" s="77"/>
      <c r="DAK1" s="77"/>
      <c r="DAL1" s="77"/>
      <c r="DAM1" s="77"/>
      <c r="DAN1" s="77"/>
      <c r="DAO1" s="77"/>
      <c r="DAP1" s="77"/>
      <c r="DAQ1" s="77"/>
      <c r="DAR1" s="77"/>
      <c r="DAS1" s="77"/>
      <c r="DAT1" s="77"/>
      <c r="DAU1" s="77"/>
      <c r="DAV1" s="77"/>
      <c r="DAW1" s="77"/>
      <c r="DAX1" s="77"/>
      <c r="DAY1" s="77"/>
      <c r="DAZ1" s="77"/>
      <c r="DBA1" s="77"/>
      <c r="DBB1" s="77"/>
      <c r="DBC1" s="77"/>
      <c r="DBD1" s="77"/>
      <c r="DBE1" s="77"/>
      <c r="DBF1" s="77"/>
      <c r="DBG1" s="77"/>
      <c r="DBH1" s="77"/>
      <c r="DBI1" s="77"/>
      <c r="DBJ1" s="77"/>
      <c r="DBK1" s="77"/>
      <c r="DBL1" s="77"/>
      <c r="DBM1" s="77"/>
      <c r="DBN1" s="77"/>
      <c r="DBO1" s="77"/>
      <c r="DBP1" s="77"/>
      <c r="DBQ1" s="77"/>
      <c r="DBR1" s="77"/>
      <c r="DBS1" s="77"/>
      <c r="DBT1" s="77"/>
      <c r="DBU1" s="77"/>
      <c r="DBV1" s="77"/>
      <c r="DBW1" s="77"/>
      <c r="DBX1" s="77"/>
      <c r="DBY1" s="77"/>
      <c r="DBZ1" s="77"/>
      <c r="DCA1" s="77"/>
      <c r="DCB1" s="77"/>
      <c r="DCC1" s="77"/>
      <c r="DCD1" s="77"/>
      <c r="DCE1" s="77"/>
      <c r="DCF1" s="77"/>
      <c r="DCG1" s="77"/>
      <c r="DCH1" s="77"/>
      <c r="DCI1" s="77"/>
      <c r="DCJ1" s="77"/>
      <c r="DCK1" s="77"/>
      <c r="DCL1" s="77"/>
      <c r="DCM1" s="77"/>
      <c r="DCN1" s="77"/>
      <c r="DCO1" s="77"/>
      <c r="DCP1" s="77"/>
      <c r="DCQ1" s="77"/>
      <c r="DCR1" s="77"/>
      <c r="DCS1" s="77"/>
      <c r="DCT1" s="77"/>
      <c r="DCU1" s="77"/>
      <c r="DCV1" s="77"/>
      <c r="DCW1" s="77"/>
      <c r="DCX1" s="77"/>
      <c r="DCY1" s="77"/>
      <c r="DCZ1" s="77"/>
      <c r="DDA1" s="77"/>
      <c r="DDB1" s="77"/>
      <c r="DDC1" s="77"/>
      <c r="DDD1" s="77"/>
      <c r="DDE1" s="77"/>
      <c r="DDF1" s="77"/>
      <c r="DDG1" s="77"/>
      <c r="DDH1" s="77"/>
      <c r="DDI1" s="77"/>
      <c r="DDJ1" s="77"/>
      <c r="DDK1" s="77"/>
      <c r="DDL1" s="77"/>
      <c r="DDM1" s="77"/>
      <c r="DDN1" s="77"/>
      <c r="DDO1" s="77"/>
      <c r="DDP1" s="77"/>
      <c r="DDQ1" s="77"/>
      <c r="DDR1" s="77"/>
      <c r="DDS1" s="77"/>
      <c r="DDT1" s="77"/>
      <c r="DDU1" s="77"/>
      <c r="DDV1" s="77"/>
      <c r="DDW1" s="77"/>
      <c r="DDX1" s="77"/>
      <c r="DDY1" s="77"/>
      <c r="DDZ1" s="77"/>
      <c r="DEA1" s="77"/>
      <c r="DEB1" s="77"/>
      <c r="DEC1" s="77"/>
      <c r="DED1" s="77"/>
      <c r="DEE1" s="77"/>
      <c r="DEF1" s="77"/>
      <c r="DEG1" s="77"/>
      <c r="DEH1" s="77"/>
      <c r="DEI1" s="77"/>
      <c r="DEJ1" s="77"/>
      <c r="DEK1" s="77"/>
      <c r="DEL1" s="77"/>
      <c r="DEM1" s="77"/>
      <c r="DEN1" s="77"/>
      <c r="DEO1" s="77"/>
      <c r="DEP1" s="77"/>
      <c r="DEQ1" s="77"/>
      <c r="DER1" s="77"/>
      <c r="DES1" s="77"/>
      <c r="DET1" s="77"/>
      <c r="DEU1" s="77"/>
      <c r="DEV1" s="77"/>
      <c r="DEW1" s="77"/>
      <c r="DEX1" s="77"/>
      <c r="DEY1" s="77"/>
      <c r="DEZ1" s="77"/>
      <c r="DFA1" s="77"/>
      <c r="DFB1" s="77"/>
      <c r="DFC1" s="77"/>
      <c r="DFD1" s="77"/>
      <c r="DFE1" s="77"/>
      <c r="DFF1" s="77"/>
      <c r="DFG1" s="77"/>
      <c r="DFH1" s="77"/>
      <c r="DFI1" s="77"/>
      <c r="DFJ1" s="77"/>
      <c r="DFK1" s="77"/>
      <c r="DFL1" s="77"/>
      <c r="DFM1" s="77"/>
      <c r="DFN1" s="77"/>
      <c r="DFO1" s="77"/>
      <c r="DFP1" s="77"/>
      <c r="DFQ1" s="77"/>
      <c r="DFR1" s="77"/>
      <c r="DFS1" s="77"/>
      <c r="DFT1" s="77"/>
      <c r="DFU1" s="77"/>
      <c r="DFV1" s="77"/>
      <c r="DFW1" s="77"/>
      <c r="DFX1" s="77"/>
      <c r="DFY1" s="77"/>
      <c r="DFZ1" s="77"/>
      <c r="DGA1" s="77"/>
      <c r="DGB1" s="77"/>
      <c r="DGC1" s="77"/>
      <c r="DGD1" s="77"/>
      <c r="DGE1" s="77"/>
      <c r="DGF1" s="77"/>
      <c r="DGG1" s="77"/>
      <c r="DGH1" s="77"/>
      <c r="DGI1" s="77"/>
      <c r="DGJ1" s="77"/>
      <c r="DGK1" s="77"/>
      <c r="DGL1" s="77"/>
      <c r="DGM1" s="77"/>
      <c r="DGN1" s="77"/>
      <c r="DGO1" s="77"/>
      <c r="DGP1" s="77"/>
      <c r="DGQ1" s="77"/>
      <c r="DGR1" s="77"/>
      <c r="DGS1" s="77"/>
      <c r="DGT1" s="77"/>
      <c r="DGU1" s="77"/>
      <c r="DGV1" s="77"/>
      <c r="DGW1" s="77"/>
      <c r="DGX1" s="77"/>
      <c r="DGY1" s="77"/>
      <c r="DGZ1" s="77"/>
      <c r="DHA1" s="77"/>
      <c r="DHB1" s="77"/>
      <c r="DHC1" s="77"/>
      <c r="DHD1" s="77"/>
      <c r="DHE1" s="77"/>
      <c r="DHF1" s="77"/>
      <c r="DHG1" s="77"/>
      <c r="DHH1" s="77"/>
      <c r="DHI1" s="77"/>
      <c r="DHJ1" s="77"/>
      <c r="DHK1" s="77"/>
      <c r="DHL1" s="77"/>
      <c r="DHM1" s="77"/>
      <c r="DHN1" s="77"/>
      <c r="DHO1" s="77"/>
      <c r="DHP1" s="77"/>
      <c r="DHQ1" s="77"/>
      <c r="DHR1" s="77"/>
      <c r="DHS1" s="77"/>
      <c r="DHT1" s="77"/>
      <c r="DHU1" s="77"/>
      <c r="DHV1" s="77"/>
      <c r="DHW1" s="77"/>
      <c r="DHX1" s="77"/>
      <c r="DHY1" s="77"/>
      <c r="DHZ1" s="77"/>
      <c r="DIA1" s="77"/>
      <c r="DIB1" s="77"/>
      <c r="DIC1" s="77"/>
      <c r="DID1" s="77"/>
      <c r="DIE1" s="77"/>
      <c r="DIF1" s="77"/>
      <c r="DIG1" s="77"/>
      <c r="DIH1" s="77"/>
      <c r="DII1" s="77"/>
      <c r="DIJ1" s="77"/>
      <c r="DIK1" s="77"/>
      <c r="DIL1" s="77"/>
      <c r="DIM1" s="77"/>
      <c r="DIN1" s="77"/>
      <c r="DIO1" s="77"/>
      <c r="DIP1" s="77"/>
      <c r="DIQ1" s="77"/>
      <c r="DIR1" s="77"/>
      <c r="DIS1" s="77"/>
      <c r="DIT1" s="77"/>
      <c r="DIU1" s="77"/>
      <c r="DIV1" s="77"/>
      <c r="DIW1" s="77"/>
      <c r="DIX1" s="77"/>
      <c r="DIY1" s="77"/>
      <c r="DIZ1" s="77"/>
      <c r="DJA1" s="77"/>
      <c r="DJB1" s="77"/>
      <c r="DJC1" s="77"/>
      <c r="DJD1" s="77"/>
      <c r="DJE1" s="77"/>
      <c r="DJF1" s="77"/>
      <c r="DJG1" s="77"/>
      <c r="DJH1" s="77"/>
      <c r="DJI1" s="77"/>
      <c r="DJJ1" s="77"/>
      <c r="DJK1" s="77"/>
      <c r="DJL1" s="77"/>
      <c r="DJM1" s="77"/>
      <c r="DJN1" s="77"/>
      <c r="DJO1" s="77"/>
      <c r="DJP1" s="77"/>
      <c r="DJQ1" s="77"/>
      <c r="DJR1" s="77"/>
      <c r="DJS1" s="77"/>
      <c r="DJT1" s="77"/>
      <c r="DJU1" s="77"/>
      <c r="DJV1" s="77"/>
      <c r="DJW1" s="77"/>
      <c r="DJX1" s="77"/>
      <c r="DJY1" s="77"/>
      <c r="DJZ1" s="77"/>
      <c r="DKA1" s="77"/>
      <c r="DKB1" s="77"/>
      <c r="DKC1" s="77"/>
      <c r="DKD1" s="77"/>
      <c r="DKE1" s="77"/>
      <c r="DKF1" s="77"/>
      <c r="DKG1" s="77"/>
      <c r="DKH1" s="77"/>
      <c r="DKI1" s="77"/>
      <c r="DKJ1" s="77"/>
      <c r="DKK1" s="77"/>
      <c r="DKL1" s="77"/>
      <c r="DKM1" s="77"/>
      <c r="DKN1" s="77"/>
      <c r="DKO1" s="77"/>
      <c r="DKP1" s="77"/>
      <c r="DKQ1" s="77"/>
      <c r="DKR1" s="77"/>
      <c r="DKS1" s="77"/>
      <c r="DKT1" s="77"/>
      <c r="DKU1" s="77"/>
      <c r="DKV1" s="77"/>
      <c r="DKW1" s="77"/>
      <c r="DKX1" s="77"/>
      <c r="DKY1" s="77"/>
      <c r="DKZ1" s="77"/>
      <c r="DLA1" s="77"/>
      <c r="DLB1" s="77"/>
      <c r="DLC1" s="77"/>
      <c r="DLD1" s="77"/>
      <c r="DLE1" s="77"/>
      <c r="DLF1" s="77"/>
      <c r="DLG1" s="77"/>
      <c r="DLH1" s="77"/>
      <c r="DLI1" s="77"/>
      <c r="DLJ1" s="77"/>
      <c r="DLK1" s="77"/>
      <c r="DLL1" s="77"/>
      <c r="DLM1" s="77"/>
      <c r="DLN1" s="77"/>
      <c r="DLO1" s="77"/>
      <c r="DLP1" s="77"/>
      <c r="DLQ1" s="77"/>
      <c r="DLR1" s="77"/>
      <c r="DLS1" s="77"/>
      <c r="DLT1" s="77"/>
      <c r="DLU1" s="77"/>
      <c r="DLV1" s="77"/>
      <c r="DLW1" s="77"/>
      <c r="DLX1" s="77"/>
      <c r="DLY1" s="77"/>
      <c r="DLZ1" s="77"/>
      <c r="DMA1" s="77"/>
      <c r="DMB1" s="77"/>
      <c r="DMC1" s="77"/>
      <c r="DMD1" s="77"/>
      <c r="DME1" s="77"/>
      <c r="DMF1" s="77"/>
      <c r="DMG1" s="77"/>
      <c r="DMH1" s="77"/>
      <c r="DMI1" s="77"/>
      <c r="DMJ1" s="77"/>
      <c r="DMK1" s="77"/>
      <c r="DML1" s="77"/>
      <c r="DMM1" s="77"/>
      <c r="DMN1" s="77"/>
      <c r="DMO1" s="77"/>
      <c r="DMP1" s="77"/>
      <c r="DMQ1" s="77"/>
      <c r="DMR1" s="77"/>
      <c r="DMS1" s="77"/>
      <c r="DMT1" s="77"/>
      <c r="DMU1" s="77"/>
      <c r="DMV1" s="77"/>
      <c r="DMW1" s="77"/>
      <c r="DMX1" s="77"/>
      <c r="DMY1" s="77"/>
      <c r="DMZ1" s="77"/>
      <c r="DNA1" s="77"/>
      <c r="DNB1" s="77"/>
      <c r="DNC1" s="77"/>
      <c r="DND1" s="77"/>
      <c r="DNE1" s="77"/>
      <c r="DNF1" s="77"/>
      <c r="DNG1" s="77"/>
      <c r="DNH1" s="77"/>
      <c r="DNI1" s="77"/>
      <c r="DNJ1" s="77"/>
      <c r="DNK1" s="77"/>
      <c r="DNL1" s="77"/>
      <c r="DNM1" s="77"/>
      <c r="DNN1" s="77"/>
      <c r="DNO1" s="77"/>
      <c r="DNP1" s="77"/>
      <c r="DNQ1" s="77"/>
      <c r="DNR1" s="77"/>
      <c r="DNS1" s="77"/>
      <c r="DNT1" s="77"/>
      <c r="DNU1" s="77"/>
      <c r="DNV1" s="77"/>
      <c r="DNW1" s="77"/>
      <c r="DNX1" s="77"/>
      <c r="DNY1" s="77"/>
      <c r="DNZ1" s="77"/>
      <c r="DOA1" s="77"/>
      <c r="DOB1" s="77"/>
      <c r="DOC1" s="77"/>
      <c r="DOD1" s="77"/>
      <c r="DOE1" s="77"/>
      <c r="DOF1" s="77"/>
      <c r="DOG1" s="77"/>
      <c r="DOH1" s="77"/>
      <c r="DOI1" s="77"/>
      <c r="DOJ1" s="77"/>
      <c r="DOK1" s="77"/>
      <c r="DOL1" s="77"/>
      <c r="DOM1" s="77"/>
      <c r="DON1" s="77"/>
      <c r="DOO1" s="77"/>
      <c r="DOP1" s="77"/>
      <c r="DOQ1" s="77"/>
      <c r="DOR1" s="77"/>
      <c r="DOS1" s="77"/>
      <c r="DOT1" s="77"/>
      <c r="DOU1" s="77"/>
      <c r="DOV1" s="77"/>
      <c r="DOW1" s="77"/>
      <c r="DOX1" s="77"/>
      <c r="DOY1" s="77"/>
      <c r="DOZ1" s="77"/>
      <c r="DPA1" s="77"/>
      <c r="DPB1" s="77"/>
      <c r="DPC1" s="77"/>
      <c r="DPD1" s="77"/>
      <c r="DPE1" s="77"/>
      <c r="DPF1" s="77"/>
      <c r="DPG1" s="77"/>
      <c r="DPH1" s="77"/>
      <c r="DPI1" s="77"/>
      <c r="DPJ1" s="77"/>
      <c r="DPK1" s="77"/>
      <c r="DPL1" s="77"/>
      <c r="DPM1" s="77"/>
      <c r="DPN1" s="77"/>
      <c r="DPO1" s="77"/>
      <c r="DPP1" s="77"/>
      <c r="DPQ1" s="77"/>
      <c r="DPR1" s="77"/>
      <c r="DPS1" s="77"/>
      <c r="DPT1" s="77"/>
      <c r="DPU1" s="77"/>
      <c r="DPV1" s="77"/>
      <c r="DPW1" s="77"/>
      <c r="DPX1" s="77"/>
      <c r="DPY1" s="77"/>
      <c r="DPZ1" s="77"/>
      <c r="DQA1" s="77"/>
      <c r="DQB1" s="77"/>
      <c r="DQC1" s="77"/>
      <c r="DQD1" s="77"/>
      <c r="DQE1" s="77"/>
      <c r="DQF1" s="77"/>
      <c r="DQG1" s="77"/>
      <c r="DQH1" s="77"/>
      <c r="DQI1" s="77"/>
      <c r="DQJ1" s="77"/>
      <c r="DQK1" s="77"/>
      <c r="DQL1" s="77"/>
      <c r="DQM1" s="77"/>
      <c r="DQN1" s="77"/>
      <c r="DQO1" s="77"/>
      <c r="DQP1" s="77"/>
      <c r="DQQ1" s="77"/>
      <c r="DQR1" s="77"/>
      <c r="DQS1" s="77"/>
      <c r="DQT1" s="77"/>
      <c r="DQU1" s="77"/>
      <c r="DQV1" s="77"/>
      <c r="DQW1" s="77"/>
      <c r="DQX1" s="77"/>
      <c r="DQY1" s="77"/>
      <c r="DQZ1" s="77"/>
      <c r="DRA1" s="77"/>
      <c r="DRB1" s="77"/>
      <c r="DRC1" s="77"/>
      <c r="DRD1" s="77"/>
      <c r="DRE1" s="77"/>
      <c r="DRF1" s="77"/>
      <c r="DRG1" s="77"/>
      <c r="DRH1" s="77"/>
      <c r="DRI1" s="77"/>
      <c r="DRJ1" s="77"/>
      <c r="DRK1" s="77"/>
      <c r="DRL1" s="77"/>
      <c r="DRM1" s="77"/>
      <c r="DRN1" s="77"/>
      <c r="DRO1" s="77"/>
      <c r="DRP1" s="77"/>
      <c r="DRQ1" s="77"/>
      <c r="DRR1" s="77"/>
      <c r="DRS1" s="77"/>
      <c r="DRT1" s="77"/>
      <c r="DRU1" s="77"/>
      <c r="DRV1" s="77"/>
      <c r="DRW1" s="77"/>
      <c r="DRX1" s="77"/>
      <c r="DRY1" s="77"/>
      <c r="DRZ1" s="77"/>
      <c r="DSA1" s="77"/>
      <c r="DSB1" s="77"/>
      <c r="DSC1" s="77"/>
      <c r="DSD1" s="77"/>
      <c r="DSE1" s="77"/>
      <c r="DSF1" s="77"/>
      <c r="DSG1" s="77"/>
      <c r="DSH1" s="77"/>
      <c r="DSI1" s="77"/>
      <c r="DSJ1" s="77"/>
      <c r="DSK1" s="77"/>
      <c r="DSL1" s="77"/>
      <c r="DSM1" s="77"/>
      <c r="DSN1" s="77"/>
      <c r="DSO1" s="77"/>
      <c r="DSP1" s="77"/>
      <c r="DSQ1" s="77"/>
      <c r="DSR1" s="77"/>
      <c r="DSS1" s="77"/>
      <c r="DST1" s="77"/>
      <c r="DSU1" s="77"/>
      <c r="DSV1" s="77"/>
      <c r="DSW1" s="77"/>
      <c r="DSX1" s="77"/>
      <c r="DSY1" s="77"/>
      <c r="DSZ1" s="77"/>
      <c r="DTA1" s="77"/>
      <c r="DTB1" s="77"/>
      <c r="DTC1" s="77"/>
      <c r="DTD1" s="77"/>
      <c r="DTE1" s="77"/>
      <c r="DTF1" s="77"/>
      <c r="DTG1" s="77"/>
      <c r="DTH1" s="77"/>
      <c r="DTI1" s="77"/>
      <c r="DTJ1" s="77"/>
      <c r="DTK1" s="77"/>
      <c r="DTL1" s="77"/>
      <c r="DTM1" s="77"/>
      <c r="DTN1" s="77"/>
      <c r="DTO1" s="77"/>
      <c r="DTP1" s="77"/>
      <c r="DTQ1" s="77"/>
      <c r="DTR1" s="77"/>
      <c r="DTS1" s="77"/>
      <c r="DTT1" s="77"/>
      <c r="DTU1" s="77"/>
      <c r="DTV1" s="77"/>
      <c r="DTW1" s="77"/>
      <c r="DTX1" s="77"/>
      <c r="DTY1" s="77"/>
      <c r="DTZ1" s="77"/>
      <c r="DUA1" s="77"/>
      <c r="DUB1" s="77"/>
      <c r="DUC1" s="77"/>
      <c r="DUD1" s="77"/>
      <c r="DUE1" s="77"/>
      <c r="DUF1" s="77"/>
      <c r="DUG1" s="77"/>
      <c r="DUH1" s="77"/>
      <c r="DUI1" s="77"/>
      <c r="DUJ1" s="77"/>
      <c r="DUK1" s="77"/>
      <c r="DUL1" s="77"/>
      <c r="DUM1" s="77"/>
      <c r="DUN1" s="77"/>
      <c r="DUO1" s="77"/>
      <c r="DUP1" s="77"/>
      <c r="DUQ1" s="77"/>
      <c r="DUR1" s="77"/>
      <c r="DUS1" s="77"/>
      <c r="DUT1" s="77"/>
      <c r="DUU1" s="77"/>
      <c r="DUV1" s="77"/>
      <c r="DUW1" s="77"/>
      <c r="DUX1" s="77"/>
      <c r="DUY1" s="77"/>
      <c r="DUZ1" s="77"/>
      <c r="DVA1" s="77"/>
      <c r="DVB1" s="77"/>
      <c r="DVC1" s="77"/>
      <c r="DVD1" s="77"/>
      <c r="DVE1" s="77"/>
      <c r="DVF1" s="77"/>
      <c r="DVG1" s="77"/>
      <c r="DVH1" s="77"/>
      <c r="DVI1" s="77"/>
      <c r="DVJ1" s="77"/>
      <c r="DVK1" s="77"/>
      <c r="DVL1" s="77"/>
      <c r="DVM1" s="77"/>
      <c r="DVN1" s="77"/>
      <c r="DVO1" s="77"/>
      <c r="DVP1" s="77"/>
      <c r="DVQ1" s="77"/>
      <c r="DVR1" s="77"/>
      <c r="DVS1" s="77"/>
      <c r="DVT1" s="77"/>
      <c r="DVU1" s="77"/>
      <c r="DVV1" s="77"/>
      <c r="DVW1" s="77"/>
      <c r="DVX1" s="77"/>
      <c r="DVY1" s="77"/>
      <c r="DVZ1" s="77"/>
      <c r="DWA1" s="77"/>
      <c r="DWB1" s="77"/>
      <c r="DWC1" s="77"/>
      <c r="DWD1" s="77"/>
      <c r="DWE1" s="77"/>
      <c r="DWF1" s="77"/>
      <c r="DWG1" s="77"/>
      <c r="DWH1" s="77"/>
      <c r="DWI1" s="77"/>
      <c r="DWJ1" s="77"/>
      <c r="DWK1" s="77"/>
      <c r="DWL1" s="77"/>
      <c r="DWM1" s="77"/>
      <c r="DWN1" s="77"/>
      <c r="DWO1" s="77"/>
      <c r="DWP1" s="77"/>
      <c r="DWQ1" s="77"/>
      <c r="DWR1" s="77"/>
      <c r="DWS1" s="77"/>
      <c r="DWT1" s="77"/>
      <c r="DWU1" s="77"/>
      <c r="DWV1" s="77"/>
      <c r="DWW1" s="77"/>
      <c r="DWX1" s="77"/>
      <c r="DWY1" s="77"/>
      <c r="DWZ1" s="77"/>
      <c r="DXA1" s="77"/>
      <c r="DXB1" s="77"/>
      <c r="DXC1" s="77"/>
      <c r="DXD1" s="77"/>
      <c r="DXE1" s="77"/>
      <c r="DXF1" s="77"/>
      <c r="DXG1" s="77"/>
      <c r="DXH1" s="77"/>
      <c r="DXI1" s="77"/>
      <c r="DXJ1" s="77"/>
      <c r="DXK1" s="77"/>
      <c r="DXL1" s="77"/>
      <c r="DXM1" s="77"/>
      <c r="DXN1" s="77"/>
      <c r="DXO1" s="77"/>
      <c r="DXP1" s="77"/>
      <c r="DXQ1" s="77"/>
      <c r="DXR1" s="77"/>
      <c r="DXS1" s="77"/>
      <c r="DXT1" s="77"/>
      <c r="DXU1" s="77"/>
      <c r="DXV1" s="77"/>
      <c r="DXW1" s="77"/>
      <c r="DXX1" s="77"/>
      <c r="DXY1" s="77"/>
      <c r="DXZ1" s="77"/>
      <c r="DYA1" s="77"/>
      <c r="DYB1" s="77"/>
      <c r="DYC1" s="77"/>
      <c r="DYD1" s="77"/>
      <c r="DYE1" s="77"/>
      <c r="DYF1" s="77"/>
      <c r="DYG1" s="77"/>
      <c r="DYH1" s="77"/>
      <c r="DYI1" s="77"/>
      <c r="DYJ1" s="77"/>
      <c r="DYK1" s="77"/>
      <c r="DYL1" s="77"/>
      <c r="DYM1" s="77"/>
      <c r="DYN1" s="77"/>
      <c r="DYO1" s="77"/>
      <c r="DYP1" s="77"/>
      <c r="DYQ1" s="77"/>
      <c r="DYR1" s="77"/>
      <c r="DYS1" s="77"/>
      <c r="DYT1" s="77"/>
      <c r="DYU1" s="77"/>
      <c r="DYV1" s="77"/>
      <c r="DYW1" s="77"/>
      <c r="DYX1" s="77"/>
      <c r="DYY1" s="77"/>
      <c r="DYZ1" s="77"/>
      <c r="DZA1" s="77"/>
      <c r="DZB1" s="77"/>
      <c r="DZC1" s="77"/>
      <c r="DZD1" s="77"/>
      <c r="DZE1" s="77"/>
      <c r="DZF1" s="77"/>
      <c r="DZG1" s="77"/>
      <c r="DZH1" s="77"/>
      <c r="DZI1" s="77"/>
      <c r="DZJ1" s="77"/>
      <c r="DZK1" s="77"/>
      <c r="DZL1" s="77"/>
      <c r="DZM1" s="77"/>
      <c r="DZN1" s="77"/>
      <c r="DZO1" s="77"/>
      <c r="DZP1" s="77"/>
      <c r="DZQ1" s="77"/>
      <c r="DZR1" s="77"/>
      <c r="DZS1" s="77"/>
      <c r="DZT1" s="77"/>
      <c r="DZU1" s="77"/>
      <c r="DZV1" s="77"/>
      <c r="DZW1" s="77"/>
      <c r="DZX1" s="77"/>
      <c r="DZY1" s="77"/>
      <c r="DZZ1" s="77"/>
      <c r="EAA1" s="77"/>
      <c r="EAB1" s="77"/>
      <c r="EAC1" s="77"/>
      <c r="EAD1" s="77"/>
      <c r="EAE1" s="77"/>
      <c r="EAF1" s="77"/>
      <c r="EAG1" s="77"/>
      <c r="EAH1" s="77"/>
      <c r="EAI1" s="77"/>
      <c r="EAJ1" s="77"/>
      <c r="EAK1" s="77"/>
      <c r="EAL1" s="77"/>
      <c r="EAM1" s="77"/>
      <c r="EAN1" s="77"/>
      <c r="EAO1" s="77"/>
      <c r="EAP1" s="77"/>
      <c r="EAQ1" s="77"/>
      <c r="EAR1" s="77"/>
      <c r="EAS1" s="77"/>
      <c r="EAT1" s="77"/>
      <c r="EAU1" s="77"/>
      <c r="EAV1" s="77"/>
      <c r="EAW1" s="77"/>
      <c r="EAX1" s="77"/>
      <c r="EAY1" s="77"/>
      <c r="EAZ1" s="77"/>
      <c r="EBA1" s="77"/>
      <c r="EBB1" s="77"/>
      <c r="EBC1" s="77"/>
      <c r="EBD1" s="77"/>
      <c r="EBE1" s="77"/>
      <c r="EBF1" s="77"/>
      <c r="EBG1" s="77"/>
      <c r="EBH1" s="77"/>
      <c r="EBI1" s="77"/>
      <c r="EBJ1" s="77"/>
      <c r="EBK1" s="77"/>
      <c r="EBL1" s="77"/>
      <c r="EBM1" s="77"/>
      <c r="EBN1" s="77"/>
      <c r="EBO1" s="77"/>
      <c r="EBP1" s="77"/>
      <c r="EBQ1" s="77"/>
      <c r="EBR1" s="77"/>
      <c r="EBS1" s="77"/>
      <c r="EBT1" s="77"/>
      <c r="EBU1" s="77"/>
      <c r="EBV1" s="77"/>
      <c r="EBW1" s="77"/>
      <c r="EBX1" s="77"/>
      <c r="EBY1" s="77"/>
      <c r="EBZ1" s="77"/>
      <c r="ECA1" s="77"/>
      <c r="ECB1" s="77"/>
      <c r="ECC1" s="77"/>
      <c r="ECD1" s="77"/>
      <c r="ECE1" s="77"/>
      <c r="ECF1" s="77"/>
      <c r="ECG1" s="77"/>
      <c r="ECH1" s="77"/>
      <c r="ECI1" s="77"/>
      <c r="ECJ1" s="77"/>
      <c r="ECK1" s="77"/>
      <c r="ECL1" s="77"/>
      <c r="ECM1" s="77"/>
      <c r="ECN1" s="77"/>
      <c r="ECO1" s="77"/>
      <c r="ECP1" s="77"/>
      <c r="ECQ1" s="77"/>
      <c r="ECR1" s="77"/>
      <c r="ECS1" s="77"/>
      <c r="ECT1" s="77"/>
      <c r="ECU1" s="77"/>
      <c r="ECV1" s="77"/>
      <c r="ECW1" s="77"/>
      <c r="ECX1" s="77"/>
      <c r="ECY1" s="77"/>
      <c r="ECZ1" s="77"/>
      <c r="EDA1" s="77"/>
      <c r="EDB1" s="77"/>
      <c r="EDC1" s="77"/>
      <c r="EDD1" s="77"/>
      <c r="EDE1" s="77"/>
      <c r="EDF1" s="77"/>
      <c r="EDG1" s="77"/>
      <c r="EDH1" s="77"/>
      <c r="EDI1" s="77"/>
      <c r="EDJ1" s="77"/>
      <c r="EDK1" s="77"/>
      <c r="EDL1" s="77"/>
      <c r="EDM1" s="77"/>
      <c r="EDN1" s="77"/>
      <c r="EDO1" s="77"/>
      <c r="EDP1" s="77"/>
      <c r="EDQ1" s="77"/>
      <c r="EDR1" s="77"/>
      <c r="EDS1" s="77"/>
      <c r="EDT1" s="77"/>
      <c r="EDU1" s="77"/>
      <c r="EDV1" s="77"/>
      <c r="EDW1" s="77"/>
      <c r="EDX1" s="77"/>
      <c r="EDY1" s="77"/>
      <c r="EDZ1" s="77"/>
      <c r="EEA1" s="77"/>
      <c r="EEB1" s="77"/>
      <c r="EEC1" s="77"/>
      <c r="EED1" s="77"/>
      <c r="EEE1" s="77"/>
      <c r="EEF1" s="77"/>
      <c r="EEG1" s="77"/>
      <c r="EEH1" s="77"/>
      <c r="EEI1" s="77"/>
      <c r="EEJ1" s="77"/>
      <c r="EEK1" s="77"/>
      <c r="EEL1" s="77"/>
      <c r="EEM1" s="77"/>
      <c r="EEN1" s="77"/>
      <c r="EEO1" s="77"/>
      <c r="EEP1" s="77"/>
      <c r="EEQ1" s="77"/>
      <c r="EER1" s="77"/>
      <c r="EES1" s="77"/>
      <c r="EET1" s="77"/>
      <c r="EEU1" s="77"/>
      <c r="EEV1" s="77"/>
      <c r="EEW1" s="77"/>
      <c r="EEX1" s="77"/>
      <c r="EEY1" s="77"/>
      <c r="EEZ1" s="77"/>
      <c r="EFA1" s="77"/>
      <c r="EFB1" s="77"/>
      <c r="EFC1" s="77"/>
      <c r="EFD1" s="77"/>
      <c r="EFE1" s="77"/>
      <c r="EFF1" s="77"/>
      <c r="EFG1" s="77"/>
      <c r="EFH1" s="77"/>
      <c r="EFI1" s="77"/>
      <c r="EFJ1" s="77"/>
      <c r="EFK1" s="77"/>
      <c r="EFL1" s="77"/>
      <c r="EFM1" s="77"/>
      <c r="EFN1" s="77"/>
      <c r="EFO1" s="77"/>
      <c r="EFP1" s="77"/>
      <c r="EFQ1" s="77"/>
      <c r="EFR1" s="77"/>
      <c r="EFS1" s="77"/>
      <c r="EFT1" s="77"/>
      <c r="EFU1" s="77"/>
      <c r="EFV1" s="77"/>
      <c r="EFW1" s="77"/>
      <c r="EFX1" s="77"/>
      <c r="EFY1" s="77"/>
      <c r="EFZ1" s="77"/>
      <c r="EGA1" s="77"/>
      <c r="EGB1" s="77"/>
      <c r="EGC1" s="77"/>
      <c r="EGD1" s="77"/>
      <c r="EGE1" s="77"/>
      <c r="EGF1" s="77"/>
      <c r="EGG1" s="77"/>
      <c r="EGH1" s="77"/>
      <c r="EGI1" s="77"/>
      <c r="EGJ1" s="77"/>
      <c r="EGK1" s="77"/>
      <c r="EGL1" s="77"/>
      <c r="EGM1" s="77"/>
      <c r="EGN1" s="77"/>
      <c r="EGO1" s="77"/>
      <c r="EGP1" s="77"/>
      <c r="EGQ1" s="77"/>
      <c r="EGR1" s="77"/>
      <c r="EGS1" s="77"/>
      <c r="EGT1" s="77"/>
      <c r="EGU1" s="77"/>
      <c r="EGV1" s="77"/>
      <c r="EGW1" s="77"/>
      <c r="EGX1" s="77"/>
      <c r="EGY1" s="77"/>
      <c r="EGZ1" s="77"/>
      <c r="EHA1" s="77"/>
      <c r="EHB1" s="77"/>
      <c r="EHC1" s="77"/>
      <c r="EHD1" s="77"/>
      <c r="EHE1" s="77"/>
      <c r="EHF1" s="77"/>
      <c r="EHG1" s="77"/>
      <c r="EHH1" s="77"/>
      <c r="EHI1" s="77"/>
      <c r="EHJ1" s="77"/>
      <c r="EHK1" s="77"/>
      <c r="EHL1" s="77"/>
      <c r="EHM1" s="77"/>
      <c r="EHN1" s="77"/>
      <c r="EHO1" s="77"/>
      <c r="EHP1" s="77"/>
      <c r="EHQ1" s="77"/>
      <c r="EHR1" s="77"/>
      <c r="EHS1" s="77"/>
      <c r="EHT1" s="77"/>
      <c r="EHU1" s="77"/>
      <c r="EHV1" s="77"/>
      <c r="EHW1" s="77"/>
      <c r="EHX1" s="77"/>
      <c r="EHY1" s="77"/>
      <c r="EHZ1" s="77"/>
      <c r="EIA1" s="77"/>
      <c r="EIB1" s="77"/>
      <c r="EIC1" s="77"/>
      <c r="EID1" s="77"/>
      <c r="EIE1" s="77"/>
      <c r="EIF1" s="77"/>
      <c r="EIG1" s="77"/>
      <c r="EIH1" s="77"/>
      <c r="EII1" s="77"/>
      <c r="EIJ1" s="77"/>
      <c r="EIK1" s="77"/>
      <c r="EIL1" s="77"/>
      <c r="EIM1" s="77"/>
      <c r="EIN1" s="77"/>
      <c r="EIO1" s="77"/>
      <c r="EIP1" s="77"/>
      <c r="EIQ1" s="77"/>
      <c r="EIR1" s="77"/>
      <c r="EIS1" s="77"/>
      <c r="EIT1" s="77"/>
      <c r="EIU1" s="77"/>
      <c r="EIV1" s="77"/>
      <c r="EIW1" s="77"/>
      <c r="EIX1" s="77"/>
      <c r="EIY1" s="77"/>
      <c r="EIZ1" s="77"/>
      <c r="EJA1" s="77"/>
      <c r="EJB1" s="77"/>
      <c r="EJC1" s="77"/>
      <c r="EJD1" s="77"/>
      <c r="EJE1" s="77"/>
      <c r="EJF1" s="77"/>
      <c r="EJG1" s="77"/>
      <c r="EJH1" s="77"/>
      <c r="EJI1" s="77"/>
      <c r="EJJ1" s="77"/>
      <c r="EJK1" s="77"/>
      <c r="EJL1" s="77"/>
      <c r="EJM1" s="77"/>
      <c r="EJN1" s="77"/>
      <c r="EJO1" s="77"/>
      <c r="EJP1" s="77"/>
      <c r="EJQ1" s="77"/>
      <c r="EJR1" s="77"/>
      <c r="EJS1" s="77"/>
      <c r="EJT1" s="77"/>
      <c r="EJU1" s="77"/>
      <c r="EJV1" s="77"/>
      <c r="EJW1" s="77"/>
      <c r="EJX1" s="77"/>
      <c r="EJY1" s="77"/>
      <c r="EJZ1" s="77"/>
      <c r="EKA1" s="77"/>
      <c r="EKB1" s="77"/>
      <c r="EKC1" s="77"/>
      <c r="EKD1" s="77"/>
      <c r="EKE1" s="77"/>
      <c r="EKF1" s="77"/>
      <c r="EKG1" s="77"/>
      <c r="EKH1" s="77"/>
      <c r="EKI1" s="77"/>
      <c r="EKJ1" s="77"/>
      <c r="EKK1" s="77"/>
      <c r="EKL1" s="77"/>
      <c r="EKM1" s="77"/>
      <c r="EKN1" s="77"/>
      <c r="EKO1" s="77"/>
      <c r="EKP1" s="77"/>
      <c r="EKQ1" s="77"/>
      <c r="EKR1" s="77"/>
      <c r="EKS1" s="77"/>
      <c r="EKT1" s="77"/>
      <c r="EKU1" s="77"/>
      <c r="EKV1" s="77"/>
      <c r="EKW1" s="77"/>
      <c r="EKX1" s="77"/>
      <c r="EKY1" s="77"/>
      <c r="EKZ1" s="77"/>
      <c r="ELA1" s="77"/>
      <c r="ELB1" s="77"/>
      <c r="ELC1" s="77"/>
      <c r="ELD1" s="77"/>
      <c r="ELE1" s="77"/>
      <c r="ELF1" s="77"/>
      <c r="ELG1" s="77"/>
      <c r="ELH1" s="77"/>
      <c r="ELI1" s="77"/>
      <c r="ELJ1" s="77"/>
      <c r="ELK1" s="77"/>
      <c r="ELL1" s="77"/>
      <c r="ELM1" s="77"/>
      <c r="ELN1" s="77"/>
      <c r="ELO1" s="77"/>
      <c r="ELP1" s="77"/>
      <c r="ELQ1" s="77"/>
      <c r="ELR1" s="77"/>
      <c r="ELS1" s="77"/>
      <c r="ELT1" s="77"/>
      <c r="ELU1" s="77"/>
      <c r="ELV1" s="77"/>
      <c r="ELW1" s="77"/>
      <c r="ELX1" s="77"/>
      <c r="ELY1" s="77"/>
      <c r="ELZ1" s="77"/>
      <c r="EMA1" s="77"/>
      <c r="EMB1" s="77"/>
      <c r="EMC1" s="77"/>
      <c r="EMD1" s="77"/>
      <c r="EME1" s="77"/>
      <c r="EMF1" s="77"/>
      <c r="EMG1" s="77"/>
      <c r="EMH1" s="77"/>
      <c r="EMI1" s="77"/>
      <c r="EMJ1" s="77"/>
      <c r="EMK1" s="77"/>
      <c r="EML1" s="77"/>
      <c r="EMM1" s="77"/>
      <c r="EMN1" s="77"/>
      <c r="EMO1" s="77"/>
      <c r="EMP1" s="77"/>
      <c r="EMQ1" s="77"/>
      <c r="EMR1" s="77"/>
      <c r="EMS1" s="77"/>
      <c r="EMT1" s="77"/>
      <c r="EMU1" s="77"/>
      <c r="EMV1" s="77"/>
      <c r="EMW1" s="77"/>
      <c r="EMX1" s="77"/>
      <c r="EMY1" s="77"/>
      <c r="EMZ1" s="77"/>
      <c r="ENA1" s="77"/>
      <c r="ENB1" s="77"/>
      <c r="ENC1" s="77"/>
      <c r="END1" s="77"/>
      <c r="ENE1" s="77"/>
      <c r="ENF1" s="77"/>
      <c r="ENG1" s="77"/>
      <c r="ENH1" s="77"/>
      <c r="ENI1" s="77"/>
      <c r="ENJ1" s="77"/>
      <c r="ENK1" s="77"/>
      <c r="ENL1" s="77"/>
      <c r="ENM1" s="77"/>
      <c r="ENN1" s="77"/>
      <c r="ENO1" s="77"/>
      <c r="ENP1" s="77"/>
      <c r="ENQ1" s="77"/>
      <c r="ENR1" s="77"/>
      <c r="ENS1" s="77"/>
      <c r="ENT1" s="77"/>
      <c r="ENU1" s="77"/>
      <c r="ENV1" s="77"/>
      <c r="ENW1" s="77"/>
      <c r="ENX1" s="77"/>
      <c r="ENY1" s="77"/>
      <c r="ENZ1" s="77"/>
      <c r="EOA1" s="77"/>
      <c r="EOB1" s="77"/>
      <c r="EOC1" s="77"/>
      <c r="EOD1" s="77"/>
      <c r="EOE1" s="77"/>
      <c r="EOF1" s="77"/>
      <c r="EOG1" s="77"/>
      <c r="EOH1" s="77"/>
      <c r="EOI1" s="77"/>
      <c r="EOJ1" s="77"/>
      <c r="EOK1" s="77"/>
      <c r="EOL1" s="77"/>
      <c r="EOM1" s="77"/>
      <c r="EON1" s="77"/>
      <c r="EOO1" s="77"/>
      <c r="EOP1" s="77"/>
      <c r="EOQ1" s="77"/>
      <c r="EOR1" s="77"/>
      <c r="EOS1" s="77"/>
      <c r="EOT1" s="77"/>
      <c r="EOU1" s="77"/>
      <c r="EOV1" s="77"/>
      <c r="EOW1" s="77"/>
      <c r="EOX1" s="77"/>
      <c r="EOY1" s="77"/>
      <c r="EOZ1" s="77"/>
      <c r="EPA1" s="77"/>
      <c r="EPB1" s="77"/>
      <c r="EPC1" s="77"/>
      <c r="EPD1" s="77"/>
      <c r="EPE1" s="77"/>
      <c r="EPF1" s="77"/>
      <c r="EPG1" s="77"/>
      <c r="EPH1" s="77"/>
      <c r="EPI1" s="77"/>
      <c r="EPJ1" s="77"/>
      <c r="EPK1" s="77"/>
      <c r="EPL1" s="77"/>
      <c r="EPM1" s="77"/>
      <c r="EPN1" s="77"/>
      <c r="EPO1" s="77"/>
      <c r="EPP1" s="77"/>
      <c r="EPQ1" s="77"/>
      <c r="EPR1" s="77"/>
      <c r="EPS1" s="77"/>
      <c r="EPT1" s="77"/>
      <c r="EPU1" s="77"/>
      <c r="EPV1" s="77"/>
      <c r="EPW1" s="77"/>
      <c r="EPX1" s="77"/>
      <c r="EPY1" s="77"/>
      <c r="EPZ1" s="77"/>
      <c r="EQA1" s="77"/>
      <c r="EQB1" s="77"/>
      <c r="EQC1" s="77"/>
      <c r="EQD1" s="77"/>
      <c r="EQE1" s="77"/>
      <c r="EQF1" s="77"/>
      <c r="EQG1" s="77"/>
      <c r="EQH1" s="77"/>
      <c r="EQI1" s="77"/>
      <c r="EQJ1" s="77"/>
      <c r="EQK1" s="77"/>
      <c r="EQL1" s="77"/>
      <c r="EQM1" s="77"/>
      <c r="EQN1" s="77"/>
      <c r="EQO1" s="77"/>
      <c r="EQP1" s="77"/>
      <c r="EQQ1" s="77"/>
      <c r="EQR1" s="77"/>
      <c r="EQS1" s="77"/>
      <c r="EQT1" s="77"/>
      <c r="EQU1" s="77"/>
      <c r="EQV1" s="77"/>
      <c r="EQW1" s="77"/>
      <c r="EQX1" s="77"/>
      <c r="EQY1" s="77"/>
      <c r="EQZ1" s="77"/>
      <c r="ERA1" s="77"/>
      <c r="ERB1" s="77"/>
      <c r="ERC1" s="77"/>
      <c r="ERD1" s="77"/>
      <c r="ERE1" s="77"/>
      <c r="ERF1" s="77"/>
      <c r="ERG1" s="77"/>
      <c r="ERH1" s="77"/>
      <c r="ERI1" s="77"/>
      <c r="ERJ1" s="77"/>
      <c r="ERK1" s="77"/>
      <c r="ERL1" s="77"/>
      <c r="ERM1" s="77"/>
      <c r="ERN1" s="77"/>
      <c r="ERO1" s="77"/>
      <c r="ERP1" s="77"/>
      <c r="ERQ1" s="77"/>
      <c r="ERR1" s="77"/>
      <c r="ERS1" s="77"/>
      <c r="ERT1" s="77"/>
      <c r="ERU1" s="77"/>
      <c r="ERV1" s="77"/>
      <c r="ERW1" s="77"/>
      <c r="ERX1" s="77"/>
      <c r="ERY1" s="77"/>
      <c r="ERZ1" s="77"/>
      <c r="ESA1" s="77"/>
      <c r="ESB1" s="77"/>
      <c r="ESC1" s="77"/>
      <c r="ESD1" s="77"/>
      <c r="ESE1" s="77"/>
      <c r="ESF1" s="77"/>
      <c r="ESG1" s="77"/>
      <c r="ESH1" s="77"/>
      <c r="ESI1" s="77"/>
      <c r="ESJ1" s="77"/>
      <c r="ESK1" s="77"/>
      <c r="ESL1" s="77"/>
      <c r="ESM1" s="77"/>
      <c r="ESN1" s="77"/>
      <c r="ESO1" s="77"/>
      <c r="ESP1" s="77"/>
      <c r="ESQ1" s="77"/>
      <c r="ESR1" s="77"/>
      <c r="ESS1" s="77"/>
      <c r="EST1" s="77"/>
      <c r="ESU1" s="77"/>
      <c r="ESV1" s="77"/>
      <c r="ESW1" s="77"/>
      <c r="ESX1" s="77"/>
      <c r="ESY1" s="77"/>
      <c r="ESZ1" s="77"/>
      <c r="ETA1" s="77"/>
      <c r="ETB1" s="77"/>
      <c r="ETC1" s="77"/>
      <c r="ETD1" s="77"/>
      <c r="ETE1" s="77"/>
      <c r="ETF1" s="77"/>
      <c r="ETG1" s="77"/>
      <c r="ETH1" s="77"/>
      <c r="ETI1" s="77"/>
      <c r="ETJ1" s="77"/>
      <c r="ETK1" s="77"/>
      <c r="ETL1" s="77"/>
      <c r="ETM1" s="77"/>
      <c r="ETN1" s="77"/>
      <c r="ETO1" s="77"/>
      <c r="ETP1" s="77"/>
      <c r="ETQ1" s="77"/>
      <c r="ETR1" s="77"/>
      <c r="ETS1" s="77"/>
      <c r="ETT1" s="77"/>
      <c r="ETU1" s="77"/>
      <c r="ETV1" s="77"/>
      <c r="ETW1" s="77"/>
      <c r="ETX1" s="77"/>
      <c r="ETY1" s="77"/>
      <c r="ETZ1" s="77"/>
      <c r="EUA1" s="77"/>
      <c r="EUB1" s="77"/>
      <c r="EUC1" s="77"/>
      <c r="EUD1" s="77"/>
      <c r="EUE1" s="77"/>
      <c r="EUF1" s="77"/>
      <c r="EUG1" s="77"/>
      <c r="EUH1" s="77"/>
      <c r="EUI1" s="77"/>
      <c r="EUJ1" s="77"/>
      <c r="EUK1" s="77"/>
      <c r="EUL1" s="77"/>
      <c r="EUM1" s="77"/>
      <c r="EUN1" s="77"/>
      <c r="EUO1" s="77"/>
      <c r="EUP1" s="77"/>
      <c r="EUQ1" s="77"/>
      <c r="EUR1" s="77"/>
      <c r="EUS1" s="77"/>
      <c r="EUT1" s="77"/>
      <c r="EUU1" s="77"/>
      <c r="EUV1" s="77"/>
      <c r="EUW1" s="77"/>
      <c r="EUX1" s="77"/>
      <c r="EUY1" s="77"/>
      <c r="EUZ1" s="77"/>
      <c r="EVA1" s="77"/>
      <c r="EVB1" s="77"/>
      <c r="EVC1" s="77"/>
      <c r="EVD1" s="77"/>
      <c r="EVE1" s="77"/>
      <c r="EVF1" s="77"/>
      <c r="EVG1" s="77"/>
      <c r="EVH1" s="77"/>
      <c r="EVI1" s="77"/>
      <c r="EVJ1" s="77"/>
      <c r="EVK1" s="77"/>
      <c r="EVL1" s="77"/>
      <c r="EVM1" s="77"/>
      <c r="EVN1" s="77"/>
      <c r="EVO1" s="77"/>
      <c r="EVP1" s="77"/>
      <c r="EVQ1" s="77"/>
      <c r="EVR1" s="77"/>
      <c r="EVS1" s="77"/>
      <c r="EVT1" s="77"/>
      <c r="EVU1" s="77"/>
      <c r="EVV1" s="77"/>
      <c r="EVW1" s="77"/>
      <c r="EVX1" s="77"/>
      <c r="EVY1" s="77"/>
      <c r="EVZ1" s="77"/>
      <c r="EWA1" s="77"/>
      <c r="EWB1" s="77"/>
      <c r="EWC1" s="77"/>
      <c r="EWD1" s="77"/>
      <c r="EWE1" s="77"/>
      <c r="EWF1" s="77"/>
      <c r="EWG1" s="77"/>
      <c r="EWH1" s="77"/>
      <c r="EWI1" s="77"/>
      <c r="EWJ1" s="77"/>
      <c r="EWK1" s="77"/>
      <c r="EWL1" s="77"/>
      <c r="EWM1" s="77"/>
      <c r="EWN1" s="77"/>
      <c r="EWO1" s="77"/>
      <c r="EWP1" s="77"/>
      <c r="EWQ1" s="77"/>
      <c r="EWR1" s="77"/>
      <c r="EWS1" s="77"/>
      <c r="EWT1" s="77"/>
      <c r="EWU1" s="77"/>
      <c r="EWV1" s="77"/>
      <c r="EWW1" s="77"/>
      <c r="EWX1" s="77"/>
      <c r="EWY1" s="77"/>
      <c r="EWZ1" s="77"/>
      <c r="EXA1" s="77"/>
      <c r="EXB1" s="77"/>
      <c r="EXC1" s="77"/>
      <c r="EXD1" s="77"/>
      <c r="EXE1" s="77"/>
      <c r="EXF1" s="77"/>
      <c r="EXG1" s="77"/>
      <c r="EXH1" s="77"/>
      <c r="EXI1" s="77"/>
      <c r="EXJ1" s="77"/>
      <c r="EXK1" s="77"/>
      <c r="EXL1" s="77"/>
      <c r="EXM1" s="77"/>
      <c r="EXN1" s="77"/>
      <c r="EXO1" s="77"/>
      <c r="EXP1" s="77"/>
      <c r="EXQ1" s="77"/>
      <c r="EXR1" s="77"/>
      <c r="EXS1" s="77"/>
      <c r="EXT1" s="77"/>
      <c r="EXU1" s="77"/>
      <c r="EXV1" s="77"/>
      <c r="EXW1" s="77"/>
      <c r="EXX1" s="77"/>
      <c r="EXY1" s="77"/>
      <c r="EXZ1" s="77"/>
      <c r="EYA1" s="77"/>
      <c r="EYB1" s="77"/>
      <c r="EYC1" s="77"/>
      <c r="EYD1" s="77"/>
      <c r="EYE1" s="77"/>
      <c r="EYF1" s="77"/>
      <c r="EYG1" s="77"/>
      <c r="EYH1" s="77"/>
      <c r="EYI1" s="77"/>
      <c r="EYJ1" s="77"/>
      <c r="EYK1" s="77"/>
      <c r="EYL1" s="77"/>
      <c r="EYM1" s="77"/>
      <c r="EYN1" s="77"/>
      <c r="EYO1" s="77"/>
      <c r="EYP1" s="77"/>
      <c r="EYQ1" s="77"/>
      <c r="EYR1" s="77"/>
      <c r="EYS1" s="77"/>
      <c r="EYT1" s="77"/>
      <c r="EYU1" s="77"/>
      <c r="EYV1" s="77"/>
      <c r="EYW1" s="77"/>
      <c r="EYX1" s="77"/>
      <c r="EYY1" s="77"/>
      <c r="EYZ1" s="77"/>
      <c r="EZA1" s="77"/>
      <c r="EZB1" s="77"/>
      <c r="EZC1" s="77"/>
      <c r="EZD1" s="77"/>
      <c r="EZE1" s="77"/>
      <c r="EZF1" s="77"/>
      <c r="EZG1" s="77"/>
      <c r="EZH1" s="77"/>
      <c r="EZI1" s="77"/>
      <c r="EZJ1" s="77"/>
      <c r="EZK1" s="77"/>
      <c r="EZL1" s="77"/>
      <c r="EZM1" s="77"/>
      <c r="EZN1" s="77"/>
      <c r="EZO1" s="77"/>
      <c r="EZP1" s="77"/>
      <c r="EZQ1" s="77"/>
      <c r="EZR1" s="77"/>
      <c r="EZS1" s="77"/>
      <c r="EZT1" s="77"/>
      <c r="EZU1" s="77"/>
      <c r="EZV1" s="77"/>
      <c r="EZW1" s="77"/>
      <c r="EZX1" s="77"/>
      <c r="EZY1" s="77"/>
      <c r="EZZ1" s="77"/>
      <c r="FAA1" s="77"/>
      <c r="FAB1" s="77"/>
      <c r="FAC1" s="77"/>
      <c r="FAD1" s="77"/>
      <c r="FAE1" s="77"/>
      <c r="FAF1" s="77"/>
      <c r="FAG1" s="77"/>
      <c r="FAH1" s="77"/>
      <c r="FAI1" s="77"/>
      <c r="FAJ1" s="77"/>
      <c r="FAK1" s="77"/>
      <c r="FAL1" s="77"/>
      <c r="FAM1" s="77"/>
      <c r="FAN1" s="77"/>
      <c r="FAO1" s="77"/>
      <c r="FAP1" s="77"/>
      <c r="FAQ1" s="77"/>
      <c r="FAR1" s="77"/>
      <c r="FAS1" s="77"/>
      <c r="FAT1" s="77"/>
      <c r="FAU1" s="77"/>
      <c r="FAV1" s="77"/>
      <c r="FAW1" s="77"/>
      <c r="FAX1" s="77"/>
      <c r="FAY1" s="77"/>
      <c r="FAZ1" s="77"/>
      <c r="FBA1" s="77"/>
      <c r="FBB1" s="77"/>
      <c r="FBC1" s="77"/>
      <c r="FBD1" s="77"/>
      <c r="FBE1" s="77"/>
      <c r="FBF1" s="77"/>
      <c r="FBG1" s="77"/>
      <c r="FBH1" s="77"/>
      <c r="FBI1" s="77"/>
      <c r="FBJ1" s="77"/>
      <c r="FBK1" s="77"/>
      <c r="FBL1" s="77"/>
      <c r="FBM1" s="77"/>
      <c r="FBN1" s="77"/>
      <c r="FBO1" s="77"/>
      <c r="FBP1" s="77"/>
      <c r="FBQ1" s="77"/>
      <c r="FBR1" s="77"/>
      <c r="FBS1" s="77"/>
      <c r="FBT1" s="77"/>
      <c r="FBU1" s="77"/>
      <c r="FBV1" s="77"/>
      <c r="FBW1" s="77"/>
      <c r="FBX1" s="77"/>
      <c r="FBY1" s="77"/>
      <c r="FBZ1" s="77"/>
      <c r="FCA1" s="77"/>
      <c r="FCB1" s="77"/>
      <c r="FCC1" s="77"/>
      <c r="FCD1" s="77"/>
      <c r="FCE1" s="77"/>
      <c r="FCF1" s="77"/>
      <c r="FCG1" s="77"/>
      <c r="FCH1" s="77"/>
      <c r="FCI1" s="77"/>
      <c r="FCJ1" s="77"/>
      <c r="FCK1" s="77"/>
      <c r="FCL1" s="77"/>
      <c r="FCM1" s="77"/>
      <c r="FCN1" s="77"/>
      <c r="FCO1" s="77"/>
      <c r="FCP1" s="77"/>
      <c r="FCQ1" s="77"/>
      <c r="FCR1" s="77"/>
      <c r="FCS1" s="77"/>
      <c r="FCT1" s="77"/>
      <c r="FCU1" s="77"/>
      <c r="FCV1" s="77"/>
      <c r="FCW1" s="77"/>
      <c r="FCX1" s="77"/>
      <c r="FCY1" s="77"/>
      <c r="FCZ1" s="77"/>
      <c r="FDA1" s="77"/>
      <c r="FDB1" s="77"/>
      <c r="FDC1" s="77"/>
      <c r="FDD1" s="77"/>
      <c r="FDE1" s="77"/>
      <c r="FDF1" s="77"/>
      <c r="FDG1" s="77"/>
      <c r="FDH1" s="77"/>
      <c r="FDI1" s="77"/>
      <c r="FDJ1" s="77"/>
      <c r="FDK1" s="77"/>
      <c r="FDL1" s="77"/>
      <c r="FDM1" s="77"/>
      <c r="FDN1" s="77"/>
      <c r="FDO1" s="77"/>
      <c r="FDP1" s="77"/>
      <c r="FDQ1" s="77"/>
      <c r="FDR1" s="77"/>
      <c r="FDS1" s="77"/>
      <c r="FDT1" s="77"/>
      <c r="FDU1" s="77"/>
      <c r="FDV1" s="77"/>
      <c r="FDW1" s="77"/>
      <c r="FDX1" s="77"/>
      <c r="FDY1" s="77"/>
      <c r="FDZ1" s="77"/>
      <c r="FEA1" s="77"/>
      <c r="FEB1" s="77"/>
      <c r="FEC1" s="77"/>
      <c r="FED1" s="77"/>
      <c r="FEE1" s="77"/>
      <c r="FEF1" s="77"/>
      <c r="FEG1" s="77"/>
      <c r="FEH1" s="77"/>
      <c r="FEI1" s="77"/>
      <c r="FEJ1" s="77"/>
      <c r="FEK1" s="77"/>
      <c r="FEL1" s="77"/>
      <c r="FEM1" s="77"/>
      <c r="FEN1" s="77"/>
      <c r="FEO1" s="77"/>
      <c r="FEP1" s="77"/>
      <c r="FEQ1" s="77"/>
      <c r="FER1" s="77"/>
      <c r="FES1" s="77"/>
      <c r="FET1" s="77"/>
      <c r="FEU1" s="77"/>
      <c r="FEV1" s="77"/>
      <c r="FEW1" s="77"/>
      <c r="FEX1" s="77"/>
      <c r="FEY1" s="77"/>
      <c r="FEZ1" s="77"/>
      <c r="FFA1" s="77"/>
      <c r="FFB1" s="77"/>
      <c r="FFC1" s="77"/>
      <c r="FFD1" s="77"/>
      <c r="FFE1" s="77"/>
      <c r="FFF1" s="77"/>
      <c r="FFG1" s="77"/>
      <c r="FFH1" s="77"/>
      <c r="FFI1" s="77"/>
      <c r="FFJ1" s="77"/>
      <c r="FFK1" s="77"/>
      <c r="FFL1" s="77"/>
      <c r="FFM1" s="77"/>
      <c r="FFN1" s="77"/>
      <c r="FFO1" s="77"/>
      <c r="FFP1" s="77"/>
      <c r="FFQ1" s="77"/>
      <c r="FFR1" s="77"/>
      <c r="FFS1" s="77"/>
      <c r="FFT1" s="77"/>
      <c r="FFU1" s="77"/>
      <c r="FFV1" s="77"/>
      <c r="FFW1" s="77"/>
      <c r="FFX1" s="77"/>
      <c r="FFY1" s="77"/>
      <c r="FFZ1" s="77"/>
      <c r="FGA1" s="77"/>
      <c r="FGB1" s="77"/>
      <c r="FGC1" s="77"/>
      <c r="FGD1" s="77"/>
      <c r="FGE1" s="77"/>
      <c r="FGF1" s="77"/>
      <c r="FGG1" s="77"/>
      <c r="FGH1" s="77"/>
      <c r="FGI1" s="77"/>
      <c r="FGJ1" s="77"/>
      <c r="FGK1" s="77"/>
      <c r="FGL1" s="77"/>
      <c r="FGM1" s="77"/>
      <c r="FGN1" s="77"/>
      <c r="FGO1" s="77"/>
      <c r="FGP1" s="77"/>
      <c r="FGQ1" s="77"/>
      <c r="FGR1" s="77"/>
      <c r="FGS1" s="77"/>
      <c r="FGT1" s="77"/>
      <c r="FGU1" s="77"/>
      <c r="FGV1" s="77"/>
      <c r="FGW1" s="77"/>
      <c r="FGX1" s="77"/>
      <c r="FGY1" s="77"/>
      <c r="FGZ1" s="77"/>
      <c r="FHA1" s="77"/>
      <c r="FHB1" s="77"/>
      <c r="FHC1" s="77"/>
      <c r="FHD1" s="77"/>
      <c r="FHE1" s="77"/>
      <c r="FHF1" s="77"/>
      <c r="FHG1" s="77"/>
      <c r="FHH1" s="77"/>
      <c r="FHI1" s="77"/>
      <c r="FHJ1" s="77"/>
      <c r="FHK1" s="77"/>
      <c r="FHL1" s="77"/>
      <c r="FHM1" s="77"/>
      <c r="FHN1" s="77"/>
      <c r="FHO1" s="77"/>
      <c r="FHP1" s="77"/>
      <c r="FHQ1" s="77"/>
      <c r="FHR1" s="77"/>
      <c r="FHS1" s="77"/>
      <c r="FHT1" s="77"/>
      <c r="FHU1" s="77"/>
      <c r="FHV1" s="77"/>
      <c r="FHW1" s="77"/>
      <c r="FHX1" s="77"/>
      <c r="FHY1" s="77"/>
      <c r="FHZ1" s="77"/>
      <c r="FIA1" s="77"/>
      <c r="FIB1" s="77"/>
      <c r="FIC1" s="77"/>
      <c r="FID1" s="77"/>
      <c r="FIE1" s="77"/>
      <c r="FIF1" s="77"/>
      <c r="FIG1" s="77"/>
      <c r="FIH1" s="77"/>
      <c r="FII1" s="77"/>
      <c r="FIJ1" s="77"/>
      <c r="FIK1" s="77"/>
      <c r="FIL1" s="77"/>
      <c r="FIM1" s="77"/>
      <c r="FIN1" s="77"/>
      <c r="FIO1" s="77"/>
      <c r="FIP1" s="77"/>
      <c r="FIQ1" s="77"/>
      <c r="FIR1" s="77"/>
      <c r="FIS1" s="77"/>
      <c r="FIT1" s="77"/>
      <c r="FIU1" s="77"/>
      <c r="FIV1" s="77"/>
      <c r="FIW1" s="77"/>
      <c r="FIX1" s="77"/>
      <c r="FIY1" s="77"/>
      <c r="FIZ1" s="77"/>
      <c r="FJA1" s="77"/>
      <c r="FJB1" s="77"/>
      <c r="FJC1" s="77"/>
      <c r="FJD1" s="77"/>
      <c r="FJE1" s="77"/>
      <c r="FJF1" s="77"/>
      <c r="FJG1" s="77"/>
      <c r="FJH1" s="77"/>
      <c r="FJI1" s="77"/>
      <c r="FJJ1" s="77"/>
      <c r="FJK1" s="77"/>
      <c r="FJL1" s="77"/>
      <c r="FJM1" s="77"/>
      <c r="FJN1" s="77"/>
      <c r="FJO1" s="77"/>
      <c r="FJP1" s="77"/>
      <c r="FJQ1" s="77"/>
      <c r="FJR1" s="77"/>
      <c r="FJS1" s="77"/>
      <c r="FJT1" s="77"/>
      <c r="FJU1" s="77"/>
      <c r="FJV1" s="77"/>
      <c r="FJW1" s="77"/>
      <c r="FJX1" s="77"/>
      <c r="FJY1" s="77"/>
      <c r="FJZ1" s="77"/>
      <c r="FKA1" s="77"/>
      <c r="FKB1" s="77"/>
      <c r="FKC1" s="77"/>
      <c r="FKD1" s="77"/>
      <c r="FKE1" s="77"/>
      <c r="FKF1" s="77"/>
      <c r="FKG1" s="77"/>
      <c r="FKH1" s="77"/>
      <c r="FKI1" s="77"/>
      <c r="FKJ1" s="77"/>
      <c r="FKK1" s="77"/>
      <c r="FKL1" s="77"/>
      <c r="FKM1" s="77"/>
      <c r="FKN1" s="77"/>
      <c r="FKO1" s="77"/>
      <c r="FKP1" s="77"/>
      <c r="FKQ1" s="77"/>
      <c r="FKR1" s="77"/>
      <c r="FKS1" s="77"/>
      <c r="FKT1" s="77"/>
      <c r="FKU1" s="77"/>
      <c r="FKV1" s="77"/>
      <c r="FKW1" s="77"/>
      <c r="FKX1" s="77"/>
      <c r="FKY1" s="77"/>
      <c r="FKZ1" s="77"/>
      <c r="FLA1" s="77"/>
      <c r="FLB1" s="77"/>
      <c r="FLC1" s="77"/>
      <c r="FLD1" s="77"/>
      <c r="FLE1" s="77"/>
      <c r="FLF1" s="77"/>
      <c r="FLG1" s="77"/>
      <c r="FLH1" s="77"/>
      <c r="FLI1" s="77"/>
      <c r="FLJ1" s="77"/>
      <c r="FLK1" s="77"/>
      <c r="FLL1" s="77"/>
      <c r="FLM1" s="77"/>
      <c r="FLN1" s="77"/>
      <c r="FLO1" s="77"/>
      <c r="FLP1" s="77"/>
      <c r="FLQ1" s="77"/>
      <c r="FLR1" s="77"/>
      <c r="FLS1" s="77"/>
      <c r="FLT1" s="77"/>
      <c r="FLU1" s="77"/>
      <c r="FLV1" s="77"/>
      <c r="FLW1" s="77"/>
      <c r="FLX1" s="77"/>
      <c r="FLY1" s="77"/>
      <c r="FLZ1" s="77"/>
      <c r="FMA1" s="77"/>
      <c r="FMB1" s="77"/>
      <c r="FMC1" s="77"/>
      <c r="FMD1" s="77"/>
      <c r="FME1" s="77"/>
      <c r="FMF1" s="77"/>
      <c r="FMG1" s="77"/>
      <c r="FMH1" s="77"/>
      <c r="FMI1" s="77"/>
      <c r="FMJ1" s="77"/>
      <c r="FMK1" s="77"/>
      <c r="FML1" s="77"/>
      <c r="FMM1" s="77"/>
      <c r="FMN1" s="77"/>
      <c r="FMO1" s="77"/>
      <c r="FMP1" s="77"/>
      <c r="FMQ1" s="77"/>
      <c r="FMR1" s="77"/>
      <c r="FMS1" s="77"/>
      <c r="FMT1" s="77"/>
      <c r="FMU1" s="77"/>
      <c r="FMV1" s="77"/>
      <c r="FMW1" s="77"/>
      <c r="FMX1" s="77"/>
      <c r="FMY1" s="77"/>
      <c r="FMZ1" s="77"/>
      <c r="FNA1" s="77"/>
      <c r="FNB1" s="77"/>
      <c r="FNC1" s="77"/>
      <c r="FND1" s="77"/>
      <c r="FNE1" s="77"/>
      <c r="FNF1" s="77"/>
      <c r="FNG1" s="77"/>
      <c r="FNH1" s="77"/>
      <c r="FNI1" s="77"/>
      <c r="FNJ1" s="77"/>
      <c r="FNK1" s="77"/>
      <c r="FNL1" s="77"/>
      <c r="FNM1" s="77"/>
      <c r="FNN1" s="77"/>
      <c r="FNO1" s="77"/>
      <c r="FNP1" s="77"/>
      <c r="FNQ1" s="77"/>
      <c r="FNR1" s="77"/>
      <c r="FNS1" s="77"/>
      <c r="FNT1" s="77"/>
      <c r="FNU1" s="77"/>
      <c r="FNV1" s="77"/>
      <c r="FNW1" s="77"/>
      <c r="FNX1" s="77"/>
      <c r="FNY1" s="77"/>
      <c r="FNZ1" s="77"/>
      <c r="FOA1" s="77"/>
      <c r="FOB1" s="77"/>
      <c r="FOC1" s="77"/>
      <c r="FOD1" s="77"/>
      <c r="FOE1" s="77"/>
      <c r="FOF1" s="77"/>
      <c r="FOG1" s="77"/>
      <c r="FOH1" s="77"/>
      <c r="FOI1" s="77"/>
      <c r="FOJ1" s="77"/>
      <c r="FOK1" s="77"/>
      <c r="FOL1" s="77"/>
      <c r="FOM1" s="77"/>
      <c r="FON1" s="77"/>
      <c r="FOO1" s="77"/>
      <c r="FOP1" s="77"/>
      <c r="FOQ1" s="77"/>
      <c r="FOR1" s="77"/>
      <c r="FOS1" s="77"/>
      <c r="FOT1" s="77"/>
      <c r="FOU1" s="77"/>
      <c r="FOV1" s="77"/>
      <c r="FOW1" s="77"/>
      <c r="FOX1" s="77"/>
      <c r="FOY1" s="77"/>
      <c r="FOZ1" s="77"/>
      <c r="FPA1" s="77"/>
      <c r="FPB1" s="77"/>
      <c r="FPC1" s="77"/>
      <c r="FPD1" s="77"/>
      <c r="FPE1" s="77"/>
      <c r="FPF1" s="77"/>
      <c r="FPG1" s="77"/>
      <c r="FPH1" s="77"/>
      <c r="FPI1" s="77"/>
      <c r="FPJ1" s="77"/>
      <c r="FPK1" s="77"/>
      <c r="FPL1" s="77"/>
      <c r="FPM1" s="77"/>
      <c r="FPN1" s="77"/>
      <c r="FPO1" s="77"/>
      <c r="FPP1" s="77"/>
      <c r="FPQ1" s="77"/>
      <c r="FPR1" s="77"/>
      <c r="FPS1" s="77"/>
      <c r="FPT1" s="77"/>
      <c r="FPU1" s="77"/>
      <c r="FPV1" s="77"/>
      <c r="FPW1" s="77"/>
      <c r="FPX1" s="77"/>
      <c r="FPY1" s="77"/>
      <c r="FPZ1" s="77"/>
      <c r="FQA1" s="77"/>
      <c r="FQB1" s="77"/>
      <c r="FQC1" s="77"/>
      <c r="FQD1" s="77"/>
      <c r="FQE1" s="77"/>
      <c r="FQF1" s="77"/>
      <c r="FQG1" s="77"/>
      <c r="FQH1" s="77"/>
      <c r="FQI1" s="77"/>
      <c r="FQJ1" s="77"/>
      <c r="FQK1" s="77"/>
      <c r="FQL1" s="77"/>
      <c r="FQM1" s="77"/>
      <c r="FQN1" s="77"/>
      <c r="FQO1" s="77"/>
      <c r="FQP1" s="77"/>
      <c r="FQQ1" s="77"/>
      <c r="FQR1" s="77"/>
      <c r="FQS1" s="77"/>
      <c r="FQT1" s="77"/>
      <c r="FQU1" s="77"/>
      <c r="FQV1" s="77"/>
      <c r="FQW1" s="77"/>
      <c r="FQX1" s="77"/>
      <c r="FQY1" s="77"/>
      <c r="FQZ1" s="77"/>
      <c r="FRA1" s="77"/>
      <c r="FRB1" s="77"/>
      <c r="FRC1" s="77"/>
      <c r="FRD1" s="77"/>
      <c r="FRE1" s="77"/>
      <c r="FRF1" s="77"/>
      <c r="FRG1" s="77"/>
      <c r="FRH1" s="77"/>
      <c r="FRI1" s="77"/>
      <c r="FRJ1" s="77"/>
      <c r="FRK1" s="77"/>
      <c r="FRL1" s="77"/>
      <c r="FRM1" s="77"/>
      <c r="FRN1" s="77"/>
      <c r="FRO1" s="77"/>
      <c r="FRP1" s="77"/>
      <c r="FRQ1" s="77"/>
      <c r="FRR1" s="77"/>
      <c r="FRS1" s="77"/>
      <c r="FRT1" s="77"/>
      <c r="FRU1" s="77"/>
      <c r="FRV1" s="77"/>
      <c r="FRW1" s="77"/>
      <c r="FRX1" s="77"/>
      <c r="FRY1" s="77"/>
      <c r="FRZ1" s="77"/>
      <c r="FSA1" s="77"/>
      <c r="FSB1" s="77"/>
      <c r="FSC1" s="77"/>
      <c r="FSD1" s="77"/>
      <c r="FSE1" s="77"/>
      <c r="FSF1" s="77"/>
      <c r="FSG1" s="77"/>
      <c r="FSH1" s="77"/>
      <c r="FSI1" s="77"/>
      <c r="FSJ1" s="77"/>
      <c r="FSK1" s="77"/>
      <c r="FSL1" s="77"/>
      <c r="FSM1" s="77"/>
      <c r="FSN1" s="77"/>
      <c r="FSO1" s="77"/>
      <c r="FSP1" s="77"/>
      <c r="FSQ1" s="77"/>
      <c r="FSR1" s="77"/>
      <c r="FSS1" s="77"/>
      <c r="FST1" s="77"/>
      <c r="FSU1" s="77"/>
      <c r="FSV1" s="77"/>
      <c r="FSW1" s="77"/>
      <c r="FSX1" s="77"/>
      <c r="FSY1" s="77"/>
      <c r="FSZ1" s="77"/>
      <c r="FTA1" s="77"/>
      <c r="FTB1" s="77"/>
      <c r="FTC1" s="77"/>
      <c r="FTD1" s="77"/>
      <c r="FTE1" s="77"/>
      <c r="FTF1" s="77"/>
      <c r="FTG1" s="77"/>
      <c r="FTH1" s="77"/>
      <c r="FTI1" s="77"/>
      <c r="FTJ1" s="77"/>
      <c r="FTK1" s="77"/>
      <c r="FTL1" s="77"/>
      <c r="FTM1" s="77"/>
      <c r="FTN1" s="77"/>
      <c r="FTO1" s="77"/>
      <c r="FTP1" s="77"/>
      <c r="FTQ1" s="77"/>
      <c r="FTR1" s="77"/>
      <c r="FTS1" s="77"/>
      <c r="FTT1" s="77"/>
      <c r="FTU1" s="77"/>
      <c r="FTV1" s="77"/>
      <c r="FTW1" s="77"/>
      <c r="FTX1" s="77"/>
      <c r="FTY1" s="77"/>
      <c r="FTZ1" s="77"/>
      <c r="FUA1" s="77"/>
      <c r="FUB1" s="77"/>
      <c r="FUC1" s="77"/>
      <c r="FUD1" s="77"/>
      <c r="FUE1" s="77"/>
      <c r="FUF1" s="77"/>
      <c r="FUG1" s="77"/>
      <c r="FUH1" s="77"/>
      <c r="FUI1" s="77"/>
      <c r="FUJ1" s="77"/>
      <c r="FUK1" s="77"/>
      <c r="FUL1" s="77"/>
      <c r="FUM1" s="77"/>
      <c r="FUN1" s="77"/>
      <c r="FUO1" s="77"/>
      <c r="FUP1" s="77"/>
      <c r="FUQ1" s="77"/>
      <c r="FUR1" s="77"/>
      <c r="FUS1" s="77"/>
      <c r="FUT1" s="77"/>
      <c r="FUU1" s="77"/>
      <c r="FUV1" s="77"/>
      <c r="FUW1" s="77"/>
      <c r="FUX1" s="77"/>
      <c r="FUY1" s="77"/>
      <c r="FUZ1" s="77"/>
      <c r="FVA1" s="77"/>
      <c r="FVB1" s="77"/>
      <c r="FVC1" s="77"/>
      <c r="FVD1" s="77"/>
      <c r="FVE1" s="77"/>
      <c r="FVF1" s="77"/>
      <c r="FVG1" s="77"/>
      <c r="FVH1" s="77"/>
      <c r="FVI1" s="77"/>
      <c r="FVJ1" s="77"/>
      <c r="FVK1" s="77"/>
      <c r="FVL1" s="77"/>
      <c r="FVM1" s="77"/>
      <c r="FVN1" s="77"/>
      <c r="FVO1" s="77"/>
      <c r="FVP1" s="77"/>
      <c r="FVQ1" s="77"/>
      <c r="FVR1" s="77"/>
      <c r="FVS1" s="77"/>
      <c r="FVT1" s="77"/>
      <c r="FVU1" s="77"/>
      <c r="FVV1" s="77"/>
      <c r="FVW1" s="77"/>
      <c r="FVX1" s="77"/>
      <c r="FVY1" s="77"/>
      <c r="FVZ1" s="77"/>
      <c r="FWA1" s="77"/>
      <c r="FWB1" s="77"/>
      <c r="FWC1" s="77"/>
      <c r="FWD1" s="77"/>
      <c r="FWE1" s="77"/>
      <c r="FWF1" s="77"/>
      <c r="FWG1" s="77"/>
      <c r="FWH1" s="77"/>
      <c r="FWI1" s="77"/>
      <c r="FWJ1" s="77"/>
      <c r="FWK1" s="77"/>
      <c r="FWL1" s="77"/>
      <c r="FWM1" s="77"/>
      <c r="FWN1" s="77"/>
      <c r="FWO1" s="77"/>
      <c r="FWP1" s="77"/>
      <c r="FWQ1" s="77"/>
      <c r="FWR1" s="77"/>
      <c r="FWS1" s="77"/>
      <c r="FWT1" s="77"/>
      <c r="FWU1" s="77"/>
      <c r="FWV1" s="77"/>
      <c r="FWW1" s="77"/>
      <c r="FWX1" s="77"/>
      <c r="FWY1" s="77"/>
      <c r="FWZ1" s="77"/>
      <c r="FXA1" s="77"/>
      <c r="FXB1" s="77"/>
      <c r="FXC1" s="77"/>
      <c r="FXD1" s="77"/>
      <c r="FXE1" s="77"/>
      <c r="FXF1" s="77"/>
      <c r="FXG1" s="77"/>
      <c r="FXH1" s="77"/>
      <c r="FXI1" s="77"/>
      <c r="FXJ1" s="77"/>
      <c r="FXK1" s="77"/>
      <c r="FXL1" s="77"/>
      <c r="FXM1" s="77"/>
      <c r="FXN1" s="77"/>
      <c r="FXO1" s="77"/>
      <c r="FXP1" s="77"/>
      <c r="FXQ1" s="77"/>
      <c r="FXR1" s="77"/>
      <c r="FXS1" s="77"/>
      <c r="FXT1" s="77"/>
      <c r="FXU1" s="77"/>
      <c r="FXV1" s="77"/>
      <c r="FXW1" s="77"/>
      <c r="FXX1" s="77"/>
      <c r="FXY1" s="77"/>
      <c r="FXZ1" s="77"/>
      <c r="FYA1" s="77"/>
      <c r="FYB1" s="77"/>
      <c r="FYC1" s="77"/>
      <c r="FYD1" s="77"/>
      <c r="FYE1" s="77"/>
      <c r="FYF1" s="77"/>
      <c r="FYG1" s="77"/>
      <c r="FYH1" s="77"/>
      <c r="FYI1" s="77"/>
      <c r="FYJ1" s="77"/>
      <c r="FYK1" s="77"/>
      <c r="FYL1" s="77"/>
      <c r="FYM1" s="77"/>
      <c r="FYN1" s="77"/>
      <c r="FYO1" s="77"/>
      <c r="FYP1" s="77"/>
      <c r="FYQ1" s="77"/>
      <c r="FYR1" s="77"/>
      <c r="FYS1" s="77"/>
      <c r="FYT1" s="77"/>
      <c r="FYU1" s="77"/>
      <c r="FYV1" s="77"/>
      <c r="FYW1" s="77"/>
      <c r="FYX1" s="77"/>
      <c r="FYY1" s="77"/>
      <c r="FYZ1" s="77"/>
      <c r="FZA1" s="77"/>
      <c r="FZB1" s="77"/>
      <c r="FZC1" s="77"/>
      <c r="FZD1" s="77"/>
      <c r="FZE1" s="77"/>
      <c r="FZF1" s="77"/>
      <c r="FZG1" s="77"/>
      <c r="FZH1" s="77"/>
      <c r="FZI1" s="77"/>
      <c r="FZJ1" s="77"/>
      <c r="FZK1" s="77"/>
      <c r="FZL1" s="77"/>
      <c r="FZM1" s="77"/>
      <c r="FZN1" s="77"/>
      <c r="FZO1" s="77"/>
      <c r="FZP1" s="77"/>
      <c r="FZQ1" s="77"/>
      <c r="FZR1" s="77"/>
      <c r="FZS1" s="77"/>
      <c r="FZT1" s="77"/>
      <c r="FZU1" s="77"/>
      <c r="FZV1" s="77"/>
      <c r="FZW1" s="77"/>
      <c r="FZX1" s="77"/>
      <c r="FZY1" s="77"/>
      <c r="FZZ1" s="77"/>
      <c r="GAA1" s="77"/>
      <c r="GAB1" s="77"/>
      <c r="GAC1" s="77"/>
      <c r="GAD1" s="77"/>
      <c r="GAE1" s="77"/>
      <c r="GAF1" s="77"/>
      <c r="GAG1" s="77"/>
      <c r="GAH1" s="77"/>
      <c r="GAI1" s="77"/>
      <c r="GAJ1" s="77"/>
      <c r="GAK1" s="77"/>
      <c r="GAL1" s="77"/>
      <c r="GAM1" s="77"/>
      <c r="GAN1" s="77"/>
      <c r="GAO1" s="77"/>
      <c r="GAP1" s="77"/>
      <c r="GAQ1" s="77"/>
      <c r="GAR1" s="77"/>
      <c r="GAS1" s="77"/>
      <c r="GAT1" s="77"/>
      <c r="GAU1" s="77"/>
      <c r="GAV1" s="77"/>
      <c r="GAW1" s="77"/>
      <c r="GAX1" s="77"/>
      <c r="GAY1" s="77"/>
      <c r="GAZ1" s="77"/>
      <c r="GBA1" s="77"/>
      <c r="GBB1" s="77"/>
      <c r="GBC1" s="77"/>
      <c r="GBD1" s="77"/>
      <c r="GBE1" s="77"/>
      <c r="GBF1" s="77"/>
      <c r="GBG1" s="77"/>
      <c r="GBH1" s="77"/>
      <c r="GBI1" s="77"/>
      <c r="GBJ1" s="77"/>
      <c r="GBK1" s="77"/>
      <c r="GBL1" s="77"/>
      <c r="GBM1" s="77"/>
      <c r="GBN1" s="77"/>
      <c r="GBO1" s="77"/>
      <c r="GBP1" s="77"/>
      <c r="GBQ1" s="77"/>
      <c r="GBR1" s="77"/>
      <c r="GBS1" s="77"/>
      <c r="GBT1" s="77"/>
      <c r="GBU1" s="77"/>
      <c r="GBV1" s="77"/>
      <c r="GBW1" s="77"/>
      <c r="GBX1" s="77"/>
      <c r="GBY1" s="77"/>
      <c r="GBZ1" s="77"/>
      <c r="GCA1" s="77"/>
      <c r="GCB1" s="77"/>
      <c r="GCC1" s="77"/>
      <c r="GCD1" s="77"/>
      <c r="GCE1" s="77"/>
      <c r="GCF1" s="77"/>
      <c r="GCG1" s="77"/>
      <c r="GCH1" s="77"/>
      <c r="GCI1" s="77"/>
      <c r="GCJ1" s="77"/>
      <c r="GCK1" s="77"/>
      <c r="GCL1" s="77"/>
      <c r="GCM1" s="77"/>
      <c r="GCN1" s="77"/>
      <c r="GCO1" s="77"/>
      <c r="GCP1" s="77"/>
      <c r="GCQ1" s="77"/>
      <c r="GCR1" s="77"/>
      <c r="GCS1" s="77"/>
      <c r="GCT1" s="77"/>
      <c r="GCU1" s="77"/>
      <c r="GCV1" s="77"/>
      <c r="GCW1" s="77"/>
      <c r="GCX1" s="77"/>
      <c r="GCY1" s="77"/>
      <c r="GCZ1" s="77"/>
      <c r="GDA1" s="77"/>
      <c r="GDB1" s="77"/>
      <c r="GDC1" s="77"/>
      <c r="GDD1" s="77"/>
      <c r="GDE1" s="77"/>
      <c r="GDF1" s="77"/>
      <c r="GDG1" s="77"/>
      <c r="GDH1" s="77"/>
      <c r="GDI1" s="77"/>
      <c r="GDJ1" s="77"/>
      <c r="GDK1" s="77"/>
      <c r="GDL1" s="77"/>
      <c r="GDM1" s="77"/>
      <c r="GDN1" s="77"/>
      <c r="GDO1" s="77"/>
      <c r="GDP1" s="77"/>
      <c r="GDQ1" s="77"/>
      <c r="GDR1" s="77"/>
      <c r="GDS1" s="77"/>
      <c r="GDT1" s="77"/>
      <c r="GDU1" s="77"/>
      <c r="GDV1" s="77"/>
      <c r="GDW1" s="77"/>
      <c r="GDX1" s="77"/>
      <c r="GDY1" s="77"/>
      <c r="GDZ1" s="77"/>
      <c r="GEA1" s="77"/>
      <c r="GEB1" s="77"/>
      <c r="GEC1" s="77"/>
      <c r="GED1" s="77"/>
      <c r="GEE1" s="77"/>
      <c r="GEF1" s="77"/>
      <c r="GEG1" s="77"/>
      <c r="GEH1" s="77"/>
      <c r="GEI1" s="77"/>
      <c r="GEJ1" s="77"/>
      <c r="GEK1" s="77"/>
      <c r="GEL1" s="77"/>
      <c r="GEM1" s="77"/>
      <c r="GEN1" s="77"/>
      <c r="GEO1" s="77"/>
      <c r="GEP1" s="77"/>
      <c r="GEQ1" s="77"/>
      <c r="GER1" s="77"/>
      <c r="GES1" s="77"/>
      <c r="GET1" s="77"/>
      <c r="GEU1" s="77"/>
      <c r="GEV1" s="77"/>
      <c r="GEW1" s="77"/>
      <c r="GEX1" s="77"/>
      <c r="GEY1" s="77"/>
      <c r="GEZ1" s="77"/>
      <c r="GFA1" s="77"/>
      <c r="GFB1" s="77"/>
      <c r="GFC1" s="77"/>
      <c r="GFD1" s="77"/>
      <c r="GFE1" s="77"/>
      <c r="GFF1" s="77"/>
      <c r="GFG1" s="77"/>
      <c r="GFH1" s="77"/>
      <c r="GFI1" s="77"/>
      <c r="GFJ1" s="77"/>
      <c r="GFK1" s="77"/>
      <c r="GFL1" s="77"/>
      <c r="GFM1" s="77"/>
      <c r="GFN1" s="77"/>
      <c r="GFO1" s="77"/>
      <c r="GFP1" s="77"/>
      <c r="GFQ1" s="77"/>
      <c r="GFR1" s="77"/>
      <c r="GFS1" s="77"/>
      <c r="GFT1" s="77"/>
      <c r="GFU1" s="77"/>
      <c r="GFV1" s="77"/>
      <c r="GFW1" s="77"/>
      <c r="GFX1" s="77"/>
      <c r="GFY1" s="77"/>
      <c r="GFZ1" s="77"/>
      <c r="GGA1" s="77"/>
      <c r="GGB1" s="77"/>
      <c r="GGC1" s="77"/>
      <c r="GGD1" s="77"/>
      <c r="GGE1" s="77"/>
      <c r="GGF1" s="77"/>
      <c r="GGG1" s="77"/>
      <c r="GGH1" s="77"/>
      <c r="GGI1" s="77"/>
      <c r="GGJ1" s="77"/>
      <c r="GGK1" s="77"/>
      <c r="GGL1" s="77"/>
      <c r="GGM1" s="77"/>
      <c r="GGN1" s="77"/>
      <c r="GGO1" s="77"/>
      <c r="GGP1" s="77"/>
      <c r="GGQ1" s="77"/>
      <c r="GGR1" s="77"/>
      <c r="GGS1" s="77"/>
      <c r="GGT1" s="77"/>
      <c r="GGU1" s="77"/>
      <c r="GGV1" s="77"/>
      <c r="GGW1" s="77"/>
      <c r="GGX1" s="77"/>
      <c r="GGY1" s="77"/>
      <c r="GGZ1" s="77"/>
      <c r="GHA1" s="77"/>
      <c r="GHB1" s="77"/>
      <c r="GHC1" s="77"/>
      <c r="GHD1" s="77"/>
      <c r="GHE1" s="77"/>
      <c r="GHF1" s="77"/>
      <c r="GHG1" s="77"/>
      <c r="GHH1" s="77"/>
      <c r="GHI1" s="77"/>
      <c r="GHJ1" s="77"/>
      <c r="GHK1" s="77"/>
      <c r="GHL1" s="77"/>
      <c r="GHM1" s="77"/>
      <c r="GHN1" s="77"/>
      <c r="GHO1" s="77"/>
      <c r="GHP1" s="77"/>
      <c r="GHQ1" s="77"/>
      <c r="GHR1" s="77"/>
      <c r="GHS1" s="77"/>
      <c r="GHT1" s="77"/>
      <c r="GHU1" s="77"/>
      <c r="GHV1" s="77"/>
      <c r="GHW1" s="77"/>
      <c r="GHX1" s="77"/>
      <c r="GHY1" s="77"/>
      <c r="GHZ1" s="77"/>
      <c r="GIA1" s="77"/>
      <c r="GIB1" s="77"/>
      <c r="GIC1" s="77"/>
      <c r="GID1" s="77"/>
      <c r="GIE1" s="77"/>
      <c r="GIF1" s="77"/>
      <c r="GIG1" s="77"/>
      <c r="GIH1" s="77"/>
      <c r="GII1" s="77"/>
      <c r="GIJ1" s="77"/>
      <c r="GIK1" s="77"/>
      <c r="GIL1" s="77"/>
      <c r="GIM1" s="77"/>
      <c r="GIN1" s="77"/>
      <c r="GIO1" s="77"/>
      <c r="GIP1" s="77"/>
      <c r="GIQ1" s="77"/>
      <c r="GIR1" s="77"/>
      <c r="GIS1" s="77"/>
      <c r="GIT1" s="77"/>
      <c r="GIU1" s="77"/>
      <c r="GIV1" s="77"/>
      <c r="GIW1" s="77"/>
      <c r="GIX1" s="77"/>
      <c r="GIY1" s="77"/>
      <c r="GIZ1" s="77"/>
      <c r="GJA1" s="77"/>
      <c r="GJB1" s="77"/>
      <c r="GJC1" s="77"/>
      <c r="GJD1" s="77"/>
      <c r="GJE1" s="77"/>
      <c r="GJF1" s="77"/>
      <c r="GJG1" s="77"/>
      <c r="GJH1" s="77"/>
      <c r="GJI1" s="77"/>
      <c r="GJJ1" s="77"/>
      <c r="GJK1" s="77"/>
      <c r="GJL1" s="77"/>
      <c r="GJM1" s="77"/>
      <c r="GJN1" s="77"/>
      <c r="GJO1" s="77"/>
      <c r="GJP1" s="77"/>
      <c r="GJQ1" s="77"/>
      <c r="GJR1" s="77"/>
      <c r="GJS1" s="77"/>
      <c r="GJT1" s="77"/>
      <c r="GJU1" s="77"/>
      <c r="GJV1" s="77"/>
      <c r="GJW1" s="77"/>
      <c r="GJX1" s="77"/>
      <c r="GJY1" s="77"/>
      <c r="GJZ1" s="77"/>
      <c r="GKA1" s="77"/>
      <c r="GKB1" s="77"/>
      <c r="GKC1" s="77"/>
      <c r="GKD1" s="77"/>
      <c r="GKE1" s="77"/>
      <c r="GKF1" s="77"/>
      <c r="GKG1" s="77"/>
      <c r="GKH1" s="77"/>
      <c r="GKI1" s="77"/>
      <c r="GKJ1" s="77"/>
      <c r="GKK1" s="77"/>
      <c r="GKL1" s="77"/>
      <c r="GKM1" s="77"/>
      <c r="GKN1" s="77"/>
      <c r="GKO1" s="77"/>
      <c r="GKP1" s="77"/>
      <c r="GKQ1" s="77"/>
      <c r="GKR1" s="77"/>
      <c r="GKS1" s="77"/>
      <c r="GKT1" s="77"/>
      <c r="GKU1" s="77"/>
      <c r="GKV1" s="77"/>
      <c r="GKW1" s="77"/>
      <c r="GKX1" s="77"/>
      <c r="GKY1" s="77"/>
      <c r="GKZ1" s="77"/>
      <c r="GLA1" s="77"/>
      <c r="GLB1" s="77"/>
      <c r="GLC1" s="77"/>
      <c r="GLD1" s="77"/>
      <c r="GLE1" s="77"/>
      <c r="GLF1" s="77"/>
      <c r="GLG1" s="77"/>
      <c r="GLH1" s="77"/>
      <c r="GLI1" s="77"/>
      <c r="GLJ1" s="77"/>
      <c r="GLK1" s="77"/>
      <c r="GLL1" s="77"/>
      <c r="GLM1" s="77"/>
      <c r="GLN1" s="77"/>
      <c r="GLO1" s="77"/>
      <c r="GLP1" s="77"/>
      <c r="GLQ1" s="77"/>
      <c r="GLR1" s="77"/>
      <c r="GLS1" s="77"/>
      <c r="GLT1" s="77"/>
      <c r="GLU1" s="77"/>
      <c r="GLV1" s="77"/>
      <c r="GLW1" s="77"/>
      <c r="GLX1" s="77"/>
      <c r="GLY1" s="77"/>
      <c r="GLZ1" s="77"/>
      <c r="GMA1" s="77"/>
      <c r="GMB1" s="77"/>
      <c r="GMC1" s="77"/>
      <c r="GMD1" s="77"/>
      <c r="GME1" s="77"/>
      <c r="GMF1" s="77"/>
      <c r="GMG1" s="77"/>
      <c r="GMH1" s="77"/>
      <c r="GMI1" s="77"/>
      <c r="GMJ1" s="77"/>
      <c r="GMK1" s="77"/>
      <c r="GML1" s="77"/>
      <c r="GMM1" s="77"/>
      <c r="GMN1" s="77"/>
      <c r="GMO1" s="77"/>
      <c r="GMP1" s="77"/>
      <c r="GMQ1" s="77"/>
      <c r="GMR1" s="77"/>
      <c r="GMS1" s="77"/>
      <c r="GMT1" s="77"/>
      <c r="GMU1" s="77"/>
      <c r="GMV1" s="77"/>
      <c r="GMW1" s="77"/>
      <c r="GMX1" s="77"/>
      <c r="GMY1" s="77"/>
      <c r="GMZ1" s="77"/>
      <c r="GNA1" s="77"/>
      <c r="GNB1" s="77"/>
      <c r="GNC1" s="77"/>
      <c r="GND1" s="77"/>
      <c r="GNE1" s="77"/>
      <c r="GNF1" s="77"/>
      <c r="GNG1" s="77"/>
      <c r="GNH1" s="77"/>
      <c r="GNI1" s="77"/>
      <c r="GNJ1" s="77"/>
      <c r="GNK1" s="77"/>
      <c r="GNL1" s="77"/>
      <c r="GNM1" s="77"/>
      <c r="GNN1" s="77"/>
      <c r="GNO1" s="77"/>
      <c r="GNP1" s="77"/>
      <c r="GNQ1" s="77"/>
      <c r="GNR1" s="77"/>
      <c r="GNS1" s="77"/>
      <c r="GNT1" s="77"/>
      <c r="GNU1" s="77"/>
      <c r="GNV1" s="77"/>
      <c r="GNW1" s="77"/>
      <c r="GNX1" s="77"/>
      <c r="GNY1" s="77"/>
      <c r="GNZ1" s="77"/>
      <c r="GOA1" s="77"/>
      <c r="GOB1" s="77"/>
      <c r="GOC1" s="77"/>
      <c r="GOD1" s="77"/>
      <c r="GOE1" s="77"/>
      <c r="GOF1" s="77"/>
      <c r="GOG1" s="77"/>
      <c r="GOH1" s="77"/>
      <c r="GOI1" s="77"/>
      <c r="GOJ1" s="77"/>
      <c r="GOK1" s="77"/>
      <c r="GOL1" s="77"/>
      <c r="GOM1" s="77"/>
      <c r="GON1" s="77"/>
      <c r="GOO1" s="77"/>
      <c r="GOP1" s="77"/>
      <c r="GOQ1" s="77"/>
      <c r="GOR1" s="77"/>
      <c r="GOS1" s="77"/>
      <c r="GOT1" s="77"/>
      <c r="GOU1" s="77"/>
      <c r="GOV1" s="77"/>
      <c r="GOW1" s="77"/>
      <c r="GOX1" s="77"/>
      <c r="GOY1" s="77"/>
      <c r="GOZ1" s="77"/>
      <c r="GPA1" s="77"/>
      <c r="GPB1" s="77"/>
      <c r="GPC1" s="77"/>
      <c r="GPD1" s="77"/>
      <c r="GPE1" s="77"/>
      <c r="GPF1" s="77"/>
      <c r="GPG1" s="77"/>
      <c r="GPH1" s="77"/>
      <c r="GPI1" s="77"/>
      <c r="GPJ1" s="77"/>
      <c r="GPK1" s="77"/>
      <c r="GPL1" s="77"/>
      <c r="GPM1" s="77"/>
      <c r="GPN1" s="77"/>
      <c r="GPO1" s="77"/>
      <c r="GPP1" s="77"/>
      <c r="GPQ1" s="77"/>
      <c r="GPR1" s="77"/>
      <c r="GPS1" s="77"/>
      <c r="GPT1" s="77"/>
      <c r="GPU1" s="77"/>
      <c r="GPV1" s="77"/>
      <c r="GPW1" s="77"/>
      <c r="GPX1" s="77"/>
      <c r="GPY1" s="77"/>
      <c r="GPZ1" s="77"/>
      <c r="GQA1" s="77"/>
      <c r="GQB1" s="77"/>
      <c r="GQC1" s="77"/>
      <c r="GQD1" s="77"/>
      <c r="GQE1" s="77"/>
      <c r="GQF1" s="77"/>
      <c r="GQG1" s="77"/>
      <c r="GQH1" s="77"/>
      <c r="GQI1" s="77"/>
      <c r="GQJ1" s="77"/>
      <c r="GQK1" s="77"/>
      <c r="GQL1" s="77"/>
      <c r="GQM1" s="77"/>
      <c r="GQN1" s="77"/>
      <c r="GQO1" s="77"/>
      <c r="GQP1" s="77"/>
      <c r="GQQ1" s="77"/>
      <c r="GQR1" s="77"/>
      <c r="GQS1" s="77"/>
      <c r="GQT1" s="77"/>
      <c r="GQU1" s="77"/>
      <c r="GQV1" s="77"/>
      <c r="GQW1" s="77"/>
      <c r="GQX1" s="77"/>
      <c r="GQY1" s="77"/>
      <c r="GQZ1" s="77"/>
      <c r="GRA1" s="77"/>
      <c r="GRB1" s="77"/>
      <c r="GRC1" s="77"/>
      <c r="GRD1" s="77"/>
      <c r="GRE1" s="77"/>
      <c r="GRF1" s="77"/>
      <c r="GRG1" s="77"/>
      <c r="GRH1" s="77"/>
      <c r="GRI1" s="77"/>
      <c r="GRJ1" s="77"/>
      <c r="GRK1" s="77"/>
      <c r="GRL1" s="77"/>
      <c r="GRM1" s="77"/>
      <c r="GRN1" s="77"/>
      <c r="GRO1" s="77"/>
      <c r="GRP1" s="77"/>
      <c r="GRQ1" s="77"/>
      <c r="GRR1" s="77"/>
      <c r="GRS1" s="77"/>
      <c r="GRT1" s="77"/>
      <c r="GRU1" s="77"/>
      <c r="GRV1" s="77"/>
      <c r="GRW1" s="77"/>
      <c r="GRX1" s="77"/>
      <c r="GRY1" s="77"/>
      <c r="GRZ1" s="77"/>
      <c r="GSA1" s="77"/>
      <c r="GSB1" s="77"/>
      <c r="GSC1" s="77"/>
      <c r="GSD1" s="77"/>
      <c r="GSE1" s="77"/>
      <c r="GSF1" s="77"/>
      <c r="GSG1" s="77"/>
      <c r="GSH1" s="77"/>
      <c r="GSI1" s="77"/>
      <c r="GSJ1" s="77"/>
      <c r="GSK1" s="77"/>
      <c r="GSL1" s="77"/>
      <c r="GSM1" s="77"/>
      <c r="GSN1" s="77"/>
      <c r="GSO1" s="77"/>
      <c r="GSP1" s="77"/>
      <c r="GSQ1" s="77"/>
      <c r="GSR1" s="77"/>
      <c r="GSS1" s="77"/>
      <c r="GST1" s="77"/>
      <c r="GSU1" s="77"/>
      <c r="GSV1" s="77"/>
      <c r="GSW1" s="77"/>
      <c r="GSX1" s="77"/>
      <c r="GSY1" s="77"/>
      <c r="GSZ1" s="77"/>
      <c r="GTA1" s="77"/>
      <c r="GTB1" s="77"/>
      <c r="GTC1" s="77"/>
      <c r="GTD1" s="77"/>
      <c r="GTE1" s="77"/>
      <c r="GTF1" s="77"/>
      <c r="GTG1" s="77"/>
      <c r="GTH1" s="77"/>
      <c r="GTI1" s="77"/>
      <c r="GTJ1" s="77"/>
      <c r="GTK1" s="77"/>
      <c r="GTL1" s="77"/>
      <c r="GTM1" s="77"/>
      <c r="GTN1" s="77"/>
      <c r="GTO1" s="77"/>
      <c r="GTP1" s="77"/>
      <c r="GTQ1" s="77"/>
      <c r="GTR1" s="77"/>
      <c r="GTS1" s="77"/>
      <c r="GTT1" s="77"/>
      <c r="GTU1" s="77"/>
      <c r="GTV1" s="77"/>
      <c r="GTW1" s="77"/>
      <c r="GTX1" s="77"/>
      <c r="GTY1" s="77"/>
      <c r="GTZ1" s="77"/>
      <c r="GUA1" s="77"/>
      <c r="GUB1" s="77"/>
      <c r="GUC1" s="77"/>
      <c r="GUD1" s="77"/>
      <c r="GUE1" s="77"/>
      <c r="GUF1" s="77"/>
      <c r="GUG1" s="77"/>
      <c r="GUH1" s="77"/>
      <c r="GUI1" s="77"/>
      <c r="GUJ1" s="77"/>
      <c r="GUK1" s="77"/>
      <c r="GUL1" s="77"/>
      <c r="GUM1" s="77"/>
      <c r="GUN1" s="77"/>
      <c r="GUO1" s="77"/>
      <c r="GUP1" s="77"/>
      <c r="GUQ1" s="77"/>
      <c r="GUR1" s="77"/>
      <c r="GUS1" s="77"/>
      <c r="GUT1" s="77"/>
      <c r="GUU1" s="77"/>
      <c r="GUV1" s="77"/>
      <c r="GUW1" s="77"/>
      <c r="GUX1" s="77"/>
      <c r="GUY1" s="77"/>
      <c r="GUZ1" s="77"/>
      <c r="GVA1" s="77"/>
      <c r="GVB1" s="77"/>
      <c r="GVC1" s="77"/>
      <c r="GVD1" s="77"/>
      <c r="GVE1" s="77"/>
      <c r="GVF1" s="77"/>
      <c r="GVG1" s="77"/>
      <c r="GVH1" s="77"/>
      <c r="GVI1" s="77"/>
      <c r="GVJ1" s="77"/>
      <c r="GVK1" s="77"/>
      <c r="GVL1" s="77"/>
      <c r="GVM1" s="77"/>
      <c r="GVN1" s="77"/>
      <c r="GVO1" s="77"/>
      <c r="GVP1" s="77"/>
      <c r="GVQ1" s="77"/>
      <c r="GVR1" s="77"/>
      <c r="GVS1" s="77"/>
      <c r="GVT1" s="77"/>
      <c r="GVU1" s="77"/>
      <c r="GVV1" s="77"/>
      <c r="GVW1" s="77"/>
      <c r="GVX1" s="77"/>
      <c r="GVY1" s="77"/>
      <c r="GVZ1" s="77"/>
      <c r="GWA1" s="77"/>
      <c r="GWB1" s="77"/>
      <c r="GWC1" s="77"/>
      <c r="GWD1" s="77"/>
      <c r="GWE1" s="77"/>
      <c r="GWF1" s="77"/>
      <c r="GWG1" s="77"/>
      <c r="GWH1" s="77"/>
      <c r="GWI1" s="77"/>
      <c r="GWJ1" s="77"/>
      <c r="GWK1" s="77"/>
      <c r="GWL1" s="77"/>
      <c r="GWM1" s="77"/>
      <c r="GWN1" s="77"/>
      <c r="GWO1" s="77"/>
      <c r="GWP1" s="77"/>
      <c r="GWQ1" s="77"/>
      <c r="GWR1" s="77"/>
      <c r="GWS1" s="77"/>
      <c r="GWT1" s="77"/>
      <c r="GWU1" s="77"/>
      <c r="GWV1" s="77"/>
      <c r="GWW1" s="77"/>
      <c r="GWX1" s="77"/>
      <c r="GWY1" s="77"/>
      <c r="GWZ1" s="77"/>
      <c r="GXA1" s="77"/>
      <c r="GXB1" s="77"/>
      <c r="GXC1" s="77"/>
      <c r="GXD1" s="77"/>
      <c r="GXE1" s="77"/>
      <c r="GXF1" s="77"/>
      <c r="GXG1" s="77"/>
      <c r="GXH1" s="77"/>
      <c r="GXI1" s="77"/>
      <c r="GXJ1" s="77"/>
      <c r="GXK1" s="77"/>
      <c r="GXL1" s="77"/>
      <c r="GXM1" s="77"/>
      <c r="GXN1" s="77"/>
      <c r="GXO1" s="77"/>
      <c r="GXP1" s="77"/>
      <c r="GXQ1" s="77"/>
      <c r="GXR1" s="77"/>
      <c r="GXS1" s="77"/>
      <c r="GXT1" s="77"/>
      <c r="GXU1" s="77"/>
      <c r="GXV1" s="77"/>
      <c r="GXW1" s="77"/>
      <c r="GXX1" s="77"/>
      <c r="GXY1" s="77"/>
      <c r="GXZ1" s="77"/>
      <c r="GYA1" s="77"/>
      <c r="GYB1" s="77"/>
      <c r="GYC1" s="77"/>
      <c r="GYD1" s="77"/>
      <c r="GYE1" s="77"/>
      <c r="GYF1" s="77"/>
      <c r="GYG1" s="77"/>
      <c r="GYH1" s="77"/>
      <c r="GYI1" s="77"/>
      <c r="GYJ1" s="77"/>
      <c r="GYK1" s="77"/>
      <c r="GYL1" s="77"/>
      <c r="GYM1" s="77"/>
      <c r="GYN1" s="77"/>
      <c r="GYO1" s="77"/>
      <c r="GYP1" s="77"/>
      <c r="GYQ1" s="77"/>
      <c r="GYR1" s="77"/>
      <c r="GYS1" s="77"/>
      <c r="GYT1" s="77"/>
      <c r="GYU1" s="77"/>
      <c r="GYV1" s="77"/>
      <c r="GYW1" s="77"/>
      <c r="GYX1" s="77"/>
      <c r="GYY1" s="77"/>
      <c r="GYZ1" s="77"/>
      <c r="GZA1" s="77"/>
      <c r="GZB1" s="77"/>
      <c r="GZC1" s="77"/>
      <c r="GZD1" s="77"/>
      <c r="GZE1" s="77"/>
      <c r="GZF1" s="77"/>
      <c r="GZG1" s="77"/>
      <c r="GZH1" s="77"/>
      <c r="GZI1" s="77"/>
      <c r="GZJ1" s="77"/>
      <c r="GZK1" s="77"/>
      <c r="GZL1" s="77"/>
      <c r="GZM1" s="77"/>
      <c r="GZN1" s="77"/>
      <c r="GZO1" s="77"/>
      <c r="GZP1" s="77"/>
      <c r="GZQ1" s="77"/>
      <c r="GZR1" s="77"/>
      <c r="GZS1" s="77"/>
      <c r="GZT1" s="77"/>
      <c r="GZU1" s="77"/>
      <c r="GZV1" s="77"/>
      <c r="GZW1" s="77"/>
      <c r="GZX1" s="77"/>
      <c r="GZY1" s="77"/>
      <c r="GZZ1" s="77"/>
      <c r="HAA1" s="77"/>
      <c r="HAB1" s="77"/>
      <c r="HAC1" s="77"/>
      <c r="HAD1" s="77"/>
      <c r="HAE1" s="77"/>
      <c r="HAF1" s="77"/>
      <c r="HAG1" s="77"/>
      <c r="HAH1" s="77"/>
      <c r="HAI1" s="77"/>
      <c r="HAJ1" s="77"/>
      <c r="HAK1" s="77"/>
      <c r="HAL1" s="77"/>
      <c r="HAM1" s="77"/>
      <c r="HAN1" s="77"/>
      <c r="HAO1" s="77"/>
      <c r="HAP1" s="77"/>
      <c r="HAQ1" s="77"/>
      <c r="HAR1" s="77"/>
      <c r="HAS1" s="77"/>
      <c r="HAT1" s="77"/>
      <c r="HAU1" s="77"/>
      <c r="HAV1" s="77"/>
      <c r="HAW1" s="77"/>
      <c r="HAX1" s="77"/>
      <c r="HAY1" s="77"/>
      <c r="HAZ1" s="77"/>
      <c r="HBA1" s="77"/>
      <c r="HBB1" s="77"/>
      <c r="HBC1" s="77"/>
      <c r="HBD1" s="77"/>
      <c r="HBE1" s="77"/>
      <c r="HBF1" s="77"/>
      <c r="HBG1" s="77"/>
      <c r="HBH1" s="77"/>
      <c r="HBI1" s="77"/>
      <c r="HBJ1" s="77"/>
      <c r="HBK1" s="77"/>
      <c r="HBL1" s="77"/>
      <c r="HBM1" s="77"/>
      <c r="HBN1" s="77"/>
      <c r="HBO1" s="77"/>
      <c r="HBP1" s="77"/>
      <c r="HBQ1" s="77"/>
      <c r="HBR1" s="77"/>
      <c r="HBS1" s="77"/>
      <c r="HBT1" s="77"/>
      <c r="HBU1" s="77"/>
      <c r="HBV1" s="77"/>
      <c r="HBW1" s="77"/>
      <c r="HBX1" s="77"/>
      <c r="HBY1" s="77"/>
      <c r="HBZ1" s="77"/>
      <c r="HCA1" s="77"/>
      <c r="HCB1" s="77"/>
      <c r="HCC1" s="77"/>
      <c r="HCD1" s="77"/>
      <c r="HCE1" s="77"/>
      <c r="HCF1" s="77"/>
      <c r="HCG1" s="77"/>
      <c r="HCH1" s="77"/>
      <c r="HCI1" s="77"/>
      <c r="HCJ1" s="77"/>
      <c r="HCK1" s="77"/>
      <c r="HCL1" s="77"/>
      <c r="HCM1" s="77"/>
      <c r="HCN1" s="77"/>
      <c r="HCO1" s="77"/>
      <c r="HCP1" s="77"/>
      <c r="HCQ1" s="77"/>
      <c r="HCR1" s="77"/>
      <c r="HCS1" s="77"/>
      <c r="HCT1" s="77"/>
      <c r="HCU1" s="77"/>
      <c r="HCV1" s="77"/>
      <c r="HCW1" s="77"/>
      <c r="HCX1" s="77"/>
      <c r="HCY1" s="77"/>
      <c r="HCZ1" s="77"/>
      <c r="HDA1" s="77"/>
      <c r="HDB1" s="77"/>
      <c r="HDC1" s="77"/>
      <c r="HDD1" s="77"/>
      <c r="HDE1" s="77"/>
      <c r="HDF1" s="77"/>
      <c r="HDG1" s="77"/>
      <c r="HDH1" s="77"/>
      <c r="HDI1" s="77"/>
      <c r="HDJ1" s="77"/>
      <c r="HDK1" s="77"/>
      <c r="HDL1" s="77"/>
      <c r="HDM1" s="77"/>
      <c r="HDN1" s="77"/>
      <c r="HDO1" s="77"/>
      <c r="HDP1" s="77"/>
      <c r="HDQ1" s="77"/>
      <c r="HDR1" s="77"/>
      <c r="HDS1" s="77"/>
      <c r="HDT1" s="77"/>
      <c r="HDU1" s="77"/>
      <c r="HDV1" s="77"/>
      <c r="HDW1" s="77"/>
      <c r="HDX1" s="77"/>
      <c r="HDY1" s="77"/>
      <c r="HDZ1" s="77"/>
      <c r="HEA1" s="77"/>
      <c r="HEB1" s="77"/>
      <c r="HEC1" s="77"/>
      <c r="HED1" s="77"/>
      <c r="HEE1" s="77"/>
      <c r="HEF1" s="77"/>
      <c r="HEG1" s="77"/>
      <c r="HEH1" s="77"/>
      <c r="HEI1" s="77"/>
      <c r="HEJ1" s="77"/>
      <c r="HEK1" s="77"/>
      <c r="HEL1" s="77"/>
      <c r="HEM1" s="77"/>
      <c r="HEN1" s="77"/>
      <c r="HEO1" s="77"/>
      <c r="HEP1" s="77"/>
      <c r="HEQ1" s="77"/>
      <c r="HER1" s="77"/>
      <c r="HES1" s="77"/>
      <c r="HET1" s="77"/>
      <c r="HEU1" s="77"/>
      <c r="HEV1" s="77"/>
      <c r="HEW1" s="77"/>
      <c r="HEX1" s="77"/>
      <c r="HEY1" s="77"/>
      <c r="HEZ1" s="77"/>
      <c r="HFA1" s="77"/>
      <c r="HFB1" s="77"/>
      <c r="HFC1" s="77"/>
      <c r="HFD1" s="77"/>
      <c r="HFE1" s="77"/>
      <c r="HFF1" s="77"/>
      <c r="HFG1" s="77"/>
      <c r="HFH1" s="77"/>
      <c r="HFI1" s="77"/>
      <c r="HFJ1" s="77"/>
      <c r="HFK1" s="77"/>
      <c r="HFL1" s="77"/>
      <c r="HFM1" s="77"/>
      <c r="HFN1" s="77"/>
      <c r="HFO1" s="77"/>
      <c r="HFP1" s="77"/>
      <c r="HFQ1" s="77"/>
      <c r="HFR1" s="77"/>
      <c r="HFS1" s="77"/>
      <c r="HFT1" s="77"/>
      <c r="HFU1" s="77"/>
      <c r="HFV1" s="77"/>
      <c r="HFW1" s="77"/>
      <c r="HFX1" s="77"/>
      <c r="HFY1" s="77"/>
      <c r="HFZ1" s="77"/>
      <c r="HGA1" s="77"/>
      <c r="HGB1" s="77"/>
      <c r="HGC1" s="77"/>
      <c r="HGD1" s="77"/>
      <c r="HGE1" s="77"/>
      <c r="HGF1" s="77"/>
      <c r="HGG1" s="77"/>
      <c r="HGH1" s="77"/>
      <c r="HGI1" s="77"/>
      <c r="HGJ1" s="77"/>
      <c r="HGK1" s="77"/>
      <c r="HGL1" s="77"/>
      <c r="HGM1" s="77"/>
      <c r="HGN1" s="77"/>
      <c r="HGO1" s="77"/>
      <c r="HGP1" s="77"/>
      <c r="HGQ1" s="77"/>
      <c r="HGR1" s="77"/>
      <c r="HGS1" s="77"/>
      <c r="HGT1" s="77"/>
      <c r="HGU1" s="77"/>
      <c r="HGV1" s="77"/>
      <c r="HGW1" s="77"/>
      <c r="HGX1" s="77"/>
      <c r="HGY1" s="77"/>
      <c r="HGZ1" s="77"/>
      <c r="HHA1" s="77"/>
      <c r="HHB1" s="77"/>
      <c r="HHC1" s="77"/>
      <c r="HHD1" s="77"/>
      <c r="HHE1" s="77"/>
      <c r="HHF1" s="77"/>
      <c r="HHG1" s="77"/>
      <c r="HHH1" s="77"/>
      <c r="HHI1" s="77"/>
      <c r="HHJ1" s="77"/>
      <c r="HHK1" s="77"/>
      <c r="HHL1" s="77"/>
      <c r="HHM1" s="77"/>
      <c r="HHN1" s="77"/>
      <c r="HHO1" s="77"/>
      <c r="HHP1" s="77"/>
      <c r="HHQ1" s="77"/>
      <c r="HHR1" s="77"/>
      <c r="HHS1" s="77"/>
      <c r="HHT1" s="77"/>
      <c r="HHU1" s="77"/>
      <c r="HHV1" s="77"/>
      <c r="HHW1" s="77"/>
      <c r="HHX1" s="77"/>
      <c r="HHY1" s="77"/>
      <c r="HHZ1" s="77"/>
      <c r="HIA1" s="77"/>
      <c r="HIB1" s="77"/>
      <c r="HIC1" s="77"/>
      <c r="HID1" s="77"/>
      <c r="HIE1" s="77"/>
      <c r="HIF1" s="77"/>
      <c r="HIG1" s="77"/>
      <c r="HIH1" s="77"/>
      <c r="HII1" s="77"/>
      <c r="HIJ1" s="77"/>
      <c r="HIK1" s="77"/>
      <c r="HIL1" s="77"/>
      <c r="HIM1" s="77"/>
      <c r="HIN1" s="77"/>
      <c r="HIO1" s="77"/>
      <c r="HIP1" s="77"/>
      <c r="HIQ1" s="77"/>
      <c r="HIR1" s="77"/>
      <c r="HIS1" s="77"/>
      <c r="HIT1" s="77"/>
      <c r="HIU1" s="77"/>
      <c r="HIV1" s="77"/>
      <c r="HIW1" s="77"/>
      <c r="HIX1" s="77"/>
      <c r="HIY1" s="77"/>
      <c r="HIZ1" s="77"/>
      <c r="HJA1" s="77"/>
      <c r="HJB1" s="77"/>
      <c r="HJC1" s="77"/>
      <c r="HJD1" s="77"/>
      <c r="HJE1" s="77"/>
      <c r="HJF1" s="77"/>
      <c r="HJG1" s="77"/>
      <c r="HJH1" s="77"/>
      <c r="HJI1" s="77"/>
      <c r="HJJ1" s="77"/>
      <c r="HJK1" s="77"/>
      <c r="HJL1" s="77"/>
      <c r="HJM1" s="77"/>
      <c r="HJN1" s="77"/>
      <c r="HJO1" s="77"/>
      <c r="HJP1" s="77"/>
      <c r="HJQ1" s="77"/>
      <c r="HJR1" s="77"/>
      <c r="HJS1" s="77"/>
      <c r="HJT1" s="77"/>
      <c r="HJU1" s="77"/>
      <c r="HJV1" s="77"/>
      <c r="HJW1" s="77"/>
      <c r="HJX1" s="77"/>
      <c r="HJY1" s="77"/>
      <c r="HJZ1" s="77"/>
      <c r="HKA1" s="77"/>
      <c r="HKB1" s="77"/>
      <c r="HKC1" s="77"/>
      <c r="HKD1" s="77"/>
      <c r="HKE1" s="77"/>
      <c r="HKF1" s="77"/>
      <c r="HKG1" s="77"/>
      <c r="HKH1" s="77"/>
      <c r="HKI1" s="77"/>
      <c r="HKJ1" s="77"/>
      <c r="HKK1" s="77"/>
      <c r="HKL1" s="77"/>
      <c r="HKM1" s="77"/>
      <c r="HKN1" s="77"/>
      <c r="HKO1" s="77"/>
      <c r="HKP1" s="77"/>
      <c r="HKQ1" s="77"/>
      <c r="HKR1" s="77"/>
      <c r="HKS1" s="77"/>
      <c r="HKT1" s="77"/>
      <c r="HKU1" s="77"/>
      <c r="HKV1" s="77"/>
      <c r="HKW1" s="77"/>
      <c r="HKX1" s="77"/>
      <c r="HKY1" s="77"/>
      <c r="HKZ1" s="77"/>
      <c r="HLA1" s="77"/>
      <c r="HLB1" s="77"/>
      <c r="HLC1" s="77"/>
      <c r="HLD1" s="77"/>
      <c r="HLE1" s="77"/>
      <c r="HLF1" s="77"/>
      <c r="HLG1" s="77"/>
      <c r="HLH1" s="77"/>
      <c r="HLI1" s="77"/>
      <c r="HLJ1" s="77"/>
      <c r="HLK1" s="77"/>
      <c r="HLL1" s="77"/>
      <c r="HLM1" s="77"/>
      <c r="HLN1" s="77"/>
      <c r="HLO1" s="77"/>
      <c r="HLP1" s="77"/>
      <c r="HLQ1" s="77"/>
      <c r="HLR1" s="77"/>
      <c r="HLS1" s="77"/>
      <c r="HLT1" s="77"/>
      <c r="HLU1" s="77"/>
      <c r="HLV1" s="77"/>
      <c r="HLW1" s="77"/>
      <c r="HLX1" s="77"/>
      <c r="HLY1" s="77"/>
      <c r="HLZ1" s="77"/>
      <c r="HMA1" s="77"/>
      <c r="HMB1" s="77"/>
      <c r="HMC1" s="77"/>
      <c r="HMD1" s="77"/>
      <c r="HME1" s="77"/>
      <c r="HMF1" s="77"/>
      <c r="HMG1" s="77"/>
      <c r="HMH1" s="77"/>
      <c r="HMI1" s="77"/>
      <c r="HMJ1" s="77"/>
      <c r="HMK1" s="77"/>
      <c r="HML1" s="77"/>
      <c r="HMM1" s="77"/>
      <c r="HMN1" s="77"/>
      <c r="HMO1" s="77"/>
      <c r="HMP1" s="77"/>
      <c r="HMQ1" s="77"/>
      <c r="HMR1" s="77"/>
      <c r="HMS1" s="77"/>
      <c r="HMT1" s="77"/>
      <c r="HMU1" s="77"/>
      <c r="HMV1" s="77"/>
      <c r="HMW1" s="77"/>
      <c r="HMX1" s="77"/>
      <c r="HMY1" s="77"/>
      <c r="HMZ1" s="77"/>
      <c r="HNA1" s="77"/>
      <c r="HNB1" s="77"/>
      <c r="HNC1" s="77"/>
      <c r="HND1" s="77"/>
      <c r="HNE1" s="77"/>
      <c r="HNF1" s="77"/>
      <c r="HNG1" s="77"/>
      <c r="HNH1" s="77"/>
      <c r="HNI1" s="77"/>
      <c r="HNJ1" s="77"/>
      <c r="HNK1" s="77"/>
      <c r="HNL1" s="77"/>
      <c r="HNM1" s="77"/>
      <c r="HNN1" s="77"/>
      <c r="HNO1" s="77"/>
      <c r="HNP1" s="77"/>
      <c r="HNQ1" s="77"/>
      <c r="HNR1" s="77"/>
      <c r="HNS1" s="77"/>
      <c r="HNT1" s="77"/>
      <c r="HNU1" s="77"/>
      <c r="HNV1" s="77"/>
      <c r="HNW1" s="77"/>
      <c r="HNX1" s="77"/>
      <c r="HNY1" s="77"/>
      <c r="HNZ1" s="77"/>
      <c r="HOA1" s="77"/>
      <c r="HOB1" s="77"/>
      <c r="HOC1" s="77"/>
      <c r="HOD1" s="77"/>
      <c r="HOE1" s="77"/>
      <c r="HOF1" s="77"/>
      <c r="HOG1" s="77"/>
      <c r="HOH1" s="77"/>
      <c r="HOI1" s="77"/>
      <c r="HOJ1" s="77"/>
      <c r="HOK1" s="77"/>
      <c r="HOL1" s="77"/>
      <c r="HOM1" s="77"/>
      <c r="HON1" s="77"/>
      <c r="HOO1" s="77"/>
      <c r="HOP1" s="77"/>
      <c r="HOQ1" s="77"/>
      <c r="HOR1" s="77"/>
      <c r="HOS1" s="77"/>
      <c r="HOT1" s="77"/>
      <c r="HOU1" s="77"/>
      <c r="HOV1" s="77"/>
      <c r="HOW1" s="77"/>
      <c r="HOX1" s="77"/>
      <c r="HOY1" s="77"/>
      <c r="HOZ1" s="77"/>
      <c r="HPA1" s="77"/>
      <c r="HPB1" s="77"/>
      <c r="HPC1" s="77"/>
      <c r="HPD1" s="77"/>
      <c r="HPE1" s="77"/>
      <c r="HPF1" s="77"/>
      <c r="HPG1" s="77"/>
      <c r="HPH1" s="77"/>
      <c r="HPI1" s="77"/>
      <c r="HPJ1" s="77"/>
      <c r="HPK1" s="77"/>
      <c r="HPL1" s="77"/>
      <c r="HPM1" s="77"/>
      <c r="HPN1" s="77"/>
      <c r="HPO1" s="77"/>
      <c r="HPP1" s="77"/>
      <c r="HPQ1" s="77"/>
      <c r="HPR1" s="77"/>
      <c r="HPS1" s="77"/>
      <c r="HPT1" s="77"/>
      <c r="HPU1" s="77"/>
      <c r="HPV1" s="77"/>
      <c r="HPW1" s="77"/>
      <c r="HPX1" s="77"/>
      <c r="HPY1" s="77"/>
      <c r="HPZ1" s="77"/>
      <c r="HQA1" s="77"/>
      <c r="HQB1" s="77"/>
      <c r="HQC1" s="77"/>
      <c r="HQD1" s="77"/>
      <c r="HQE1" s="77"/>
      <c r="HQF1" s="77"/>
      <c r="HQG1" s="77"/>
      <c r="HQH1" s="77"/>
      <c r="HQI1" s="77"/>
      <c r="HQJ1" s="77"/>
      <c r="HQK1" s="77"/>
      <c r="HQL1" s="77"/>
      <c r="HQM1" s="77"/>
      <c r="HQN1" s="77"/>
      <c r="HQO1" s="77"/>
      <c r="HQP1" s="77"/>
      <c r="HQQ1" s="77"/>
      <c r="HQR1" s="77"/>
      <c r="HQS1" s="77"/>
      <c r="HQT1" s="77"/>
      <c r="HQU1" s="77"/>
      <c r="HQV1" s="77"/>
      <c r="HQW1" s="77"/>
      <c r="HQX1" s="77"/>
      <c r="HQY1" s="77"/>
      <c r="HQZ1" s="77"/>
      <c r="HRA1" s="77"/>
      <c r="HRB1" s="77"/>
      <c r="HRC1" s="77"/>
      <c r="HRD1" s="77"/>
      <c r="HRE1" s="77"/>
      <c r="HRF1" s="77"/>
      <c r="HRG1" s="77"/>
      <c r="HRH1" s="77"/>
      <c r="HRI1" s="77"/>
      <c r="HRJ1" s="77"/>
      <c r="HRK1" s="77"/>
      <c r="HRL1" s="77"/>
      <c r="HRM1" s="77"/>
      <c r="HRN1" s="77"/>
      <c r="HRO1" s="77"/>
      <c r="HRP1" s="77"/>
      <c r="HRQ1" s="77"/>
      <c r="HRR1" s="77"/>
      <c r="HRS1" s="77"/>
      <c r="HRT1" s="77"/>
      <c r="HRU1" s="77"/>
      <c r="HRV1" s="77"/>
      <c r="HRW1" s="77"/>
      <c r="HRX1" s="77"/>
      <c r="HRY1" s="77"/>
      <c r="HRZ1" s="77"/>
      <c r="HSA1" s="77"/>
      <c r="HSB1" s="77"/>
      <c r="HSC1" s="77"/>
      <c r="HSD1" s="77"/>
      <c r="HSE1" s="77"/>
      <c r="HSF1" s="77"/>
      <c r="HSG1" s="77"/>
      <c r="HSH1" s="77"/>
      <c r="HSI1" s="77"/>
      <c r="HSJ1" s="77"/>
      <c r="HSK1" s="77"/>
      <c r="HSL1" s="77"/>
      <c r="HSM1" s="77"/>
      <c r="HSN1" s="77"/>
      <c r="HSO1" s="77"/>
      <c r="HSP1" s="77"/>
      <c r="HSQ1" s="77"/>
      <c r="HSR1" s="77"/>
      <c r="HSS1" s="77"/>
      <c r="HST1" s="77"/>
      <c r="HSU1" s="77"/>
      <c r="HSV1" s="77"/>
      <c r="HSW1" s="77"/>
      <c r="HSX1" s="77"/>
      <c r="HSY1" s="77"/>
      <c r="HSZ1" s="77"/>
      <c r="HTA1" s="77"/>
      <c r="HTB1" s="77"/>
      <c r="HTC1" s="77"/>
      <c r="HTD1" s="77"/>
      <c r="HTE1" s="77"/>
      <c r="HTF1" s="77"/>
      <c r="HTG1" s="77"/>
      <c r="HTH1" s="77"/>
      <c r="HTI1" s="77"/>
      <c r="HTJ1" s="77"/>
      <c r="HTK1" s="77"/>
      <c r="HTL1" s="77"/>
      <c r="HTM1" s="77"/>
      <c r="HTN1" s="77"/>
      <c r="HTO1" s="77"/>
      <c r="HTP1" s="77"/>
      <c r="HTQ1" s="77"/>
      <c r="HTR1" s="77"/>
      <c r="HTS1" s="77"/>
      <c r="HTT1" s="77"/>
      <c r="HTU1" s="77"/>
      <c r="HTV1" s="77"/>
      <c r="HTW1" s="77"/>
      <c r="HTX1" s="77"/>
      <c r="HTY1" s="77"/>
      <c r="HTZ1" s="77"/>
      <c r="HUA1" s="77"/>
      <c r="HUB1" s="77"/>
      <c r="HUC1" s="77"/>
      <c r="HUD1" s="77"/>
      <c r="HUE1" s="77"/>
      <c r="HUF1" s="77"/>
      <c r="HUG1" s="77"/>
      <c r="HUH1" s="77"/>
      <c r="HUI1" s="77"/>
      <c r="HUJ1" s="77"/>
      <c r="HUK1" s="77"/>
      <c r="HUL1" s="77"/>
      <c r="HUM1" s="77"/>
      <c r="HUN1" s="77"/>
      <c r="HUO1" s="77"/>
      <c r="HUP1" s="77"/>
      <c r="HUQ1" s="77"/>
      <c r="HUR1" s="77"/>
      <c r="HUS1" s="77"/>
      <c r="HUT1" s="77"/>
      <c r="HUU1" s="77"/>
      <c r="HUV1" s="77"/>
      <c r="HUW1" s="77"/>
      <c r="HUX1" s="77"/>
      <c r="HUY1" s="77"/>
      <c r="HUZ1" s="77"/>
      <c r="HVA1" s="77"/>
      <c r="HVB1" s="77"/>
      <c r="HVC1" s="77"/>
      <c r="HVD1" s="77"/>
      <c r="HVE1" s="77"/>
      <c r="HVF1" s="77"/>
      <c r="HVG1" s="77"/>
      <c r="HVH1" s="77"/>
      <c r="HVI1" s="77"/>
      <c r="HVJ1" s="77"/>
      <c r="HVK1" s="77"/>
      <c r="HVL1" s="77"/>
      <c r="HVM1" s="77"/>
      <c r="HVN1" s="77"/>
      <c r="HVO1" s="77"/>
      <c r="HVP1" s="77"/>
      <c r="HVQ1" s="77"/>
      <c r="HVR1" s="77"/>
      <c r="HVS1" s="77"/>
      <c r="HVT1" s="77"/>
      <c r="HVU1" s="77"/>
      <c r="HVV1" s="77"/>
      <c r="HVW1" s="77"/>
      <c r="HVX1" s="77"/>
      <c r="HVY1" s="77"/>
      <c r="HVZ1" s="77"/>
      <c r="HWA1" s="77"/>
      <c r="HWB1" s="77"/>
      <c r="HWC1" s="77"/>
      <c r="HWD1" s="77"/>
      <c r="HWE1" s="77"/>
      <c r="HWF1" s="77"/>
      <c r="HWG1" s="77"/>
      <c r="HWH1" s="77"/>
      <c r="HWI1" s="77"/>
      <c r="HWJ1" s="77"/>
      <c r="HWK1" s="77"/>
      <c r="HWL1" s="77"/>
      <c r="HWM1" s="77"/>
      <c r="HWN1" s="77"/>
      <c r="HWO1" s="77"/>
      <c r="HWP1" s="77"/>
      <c r="HWQ1" s="77"/>
      <c r="HWR1" s="77"/>
      <c r="HWS1" s="77"/>
      <c r="HWT1" s="77"/>
      <c r="HWU1" s="77"/>
      <c r="HWV1" s="77"/>
      <c r="HWW1" s="77"/>
      <c r="HWX1" s="77"/>
      <c r="HWY1" s="77"/>
      <c r="HWZ1" s="77"/>
      <c r="HXA1" s="77"/>
      <c r="HXB1" s="77"/>
      <c r="HXC1" s="77"/>
      <c r="HXD1" s="77"/>
      <c r="HXE1" s="77"/>
      <c r="HXF1" s="77"/>
      <c r="HXG1" s="77"/>
      <c r="HXH1" s="77"/>
      <c r="HXI1" s="77"/>
      <c r="HXJ1" s="77"/>
      <c r="HXK1" s="77"/>
      <c r="HXL1" s="77"/>
      <c r="HXM1" s="77"/>
      <c r="HXN1" s="77"/>
      <c r="HXO1" s="77"/>
      <c r="HXP1" s="77"/>
      <c r="HXQ1" s="77"/>
      <c r="HXR1" s="77"/>
      <c r="HXS1" s="77"/>
      <c r="HXT1" s="77"/>
      <c r="HXU1" s="77"/>
      <c r="HXV1" s="77"/>
      <c r="HXW1" s="77"/>
      <c r="HXX1" s="77"/>
      <c r="HXY1" s="77"/>
      <c r="HXZ1" s="77"/>
      <c r="HYA1" s="77"/>
      <c r="HYB1" s="77"/>
      <c r="HYC1" s="77"/>
      <c r="HYD1" s="77"/>
      <c r="HYE1" s="77"/>
      <c r="HYF1" s="77"/>
      <c r="HYG1" s="77"/>
      <c r="HYH1" s="77"/>
      <c r="HYI1" s="77"/>
      <c r="HYJ1" s="77"/>
      <c r="HYK1" s="77"/>
      <c r="HYL1" s="77"/>
      <c r="HYM1" s="77"/>
      <c r="HYN1" s="77"/>
      <c r="HYO1" s="77"/>
      <c r="HYP1" s="77"/>
      <c r="HYQ1" s="77"/>
      <c r="HYR1" s="77"/>
      <c r="HYS1" s="77"/>
      <c r="HYT1" s="77"/>
      <c r="HYU1" s="77"/>
      <c r="HYV1" s="77"/>
      <c r="HYW1" s="77"/>
      <c r="HYX1" s="77"/>
      <c r="HYY1" s="77"/>
      <c r="HYZ1" s="77"/>
      <c r="HZA1" s="77"/>
      <c r="HZB1" s="77"/>
      <c r="HZC1" s="77"/>
      <c r="HZD1" s="77"/>
      <c r="HZE1" s="77"/>
      <c r="HZF1" s="77"/>
      <c r="HZG1" s="77"/>
      <c r="HZH1" s="77"/>
      <c r="HZI1" s="77"/>
      <c r="HZJ1" s="77"/>
      <c r="HZK1" s="77"/>
      <c r="HZL1" s="77"/>
      <c r="HZM1" s="77"/>
      <c r="HZN1" s="77"/>
      <c r="HZO1" s="77"/>
      <c r="HZP1" s="77"/>
      <c r="HZQ1" s="77"/>
      <c r="HZR1" s="77"/>
      <c r="HZS1" s="77"/>
      <c r="HZT1" s="77"/>
      <c r="HZU1" s="77"/>
      <c r="HZV1" s="77"/>
      <c r="HZW1" s="77"/>
      <c r="HZX1" s="77"/>
      <c r="HZY1" s="77"/>
      <c r="HZZ1" s="77"/>
      <c r="IAA1" s="77"/>
      <c r="IAB1" s="77"/>
      <c r="IAC1" s="77"/>
      <c r="IAD1" s="77"/>
      <c r="IAE1" s="77"/>
      <c r="IAF1" s="77"/>
      <c r="IAG1" s="77"/>
      <c r="IAH1" s="77"/>
      <c r="IAI1" s="77"/>
      <c r="IAJ1" s="77"/>
      <c r="IAK1" s="77"/>
      <c r="IAL1" s="77"/>
      <c r="IAM1" s="77"/>
      <c r="IAN1" s="77"/>
      <c r="IAO1" s="77"/>
      <c r="IAP1" s="77"/>
      <c r="IAQ1" s="77"/>
      <c r="IAR1" s="77"/>
      <c r="IAS1" s="77"/>
      <c r="IAT1" s="77"/>
      <c r="IAU1" s="77"/>
      <c r="IAV1" s="77"/>
      <c r="IAW1" s="77"/>
      <c r="IAX1" s="77"/>
      <c r="IAY1" s="77"/>
      <c r="IAZ1" s="77"/>
      <c r="IBA1" s="77"/>
      <c r="IBB1" s="77"/>
      <c r="IBC1" s="77"/>
      <c r="IBD1" s="77"/>
      <c r="IBE1" s="77"/>
      <c r="IBF1" s="77"/>
      <c r="IBG1" s="77"/>
      <c r="IBH1" s="77"/>
      <c r="IBI1" s="77"/>
      <c r="IBJ1" s="77"/>
      <c r="IBK1" s="77"/>
      <c r="IBL1" s="77"/>
      <c r="IBM1" s="77"/>
      <c r="IBN1" s="77"/>
      <c r="IBO1" s="77"/>
      <c r="IBP1" s="77"/>
      <c r="IBQ1" s="77"/>
      <c r="IBR1" s="77"/>
      <c r="IBS1" s="77"/>
      <c r="IBT1" s="77"/>
      <c r="IBU1" s="77"/>
      <c r="IBV1" s="77"/>
      <c r="IBW1" s="77"/>
      <c r="IBX1" s="77"/>
      <c r="IBY1" s="77"/>
      <c r="IBZ1" s="77"/>
      <c r="ICA1" s="77"/>
      <c r="ICB1" s="77"/>
      <c r="ICC1" s="77"/>
      <c r="ICD1" s="77"/>
      <c r="ICE1" s="77"/>
      <c r="ICF1" s="77"/>
      <c r="ICG1" s="77"/>
      <c r="ICH1" s="77"/>
      <c r="ICI1" s="77"/>
      <c r="ICJ1" s="77"/>
      <c r="ICK1" s="77"/>
      <c r="ICL1" s="77"/>
      <c r="ICM1" s="77"/>
      <c r="ICN1" s="77"/>
      <c r="ICO1" s="77"/>
      <c r="ICP1" s="77"/>
      <c r="ICQ1" s="77"/>
      <c r="ICR1" s="77"/>
      <c r="ICS1" s="77"/>
      <c r="ICT1" s="77"/>
      <c r="ICU1" s="77"/>
      <c r="ICV1" s="77"/>
      <c r="ICW1" s="77"/>
      <c r="ICX1" s="77"/>
      <c r="ICY1" s="77"/>
      <c r="ICZ1" s="77"/>
      <c r="IDA1" s="77"/>
      <c r="IDB1" s="77"/>
      <c r="IDC1" s="77"/>
      <c r="IDD1" s="77"/>
      <c r="IDE1" s="77"/>
      <c r="IDF1" s="77"/>
      <c r="IDG1" s="77"/>
      <c r="IDH1" s="77"/>
      <c r="IDI1" s="77"/>
      <c r="IDJ1" s="77"/>
      <c r="IDK1" s="77"/>
      <c r="IDL1" s="77"/>
      <c r="IDM1" s="77"/>
      <c r="IDN1" s="77"/>
      <c r="IDO1" s="77"/>
      <c r="IDP1" s="77"/>
      <c r="IDQ1" s="77"/>
      <c r="IDR1" s="77"/>
      <c r="IDS1" s="77"/>
      <c r="IDT1" s="77"/>
      <c r="IDU1" s="77"/>
      <c r="IDV1" s="77"/>
      <c r="IDW1" s="77"/>
      <c r="IDX1" s="77"/>
      <c r="IDY1" s="77"/>
      <c r="IDZ1" s="77"/>
      <c r="IEA1" s="77"/>
      <c r="IEB1" s="77"/>
      <c r="IEC1" s="77"/>
      <c r="IED1" s="77"/>
      <c r="IEE1" s="77"/>
      <c r="IEF1" s="77"/>
      <c r="IEG1" s="77"/>
      <c r="IEH1" s="77"/>
      <c r="IEI1" s="77"/>
      <c r="IEJ1" s="77"/>
      <c r="IEK1" s="77"/>
      <c r="IEL1" s="77"/>
      <c r="IEM1" s="77"/>
      <c r="IEN1" s="77"/>
      <c r="IEO1" s="77"/>
      <c r="IEP1" s="77"/>
      <c r="IEQ1" s="77"/>
      <c r="IER1" s="77"/>
      <c r="IES1" s="77"/>
      <c r="IET1" s="77"/>
      <c r="IEU1" s="77"/>
      <c r="IEV1" s="77"/>
      <c r="IEW1" s="77"/>
      <c r="IEX1" s="77"/>
      <c r="IEY1" s="77"/>
      <c r="IEZ1" s="77"/>
      <c r="IFA1" s="77"/>
      <c r="IFB1" s="77"/>
      <c r="IFC1" s="77"/>
      <c r="IFD1" s="77"/>
      <c r="IFE1" s="77"/>
      <c r="IFF1" s="77"/>
      <c r="IFG1" s="77"/>
      <c r="IFH1" s="77"/>
      <c r="IFI1" s="77"/>
      <c r="IFJ1" s="77"/>
      <c r="IFK1" s="77"/>
      <c r="IFL1" s="77"/>
      <c r="IFM1" s="77"/>
      <c r="IFN1" s="77"/>
      <c r="IFO1" s="77"/>
      <c r="IFP1" s="77"/>
      <c r="IFQ1" s="77"/>
      <c r="IFR1" s="77"/>
      <c r="IFS1" s="77"/>
      <c r="IFT1" s="77"/>
      <c r="IFU1" s="77"/>
      <c r="IFV1" s="77"/>
      <c r="IFW1" s="77"/>
      <c r="IFX1" s="77"/>
      <c r="IFY1" s="77"/>
      <c r="IFZ1" s="77"/>
      <c r="IGA1" s="77"/>
      <c r="IGB1" s="77"/>
      <c r="IGC1" s="77"/>
      <c r="IGD1" s="77"/>
      <c r="IGE1" s="77"/>
      <c r="IGF1" s="77"/>
      <c r="IGG1" s="77"/>
      <c r="IGH1" s="77"/>
      <c r="IGI1" s="77"/>
      <c r="IGJ1" s="77"/>
      <c r="IGK1" s="77"/>
      <c r="IGL1" s="77"/>
      <c r="IGM1" s="77"/>
      <c r="IGN1" s="77"/>
      <c r="IGO1" s="77"/>
      <c r="IGP1" s="77"/>
      <c r="IGQ1" s="77"/>
      <c r="IGR1" s="77"/>
      <c r="IGS1" s="77"/>
      <c r="IGT1" s="77"/>
      <c r="IGU1" s="77"/>
      <c r="IGV1" s="77"/>
      <c r="IGW1" s="77"/>
      <c r="IGX1" s="77"/>
      <c r="IGY1" s="77"/>
      <c r="IGZ1" s="77"/>
      <c r="IHA1" s="77"/>
      <c r="IHB1" s="77"/>
      <c r="IHC1" s="77"/>
      <c r="IHD1" s="77"/>
      <c r="IHE1" s="77"/>
      <c r="IHF1" s="77"/>
      <c r="IHG1" s="77"/>
      <c r="IHH1" s="77"/>
      <c r="IHI1" s="77"/>
      <c r="IHJ1" s="77"/>
      <c r="IHK1" s="77"/>
      <c r="IHL1" s="77"/>
      <c r="IHM1" s="77"/>
      <c r="IHN1" s="77"/>
      <c r="IHO1" s="77"/>
      <c r="IHP1" s="77"/>
      <c r="IHQ1" s="77"/>
      <c r="IHR1" s="77"/>
      <c r="IHS1" s="77"/>
      <c r="IHT1" s="77"/>
      <c r="IHU1" s="77"/>
      <c r="IHV1" s="77"/>
      <c r="IHW1" s="77"/>
      <c r="IHX1" s="77"/>
      <c r="IHY1" s="77"/>
      <c r="IHZ1" s="77"/>
      <c r="IIA1" s="77"/>
      <c r="IIB1" s="77"/>
      <c r="IIC1" s="77"/>
      <c r="IID1" s="77"/>
      <c r="IIE1" s="77"/>
      <c r="IIF1" s="77"/>
      <c r="IIG1" s="77"/>
      <c r="IIH1" s="77"/>
      <c r="III1" s="77"/>
      <c r="IIJ1" s="77"/>
      <c r="IIK1" s="77"/>
      <c r="IIL1" s="77"/>
      <c r="IIM1" s="77"/>
      <c r="IIN1" s="77"/>
      <c r="IIO1" s="77"/>
      <c r="IIP1" s="77"/>
      <c r="IIQ1" s="77"/>
      <c r="IIR1" s="77"/>
      <c r="IIS1" s="77"/>
      <c r="IIT1" s="77"/>
      <c r="IIU1" s="77"/>
      <c r="IIV1" s="77"/>
      <c r="IIW1" s="77"/>
      <c r="IIX1" s="77"/>
      <c r="IIY1" s="77"/>
      <c r="IIZ1" s="77"/>
      <c r="IJA1" s="77"/>
      <c r="IJB1" s="77"/>
      <c r="IJC1" s="77"/>
      <c r="IJD1" s="77"/>
      <c r="IJE1" s="77"/>
      <c r="IJF1" s="77"/>
      <c r="IJG1" s="77"/>
      <c r="IJH1" s="77"/>
      <c r="IJI1" s="77"/>
      <c r="IJJ1" s="77"/>
      <c r="IJK1" s="77"/>
      <c r="IJL1" s="77"/>
      <c r="IJM1" s="77"/>
      <c r="IJN1" s="77"/>
      <c r="IJO1" s="77"/>
      <c r="IJP1" s="77"/>
      <c r="IJQ1" s="77"/>
      <c r="IJR1" s="77"/>
      <c r="IJS1" s="77"/>
      <c r="IJT1" s="77"/>
      <c r="IJU1" s="77"/>
      <c r="IJV1" s="77"/>
      <c r="IJW1" s="77"/>
      <c r="IJX1" s="77"/>
      <c r="IJY1" s="77"/>
      <c r="IJZ1" s="77"/>
      <c r="IKA1" s="77"/>
      <c r="IKB1" s="77"/>
      <c r="IKC1" s="77"/>
      <c r="IKD1" s="77"/>
      <c r="IKE1" s="77"/>
      <c r="IKF1" s="77"/>
      <c r="IKG1" s="77"/>
      <c r="IKH1" s="77"/>
      <c r="IKI1" s="77"/>
      <c r="IKJ1" s="77"/>
      <c r="IKK1" s="77"/>
      <c r="IKL1" s="77"/>
      <c r="IKM1" s="77"/>
      <c r="IKN1" s="77"/>
      <c r="IKO1" s="77"/>
      <c r="IKP1" s="77"/>
      <c r="IKQ1" s="77"/>
      <c r="IKR1" s="77"/>
      <c r="IKS1" s="77"/>
      <c r="IKT1" s="77"/>
      <c r="IKU1" s="77"/>
      <c r="IKV1" s="77"/>
      <c r="IKW1" s="77"/>
      <c r="IKX1" s="77"/>
      <c r="IKY1" s="77"/>
      <c r="IKZ1" s="77"/>
      <c r="ILA1" s="77"/>
      <c r="ILB1" s="77"/>
      <c r="ILC1" s="77"/>
      <c r="ILD1" s="77"/>
      <c r="ILE1" s="77"/>
      <c r="ILF1" s="77"/>
      <c r="ILG1" s="77"/>
      <c r="ILH1" s="77"/>
      <c r="ILI1" s="77"/>
      <c r="ILJ1" s="77"/>
      <c r="ILK1" s="77"/>
      <c r="ILL1" s="77"/>
      <c r="ILM1" s="77"/>
      <c r="ILN1" s="77"/>
      <c r="ILO1" s="77"/>
      <c r="ILP1" s="77"/>
      <c r="ILQ1" s="77"/>
      <c r="ILR1" s="77"/>
      <c r="ILS1" s="77"/>
      <c r="ILT1" s="77"/>
      <c r="ILU1" s="77"/>
      <c r="ILV1" s="77"/>
      <c r="ILW1" s="77"/>
      <c r="ILX1" s="77"/>
      <c r="ILY1" s="77"/>
      <c r="ILZ1" s="77"/>
      <c r="IMA1" s="77"/>
      <c r="IMB1" s="77"/>
      <c r="IMC1" s="77"/>
      <c r="IMD1" s="77"/>
      <c r="IME1" s="77"/>
      <c r="IMF1" s="77"/>
      <c r="IMG1" s="77"/>
      <c r="IMH1" s="77"/>
      <c r="IMI1" s="77"/>
      <c r="IMJ1" s="77"/>
      <c r="IMK1" s="77"/>
      <c r="IML1" s="77"/>
      <c r="IMM1" s="77"/>
      <c r="IMN1" s="77"/>
      <c r="IMO1" s="77"/>
      <c r="IMP1" s="77"/>
      <c r="IMQ1" s="77"/>
      <c r="IMR1" s="77"/>
      <c r="IMS1" s="77"/>
      <c r="IMT1" s="77"/>
      <c r="IMU1" s="77"/>
      <c r="IMV1" s="77"/>
      <c r="IMW1" s="77"/>
      <c r="IMX1" s="77"/>
      <c r="IMY1" s="77"/>
      <c r="IMZ1" s="77"/>
      <c r="INA1" s="77"/>
      <c r="INB1" s="77"/>
      <c r="INC1" s="77"/>
      <c r="IND1" s="77"/>
      <c r="INE1" s="77"/>
      <c r="INF1" s="77"/>
      <c r="ING1" s="77"/>
      <c r="INH1" s="77"/>
      <c r="INI1" s="77"/>
      <c r="INJ1" s="77"/>
      <c r="INK1" s="77"/>
      <c r="INL1" s="77"/>
      <c r="INM1" s="77"/>
      <c r="INN1" s="77"/>
      <c r="INO1" s="77"/>
      <c r="INP1" s="77"/>
      <c r="INQ1" s="77"/>
      <c r="INR1" s="77"/>
      <c r="INS1" s="77"/>
      <c r="INT1" s="77"/>
      <c r="INU1" s="77"/>
      <c r="INV1" s="77"/>
      <c r="INW1" s="77"/>
      <c r="INX1" s="77"/>
      <c r="INY1" s="77"/>
      <c r="INZ1" s="77"/>
      <c r="IOA1" s="77"/>
      <c r="IOB1" s="77"/>
      <c r="IOC1" s="77"/>
      <c r="IOD1" s="77"/>
      <c r="IOE1" s="77"/>
      <c r="IOF1" s="77"/>
      <c r="IOG1" s="77"/>
      <c r="IOH1" s="77"/>
      <c r="IOI1" s="77"/>
      <c r="IOJ1" s="77"/>
      <c r="IOK1" s="77"/>
      <c r="IOL1" s="77"/>
      <c r="IOM1" s="77"/>
      <c r="ION1" s="77"/>
      <c r="IOO1" s="77"/>
      <c r="IOP1" s="77"/>
      <c r="IOQ1" s="77"/>
      <c r="IOR1" s="77"/>
      <c r="IOS1" s="77"/>
      <c r="IOT1" s="77"/>
      <c r="IOU1" s="77"/>
      <c r="IOV1" s="77"/>
      <c r="IOW1" s="77"/>
      <c r="IOX1" s="77"/>
      <c r="IOY1" s="77"/>
      <c r="IOZ1" s="77"/>
      <c r="IPA1" s="77"/>
      <c r="IPB1" s="77"/>
      <c r="IPC1" s="77"/>
      <c r="IPD1" s="77"/>
      <c r="IPE1" s="77"/>
      <c r="IPF1" s="77"/>
      <c r="IPG1" s="77"/>
      <c r="IPH1" s="77"/>
      <c r="IPI1" s="77"/>
      <c r="IPJ1" s="77"/>
      <c r="IPK1" s="77"/>
      <c r="IPL1" s="77"/>
      <c r="IPM1" s="77"/>
      <c r="IPN1" s="77"/>
      <c r="IPO1" s="77"/>
      <c r="IPP1" s="77"/>
      <c r="IPQ1" s="77"/>
      <c r="IPR1" s="77"/>
      <c r="IPS1" s="77"/>
      <c r="IPT1" s="77"/>
      <c r="IPU1" s="77"/>
      <c r="IPV1" s="77"/>
      <c r="IPW1" s="77"/>
      <c r="IPX1" s="77"/>
      <c r="IPY1" s="77"/>
      <c r="IPZ1" s="77"/>
      <c r="IQA1" s="77"/>
      <c r="IQB1" s="77"/>
      <c r="IQC1" s="77"/>
      <c r="IQD1" s="77"/>
      <c r="IQE1" s="77"/>
      <c r="IQF1" s="77"/>
      <c r="IQG1" s="77"/>
      <c r="IQH1" s="77"/>
      <c r="IQI1" s="77"/>
      <c r="IQJ1" s="77"/>
      <c r="IQK1" s="77"/>
      <c r="IQL1" s="77"/>
      <c r="IQM1" s="77"/>
      <c r="IQN1" s="77"/>
      <c r="IQO1" s="77"/>
      <c r="IQP1" s="77"/>
      <c r="IQQ1" s="77"/>
      <c r="IQR1" s="77"/>
      <c r="IQS1" s="77"/>
      <c r="IQT1" s="77"/>
      <c r="IQU1" s="77"/>
      <c r="IQV1" s="77"/>
      <c r="IQW1" s="77"/>
      <c r="IQX1" s="77"/>
      <c r="IQY1" s="77"/>
      <c r="IQZ1" s="77"/>
      <c r="IRA1" s="77"/>
      <c r="IRB1" s="77"/>
      <c r="IRC1" s="77"/>
      <c r="IRD1" s="77"/>
      <c r="IRE1" s="77"/>
      <c r="IRF1" s="77"/>
      <c r="IRG1" s="77"/>
      <c r="IRH1" s="77"/>
      <c r="IRI1" s="77"/>
      <c r="IRJ1" s="77"/>
      <c r="IRK1" s="77"/>
      <c r="IRL1" s="77"/>
      <c r="IRM1" s="77"/>
      <c r="IRN1" s="77"/>
      <c r="IRO1" s="77"/>
      <c r="IRP1" s="77"/>
      <c r="IRQ1" s="77"/>
      <c r="IRR1" s="77"/>
      <c r="IRS1" s="77"/>
      <c r="IRT1" s="77"/>
      <c r="IRU1" s="77"/>
      <c r="IRV1" s="77"/>
      <c r="IRW1" s="77"/>
      <c r="IRX1" s="77"/>
      <c r="IRY1" s="77"/>
      <c r="IRZ1" s="77"/>
      <c r="ISA1" s="77"/>
      <c r="ISB1" s="77"/>
      <c r="ISC1" s="77"/>
      <c r="ISD1" s="77"/>
      <c r="ISE1" s="77"/>
      <c r="ISF1" s="77"/>
      <c r="ISG1" s="77"/>
      <c r="ISH1" s="77"/>
      <c r="ISI1" s="77"/>
      <c r="ISJ1" s="77"/>
      <c r="ISK1" s="77"/>
      <c r="ISL1" s="77"/>
      <c r="ISM1" s="77"/>
      <c r="ISN1" s="77"/>
      <c r="ISO1" s="77"/>
      <c r="ISP1" s="77"/>
      <c r="ISQ1" s="77"/>
      <c r="ISR1" s="77"/>
      <c r="ISS1" s="77"/>
      <c r="IST1" s="77"/>
      <c r="ISU1" s="77"/>
      <c r="ISV1" s="77"/>
      <c r="ISW1" s="77"/>
      <c r="ISX1" s="77"/>
      <c r="ISY1" s="77"/>
      <c r="ISZ1" s="77"/>
      <c r="ITA1" s="77"/>
      <c r="ITB1" s="77"/>
      <c r="ITC1" s="77"/>
      <c r="ITD1" s="77"/>
      <c r="ITE1" s="77"/>
      <c r="ITF1" s="77"/>
      <c r="ITG1" s="77"/>
      <c r="ITH1" s="77"/>
      <c r="ITI1" s="77"/>
      <c r="ITJ1" s="77"/>
      <c r="ITK1" s="77"/>
      <c r="ITL1" s="77"/>
      <c r="ITM1" s="77"/>
      <c r="ITN1" s="77"/>
      <c r="ITO1" s="77"/>
      <c r="ITP1" s="77"/>
      <c r="ITQ1" s="77"/>
      <c r="ITR1" s="77"/>
      <c r="ITS1" s="77"/>
      <c r="ITT1" s="77"/>
      <c r="ITU1" s="77"/>
      <c r="ITV1" s="77"/>
      <c r="ITW1" s="77"/>
      <c r="ITX1" s="77"/>
      <c r="ITY1" s="77"/>
      <c r="ITZ1" s="77"/>
      <c r="IUA1" s="77"/>
      <c r="IUB1" s="77"/>
      <c r="IUC1" s="77"/>
      <c r="IUD1" s="77"/>
      <c r="IUE1" s="77"/>
      <c r="IUF1" s="77"/>
      <c r="IUG1" s="77"/>
      <c r="IUH1" s="77"/>
      <c r="IUI1" s="77"/>
      <c r="IUJ1" s="77"/>
      <c r="IUK1" s="77"/>
      <c r="IUL1" s="77"/>
      <c r="IUM1" s="77"/>
      <c r="IUN1" s="77"/>
      <c r="IUO1" s="77"/>
      <c r="IUP1" s="77"/>
      <c r="IUQ1" s="77"/>
      <c r="IUR1" s="77"/>
      <c r="IUS1" s="77"/>
      <c r="IUT1" s="77"/>
      <c r="IUU1" s="77"/>
      <c r="IUV1" s="77"/>
      <c r="IUW1" s="77"/>
      <c r="IUX1" s="77"/>
      <c r="IUY1" s="77"/>
      <c r="IUZ1" s="77"/>
      <c r="IVA1" s="77"/>
      <c r="IVB1" s="77"/>
      <c r="IVC1" s="77"/>
      <c r="IVD1" s="77"/>
      <c r="IVE1" s="77"/>
      <c r="IVF1" s="77"/>
      <c r="IVG1" s="77"/>
      <c r="IVH1" s="77"/>
      <c r="IVI1" s="77"/>
      <c r="IVJ1" s="77"/>
      <c r="IVK1" s="77"/>
      <c r="IVL1" s="77"/>
      <c r="IVM1" s="77"/>
      <c r="IVN1" s="77"/>
      <c r="IVO1" s="77"/>
      <c r="IVP1" s="77"/>
      <c r="IVQ1" s="77"/>
      <c r="IVR1" s="77"/>
      <c r="IVS1" s="77"/>
      <c r="IVT1" s="77"/>
      <c r="IVU1" s="77"/>
      <c r="IVV1" s="77"/>
      <c r="IVW1" s="77"/>
      <c r="IVX1" s="77"/>
      <c r="IVY1" s="77"/>
      <c r="IVZ1" s="77"/>
      <c r="IWA1" s="77"/>
      <c r="IWB1" s="77"/>
      <c r="IWC1" s="77"/>
      <c r="IWD1" s="77"/>
      <c r="IWE1" s="77"/>
      <c r="IWF1" s="77"/>
      <c r="IWG1" s="77"/>
      <c r="IWH1" s="77"/>
      <c r="IWI1" s="77"/>
      <c r="IWJ1" s="77"/>
      <c r="IWK1" s="77"/>
      <c r="IWL1" s="77"/>
      <c r="IWM1" s="77"/>
      <c r="IWN1" s="77"/>
      <c r="IWO1" s="77"/>
      <c r="IWP1" s="77"/>
      <c r="IWQ1" s="77"/>
      <c r="IWR1" s="77"/>
      <c r="IWS1" s="77"/>
      <c r="IWT1" s="77"/>
      <c r="IWU1" s="77"/>
      <c r="IWV1" s="77"/>
      <c r="IWW1" s="77"/>
      <c r="IWX1" s="77"/>
      <c r="IWY1" s="77"/>
      <c r="IWZ1" s="77"/>
      <c r="IXA1" s="77"/>
      <c r="IXB1" s="77"/>
      <c r="IXC1" s="77"/>
      <c r="IXD1" s="77"/>
      <c r="IXE1" s="77"/>
      <c r="IXF1" s="77"/>
      <c r="IXG1" s="77"/>
      <c r="IXH1" s="77"/>
      <c r="IXI1" s="77"/>
      <c r="IXJ1" s="77"/>
      <c r="IXK1" s="77"/>
      <c r="IXL1" s="77"/>
      <c r="IXM1" s="77"/>
      <c r="IXN1" s="77"/>
      <c r="IXO1" s="77"/>
      <c r="IXP1" s="77"/>
      <c r="IXQ1" s="77"/>
      <c r="IXR1" s="77"/>
      <c r="IXS1" s="77"/>
      <c r="IXT1" s="77"/>
      <c r="IXU1" s="77"/>
      <c r="IXV1" s="77"/>
      <c r="IXW1" s="77"/>
      <c r="IXX1" s="77"/>
      <c r="IXY1" s="77"/>
      <c r="IXZ1" s="77"/>
      <c r="IYA1" s="77"/>
      <c r="IYB1" s="77"/>
      <c r="IYC1" s="77"/>
      <c r="IYD1" s="77"/>
      <c r="IYE1" s="77"/>
      <c r="IYF1" s="77"/>
      <c r="IYG1" s="77"/>
      <c r="IYH1" s="77"/>
      <c r="IYI1" s="77"/>
      <c r="IYJ1" s="77"/>
      <c r="IYK1" s="77"/>
      <c r="IYL1" s="77"/>
      <c r="IYM1" s="77"/>
      <c r="IYN1" s="77"/>
      <c r="IYO1" s="77"/>
      <c r="IYP1" s="77"/>
      <c r="IYQ1" s="77"/>
      <c r="IYR1" s="77"/>
      <c r="IYS1" s="77"/>
      <c r="IYT1" s="77"/>
      <c r="IYU1" s="77"/>
      <c r="IYV1" s="77"/>
      <c r="IYW1" s="77"/>
      <c r="IYX1" s="77"/>
      <c r="IYY1" s="77"/>
      <c r="IYZ1" s="77"/>
      <c r="IZA1" s="77"/>
      <c r="IZB1" s="77"/>
      <c r="IZC1" s="77"/>
      <c r="IZD1" s="77"/>
      <c r="IZE1" s="77"/>
      <c r="IZF1" s="77"/>
      <c r="IZG1" s="77"/>
      <c r="IZH1" s="77"/>
      <c r="IZI1" s="77"/>
      <c r="IZJ1" s="77"/>
      <c r="IZK1" s="77"/>
      <c r="IZL1" s="77"/>
      <c r="IZM1" s="77"/>
      <c r="IZN1" s="77"/>
      <c r="IZO1" s="77"/>
      <c r="IZP1" s="77"/>
      <c r="IZQ1" s="77"/>
      <c r="IZR1" s="77"/>
      <c r="IZS1" s="77"/>
      <c r="IZT1" s="77"/>
      <c r="IZU1" s="77"/>
      <c r="IZV1" s="77"/>
      <c r="IZW1" s="77"/>
      <c r="IZX1" s="77"/>
      <c r="IZY1" s="77"/>
      <c r="IZZ1" s="77"/>
      <c r="JAA1" s="77"/>
      <c r="JAB1" s="77"/>
      <c r="JAC1" s="77"/>
      <c r="JAD1" s="77"/>
      <c r="JAE1" s="77"/>
      <c r="JAF1" s="77"/>
      <c r="JAG1" s="77"/>
      <c r="JAH1" s="77"/>
      <c r="JAI1" s="77"/>
      <c r="JAJ1" s="77"/>
      <c r="JAK1" s="77"/>
      <c r="JAL1" s="77"/>
      <c r="JAM1" s="77"/>
      <c r="JAN1" s="77"/>
      <c r="JAO1" s="77"/>
      <c r="JAP1" s="77"/>
      <c r="JAQ1" s="77"/>
      <c r="JAR1" s="77"/>
      <c r="JAS1" s="77"/>
      <c r="JAT1" s="77"/>
      <c r="JAU1" s="77"/>
      <c r="JAV1" s="77"/>
      <c r="JAW1" s="77"/>
      <c r="JAX1" s="77"/>
      <c r="JAY1" s="77"/>
      <c r="JAZ1" s="77"/>
      <c r="JBA1" s="77"/>
      <c r="JBB1" s="77"/>
      <c r="JBC1" s="77"/>
      <c r="JBD1" s="77"/>
      <c r="JBE1" s="77"/>
      <c r="JBF1" s="77"/>
      <c r="JBG1" s="77"/>
      <c r="JBH1" s="77"/>
      <c r="JBI1" s="77"/>
      <c r="JBJ1" s="77"/>
      <c r="JBK1" s="77"/>
      <c r="JBL1" s="77"/>
      <c r="JBM1" s="77"/>
      <c r="JBN1" s="77"/>
      <c r="JBO1" s="77"/>
      <c r="JBP1" s="77"/>
      <c r="JBQ1" s="77"/>
      <c r="JBR1" s="77"/>
      <c r="JBS1" s="77"/>
      <c r="JBT1" s="77"/>
      <c r="JBU1" s="77"/>
      <c r="JBV1" s="77"/>
      <c r="JBW1" s="77"/>
      <c r="JBX1" s="77"/>
      <c r="JBY1" s="77"/>
      <c r="JBZ1" s="77"/>
      <c r="JCA1" s="77"/>
      <c r="JCB1" s="77"/>
      <c r="JCC1" s="77"/>
      <c r="JCD1" s="77"/>
      <c r="JCE1" s="77"/>
      <c r="JCF1" s="77"/>
      <c r="JCG1" s="77"/>
      <c r="JCH1" s="77"/>
      <c r="JCI1" s="77"/>
      <c r="JCJ1" s="77"/>
      <c r="JCK1" s="77"/>
      <c r="JCL1" s="77"/>
      <c r="JCM1" s="77"/>
      <c r="JCN1" s="77"/>
      <c r="JCO1" s="77"/>
      <c r="JCP1" s="77"/>
      <c r="JCQ1" s="77"/>
      <c r="JCR1" s="77"/>
      <c r="JCS1" s="77"/>
      <c r="JCT1" s="77"/>
      <c r="JCU1" s="77"/>
      <c r="JCV1" s="77"/>
      <c r="JCW1" s="77"/>
      <c r="JCX1" s="77"/>
      <c r="JCY1" s="77"/>
      <c r="JCZ1" s="77"/>
      <c r="JDA1" s="77"/>
      <c r="JDB1" s="77"/>
      <c r="JDC1" s="77"/>
      <c r="JDD1" s="77"/>
      <c r="JDE1" s="77"/>
      <c r="JDF1" s="77"/>
      <c r="JDG1" s="77"/>
      <c r="JDH1" s="77"/>
      <c r="JDI1" s="77"/>
      <c r="JDJ1" s="77"/>
      <c r="JDK1" s="77"/>
      <c r="JDL1" s="77"/>
      <c r="JDM1" s="77"/>
      <c r="JDN1" s="77"/>
      <c r="JDO1" s="77"/>
      <c r="JDP1" s="77"/>
      <c r="JDQ1" s="77"/>
      <c r="JDR1" s="77"/>
      <c r="JDS1" s="77"/>
      <c r="JDT1" s="77"/>
      <c r="JDU1" s="77"/>
      <c r="JDV1" s="77"/>
      <c r="JDW1" s="77"/>
      <c r="JDX1" s="77"/>
      <c r="JDY1" s="77"/>
      <c r="JDZ1" s="77"/>
      <c r="JEA1" s="77"/>
      <c r="JEB1" s="77"/>
      <c r="JEC1" s="77"/>
      <c r="JED1" s="77"/>
      <c r="JEE1" s="77"/>
      <c r="JEF1" s="77"/>
      <c r="JEG1" s="77"/>
      <c r="JEH1" s="77"/>
      <c r="JEI1" s="77"/>
      <c r="JEJ1" s="77"/>
      <c r="JEK1" s="77"/>
      <c r="JEL1" s="77"/>
      <c r="JEM1" s="77"/>
      <c r="JEN1" s="77"/>
      <c r="JEO1" s="77"/>
      <c r="JEP1" s="77"/>
      <c r="JEQ1" s="77"/>
      <c r="JER1" s="77"/>
      <c r="JES1" s="77"/>
      <c r="JET1" s="77"/>
      <c r="JEU1" s="77"/>
      <c r="JEV1" s="77"/>
      <c r="JEW1" s="77"/>
      <c r="JEX1" s="77"/>
      <c r="JEY1" s="77"/>
      <c r="JEZ1" s="77"/>
      <c r="JFA1" s="77"/>
      <c r="JFB1" s="77"/>
      <c r="JFC1" s="77"/>
      <c r="JFD1" s="77"/>
      <c r="JFE1" s="77"/>
      <c r="JFF1" s="77"/>
      <c r="JFG1" s="77"/>
      <c r="JFH1" s="77"/>
      <c r="JFI1" s="77"/>
      <c r="JFJ1" s="77"/>
      <c r="JFK1" s="77"/>
      <c r="JFL1" s="77"/>
      <c r="JFM1" s="77"/>
      <c r="JFN1" s="77"/>
      <c r="JFO1" s="77"/>
      <c r="JFP1" s="77"/>
      <c r="JFQ1" s="77"/>
      <c r="JFR1" s="77"/>
      <c r="JFS1" s="77"/>
      <c r="JFT1" s="77"/>
      <c r="JFU1" s="77"/>
      <c r="JFV1" s="77"/>
      <c r="JFW1" s="77"/>
      <c r="JFX1" s="77"/>
      <c r="JFY1" s="77"/>
      <c r="JFZ1" s="77"/>
      <c r="JGA1" s="77"/>
      <c r="JGB1" s="77"/>
      <c r="JGC1" s="77"/>
      <c r="JGD1" s="77"/>
      <c r="JGE1" s="77"/>
      <c r="JGF1" s="77"/>
      <c r="JGG1" s="77"/>
      <c r="JGH1" s="77"/>
      <c r="JGI1" s="77"/>
      <c r="JGJ1" s="77"/>
      <c r="JGK1" s="77"/>
      <c r="JGL1" s="77"/>
      <c r="JGM1" s="77"/>
      <c r="JGN1" s="77"/>
      <c r="JGO1" s="77"/>
      <c r="JGP1" s="77"/>
      <c r="JGQ1" s="77"/>
      <c r="JGR1" s="77"/>
      <c r="JGS1" s="77"/>
      <c r="JGT1" s="77"/>
      <c r="JGU1" s="77"/>
      <c r="JGV1" s="77"/>
      <c r="JGW1" s="77"/>
      <c r="JGX1" s="77"/>
      <c r="JGY1" s="77"/>
      <c r="JGZ1" s="77"/>
      <c r="JHA1" s="77"/>
      <c r="JHB1" s="77"/>
      <c r="JHC1" s="77"/>
      <c r="JHD1" s="77"/>
      <c r="JHE1" s="77"/>
      <c r="JHF1" s="77"/>
      <c r="JHG1" s="77"/>
      <c r="JHH1" s="77"/>
      <c r="JHI1" s="77"/>
      <c r="JHJ1" s="77"/>
      <c r="JHK1" s="77"/>
      <c r="JHL1" s="77"/>
      <c r="JHM1" s="77"/>
      <c r="JHN1" s="77"/>
      <c r="JHO1" s="77"/>
      <c r="JHP1" s="77"/>
      <c r="JHQ1" s="77"/>
      <c r="JHR1" s="77"/>
      <c r="JHS1" s="77"/>
      <c r="JHT1" s="77"/>
      <c r="JHU1" s="77"/>
      <c r="JHV1" s="77"/>
      <c r="JHW1" s="77"/>
      <c r="JHX1" s="77"/>
      <c r="JHY1" s="77"/>
      <c r="JHZ1" s="77"/>
      <c r="JIA1" s="77"/>
      <c r="JIB1" s="77"/>
      <c r="JIC1" s="77"/>
      <c r="JID1" s="77"/>
      <c r="JIE1" s="77"/>
      <c r="JIF1" s="77"/>
      <c r="JIG1" s="77"/>
      <c r="JIH1" s="77"/>
      <c r="JII1" s="77"/>
      <c r="JIJ1" s="77"/>
      <c r="JIK1" s="77"/>
      <c r="JIL1" s="77"/>
      <c r="JIM1" s="77"/>
      <c r="JIN1" s="77"/>
      <c r="JIO1" s="77"/>
      <c r="JIP1" s="77"/>
      <c r="JIQ1" s="77"/>
      <c r="JIR1" s="77"/>
      <c r="JIS1" s="77"/>
      <c r="JIT1" s="77"/>
      <c r="JIU1" s="77"/>
      <c r="JIV1" s="77"/>
      <c r="JIW1" s="77"/>
      <c r="JIX1" s="77"/>
      <c r="JIY1" s="77"/>
      <c r="JIZ1" s="77"/>
      <c r="JJA1" s="77"/>
      <c r="JJB1" s="77"/>
      <c r="JJC1" s="77"/>
      <c r="JJD1" s="77"/>
      <c r="JJE1" s="77"/>
      <c r="JJF1" s="77"/>
      <c r="JJG1" s="77"/>
      <c r="JJH1" s="77"/>
      <c r="JJI1" s="77"/>
      <c r="JJJ1" s="77"/>
      <c r="JJK1" s="77"/>
      <c r="JJL1" s="77"/>
      <c r="JJM1" s="77"/>
      <c r="JJN1" s="77"/>
      <c r="JJO1" s="77"/>
      <c r="JJP1" s="77"/>
      <c r="JJQ1" s="77"/>
      <c r="JJR1" s="77"/>
      <c r="JJS1" s="77"/>
      <c r="JJT1" s="77"/>
      <c r="JJU1" s="77"/>
      <c r="JJV1" s="77"/>
      <c r="JJW1" s="77"/>
      <c r="JJX1" s="77"/>
      <c r="JJY1" s="77"/>
      <c r="JJZ1" s="77"/>
      <c r="JKA1" s="77"/>
      <c r="JKB1" s="77"/>
      <c r="JKC1" s="77"/>
      <c r="JKD1" s="77"/>
      <c r="JKE1" s="77"/>
      <c r="JKF1" s="77"/>
      <c r="JKG1" s="77"/>
      <c r="JKH1" s="77"/>
      <c r="JKI1" s="77"/>
      <c r="JKJ1" s="77"/>
      <c r="JKK1" s="77"/>
      <c r="JKL1" s="77"/>
      <c r="JKM1" s="77"/>
      <c r="JKN1" s="77"/>
      <c r="JKO1" s="77"/>
      <c r="JKP1" s="77"/>
      <c r="JKQ1" s="77"/>
      <c r="JKR1" s="77"/>
      <c r="JKS1" s="77"/>
      <c r="JKT1" s="77"/>
      <c r="JKU1" s="77"/>
      <c r="JKV1" s="77"/>
      <c r="JKW1" s="77"/>
      <c r="JKX1" s="77"/>
      <c r="JKY1" s="77"/>
      <c r="JKZ1" s="77"/>
      <c r="JLA1" s="77"/>
      <c r="JLB1" s="77"/>
      <c r="JLC1" s="77"/>
      <c r="JLD1" s="77"/>
      <c r="JLE1" s="77"/>
      <c r="JLF1" s="77"/>
      <c r="JLG1" s="77"/>
      <c r="JLH1" s="77"/>
      <c r="JLI1" s="77"/>
      <c r="JLJ1" s="77"/>
      <c r="JLK1" s="77"/>
      <c r="JLL1" s="77"/>
      <c r="JLM1" s="77"/>
      <c r="JLN1" s="77"/>
      <c r="JLO1" s="77"/>
      <c r="JLP1" s="77"/>
      <c r="JLQ1" s="77"/>
      <c r="JLR1" s="77"/>
      <c r="JLS1" s="77"/>
      <c r="JLT1" s="77"/>
      <c r="JLU1" s="77"/>
      <c r="JLV1" s="77"/>
      <c r="JLW1" s="77"/>
      <c r="JLX1" s="77"/>
      <c r="JLY1" s="77"/>
      <c r="JLZ1" s="77"/>
      <c r="JMA1" s="77"/>
      <c r="JMB1" s="77"/>
      <c r="JMC1" s="77"/>
      <c r="JMD1" s="77"/>
      <c r="JME1" s="77"/>
      <c r="JMF1" s="77"/>
      <c r="JMG1" s="77"/>
      <c r="JMH1" s="77"/>
      <c r="JMI1" s="77"/>
      <c r="JMJ1" s="77"/>
      <c r="JMK1" s="77"/>
      <c r="JML1" s="77"/>
      <c r="JMM1" s="77"/>
      <c r="JMN1" s="77"/>
      <c r="JMO1" s="77"/>
      <c r="JMP1" s="77"/>
      <c r="JMQ1" s="77"/>
      <c r="JMR1" s="77"/>
      <c r="JMS1" s="77"/>
      <c r="JMT1" s="77"/>
      <c r="JMU1" s="77"/>
      <c r="JMV1" s="77"/>
      <c r="JMW1" s="77"/>
      <c r="JMX1" s="77"/>
      <c r="JMY1" s="77"/>
      <c r="JMZ1" s="77"/>
      <c r="JNA1" s="77"/>
      <c r="JNB1" s="77"/>
      <c r="JNC1" s="77"/>
      <c r="JND1" s="77"/>
      <c r="JNE1" s="77"/>
      <c r="JNF1" s="77"/>
      <c r="JNG1" s="77"/>
      <c r="JNH1" s="77"/>
      <c r="JNI1" s="77"/>
      <c r="JNJ1" s="77"/>
      <c r="JNK1" s="77"/>
      <c r="JNL1" s="77"/>
      <c r="JNM1" s="77"/>
      <c r="JNN1" s="77"/>
      <c r="JNO1" s="77"/>
      <c r="JNP1" s="77"/>
      <c r="JNQ1" s="77"/>
      <c r="JNR1" s="77"/>
      <c r="JNS1" s="77"/>
      <c r="JNT1" s="77"/>
      <c r="JNU1" s="77"/>
      <c r="JNV1" s="77"/>
      <c r="JNW1" s="77"/>
      <c r="JNX1" s="77"/>
      <c r="JNY1" s="77"/>
      <c r="JNZ1" s="77"/>
      <c r="JOA1" s="77"/>
      <c r="JOB1" s="77"/>
      <c r="JOC1" s="77"/>
      <c r="JOD1" s="77"/>
      <c r="JOE1" s="77"/>
      <c r="JOF1" s="77"/>
      <c r="JOG1" s="77"/>
      <c r="JOH1" s="77"/>
      <c r="JOI1" s="77"/>
      <c r="JOJ1" s="77"/>
      <c r="JOK1" s="77"/>
      <c r="JOL1" s="77"/>
      <c r="JOM1" s="77"/>
      <c r="JON1" s="77"/>
      <c r="JOO1" s="77"/>
      <c r="JOP1" s="77"/>
      <c r="JOQ1" s="77"/>
      <c r="JOR1" s="77"/>
      <c r="JOS1" s="77"/>
      <c r="JOT1" s="77"/>
      <c r="JOU1" s="77"/>
      <c r="JOV1" s="77"/>
      <c r="JOW1" s="77"/>
      <c r="JOX1" s="77"/>
      <c r="JOY1" s="77"/>
      <c r="JOZ1" s="77"/>
      <c r="JPA1" s="77"/>
      <c r="JPB1" s="77"/>
      <c r="JPC1" s="77"/>
      <c r="JPD1" s="77"/>
      <c r="JPE1" s="77"/>
      <c r="JPF1" s="77"/>
      <c r="JPG1" s="77"/>
      <c r="JPH1" s="77"/>
      <c r="JPI1" s="77"/>
      <c r="JPJ1" s="77"/>
      <c r="JPK1" s="77"/>
      <c r="JPL1" s="77"/>
      <c r="JPM1" s="77"/>
      <c r="JPN1" s="77"/>
      <c r="JPO1" s="77"/>
      <c r="JPP1" s="77"/>
      <c r="JPQ1" s="77"/>
      <c r="JPR1" s="77"/>
      <c r="JPS1" s="77"/>
      <c r="JPT1" s="77"/>
      <c r="JPU1" s="77"/>
      <c r="JPV1" s="77"/>
      <c r="JPW1" s="77"/>
      <c r="JPX1" s="77"/>
      <c r="JPY1" s="77"/>
      <c r="JPZ1" s="77"/>
      <c r="JQA1" s="77"/>
      <c r="JQB1" s="77"/>
      <c r="JQC1" s="77"/>
      <c r="JQD1" s="77"/>
      <c r="JQE1" s="77"/>
      <c r="JQF1" s="77"/>
      <c r="JQG1" s="77"/>
      <c r="JQH1" s="77"/>
      <c r="JQI1" s="77"/>
      <c r="JQJ1" s="77"/>
      <c r="JQK1" s="77"/>
      <c r="JQL1" s="77"/>
      <c r="JQM1" s="77"/>
      <c r="JQN1" s="77"/>
      <c r="JQO1" s="77"/>
      <c r="JQP1" s="77"/>
      <c r="JQQ1" s="77"/>
      <c r="JQR1" s="77"/>
      <c r="JQS1" s="77"/>
      <c r="JQT1" s="77"/>
      <c r="JQU1" s="77"/>
      <c r="JQV1" s="77"/>
      <c r="JQW1" s="77"/>
      <c r="JQX1" s="77"/>
      <c r="JQY1" s="77"/>
      <c r="JQZ1" s="77"/>
      <c r="JRA1" s="77"/>
      <c r="JRB1" s="77"/>
      <c r="JRC1" s="77"/>
      <c r="JRD1" s="77"/>
      <c r="JRE1" s="77"/>
      <c r="JRF1" s="77"/>
      <c r="JRG1" s="77"/>
      <c r="JRH1" s="77"/>
      <c r="JRI1" s="77"/>
      <c r="JRJ1" s="77"/>
      <c r="JRK1" s="77"/>
      <c r="JRL1" s="77"/>
      <c r="JRM1" s="77"/>
      <c r="JRN1" s="77"/>
      <c r="JRO1" s="77"/>
      <c r="JRP1" s="77"/>
      <c r="JRQ1" s="77"/>
      <c r="JRR1" s="77"/>
      <c r="JRS1" s="77"/>
      <c r="JRT1" s="77"/>
      <c r="JRU1" s="77"/>
      <c r="JRV1" s="77"/>
      <c r="JRW1" s="77"/>
      <c r="JRX1" s="77"/>
      <c r="JRY1" s="77"/>
      <c r="JRZ1" s="77"/>
      <c r="JSA1" s="77"/>
      <c r="JSB1" s="77"/>
      <c r="JSC1" s="77"/>
      <c r="JSD1" s="77"/>
      <c r="JSE1" s="77"/>
      <c r="JSF1" s="77"/>
      <c r="JSG1" s="77"/>
      <c r="JSH1" s="77"/>
      <c r="JSI1" s="77"/>
      <c r="JSJ1" s="77"/>
      <c r="JSK1" s="77"/>
      <c r="JSL1" s="77"/>
      <c r="JSM1" s="77"/>
      <c r="JSN1" s="77"/>
      <c r="JSO1" s="77"/>
      <c r="JSP1" s="77"/>
      <c r="JSQ1" s="77"/>
      <c r="JSR1" s="77"/>
      <c r="JSS1" s="77"/>
      <c r="JST1" s="77"/>
      <c r="JSU1" s="77"/>
      <c r="JSV1" s="77"/>
      <c r="JSW1" s="77"/>
      <c r="JSX1" s="77"/>
      <c r="JSY1" s="77"/>
      <c r="JSZ1" s="77"/>
      <c r="JTA1" s="77"/>
      <c r="JTB1" s="77"/>
      <c r="JTC1" s="77"/>
      <c r="JTD1" s="77"/>
      <c r="JTE1" s="77"/>
      <c r="JTF1" s="77"/>
      <c r="JTG1" s="77"/>
      <c r="JTH1" s="77"/>
      <c r="JTI1" s="77"/>
      <c r="JTJ1" s="77"/>
      <c r="JTK1" s="77"/>
      <c r="JTL1" s="77"/>
      <c r="JTM1" s="77"/>
      <c r="JTN1" s="77"/>
      <c r="JTO1" s="77"/>
      <c r="JTP1" s="77"/>
      <c r="JTQ1" s="77"/>
      <c r="JTR1" s="77"/>
      <c r="JTS1" s="77"/>
      <c r="JTT1" s="77"/>
      <c r="JTU1" s="77"/>
      <c r="JTV1" s="77"/>
      <c r="JTW1" s="77"/>
      <c r="JTX1" s="77"/>
      <c r="JTY1" s="77"/>
      <c r="JTZ1" s="77"/>
      <c r="JUA1" s="77"/>
      <c r="JUB1" s="77"/>
      <c r="JUC1" s="77"/>
      <c r="JUD1" s="77"/>
      <c r="JUE1" s="77"/>
      <c r="JUF1" s="77"/>
      <c r="JUG1" s="77"/>
      <c r="JUH1" s="77"/>
      <c r="JUI1" s="77"/>
      <c r="JUJ1" s="77"/>
      <c r="JUK1" s="77"/>
      <c r="JUL1" s="77"/>
      <c r="JUM1" s="77"/>
      <c r="JUN1" s="77"/>
      <c r="JUO1" s="77"/>
      <c r="JUP1" s="77"/>
      <c r="JUQ1" s="77"/>
      <c r="JUR1" s="77"/>
      <c r="JUS1" s="77"/>
      <c r="JUT1" s="77"/>
      <c r="JUU1" s="77"/>
      <c r="JUV1" s="77"/>
      <c r="JUW1" s="77"/>
      <c r="JUX1" s="77"/>
      <c r="JUY1" s="77"/>
      <c r="JUZ1" s="77"/>
      <c r="JVA1" s="77"/>
      <c r="JVB1" s="77"/>
      <c r="JVC1" s="77"/>
      <c r="JVD1" s="77"/>
      <c r="JVE1" s="77"/>
      <c r="JVF1" s="77"/>
      <c r="JVG1" s="77"/>
      <c r="JVH1" s="77"/>
      <c r="JVI1" s="77"/>
      <c r="JVJ1" s="77"/>
      <c r="JVK1" s="77"/>
      <c r="JVL1" s="77"/>
      <c r="JVM1" s="77"/>
      <c r="JVN1" s="77"/>
      <c r="JVO1" s="77"/>
      <c r="JVP1" s="77"/>
      <c r="JVQ1" s="77"/>
      <c r="JVR1" s="77"/>
      <c r="JVS1" s="77"/>
      <c r="JVT1" s="77"/>
      <c r="JVU1" s="77"/>
      <c r="JVV1" s="77"/>
      <c r="JVW1" s="77"/>
      <c r="JVX1" s="77"/>
      <c r="JVY1" s="77"/>
      <c r="JVZ1" s="77"/>
      <c r="JWA1" s="77"/>
      <c r="JWB1" s="77"/>
      <c r="JWC1" s="77"/>
      <c r="JWD1" s="77"/>
      <c r="JWE1" s="77"/>
      <c r="JWF1" s="77"/>
      <c r="JWG1" s="77"/>
      <c r="JWH1" s="77"/>
      <c r="JWI1" s="77"/>
      <c r="JWJ1" s="77"/>
      <c r="JWK1" s="77"/>
      <c r="JWL1" s="77"/>
      <c r="JWM1" s="77"/>
      <c r="JWN1" s="77"/>
      <c r="JWO1" s="77"/>
      <c r="JWP1" s="77"/>
      <c r="JWQ1" s="77"/>
      <c r="JWR1" s="77"/>
      <c r="JWS1" s="77"/>
      <c r="JWT1" s="77"/>
      <c r="JWU1" s="77"/>
      <c r="JWV1" s="77"/>
      <c r="JWW1" s="77"/>
      <c r="JWX1" s="77"/>
      <c r="JWY1" s="77"/>
      <c r="JWZ1" s="77"/>
      <c r="JXA1" s="77"/>
      <c r="JXB1" s="77"/>
      <c r="JXC1" s="77"/>
      <c r="JXD1" s="77"/>
      <c r="JXE1" s="77"/>
      <c r="JXF1" s="77"/>
      <c r="JXG1" s="77"/>
      <c r="JXH1" s="77"/>
      <c r="JXI1" s="77"/>
      <c r="JXJ1" s="77"/>
      <c r="JXK1" s="77"/>
      <c r="JXL1" s="77"/>
      <c r="JXM1" s="77"/>
      <c r="JXN1" s="77"/>
      <c r="JXO1" s="77"/>
      <c r="JXP1" s="77"/>
      <c r="JXQ1" s="77"/>
      <c r="JXR1" s="77"/>
      <c r="JXS1" s="77"/>
      <c r="JXT1" s="77"/>
      <c r="JXU1" s="77"/>
      <c r="JXV1" s="77"/>
      <c r="JXW1" s="77"/>
      <c r="JXX1" s="77"/>
      <c r="JXY1" s="77"/>
      <c r="JXZ1" s="77"/>
      <c r="JYA1" s="77"/>
      <c r="JYB1" s="77"/>
      <c r="JYC1" s="77"/>
      <c r="JYD1" s="77"/>
      <c r="JYE1" s="77"/>
      <c r="JYF1" s="77"/>
      <c r="JYG1" s="77"/>
      <c r="JYH1" s="77"/>
      <c r="JYI1" s="77"/>
      <c r="JYJ1" s="77"/>
      <c r="JYK1" s="77"/>
      <c r="JYL1" s="77"/>
      <c r="JYM1" s="77"/>
      <c r="JYN1" s="77"/>
      <c r="JYO1" s="77"/>
      <c r="JYP1" s="77"/>
      <c r="JYQ1" s="77"/>
      <c r="JYR1" s="77"/>
      <c r="JYS1" s="77"/>
      <c r="JYT1" s="77"/>
      <c r="JYU1" s="77"/>
      <c r="JYV1" s="77"/>
      <c r="JYW1" s="77"/>
      <c r="JYX1" s="77"/>
      <c r="JYY1" s="77"/>
      <c r="JYZ1" s="77"/>
      <c r="JZA1" s="77"/>
      <c r="JZB1" s="77"/>
      <c r="JZC1" s="77"/>
      <c r="JZD1" s="77"/>
      <c r="JZE1" s="77"/>
      <c r="JZF1" s="77"/>
      <c r="JZG1" s="77"/>
      <c r="JZH1" s="77"/>
      <c r="JZI1" s="77"/>
      <c r="JZJ1" s="77"/>
      <c r="JZK1" s="77"/>
      <c r="JZL1" s="77"/>
      <c r="JZM1" s="77"/>
      <c r="JZN1" s="77"/>
      <c r="JZO1" s="77"/>
      <c r="JZP1" s="77"/>
      <c r="JZQ1" s="77"/>
      <c r="JZR1" s="77"/>
      <c r="JZS1" s="77"/>
      <c r="JZT1" s="77"/>
      <c r="JZU1" s="77"/>
      <c r="JZV1" s="77"/>
      <c r="JZW1" s="77"/>
      <c r="JZX1" s="77"/>
      <c r="JZY1" s="77"/>
      <c r="JZZ1" s="77"/>
      <c r="KAA1" s="77"/>
      <c r="KAB1" s="77"/>
      <c r="KAC1" s="77"/>
      <c r="KAD1" s="77"/>
      <c r="KAE1" s="77"/>
      <c r="KAF1" s="77"/>
      <c r="KAG1" s="77"/>
      <c r="KAH1" s="77"/>
      <c r="KAI1" s="77"/>
      <c r="KAJ1" s="77"/>
      <c r="KAK1" s="77"/>
      <c r="KAL1" s="77"/>
      <c r="KAM1" s="77"/>
      <c r="KAN1" s="77"/>
      <c r="KAO1" s="77"/>
      <c r="KAP1" s="77"/>
      <c r="KAQ1" s="77"/>
      <c r="KAR1" s="77"/>
      <c r="KAS1" s="77"/>
      <c r="KAT1" s="77"/>
      <c r="KAU1" s="77"/>
      <c r="KAV1" s="77"/>
      <c r="KAW1" s="77"/>
      <c r="KAX1" s="77"/>
      <c r="KAY1" s="77"/>
      <c r="KAZ1" s="77"/>
      <c r="KBA1" s="77"/>
      <c r="KBB1" s="77"/>
      <c r="KBC1" s="77"/>
      <c r="KBD1" s="77"/>
      <c r="KBE1" s="77"/>
      <c r="KBF1" s="77"/>
      <c r="KBG1" s="77"/>
      <c r="KBH1" s="77"/>
      <c r="KBI1" s="77"/>
      <c r="KBJ1" s="77"/>
      <c r="KBK1" s="77"/>
      <c r="KBL1" s="77"/>
      <c r="KBM1" s="77"/>
      <c r="KBN1" s="77"/>
      <c r="KBO1" s="77"/>
      <c r="KBP1" s="77"/>
      <c r="KBQ1" s="77"/>
      <c r="KBR1" s="77"/>
      <c r="KBS1" s="77"/>
      <c r="KBT1" s="77"/>
      <c r="KBU1" s="77"/>
      <c r="KBV1" s="77"/>
      <c r="KBW1" s="77"/>
      <c r="KBX1" s="77"/>
      <c r="KBY1" s="77"/>
      <c r="KBZ1" s="77"/>
      <c r="KCA1" s="77"/>
      <c r="KCB1" s="77"/>
      <c r="KCC1" s="77"/>
      <c r="KCD1" s="77"/>
      <c r="KCE1" s="77"/>
      <c r="KCF1" s="77"/>
      <c r="KCG1" s="77"/>
      <c r="KCH1" s="77"/>
      <c r="KCI1" s="77"/>
      <c r="KCJ1" s="77"/>
      <c r="KCK1" s="77"/>
      <c r="KCL1" s="77"/>
      <c r="KCM1" s="77"/>
      <c r="KCN1" s="77"/>
      <c r="KCO1" s="77"/>
      <c r="KCP1" s="77"/>
      <c r="KCQ1" s="77"/>
      <c r="KCR1" s="77"/>
      <c r="KCS1" s="77"/>
      <c r="KCT1" s="77"/>
      <c r="KCU1" s="77"/>
      <c r="KCV1" s="77"/>
      <c r="KCW1" s="77"/>
      <c r="KCX1" s="77"/>
      <c r="KCY1" s="77"/>
      <c r="KCZ1" s="77"/>
      <c r="KDA1" s="77"/>
      <c r="KDB1" s="77"/>
      <c r="KDC1" s="77"/>
      <c r="KDD1" s="77"/>
      <c r="KDE1" s="77"/>
      <c r="KDF1" s="77"/>
      <c r="KDG1" s="77"/>
      <c r="KDH1" s="77"/>
      <c r="KDI1" s="77"/>
      <c r="KDJ1" s="77"/>
      <c r="KDK1" s="77"/>
      <c r="KDL1" s="77"/>
      <c r="KDM1" s="77"/>
      <c r="KDN1" s="77"/>
      <c r="KDO1" s="77"/>
      <c r="KDP1" s="77"/>
      <c r="KDQ1" s="77"/>
      <c r="KDR1" s="77"/>
      <c r="KDS1" s="77"/>
      <c r="KDT1" s="77"/>
      <c r="KDU1" s="77"/>
      <c r="KDV1" s="77"/>
      <c r="KDW1" s="77"/>
      <c r="KDX1" s="77"/>
      <c r="KDY1" s="77"/>
      <c r="KDZ1" s="77"/>
      <c r="KEA1" s="77"/>
      <c r="KEB1" s="77"/>
      <c r="KEC1" s="77"/>
      <c r="KED1" s="77"/>
      <c r="KEE1" s="77"/>
      <c r="KEF1" s="77"/>
      <c r="KEG1" s="77"/>
      <c r="KEH1" s="77"/>
      <c r="KEI1" s="77"/>
      <c r="KEJ1" s="77"/>
      <c r="KEK1" s="77"/>
      <c r="KEL1" s="77"/>
      <c r="KEM1" s="77"/>
      <c r="KEN1" s="77"/>
      <c r="KEO1" s="77"/>
      <c r="KEP1" s="77"/>
      <c r="KEQ1" s="77"/>
      <c r="KER1" s="77"/>
      <c r="KES1" s="77"/>
      <c r="KET1" s="77"/>
      <c r="KEU1" s="77"/>
      <c r="KEV1" s="77"/>
      <c r="KEW1" s="77"/>
      <c r="KEX1" s="77"/>
      <c r="KEY1" s="77"/>
      <c r="KEZ1" s="77"/>
      <c r="KFA1" s="77"/>
      <c r="KFB1" s="77"/>
      <c r="KFC1" s="77"/>
      <c r="KFD1" s="77"/>
      <c r="KFE1" s="77"/>
      <c r="KFF1" s="77"/>
      <c r="KFG1" s="77"/>
      <c r="KFH1" s="77"/>
      <c r="KFI1" s="77"/>
      <c r="KFJ1" s="77"/>
      <c r="KFK1" s="77"/>
      <c r="KFL1" s="77"/>
      <c r="KFM1" s="77"/>
      <c r="KFN1" s="77"/>
      <c r="KFO1" s="77"/>
      <c r="KFP1" s="77"/>
      <c r="KFQ1" s="77"/>
      <c r="KFR1" s="77"/>
      <c r="KFS1" s="77"/>
      <c r="KFT1" s="77"/>
      <c r="KFU1" s="77"/>
      <c r="KFV1" s="77"/>
      <c r="KFW1" s="77"/>
      <c r="KFX1" s="77"/>
      <c r="KFY1" s="77"/>
      <c r="KFZ1" s="77"/>
      <c r="KGA1" s="77"/>
      <c r="KGB1" s="77"/>
      <c r="KGC1" s="77"/>
      <c r="KGD1" s="77"/>
      <c r="KGE1" s="77"/>
      <c r="KGF1" s="77"/>
      <c r="KGG1" s="77"/>
      <c r="KGH1" s="77"/>
      <c r="KGI1" s="77"/>
      <c r="KGJ1" s="77"/>
      <c r="KGK1" s="77"/>
      <c r="KGL1" s="77"/>
      <c r="KGM1" s="77"/>
      <c r="KGN1" s="77"/>
      <c r="KGO1" s="77"/>
      <c r="KGP1" s="77"/>
      <c r="KGQ1" s="77"/>
      <c r="KGR1" s="77"/>
      <c r="KGS1" s="77"/>
      <c r="KGT1" s="77"/>
      <c r="KGU1" s="77"/>
      <c r="KGV1" s="77"/>
      <c r="KGW1" s="77"/>
      <c r="KGX1" s="77"/>
      <c r="KGY1" s="77"/>
      <c r="KGZ1" s="77"/>
      <c r="KHA1" s="77"/>
      <c r="KHB1" s="77"/>
      <c r="KHC1" s="77"/>
      <c r="KHD1" s="77"/>
      <c r="KHE1" s="77"/>
      <c r="KHF1" s="77"/>
      <c r="KHG1" s="77"/>
      <c r="KHH1" s="77"/>
      <c r="KHI1" s="77"/>
      <c r="KHJ1" s="77"/>
      <c r="KHK1" s="77"/>
      <c r="KHL1" s="77"/>
      <c r="KHM1" s="77"/>
      <c r="KHN1" s="77"/>
      <c r="KHO1" s="77"/>
      <c r="KHP1" s="77"/>
      <c r="KHQ1" s="77"/>
      <c r="KHR1" s="77"/>
      <c r="KHS1" s="77"/>
      <c r="KHT1" s="77"/>
      <c r="KHU1" s="77"/>
      <c r="KHV1" s="77"/>
      <c r="KHW1" s="77"/>
      <c r="KHX1" s="77"/>
      <c r="KHY1" s="77"/>
      <c r="KHZ1" s="77"/>
      <c r="KIA1" s="77"/>
      <c r="KIB1" s="77"/>
      <c r="KIC1" s="77"/>
      <c r="KID1" s="77"/>
      <c r="KIE1" s="77"/>
      <c r="KIF1" s="77"/>
      <c r="KIG1" s="77"/>
      <c r="KIH1" s="77"/>
      <c r="KII1" s="77"/>
      <c r="KIJ1" s="77"/>
      <c r="KIK1" s="77"/>
      <c r="KIL1" s="77"/>
      <c r="KIM1" s="77"/>
      <c r="KIN1" s="77"/>
      <c r="KIO1" s="77"/>
      <c r="KIP1" s="77"/>
      <c r="KIQ1" s="77"/>
      <c r="KIR1" s="77"/>
      <c r="KIS1" s="77"/>
      <c r="KIT1" s="77"/>
      <c r="KIU1" s="77"/>
      <c r="KIV1" s="77"/>
      <c r="KIW1" s="77"/>
      <c r="KIX1" s="77"/>
      <c r="KIY1" s="77"/>
      <c r="KIZ1" s="77"/>
      <c r="KJA1" s="77"/>
      <c r="KJB1" s="77"/>
      <c r="KJC1" s="77"/>
      <c r="KJD1" s="77"/>
      <c r="KJE1" s="77"/>
      <c r="KJF1" s="77"/>
      <c r="KJG1" s="77"/>
      <c r="KJH1" s="77"/>
      <c r="KJI1" s="77"/>
      <c r="KJJ1" s="77"/>
      <c r="KJK1" s="77"/>
      <c r="KJL1" s="77"/>
      <c r="KJM1" s="77"/>
      <c r="KJN1" s="77"/>
      <c r="KJO1" s="77"/>
      <c r="KJP1" s="77"/>
      <c r="KJQ1" s="77"/>
      <c r="KJR1" s="77"/>
      <c r="KJS1" s="77"/>
      <c r="KJT1" s="77"/>
      <c r="KJU1" s="77"/>
      <c r="KJV1" s="77"/>
      <c r="KJW1" s="77"/>
      <c r="KJX1" s="77"/>
      <c r="KJY1" s="77"/>
      <c r="KJZ1" s="77"/>
      <c r="KKA1" s="77"/>
      <c r="KKB1" s="77"/>
      <c r="KKC1" s="77"/>
      <c r="KKD1" s="77"/>
      <c r="KKE1" s="77"/>
      <c r="KKF1" s="77"/>
      <c r="KKG1" s="77"/>
      <c r="KKH1" s="77"/>
      <c r="KKI1" s="77"/>
      <c r="KKJ1" s="77"/>
      <c r="KKK1" s="77"/>
      <c r="KKL1" s="77"/>
      <c r="KKM1" s="77"/>
      <c r="KKN1" s="77"/>
      <c r="KKO1" s="77"/>
      <c r="KKP1" s="77"/>
      <c r="KKQ1" s="77"/>
      <c r="KKR1" s="77"/>
      <c r="KKS1" s="77"/>
      <c r="KKT1" s="77"/>
      <c r="KKU1" s="77"/>
      <c r="KKV1" s="77"/>
      <c r="KKW1" s="77"/>
      <c r="KKX1" s="77"/>
      <c r="KKY1" s="77"/>
      <c r="KKZ1" s="77"/>
      <c r="KLA1" s="77"/>
      <c r="KLB1" s="77"/>
      <c r="KLC1" s="77"/>
      <c r="KLD1" s="77"/>
      <c r="KLE1" s="77"/>
      <c r="KLF1" s="77"/>
      <c r="KLG1" s="77"/>
      <c r="KLH1" s="77"/>
      <c r="KLI1" s="77"/>
      <c r="KLJ1" s="77"/>
      <c r="KLK1" s="77"/>
      <c r="KLL1" s="77"/>
      <c r="KLM1" s="77"/>
      <c r="KLN1" s="77"/>
      <c r="KLO1" s="77"/>
      <c r="KLP1" s="77"/>
      <c r="KLQ1" s="77"/>
      <c r="KLR1" s="77"/>
      <c r="KLS1" s="77"/>
      <c r="KLT1" s="77"/>
      <c r="KLU1" s="77"/>
      <c r="KLV1" s="77"/>
      <c r="KLW1" s="77"/>
      <c r="KLX1" s="77"/>
      <c r="KLY1" s="77"/>
      <c r="KLZ1" s="77"/>
      <c r="KMA1" s="77"/>
      <c r="KMB1" s="77"/>
      <c r="KMC1" s="77"/>
      <c r="KMD1" s="77"/>
      <c r="KME1" s="77"/>
      <c r="KMF1" s="77"/>
      <c r="KMG1" s="77"/>
      <c r="KMH1" s="77"/>
      <c r="KMI1" s="77"/>
      <c r="KMJ1" s="77"/>
      <c r="KMK1" s="77"/>
      <c r="KML1" s="77"/>
      <c r="KMM1" s="77"/>
      <c r="KMN1" s="77"/>
      <c r="KMO1" s="77"/>
      <c r="KMP1" s="77"/>
      <c r="KMQ1" s="77"/>
      <c r="KMR1" s="77"/>
      <c r="KMS1" s="77"/>
      <c r="KMT1" s="77"/>
      <c r="KMU1" s="77"/>
      <c r="KMV1" s="77"/>
      <c r="KMW1" s="77"/>
      <c r="KMX1" s="77"/>
      <c r="KMY1" s="77"/>
      <c r="KMZ1" s="77"/>
      <c r="KNA1" s="77"/>
      <c r="KNB1" s="77"/>
      <c r="KNC1" s="77"/>
      <c r="KND1" s="77"/>
      <c r="KNE1" s="77"/>
      <c r="KNF1" s="77"/>
      <c r="KNG1" s="77"/>
      <c r="KNH1" s="77"/>
      <c r="KNI1" s="77"/>
      <c r="KNJ1" s="77"/>
      <c r="KNK1" s="77"/>
      <c r="KNL1" s="77"/>
      <c r="KNM1" s="77"/>
      <c r="KNN1" s="77"/>
      <c r="KNO1" s="77"/>
      <c r="KNP1" s="77"/>
      <c r="KNQ1" s="77"/>
      <c r="KNR1" s="77"/>
      <c r="KNS1" s="77"/>
      <c r="KNT1" s="77"/>
      <c r="KNU1" s="77"/>
      <c r="KNV1" s="77"/>
      <c r="KNW1" s="77"/>
      <c r="KNX1" s="77"/>
      <c r="KNY1" s="77"/>
      <c r="KNZ1" s="77"/>
      <c r="KOA1" s="77"/>
      <c r="KOB1" s="77"/>
      <c r="KOC1" s="77"/>
      <c r="KOD1" s="77"/>
      <c r="KOE1" s="77"/>
      <c r="KOF1" s="77"/>
      <c r="KOG1" s="77"/>
      <c r="KOH1" s="77"/>
      <c r="KOI1" s="77"/>
      <c r="KOJ1" s="77"/>
      <c r="KOK1" s="77"/>
      <c r="KOL1" s="77"/>
      <c r="KOM1" s="77"/>
      <c r="KON1" s="77"/>
      <c r="KOO1" s="77"/>
      <c r="KOP1" s="77"/>
      <c r="KOQ1" s="77"/>
      <c r="KOR1" s="77"/>
      <c r="KOS1" s="77"/>
      <c r="KOT1" s="77"/>
      <c r="KOU1" s="77"/>
      <c r="KOV1" s="77"/>
      <c r="KOW1" s="77"/>
      <c r="KOX1" s="77"/>
      <c r="KOY1" s="77"/>
      <c r="KOZ1" s="77"/>
      <c r="KPA1" s="77"/>
      <c r="KPB1" s="77"/>
      <c r="KPC1" s="77"/>
      <c r="KPD1" s="77"/>
      <c r="KPE1" s="77"/>
      <c r="KPF1" s="77"/>
      <c r="KPG1" s="77"/>
      <c r="KPH1" s="77"/>
      <c r="KPI1" s="77"/>
      <c r="KPJ1" s="77"/>
      <c r="KPK1" s="77"/>
      <c r="KPL1" s="77"/>
      <c r="KPM1" s="77"/>
      <c r="KPN1" s="77"/>
      <c r="KPO1" s="77"/>
      <c r="KPP1" s="77"/>
      <c r="KPQ1" s="77"/>
      <c r="KPR1" s="77"/>
      <c r="KPS1" s="77"/>
      <c r="KPT1" s="77"/>
      <c r="KPU1" s="77"/>
      <c r="KPV1" s="77"/>
      <c r="KPW1" s="77"/>
      <c r="KPX1" s="77"/>
      <c r="KPY1" s="77"/>
      <c r="KPZ1" s="77"/>
      <c r="KQA1" s="77"/>
      <c r="KQB1" s="77"/>
      <c r="KQC1" s="77"/>
      <c r="KQD1" s="77"/>
      <c r="KQE1" s="77"/>
      <c r="KQF1" s="77"/>
      <c r="KQG1" s="77"/>
      <c r="KQH1" s="77"/>
      <c r="KQI1" s="77"/>
      <c r="KQJ1" s="77"/>
      <c r="KQK1" s="77"/>
      <c r="KQL1" s="77"/>
      <c r="KQM1" s="77"/>
      <c r="KQN1" s="77"/>
      <c r="KQO1" s="77"/>
      <c r="KQP1" s="77"/>
      <c r="KQQ1" s="77"/>
      <c r="KQR1" s="77"/>
      <c r="KQS1" s="77"/>
      <c r="KQT1" s="77"/>
      <c r="KQU1" s="77"/>
      <c r="KQV1" s="77"/>
      <c r="KQW1" s="77"/>
      <c r="KQX1" s="77"/>
      <c r="KQY1" s="77"/>
      <c r="KQZ1" s="77"/>
      <c r="KRA1" s="77"/>
      <c r="KRB1" s="77"/>
      <c r="KRC1" s="77"/>
      <c r="KRD1" s="77"/>
      <c r="KRE1" s="77"/>
      <c r="KRF1" s="77"/>
      <c r="KRG1" s="77"/>
      <c r="KRH1" s="77"/>
      <c r="KRI1" s="77"/>
      <c r="KRJ1" s="77"/>
      <c r="KRK1" s="77"/>
      <c r="KRL1" s="77"/>
      <c r="KRM1" s="77"/>
      <c r="KRN1" s="77"/>
      <c r="KRO1" s="77"/>
      <c r="KRP1" s="77"/>
      <c r="KRQ1" s="77"/>
      <c r="KRR1" s="77"/>
      <c r="KRS1" s="77"/>
      <c r="KRT1" s="77"/>
      <c r="KRU1" s="77"/>
      <c r="KRV1" s="77"/>
      <c r="KRW1" s="77"/>
      <c r="KRX1" s="77"/>
      <c r="KRY1" s="77"/>
      <c r="KRZ1" s="77"/>
      <c r="KSA1" s="77"/>
      <c r="KSB1" s="77"/>
      <c r="KSC1" s="77"/>
      <c r="KSD1" s="77"/>
      <c r="KSE1" s="77"/>
      <c r="KSF1" s="77"/>
      <c r="KSG1" s="77"/>
      <c r="KSH1" s="77"/>
      <c r="KSI1" s="77"/>
      <c r="KSJ1" s="77"/>
      <c r="KSK1" s="77"/>
      <c r="KSL1" s="77"/>
      <c r="KSM1" s="77"/>
      <c r="KSN1" s="77"/>
      <c r="KSO1" s="77"/>
      <c r="KSP1" s="77"/>
      <c r="KSQ1" s="77"/>
      <c r="KSR1" s="77"/>
      <c r="KSS1" s="77"/>
      <c r="KST1" s="77"/>
      <c r="KSU1" s="77"/>
      <c r="KSV1" s="77"/>
      <c r="KSW1" s="77"/>
      <c r="KSX1" s="77"/>
      <c r="KSY1" s="77"/>
      <c r="KSZ1" s="77"/>
      <c r="KTA1" s="77"/>
      <c r="KTB1" s="77"/>
      <c r="KTC1" s="77"/>
      <c r="KTD1" s="77"/>
      <c r="KTE1" s="77"/>
      <c r="KTF1" s="77"/>
      <c r="KTG1" s="77"/>
      <c r="KTH1" s="77"/>
      <c r="KTI1" s="77"/>
      <c r="KTJ1" s="77"/>
      <c r="KTK1" s="77"/>
      <c r="KTL1" s="77"/>
      <c r="KTM1" s="77"/>
      <c r="KTN1" s="77"/>
      <c r="KTO1" s="77"/>
      <c r="KTP1" s="77"/>
      <c r="KTQ1" s="77"/>
      <c r="KTR1" s="77"/>
      <c r="KTS1" s="77"/>
      <c r="KTT1" s="77"/>
      <c r="KTU1" s="77"/>
      <c r="KTV1" s="77"/>
      <c r="KTW1" s="77"/>
      <c r="KTX1" s="77"/>
      <c r="KTY1" s="77"/>
      <c r="KTZ1" s="77"/>
      <c r="KUA1" s="77"/>
      <c r="KUB1" s="77"/>
      <c r="KUC1" s="77"/>
      <c r="KUD1" s="77"/>
      <c r="KUE1" s="77"/>
      <c r="KUF1" s="77"/>
      <c r="KUG1" s="77"/>
      <c r="KUH1" s="77"/>
      <c r="KUI1" s="77"/>
      <c r="KUJ1" s="77"/>
      <c r="KUK1" s="77"/>
      <c r="KUL1" s="77"/>
      <c r="KUM1" s="77"/>
      <c r="KUN1" s="77"/>
      <c r="KUO1" s="77"/>
      <c r="KUP1" s="77"/>
      <c r="KUQ1" s="77"/>
      <c r="KUR1" s="77"/>
      <c r="KUS1" s="77"/>
      <c r="KUT1" s="77"/>
      <c r="KUU1" s="77"/>
      <c r="KUV1" s="77"/>
      <c r="KUW1" s="77"/>
      <c r="KUX1" s="77"/>
      <c r="KUY1" s="77"/>
      <c r="KUZ1" s="77"/>
      <c r="KVA1" s="77"/>
      <c r="KVB1" s="77"/>
      <c r="KVC1" s="77"/>
      <c r="KVD1" s="77"/>
      <c r="KVE1" s="77"/>
      <c r="KVF1" s="77"/>
      <c r="KVG1" s="77"/>
      <c r="KVH1" s="77"/>
      <c r="KVI1" s="77"/>
      <c r="KVJ1" s="77"/>
      <c r="KVK1" s="77"/>
      <c r="KVL1" s="77"/>
      <c r="KVM1" s="77"/>
      <c r="KVN1" s="77"/>
      <c r="KVO1" s="77"/>
      <c r="KVP1" s="77"/>
      <c r="KVQ1" s="77"/>
      <c r="KVR1" s="77"/>
      <c r="KVS1" s="77"/>
      <c r="KVT1" s="77"/>
      <c r="KVU1" s="77"/>
      <c r="KVV1" s="77"/>
      <c r="KVW1" s="77"/>
      <c r="KVX1" s="77"/>
      <c r="KVY1" s="77"/>
      <c r="KVZ1" s="77"/>
      <c r="KWA1" s="77"/>
      <c r="KWB1" s="77"/>
      <c r="KWC1" s="77"/>
      <c r="KWD1" s="77"/>
      <c r="KWE1" s="77"/>
      <c r="KWF1" s="77"/>
      <c r="KWG1" s="77"/>
      <c r="KWH1" s="77"/>
      <c r="KWI1" s="77"/>
      <c r="KWJ1" s="77"/>
      <c r="KWK1" s="77"/>
      <c r="KWL1" s="77"/>
      <c r="KWM1" s="77"/>
      <c r="KWN1" s="77"/>
      <c r="KWO1" s="77"/>
      <c r="KWP1" s="77"/>
      <c r="KWQ1" s="77"/>
      <c r="KWR1" s="77"/>
      <c r="KWS1" s="77"/>
      <c r="KWT1" s="77"/>
      <c r="KWU1" s="77"/>
      <c r="KWV1" s="77"/>
      <c r="KWW1" s="77"/>
      <c r="KWX1" s="77"/>
      <c r="KWY1" s="77"/>
      <c r="KWZ1" s="77"/>
      <c r="KXA1" s="77"/>
      <c r="KXB1" s="77"/>
      <c r="KXC1" s="77"/>
      <c r="KXD1" s="77"/>
      <c r="KXE1" s="77"/>
      <c r="KXF1" s="77"/>
      <c r="KXG1" s="77"/>
      <c r="KXH1" s="77"/>
      <c r="KXI1" s="77"/>
      <c r="KXJ1" s="77"/>
      <c r="KXK1" s="77"/>
      <c r="KXL1" s="77"/>
      <c r="KXM1" s="77"/>
      <c r="KXN1" s="77"/>
      <c r="KXO1" s="77"/>
      <c r="KXP1" s="77"/>
      <c r="KXQ1" s="77"/>
      <c r="KXR1" s="77"/>
      <c r="KXS1" s="77"/>
      <c r="KXT1" s="77"/>
      <c r="KXU1" s="77"/>
      <c r="KXV1" s="77"/>
      <c r="KXW1" s="77"/>
      <c r="KXX1" s="77"/>
      <c r="KXY1" s="77"/>
      <c r="KXZ1" s="77"/>
      <c r="KYA1" s="77"/>
      <c r="KYB1" s="77"/>
      <c r="KYC1" s="77"/>
      <c r="KYD1" s="77"/>
      <c r="KYE1" s="77"/>
      <c r="KYF1" s="77"/>
      <c r="KYG1" s="77"/>
      <c r="KYH1" s="77"/>
      <c r="KYI1" s="77"/>
      <c r="KYJ1" s="77"/>
      <c r="KYK1" s="77"/>
      <c r="KYL1" s="77"/>
      <c r="KYM1" s="77"/>
      <c r="KYN1" s="77"/>
      <c r="KYO1" s="77"/>
      <c r="KYP1" s="77"/>
      <c r="KYQ1" s="77"/>
      <c r="KYR1" s="77"/>
      <c r="KYS1" s="77"/>
      <c r="KYT1" s="77"/>
      <c r="KYU1" s="77"/>
      <c r="KYV1" s="77"/>
      <c r="KYW1" s="77"/>
      <c r="KYX1" s="77"/>
      <c r="KYY1" s="77"/>
      <c r="KYZ1" s="77"/>
      <c r="KZA1" s="77"/>
      <c r="KZB1" s="77"/>
      <c r="KZC1" s="77"/>
      <c r="KZD1" s="77"/>
      <c r="KZE1" s="77"/>
      <c r="KZF1" s="77"/>
      <c r="KZG1" s="77"/>
      <c r="KZH1" s="77"/>
      <c r="KZI1" s="77"/>
      <c r="KZJ1" s="77"/>
      <c r="KZK1" s="77"/>
      <c r="KZL1" s="77"/>
      <c r="KZM1" s="77"/>
      <c r="KZN1" s="77"/>
      <c r="KZO1" s="77"/>
      <c r="KZP1" s="77"/>
      <c r="KZQ1" s="77"/>
      <c r="KZR1" s="77"/>
      <c r="KZS1" s="77"/>
      <c r="KZT1" s="77"/>
      <c r="KZU1" s="77"/>
      <c r="KZV1" s="77"/>
      <c r="KZW1" s="77"/>
      <c r="KZX1" s="77"/>
      <c r="KZY1" s="77"/>
      <c r="KZZ1" s="77"/>
      <c r="LAA1" s="77"/>
      <c r="LAB1" s="77"/>
      <c r="LAC1" s="77"/>
      <c r="LAD1" s="77"/>
      <c r="LAE1" s="77"/>
      <c r="LAF1" s="77"/>
      <c r="LAG1" s="77"/>
      <c r="LAH1" s="77"/>
      <c r="LAI1" s="77"/>
      <c r="LAJ1" s="77"/>
      <c r="LAK1" s="77"/>
      <c r="LAL1" s="77"/>
      <c r="LAM1" s="77"/>
      <c r="LAN1" s="77"/>
      <c r="LAO1" s="77"/>
      <c r="LAP1" s="77"/>
      <c r="LAQ1" s="77"/>
      <c r="LAR1" s="77"/>
      <c r="LAS1" s="77"/>
      <c r="LAT1" s="77"/>
      <c r="LAU1" s="77"/>
      <c r="LAV1" s="77"/>
      <c r="LAW1" s="77"/>
      <c r="LAX1" s="77"/>
      <c r="LAY1" s="77"/>
      <c r="LAZ1" s="77"/>
      <c r="LBA1" s="77"/>
      <c r="LBB1" s="77"/>
      <c r="LBC1" s="77"/>
      <c r="LBD1" s="77"/>
      <c r="LBE1" s="77"/>
      <c r="LBF1" s="77"/>
      <c r="LBG1" s="77"/>
      <c r="LBH1" s="77"/>
      <c r="LBI1" s="77"/>
      <c r="LBJ1" s="77"/>
      <c r="LBK1" s="77"/>
      <c r="LBL1" s="77"/>
      <c r="LBM1" s="77"/>
      <c r="LBN1" s="77"/>
      <c r="LBO1" s="77"/>
      <c r="LBP1" s="77"/>
      <c r="LBQ1" s="77"/>
      <c r="LBR1" s="77"/>
      <c r="LBS1" s="77"/>
      <c r="LBT1" s="77"/>
      <c r="LBU1" s="77"/>
      <c r="LBV1" s="77"/>
      <c r="LBW1" s="77"/>
      <c r="LBX1" s="77"/>
      <c r="LBY1" s="77"/>
      <c r="LBZ1" s="77"/>
      <c r="LCA1" s="77"/>
      <c r="LCB1" s="77"/>
      <c r="LCC1" s="77"/>
      <c r="LCD1" s="77"/>
      <c r="LCE1" s="77"/>
      <c r="LCF1" s="77"/>
      <c r="LCG1" s="77"/>
      <c r="LCH1" s="77"/>
      <c r="LCI1" s="77"/>
      <c r="LCJ1" s="77"/>
      <c r="LCK1" s="77"/>
      <c r="LCL1" s="77"/>
      <c r="LCM1" s="77"/>
      <c r="LCN1" s="77"/>
      <c r="LCO1" s="77"/>
      <c r="LCP1" s="77"/>
      <c r="LCQ1" s="77"/>
      <c r="LCR1" s="77"/>
      <c r="LCS1" s="77"/>
      <c r="LCT1" s="77"/>
      <c r="LCU1" s="77"/>
      <c r="LCV1" s="77"/>
      <c r="LCW1" s="77"/>
      <c r="LCX1" s="77"/>
      <c r="LCY1" s="77"/>
      <c r="LCZ1" s="77"/>
      <c r="LDA1" s="77"/>
      <c r="LDB1" s="77"/>
      <c r="LDC1" s="77"/>
      <c r="LDD1" s="77"/>
      <c r="LDE1" s="77"/>
      <c r="LDF1" s="77"/>
      <c r="LDG1" s="77"/>
      <c r="LDH1" s="77"/>
      <c r="LDI1" s="77"/>
      <c r="LDJ1" s="77"/>
      <c r="LDK1" s="77"/>
      <c r="LDL1" s="77"/>
      <c r="LDM1" s="77"/>
      <c r="LDN1" s="77"/>
      <c r="LDO1" s="77"/>
      <c r="LDP1" s="77"/>
      <c r="LDQ1" s="77"/>
      <c r="LDR1" s="77"/>
      <c r="LDS1" s="77"/>
      <c r="LDT1" s="77"/>
      <c r="LDU1" s="77"/>
      <c r="LDV1" s="77"/>
      <c r="LDW1" s="77"/>
      <c r="LDX1" s="77"/>
      <c r="LDY1" s="77"/>
      <c r="LDZ1" s="77"/>
      <c r="LEA1" s="77"/>
      <c r="LEB1" s="77"/>
      <c r="LEC1" s="77"/>
      <c r="LED1" s="77"/>
      <c r="LEE1" s="77"/>
      <c r="LEF1" s="77"/>
      <c r="LEG1" s="77"/>
      <c r="LEH1" s="77"/>
      <c r="LEI1" s="77"/>
      <c r="LEJ1" s="77"/>
      <c r="LEK1" s="77"/>
      <c r="LEL1" s="77"/>
      <c r="LEM1" s="77"/>
      <c r="LEN1" s="77"/>
      <c r="LEO1" s="77"/>
      <c r="LEP1" s="77"/>
      <c r="LEQ1" s="77"/>
      <c r="LER1" s="77"/>
      <c r="LES1" s="77"/>
      <c r="LET1" s="77"/>
      <c r="LEU1" s="77"/>
      <c r="LEV1" s="77"/>
      <c r="LEW1" s="77"/>
      <c r="LEX1" s="77"/>
      <c r="LEY1" s="77"/>
      <c r="LEZ1" s="77"/>
      <c r="LFA1" s="77"/>
      <c r="LFB1" s="77"/>
      <c r="LFC1" s="77"/>
      <c r="LFD1" s="77"/>
      <c r="LFE1" s="77"/>
      <c r="LFF1" s="77"/>
      <c r="LFG1" s="77"/>
      <c r="LFH1" s="77"/>
      <c r="LFI1" s="77"/>
      <c r="LFJ1" s="77"/>
      <c r="LFK1" s="77"/>
      <c r="LFL1" s="77"/>
      <c r="LFM1" s="77"/>
      <c r="LFN1" s="77"/>
      <c r="LFO1" s="77"/>
      <c r="LFP1" s="77"/>
      <c r="LFQ1" s="77"/>
      <c r="LFR1" s="77"/>
      <c r="LFS1" s="77"/>
      <c r="LFT1" s="77"/>
      <c r="LFU1" s="77"/>
      <c r="LFV1" s="77"/>
      <c r="LFW1" s="77"/>
      <c r="LFX1" s="77"/>
      <c r="LFY1" s="77"/>
      <c r="LFZ1" s="77"/>
      <c r="LGA1" s="77"/>
      <c r="LGB1" s="77"/>
      <c r="LGC1" s="77"/>
      <c r="LGD1" s="77"/>
      <c r="LGE1" s="77"/>
      <c r="LGF1" s="77"/>
      <c r="LGG1" s="77"/>
      <c r="LGH1" s="77"/>
      <c r="LGI1" s="77"/>
      <c r="LGJ1" s="77"/>
      <c r="LGK1" s="77"/>
      <c r="LGL1" s="77"/>
      <c r="LGM1" s="77"/>
      <c r="LGN1" s="77"/>
      <c r="LGO1" s="77"/>
      <c r="LGP1" s="77"/>
      <c r="LGQ1" s="77"/>
      <c r="LGR1" s="77"/>
      <c r="LGS1" s="77"/>
      <c r="LGT1" s="77"/>
      <c r="LGU1" s="77"/>
      <c r="LGV1" s="77"/>
      <c r="LGW1" s="77"/>
      <c r="LGX1" s="77"/>
      <c r="LGY1" s="77"/>
      <c r="LGZ1" s="77"/>
      <c r="LHA1" s="77"/>
      <c r="LHB1" s="77"/>
      <c r="LHC1" s="77"/>
      <c r="LHD1" s="77"/>
      <c r="LHE1" s="77"/>
      <c r="LHF1" s="77"/>
      <c r="LHG1" s="77"/>
      <c r="LHH1" s="77"/>
      <c r="LHI1" s="77"/>
      <c r="LHJ1" s="77"/>
      <c r="LHK1" s="77"/>
      <c r="LHL1" s="77"/>
      <c r="LHM1" s="77"/>
      <c r="LHN1" s="77"/>
      <c r="LHO1" s="77"/>
      <c r="LHP1" s="77"/>
      <c r="LHQ1" s="77"/>
      <c r="LHR1" s="77"/>
      <c r="LHS1" s="77"/>
      <c r="LHT1" s="77"/>
      <c r="LHU1" s="77"/>
      <c r="LHV1" s="77"/>
      <c r="LHW1" s="77"/>
      <c r="LHX1" s="77"/>
      <c r="LHY1" s="77"/>
      <c r="LHZ1" s="77"/>
      <c r="LIA1" s="77"/>
      <c r="LIB1" s="77"/>
      <c r="LIC1" s="77"/>
      <c r="LID1" s="77"/>
      <c r="LIE1" s="77"/>
      <c r="LIF1" s="77"/>
      <c r="LIG1" s="77"/>
      <c r="LIH1" s="77"/>
      <c r="LII1" s="77"/>
      <c r="LIJ1" s="77"/>
      <c r="LIK1" s="77"/>
      <c r="LIL1" s="77"/>
      <c r="LIM1" s="77"/>
      <c r="LIN1" s="77"/>
      <c r="LIO1" s="77"/>
      <c r="LIP1" s="77"/>
      <c r="LIQ1" s="77"/>
      <c r="LIR1" s="77"/>
      <c r="LIS1" s="77"/>
      <c r="LIT1" s="77"/>
      <c r="LIU1" s="77"/>
      <c r="LIV1" s="77"/>
      <c r="LIW1" s="77"/>
      <c r="LIX1" s="77"/>
      <c r="LIY1" s="77"/>
      <c r="LIZ1" s="77"/>
      <c r="LJA1" s="77"/>
      <c r="LJB1" s="77"/>
      <c r="LJC1" s="77"/>
      <c r="LJD1" s="77"/>
      <c r="LJE1" s="77"/>
      <c r="LJF1" s="77"/>
      <c r="LJG1" s="77"/>
      <c r="LJH1" s="77"/>
      <c r="LJI1" s="77"/>
      <c r="LJJ1" s="77"/>
      <c r="LJK1" s="77"/>
      <c r="LJL1" s="77"/>
      <c r="LJM1" s="77"/>
      <c r="LJN1" s="77"/>
      <c r="LJO1" s="77"/>
      <c r="LJP1" s="77"/>
      <c r="LJQ1" s="77"/>
      <c r="LJR1" s="77"/>
      <c r="LJS1" s="77"/>
      <c r="LJT1" s="77"/>
      <c r="LJU1" s="77"/>
      <c r="LJV1" s="77"/>
      <c r="LJW1" s="77"/>
      <c r="LJX1" s="77"/>
      <c r="LJY1" s="77"/>
      <c r="LJZ1" s="77"/>
      <c r="LKA1" s="77"/>
      <c r="LKB1" s="77"/>
      <c r="LKC1" s="77"/>
      <c r="LKD1" s="77"/>
      <c r="LKE1" s="77"/>
      <c r="LKF1" s="77"/>
      <c r="LKG1" s="77"/>
      <c r="LKH1" s="77"/>
      <c r="LKI1" s="77"/>
      <c r="LKJ1" s="77"/>
      <c r="LKK1" s="77"/>
      <c r="LKL1" s="77"/>
      <c r="LKM1" s="77"/>
      <c r="LKN1" s="77"/>
      <c r="LKO1" s="77"/>
      <c r="LKP1" s="77"/>
      <c r="LKQ1" s="77"/>
      <c r="LKR1" s="77"/>
      <c r="LKS1" s="77"/>
      <c r="LKT1" s="77"/>
      <c r="LKU1" s="77"/>
      <c r="LKV1" s="77"/>
      <c r="LKW1" s="77"/>
      <c r="LKX1" s="77"/>
      <c r="LKY1" s="77"/>
      <c r="LKZ1" s="77"/>
      <c r="LLA1" s="77"/>
      <c r="LLB1" s="77"/>
      <c r="LLC1" s="77"/>
      <c r="LLD1" s="77"/>
      <c r="LLE1" s="77"/>
      <c r="LLF1" s="77"/>
      <c r="LLG1" s="77"/>
      <c r="LLH1" s="77"/>
      <c r="LLI1" s="77"/>
      <c r="LLJ1" s="77"/>
      <c r="LLK1" s="77"/>
      <c r="LLL1" s="77"/>
      <c r="LLM1" s="77"/>
      <c r="LLN1" s="77"/>
      <c r="LLO1" s="77"/>
      <c r="LLP1" s="77"/>
      <c r="LLQ1" s="77"/>
      <c r="LLR1" s="77"/>
      <c r="LLS1" s="77"/>
      <c r="LLT1" s="77"/>
      <c r="LLU1" s="77"/>
      <c r="LLV1" s="77"/>
      <c r="LLW1" s="77"/>
      <c r="LLX1" s="77"/>
      <c r="LLY1" s="77"/>
      <c r="LLZ1" s="77"/>
      <c r="LMA1" s="77"/>
      <c r="LMB1" s="77"/>
      <c r="LMC1" s="77"/>
      <c r="LMD1" s="77"/>
      <c r="LME1" s="77"/>
      <c r="LMF1" s="77"/>
      <c r="LMG1" s="77"/>
      <c r="LMH1" s="77"/>
      <c r="LMI1" s="77"/>
      <c r="LMJ1" s="77"/>
      <c r="LMK1" s="77"/>
      <c r="LML1" s="77"/>
      <c r="LMM1" s="77"/>
      <c r="LMN1" s="77"/>
      <c r="LMO1" s="77"/>
      <c r="LMP1" s="77"/>
      <c r="LMQ1" s="77"/>
      <c r="LMR1" s="77"/>
      <c r="LMS1" s="77"/>
      <c r="LMT1" s="77"/>
      <c r="LMU1" s="77"/>
      <c r="LMV1" s="77"/>
      <c r="LMW1" s="77"/>
      <c r="LMX1" s="77"/>
      <c r="LMY1" s="77"/>
      <c r="LMZ1" s="77"/>
      <c r="LNA1" s="77"/>
      <c r="LNB1" s="77"/>
      <c r="LNC1" s="77"/>
      <c r="LND1" s="77"/>
      <c r="LNE1" s="77"/>
      <c r="LNF1" s="77"/>
      <c r="LNG1" s="77"/>
      <c r="LNH1" s="77"/>
      <c r="LNI1" s="77"/>
      <c r="LNJ1" s="77"/>
      <c r="LNK1" s="77"/>
      <c r="LNL1" s="77"/>
      <c r="LNM1" s="77"/>
      <c r="LNN1" s="77"/>
      <c r="LNO1" s="77"/>
      <c r="LNP1" s="77"/>
      <c r="LNQ1" s="77"/>
      <c r="LNR1" s="77"/>
      <c r="LNS1" s="77"/>
      <c r="LNT1" s="77"/>
      <c r="LNU1" s="77"/>
      <c r="LNV1" s="77"/>
      <c r="LNW1" s="77"/>
      <c r="LNX1" s="77"/>
      <c r="LNY1" s="77"/>
      <c r="LNZ1" s="77"/>
      <c r="LOA1" s="77"/>
      <c r="LOB1" s="77"/>
      <c r="LOC1" s="77"/>
      <c r="LOD1" s="77"/>
      <c r="LOE1" s="77"/>
      <c r="LOF1" s="77"/>
      <c r="LOG1" s="77"/>
      <c r="LOH1" s="77"/>
      <c r="LOI1" s="77"/>
      <c r="LOJ1" s="77"/>
      <c r="LOK1" s="77"/>
      <c r="LOL1" s="77"/>
      <c r="LOM1" s="77"/>
      <c r="LON1" s="77"/>
      <c r="LOO1" s="77"/>
      <c r="LOP1" s="77"/>
      <c r="LOQ1" s="77"/>
      <c r="LOR1" s="77"/>
      <c r="LOS1" s="77"/>
      <c r="LOT1" s="77"/>
      <c r="LOU1" s="77"/>
      <c r="LOV1" s="77"/>
      <c r="LOW1" s="77"/>
      <c r="LOX1" s="77"/>
      <c r="LOY1" s="77"/>
      <c r="LOZ1" s="77"/>
      <c r="LPA1" s="77"/>
      <c r="LPB1" s="77"/>
      <c r="LPC1" s="77"/>
      <c r="LPD1" s="77"/>
      <c r="LPE1" s="77"/>
      <c r="LPF1" s="77"/>
      <c r="LPG1" s="77"/>
      <c r="LPH1" s="77"/>
      <c r="LPI1" s="77"/>
      <c r="LPJ1" s="77"/>
      <c r="LPK1" s="77"/>
      <c r="LPL1" s="77"/>
      <c r="LPM1" s="77"/>
      <c r="LPN1" s="77"/>
      <c r="LPO1" s="77"/>
      <c r="LPP1" s="77"/>
      <c r="LPQ1" s="77"/>
      <c r="LPR1" s="77"/>
      <c r="LPS1" s="77"/>
      <c r="LPT1" s="77"/>
      <c r="LPU1" s="77"/>
      <c r="LPV1" s="77"/>
      <c r="LPW1" s="77"/>
      <c r="LPX1" s="77"/>
      <c r="LPY1" s="77"/>
      <c r="LPZ1" s="77"/>
      <c r="LQA1" s="77"/>
      <c r="LQB1" s="77"/>
      <c r="LQC1" s="77"/>
      <c r="LQD1" s="77"/>
      <c r="LQE1" s="77"/>
      <c r="LQF1" s="77"/>
      <c r="LQG1" s="77"/>
      <c r="LQH1" s="77"/>
      <c r="LQI1" s="77"/>
      <c r="LQJ1" s="77"/>
      <c r="LQK1" s="77"/>
      <c r="LQL1" s="77"/>
      <c r="LQM1" s="77"/>
      <c r="LQN1" s="77"/>
      <c r="LQO1" s="77"/>
      <c r="LQP1" s="77"/>
      <c r="LQQ1" s="77"/>
      <c r="LQR1" s="77"/>
      <c r="LQS1" s="77"/>
      <c r="LQT1" s="77"/>
      <c r="LQU1" s="77"/>
      <c r="LQV1" s="77"/>
      <c r="LQW1" s="77"/>
      <c r="LQX1" s="77"/>
      <c r="LQY1" s="77"/>
      <c r="LQZ1" s="77"/>
      <c r="LRA1" s="77"/>
      <c r="LRB1" s="77"/>
      <c r="LRC1" s="77"/>
      <c r="LRD1" s="77"/>
      <c r="LRE1" s="77"/>
      <c r="LRF1" s="77"/>
      <c r="LRG1" s="77"/>
      <c r="LRH1" s="77"/>
      <c r="LRI1" s="77"/>
      <c r="LRJ1" s="77"/>
      <c r="LRK1" s="77"/>
      <c r="LRL1" s="77"/>
      <c r="LRM1" s="77"/>
      <c r="LRN1" s="77"/>
      <c r="LRO1" s="77"/>
      <c r="LRP1" s="77"/>
      <c r="LRQ1" s="77"/>
      <c r="LRR1" s="77"/>
      <c r="LRS1" s="77"/>
      <c r="LRT1" s="77"/>
      <c r="LRU1" s="77"/>
      <c r="LRV1" s="77"/>
      <c r="LRW1" s="77"/>
      <c r="LRX1" s="77"/>
      <c r="LRY1" s="77"/>
      <c r="LRZ1" s="77"/>
      <c r="LSA1" s="77"/>
      <c r="LSB1" s="77"/>
      <c r="LSC1" s="77"/>
      <c r="LSD1" s="77"/>
      <c r="LSE1" s="77"/>
      <c r="LSF1" s="77"/>
      <c r="LSG1" s="77"/>
      <c r="LSH1" s="77"/>
      <c r="LSI1" s="77"/>
      <c r="LSJ1" s="77"/>
      <c r="LSK1" s="77"/>
      <c r="LSL1" s="77"/>
      <c r="LSM1" s="77"/>
      <c r="LSN1" s="77"/>
      <c r="LSO1" s="77"/>
      <c r="LSP1" s="77"/>
      <c r="LSQ1" s="77"/>
      <c r="LSR1" s="77"/>
      <c r="LSS1" s="77"/>
      <c r="LST1" s="77"/>
      <c r="LSU1" s="77"/>
      <c r="LSV1" s="77"/>
      <c r="LSW1" s="77"/>
      <c r="LSX1" s="77"/>
      <c r="LSY1" s="77"/>
      <c r="LSZ1" s="77"/>
      <c r="LTA1" s="77"/>
      <c r="LTB1" s="77"/>
      <c r="LTC1" s="77"/>
      <c r="LTD1" s="77"/>
      <c r="LTE1" s="77"/>
      <c r="LTF1" s="77"/>
      <c r="LTG1" s="77"/>
      <c r="LTH1" s="77"/>
      <c r="LTI1" s="77"/>
      <c r="LTJ1" s="77"/>
      <c r="LTK1" s="77"/>
      <c r="LTL1" s="77"/>
      <c r="LTM1" s="77"/>
      <c r="LTN1" s="77"/>
      <c r="LTO1" s="77"/>
      <c r="LTP1" s="77"/>
      <c r="LTQ1" s="77"/>
      <c r="LTR1" s="77"/>
      <c r="LTS1" s="77"/>
      <c r="LTT1" s="77"/>
      <c r="LTU1" s="77"/>
      <c r="LTV1" s="77"/>
      <c r="LTW1" s="77"/>
      <c r="LTX1" s="77"/>
      <c r="LTY1" s="77"/>
      <c r="LTZ1" s="77"/>
      <c r="LUA1" s="77"/>
      <c r="LUB1" s="77"/>
      <c r="LUC1" s="77"/>
      <c r="LUD1" s="77"/>
      <c r="LUE1" s="77"/>
      <c r="LUF1" s="77"/>
      <c r="LUG1" s="77"/>
      <c r="LUH1" s="77"/>
      <c r="LUI1" s="77"/>
      <c r="LUJ1" s="77"/>
      <c r="LUK1" s="77"/>
      <c r="LUL1" s="77"/>
      <c r="LUM1" s="77"/>
      <c r="LUN1" s="77"/>
      <c r="LUO1" s="77"/>
      <c r="LUP1" s="77"/>
      <c r="LUQ1" s="77"/>
      <c r="LUR1" s="77"/>
      <c r="LUS1" s="77"/>
      <c r="LUT1" s="77"/>
      <c r="LUU1" s="77"/>
      <c r="LUV1" s="77"/>
      <c r="LUW1" s="77"/>
      <c r="LUX1" s="77"/>
      <c r="LUY1" s="77"/>
      <c r="LUZ1" s="77"/>
      <c r="LVA1" s="77"/>
      <c r="LVB1" s="77"/>
      <c r="LVC1" s="77"/>
      <c r="LVD1" s="77"/>
      <c r="LVE1" s="77"/>
      <c r="LVF1" s="77"/>
      <c r="LVG1" s="77"/>
      <c r="LVH1" s="77"/>
      <c r="LVI1" s="77"/>
      <c r="LVJ1" s="77"/>
      <c r="LVK1" s="77"/>
      <c r="LVL1" s="77"/>
      <c r="LVM1" s="77"/>
      <c r="LVN1" s="77"/>
      <c r="LVO1" s="77"/>
      <c r="LVP1" s="77"/>
      <c r="LVQ1" s="77"/>
      <c r="LVR1" s="77"/>
      <c r="LVS1" s="77"/>
      <c r="LVT1" s="77"/>
      <c r="LVU1" s="77"/>
      <c r="LVV1" s="77"/>
      <c r="LVW1" s="77"/>
      <c r="LVX1" s="77"/>
      <c r="LVY1" s="77"/>
      <c r="LVZ1" s="77"/>
      <c r="LWA1" s="77"/>
      <c r="LWB1" s="77"/>
      <c r="LWC1" s="77"/>
      <c r="LWD1" s="77"/>
      <c r="LWE1" s="77"/>
      <c r="LWF1" s="77"/>
      <c r="LWG1" s="77"/>
      <c r="LWH1" s="77"/>
      <c r="LWI1" s="77"/>
      <c r="LWJ1" s="77"/>
      <c r="LWK1" s="77"/>
      <c r="LWL1" s="77"/>
      <c r="LWM1" s="77"/>
      <c r="LWN1" s="77"/>
      <c r="LWO1" s="77"/>
      <c r="LWP1" s="77"/>
      <c r="LWQ1" s="77"/>
      <c r="LWR1" s="77"/>
      <c r="LWS1" s="77"/>
      <c r="LWT1" s="77"/>
      <c r="LWU1" s="77"/>
      <c r="LWV1" s="77"/>
      <c r="LWW1" s="77"/>
      <c r="LWX1" s="77"/>
      <c r="LWY1" s="77"/>
      <c r="LWZ1" s="77"/>
      <c r="LXA1" s="77"/>
      <c r="LXB1" s="77"/>
      <c r="LXC1" s="77"/>
      <c r="LXD1" s="77"/>
      <c r="LXE1" s="77"/>
      <c r="LXF1" s="77"/>
      <c r="LXG1" s="77"/>
      <c r="LXH1" s="77"/>
      <c r="LXI1" s="77"/>
      <c r="LXJ1" s="77"/>
      <c r="LXK1" s="77"/>
      <c r="LXL1" s="77"/>
      <c r="LXM1" s="77"/>
      <c r="LXN1" s="77"/>
      <c r="LXO1" s="77"/>
      <c r="LXP1" s="77"/>
      <c r="LXQ1" s="77"/>
      <c r="LXR1" s="77"/>
      <c r="LXS1" s="77"/>
      <c r="LXT1" s="77"/>
      <c r="LXU1" s="77"/>
      <c r="LXV1" s="77"/>
      <c r="LXW1" s="77"/>
      <c r="LXX1" s="77"/>
      <c r="LXY1" s="77"/>
      <c r="LXZ1" s="77"/>
      <c r="LYA1" s="77"/>
      <c r="LYB1" s="77"/>
      <c r="LYC1" s="77"/>
      <c r="LYD1" s="77"/>
      <c r="LYE1" s="77"/>
      <c r="LYF1" s="77"/>
      <c r="LYG1" s="77"/>
      <c r="LYH1" s="77"/>
      <c r="LYI1" s="77"/>
      <c r="LYJ1" s="77"/>
      <c r="LYK1" s="77"/>
      <c r="LYL1" s="77"/>
      <c r="LYM1" s="77"/>
      <c r="LYN1" s="77"/>
      <c r="LYO1" s="77"/>
      <c r="LYP1" s="77"/>
      <c r="LYQ1" s="77"/>
      <c r="LYR1" s="77"/>
      <c r="LYS1" s="77"/>
      <c r="LYT1" s="77"/>
      <c r="LYU1" s="77"/>
      <c r="LYV1" s="77"/>
      <c r="LYW1" s="77"/>
      <c r="LYX1" s="77"/>
      <c r="LYY1" s="77"/>
      <c r="LYZ1" s="77"/>
      <c r="LZA1" s="77"/>
      <c r="LZB1" s="77"/>
      <c r="LZC1" s="77"/>
      <c r="LZD1" s="77"/>
      <c r="LZE1" s="77"/>
      <c r="LZF1" s="77"/>
      <c r="LZG1" s="77"/>
      <c r="LZH1" s="77"/>
      <c r="LZI1" s="77"/>
      <c r="LZJ1" s="77"/>
      <c r="LZK1" s="77"/>
      <c r="LZL1" s="77"/>
      <c r="LZM1" s="77"/>
      <c r="LZN1" s="77"/>
      <c r="LZO1" s="77"/>
      <c r="LZP1" s="77"/>
      <c r="LZQ1" s="77"/>
      <c r="LZR1" s="77"/>
      <c r="LZS1" s="77"/>
      <c r="LZT1" s="77"/>
      <c r="LZU1" s="77"/>
      <c r="LZV1" s="77"/>
      <c r="LZW1" s="77"/>
      <c r="LZX1" s="77"/>
      <c r="LZY1" s="77"/>
      <c r="LZZ1" s="77"/>
      <c r="MAA1" s="77"/>
      <c r="MAB1" s="77"/>
      <c r="MAC1" s="77"/>
      <c r="MAD1" s="77"/>
      <c r="MAE1" s="77"/>
      <c r="MAF1" s="77"/>
      <c r="MAG1" s="77"/>
      <c r="MAH1" s="77"/>
      <c r="MAI1" s="77"/>
      <c r="MAJ1" s="77"/>
      <c r="MAK1" s="77"/>
      <c r="MAL1" s="77"/>
      <c r="MAM1" s="77"/>
      <c r="MAN1" s="77"/>
      <c r="MAO1" s="77"/>
      <c r="MAP1" s="77"/>
      <c r="MAQ1" s="77"/>
      <c r="MAR1" s="77"/>
      <c r="MAS1" s="77"/>
      <c r="MAT1" s="77"/>
      <c r="MAU1" s="77"/>
      <c r="MAV1" s="77"/>
      <c r="MAW1" s="77"/>
      <c r="MAX1" s="77"/>
      <c r="MAY1" s="77"/>
      <c r="MAZ1" s="77"/>
      <c r="MBA1" s="77"/>
      <c r="MBB1" s="77"/>
      <c r="MBC1" s="77"/>
      <c r="MBD1" s="77"/>
      <c r="MBE1" s="77"/>
      <c r="MBF1" s="77"/>
      <c r="MBG1" s="77"/>
      <c r="MBH1" s="77"/>
      <c r="MBI1" s="77"/>
      <c r="MBJ1" s="77"/>
      <c r="MBK1" s="77"/>
      <c r="MBL1" s="77"/>
      <c r="MBM1" s="77"/>
      <c r="MBN1" s="77"/>
      <c r="MBO1" s="77"/>
      <c r="MBP1" s="77"/>
      <c r="MBQ1" s="77"/>
      <c r="MBR1" s="77"/>
      <c r="MBS1" s="77"/>
      <c r="MBT1" s="77"/>
      <c r="MBU1" s="77"/>
      <c r="MBV1" s="77"/>
      <c r="MBW1" s="77"/>
      <c r="MBX1" s="77"/>
      <c r="MBY1" s="77"/>
      <c r="MBZ1" s="77"/>
      <c r="MCA1" s="77"/>
      <c r="MCB1" s="77"/>
      <c r="MCC1" s="77"/>
      <c r="MCD1" s="77"/>
      <c r="MCE1" s="77"/>
      <c r="MCF1" s="77"/>
      <c r="MCG1" s="77"/>
      <c r="MCH1" s="77"/>
      <c r="MCI1" s="77"/>
      <c r="MCJ1" s="77"/>
      <c r="MCK1" s="77"/>
      <c r="MCL1" s="77"/>
      <c r="MCM1" s="77"/>
      <c r="MCN1" s="77"/>
      <c r="MCO1" s="77"/>
      <c r="MCP1" s="77"/>
      <c r="MCQ1" s="77"/>
      <c r="MCR1" s="77"/>
      <c r="MCS1" s="77"/>
      <c r="MCT1" s="77"/>
      <c r="MCU1" s="77"/>
      <c r="MCV1" s="77"/>
      <c r="MCW1" s="77"/>
      <c r="MCX1" s="77"/>
      <c r="MCY1" s="77"/>
      <c r="MCZ1" s="77"/>
      <c r="MDA1" s="77"/>
      <c r="MDB1" s="77"/>
      <c r="MDC1" s="77"/>
      <c r="MDD1" s="77"/>
      <c r="MDE1" s="77"/>
      <c r="MDF1" s="77"/>
      <c r="MDG1" s="77"/>
      <c r="MDH1" s="77"/>
      <c r="MDI1" s="77"/>
      <c r="MDJ1" s="77"/>
      <c r="MDK1" s="77"/>
      <c r="MDL1" s="77"/>
      <c r="MDM1" s="77"/>
      <c r="MDN1" s="77"/>
      <c r="MDO1" s="77"/>
      <c r="MDP1" s="77"/>
      <c r="MDQ1" s="77"/>
      <c r="MDR1" s="77"/>
      <c r="MDS1" s="77"/>
      <c r="MDT1" s="77"/>
      <c r="MDU1" s="77"/>
      <c r="MDV1" s="77"/>
      <c r="MDW1" s="77"/>
      <c r="MDX1" s="77"/>
      <c r="MDY1" s="77"/>
      <c r="MDZ1" s="77"/>
      <c r="MEA1" s="77"/>
      <c r="MEB1" s="77"/>
      <c r="MEC1" s="77"/>
      <c r="MED1" s="77"/>
      <c r="MEE1" s="77"/>
      <c r="MEF1" s="77"/>
      <c r="MEG1" s="77"/>
      <c r="MEH1" s="77"/>
      <c r="MEI1" s="77"/>
      <c r="MEJ1" s="77"/>
      <c r="MEK1" s="77"/>
      <c r="MEL1" s="77"/>
      <c r="MEM1" s="77"/>
      <c r="MEN1" s="77"/>
      <c r="MEO1" s="77"/>
      <c r="MEP1" s="77"/>
      <c r="MEQ1" s="77"/>
      <c r="MER1" s="77"/>
      <c r="MES1" s="77"/>
      <c r="MET1" s="77"/>
      <c r="MEU1" s="77"/>
      <c r="MEV1" s="77"/>
      <c r="MEW1" s="77"/>
      <c r="MEX1" s="77"/>
      <c r="MEY1" s="77"/>
      <c r="MEZ1" s="77"/>
      <c r="MFA1" s="77"/>
      <c r="MFB1" s="77"/>
      <c r="MFC1" s="77"/>
      <c r="MFD1" s="77"/>
      <c r="MFE1" s="77"/>
      <c r="MFF1" s="77"/>
      <c r="MFG1" s="77"/>
      <c r="MFH1" s="77"/>
      <c r="MFI1" s="77"/>
      <c r="MFJ1" s="77"/>
      <c r="MFK1" s="77"/>
      <c r="MFL1" s="77"/>
      <c r="MFM1" s="77"/>
      <c r="MFN1" s="77"/>
      <c r="MFO1" s="77"/>
      <c r="MFP1" s="77"/>
      <c r="MFQ1" s="77"/>
      <c r="MFR1" s="77"/>
      <c r="MFS1" s="77"/>
      <c r="MFT1" s="77"/>
      <c r="MFU1" s="77"/>
      <c r="MFV1" s="77"/>
      <c r="MFW1" s="77"/>
      <c r="MFX1" s="77"/>
      <c r="MFY1" s="77"/>
      <c r="MFZ1" s="77"/>
      <c r="MGA1" s="77"/>
      <c r="MGB1" s="77"/>
      <c r="MGC1" s="77"/>
      <c r="MGD1" s="77"/>
      <c r="MGE1" s="77"/>
      <c r="MGF1" s="77"/>
      <c r="MGG1" s="77"/>
      <c r="MGH1" s="77"/>
      <c r="MGI1" s="77"/>
      <c r="MGJ1" s="77"/>
      <c r="MGK1" s="77"/>
      <c r="MGL1" s="77"/>
      <c r="MGM1" s="77"/>
      <c r="MGN1" s="77"/>
      <c r="MGO1" s="77"/>
      <c r="MGP1" s="77"/>
      <c r="MGQ1" s="77"/>
      <c r="MGR1" s="77"/>
      <c r="MGS1" s="77"/>
      <c r="MGT1" s="77"/>
      <c r="MGU1" s="77"/>
      <c r="MGV1" s="77"/>
      <c r="MGW1" s="77"/>
      <c r="MGX1" s="77"/>
      <c r="MGY1" s="77"/>
      <c r="MGZ1" s="77"/>
      <c r="MHA1" s="77"/>
      <c r="MHB1" s="77"/>
      <c r="MHC1" s="77"/>
      <c r="MHD1" s="77"/>
      <c r="MHE1" s="77"/>
      <c r="MHF1" s="77"/>
      <c r="MHG1" s="77"/>
      <c r="MHH1" s="77"/>
      <c r="MHI1" s="77"/>
      <c r="MHJ1" s="77"/>
      <c r="MHK1" s="77"/>
      <c r="MHL1" s="77"/>
      <c r="MHM1" s="77"/>
      <c r="MHN1" s="77"/>
      <c r="MHO1" s="77"/>
      <c r="MHP1" s="77"/>
      <c r="MHQ1" s="77"/>
      <c r="MHR1" s="77"/>
      <c r="MHS1" s="77"/>
      <c r="MHT1" s="77"/>
      <c r="MHU1" s="77"/>
      <c r="MHV1" s="77"/>
      <c r="MHW1" s="77"/>
      <c r="MHX1" s="77"/>
      <c r="MHY1" s="77"/>
      <c r="MHZ1" s="77"/>
      <c r="MIA1" s="77"/>
      <c r="MIB1" s="77"/>
      <c r="MIC1" s="77"/>
      <c r="MID1" s="77"/>
      <c r="MIE1" s="77"/>
      <c r="MIF1" s="77"/>
      <c r="MIG1" s="77"/>
      <c r="MIH1" s="77"/>
      <c r="MII1" s="77"/>
      <c r="MIJ1" s="77"/>
      <c r="MIK1" s="77"/>
      <c r="MIL1" s="77"/>
      <c r="MIM1" s="77"/>
      <c r="MIN1" s="77"/>
      <c r="MIO1" s="77"/>
      <c r="MIP1" s="77"/>
      <c r="MIQ1" s="77"/>
      <c r="MIR1" s="77"/>
      <c r="MIS1" s="77"/>
      <c r="MIT1" s="77"/>
      <c r="MIU1" s="77"/>
      <c r="MIV1" s="77"/>
      <c r="MIW1" s="77"/>
      <c r="MIX1" s="77"/>
      <c r="MIY1" s="77"/>
      <c r="MIZ1" s="77"/>
      <c r="MJA1" s="77"/>
      <c r="MJB1" s="77"/>
      <c r="MJC1" s="77"/>
      <c r="MJD1" s="77"/>
      <c r="MJE1" s="77"/>
      <c r="MJF1" s="77"/>
      <c r="MJG1" s="77"/>
      <c r="MJH1" s="77"/>
      <c r="MJI1" s="77"/>
      <c r="MJJ1" s="77"/>
      <c r="MJK1" s="77"/>
      <c r="MJL1" s="77"/>
      <c r="MJM1" s="77"/>
      <c r="MJN1" s="77"/>
      <c r="MJO1" s="77"/>
      <c r="MJP1" s="77"/>
      <c r="MJQ1" s="77"/>
      <c r="MJR1" s="77"/>
      <c r="MJS1" s="77"/>
      <c r="MJT1" s="77"/>
      <c r="MJU1" s="77"/>
      <c r="MJV1" s="77"/>
      <c r="MJW1" s="77"/>
      <c r="MJX1" s="77"/>
      <c r="MJY1" s="77"/>
      <c r="MJZ1" s="77"/>
      <c r="MKA1" s="77"/>
      <c r="MKB1" s="77"/>
      <c r="MKC1" s="77"/>
      <c r="MKD1" s="77"/>
      <c r="MKE1" s="77"/>
      <c r="MKF1" s="77"/>
      <c r="MKG1" s="77"/>
      <c r="MKH1" s="77"/>
      <c r="MKI1" s="77"/>
      <c r="MKJ1" s="77"/>
      <c r="MKK1" s="77"/>
      <c r="MKL1" s="77"/>
      <c r="MKM1" s="77"/>
      <c r="MKN1" s="77"/>
      <c r="MKO1" s="77"/>
      <c r="MKP1" s="77"/>
      <c r="MKQ1" s="77"/>
      <c r="MKR1" s="77"/>
      <c r="MKS1" s="77"/>
      <c r="MKT1" s="77"/>
      <c r="MKU1" s="77"/>
      <c r="MKV1" s="77"/>
      <c r="MKW1" s="77"/>
      <c r="MKX1" s="77"/>
      <c r="MKY1" s="77"/>
      <c r="MKZ1" s="77"/>
      <c r="MLA1" s="77"/>
      <c r="MLB1" s="77"/>
      <c r="MLC1" s="77"/>
      <c r="MLD1" s="77"/>
      <c r="MLE1" s="77"/>
      <c r="MLF1" s="77"/>
      <c r="MLG1" s="77"/>
      <c r="MLH1" s="77"/>
      <c r="MLI1" s="77"/>
      <c r="MLJ1" s="77"/>
      <c r="MLK1" s="77"/>
      <c r="MLL1" s="77"/>
      <c r="MLM1" s="77"/>
      <c r="MLN1" s="77"/>
      <c r="MLO1" s="77"/>
      <c r="MLP1" s="77"/>
      <c r="MLQ1" s="77"/>
      <c r="MLR1" s="77"/>
      <c r="MLS1" s="77"/>
      <c r="MLT1" s="77"/>
      <c r="MLU1" s="77"/>
      <c r="MLV1" s="77"/>
      <c r="MLW1" s="77"/>
      <c r="MLX1" s="77"/>
      <c r="MLY1" s="77"/>
      <c r="MLZ1" s="77"/>
      <c r="MMA1" s="77"/>
      <c r="MMB1" s="77"/>
      <c r="MMC1" s="77"/>
      <c r="MMD1" s="77"/>
      <c r="MME1" s="77"/>
      <c r="MMF1" s="77"/>
      <c r="MMG1" s="77"/>
      <c r="MMH1" s="77"/>
      <c r="MMI1" s="77"/>
      <c r="MMJ1" s="77"/>
      <c r="MMK1" s="77"/>
      <c r="MML1" s="77"/>
      <c r="MMM1" s="77"/>
      <c r="MMN1" s="77"/>
      <c r="MMO1" s="77"/>
      <c r="MMP1" s="77"/>
      <c r="MMQ1" s="77"/>
      <c r="MMR1" s="77"/>
      <c r="MMS1" s="77"/>
      <c r="MMT1" s="77"/>
      <c r="MMU1" s="77"/>
      <c r="MMV1" s="77"/>
      <c r="MMW1" s="77"/>
      <c r="MMX1" s="77"/>
      <c r="MMY1" s="77"/>
      <c r="MMZ1" s="77"/>
      <c r="MNA1" s="77"/>
      <c r="MNB1" s="77"/>
      <c r="MNC1" s="77"/>
      <c r="MND1" s="77"/>
      <c r="MNE1" s="77"/>
      <c r="MNF1" s="77"/>
      <c r="MNG1" s="77"/>
      <c r="MNH1" s="77"/>
      <c r="MNI1" s="77"/>
      <c r="MNJ1" s="77"/>
      <c r="MNK1" s="77"/>
      <c r="MNL1" s="77"/>
      <c r="MNM1" s="77"/>
      <c r="MNN1" s="77"/>
      <c r="MNO1" s="77"/>
      <c r="MNP1" s="77"/>
      <c r="MNQ1" s="77"/>
      <c r="MNR1" s="77"/>
      <c r="MNS1" s="77"/>
      <c r="MNT1" s="77"/>
      <c r="MNU1" s="77"/>
      <c r="MNV1" s="77"/>
      <c r="MNW1" s="77"/>
      <c r="MNX1" s="77"/>
      <c r="MNY1" s="77"/>
      <c r="MNZ1" s="77"/>
      <c r="MOA1" s="77"/>
      <c r="MOB1" s="77"/>
      <c r="MOC1" s="77"/>
      <c r="MOD1" s="77"/>
      <c r="MOE1" s="77"/>
      <c r="MOF1" s="77"/>
      <c r="MOG1" s="77"/>
      <c r="MOH1" s="77"/>
      <c r="MOI1" s="77"/>
      <c r="MOJ1" s="77"/>
      <c r="MOK1" s="77"/>
      <c r="MOL1" s="77"/>
      <c r="MOM1" s="77"/>
      <c r="MON1" s="77"/>
      <c r="MOO1" s="77"/>
      <c r="MOP1" s="77"/>
      <c r="MOQ1" s="77"/>
      <c r="MOR1" s="77"/>
      <c r="MOS1" s="77"/>
      <c r="MOT1" s="77"/>
      <c r="MOU1" s="77"/>
      <c r="MOV1" s="77"/>
      <c r="MOW1" s="77"/>
      <c r="MOX1" s="77"/>
      <c r="MOY1" s="77"/>
      <c r="MOZ1" s="77"/>
      <c r="MPA1" s="77"/>
      <c r="MPB1" s="77"/>
      <c r="MPC1" s="77"/>
      <c r="MPD1" s="77"/>
      <c r="MPE1" s="77"/>
      <c r="MPF1" s="77"/>
      <c r="MPG1" s="77"/>
      <c r="MPH1" s="77"/>
      <c r="MPI1" s="77"/>
      <c r="MPJ1" s="77"/>
      <c r="MPK1" s="77"/>
      <c r="MPL1" s="77"/>
      <c r="MPM1" s="77"/>
      <c r="MPN1" s="77"/>
      <c r="MPO1" s="77"/>
      <c r="MPP1" s="77"/>
      <c r="MPQ1" s="77"/>
      <c r="MPR1" s="77"/>
      <c r="MPS1" s="77"/>
      <c r="MPT1" s="77"/>
      <c r="MPU1" s="77"/>
      <c r="MPV1" s="77"/>
      <c r="MPW1" s="77"/>
      <c r="MPX1" s="77"/>
      <c r="MPY1" s="77"/>
      <c r="MPZ1" s="77"/>
      <c r="MQA1" s="77"/>
      <c r="MQB1" s="77"/>
      <c r="MQC1" s="77"/>
      <c r="MQD1" s="77"/>
      <c r="MQE1" s="77"/>
      <c r="MQF1" s="77"/>
      <c r="MQG1" s="77"/>
      <c r="MQH1" s="77"/>
      <c r="MQI1" s="77"/>
      <c r="MQJ1" s="77"/>
      <c r="MQK1" s="77"/>
      <c r="MQL1" s="77"/>
      <c r="MQM1" s="77"/>
      <c r="MQN1" s="77"/>
      <c r="MQO1" s="77"/>
      <c r="MQP1" s="77"/>
      <c r="MQQ1" s="77"/>
      <c r="MQR1" s="77"/>
      <c r="MQS1" s="77"/>
      <c r="MQT1" s="77"/>
      <c r="MQU1" s="77"/>
      <c r="MQV1" s="77"/>
      <c r="MQW1" s="77"/>
      <c r="MQX1" s="77"/>
      <c r="MQY1" s="77"/>
      <c r="MQZ1" s="77"/>
      <c r="MRA1" s="77"/>
      <c r="MRB1" s="77"/>
      <c r="MRC1" s="77"/>
      <c r="MRD1" s="77"/>
      <c r="MRE1" s="77"/>
      <c r="MRF1" s="77"/>
      <c r="MRG1" s="77"/>
      <c r="MRH1" s="77"/>
      <c r="MRI1" s="77"/>
      <c r="MRJ1" s="77"/>
      <c r="MRK1" s="77"/>
      <c r="MRL1" s="77"/>
      <c r="MRM1" s="77"/>
      <c r="MRN1" s="77"/>
      <c r="MRO1" s="77"/>
      <c r="MRP1" s="77"/>
      <c r="MRQ1" s="77"/>
      <c r="MRR1" s="77"/>
      <c r="MRS1" s="77"/>
      <c r="MRT1" s="77"/>
      <c r="MRU1" s="77"/>
      <c r="MRV1" s="77"/>
      <c r="MRW1" s="77"/>
      <c r="MRX1" s="77"/>
      <c r="MRY1" s="77"/>
      <c r="MRZ1" s="77"/>
      <c r="MSA1" s="77"/>
      <c r="MSB1" s="77"/>
      <c r="MSC1" s="77"/>
      <c r="MSD1" s="77"/>
      <c r="MSE1" s="77"/>
      <c r="MSF1" s="77"/>
      <c r="MSG1" s="77"/>
      <c r="MSH1" s="77"/>
      <c r="MSI1" s="77"/>
      <c r="MSJ1" s="77"/>
      <c r="MSK1" s="77"/>
      <c r="MSL1" s="77"/>
      <c r="MSM1" s="77"/>
      <c r="MSN1" s="77"/>
      <c r="MSO1" s="77"/>
      <c r="MSP1" s="77"/>
      <c r="MSQ1" s="77"/>
      <c r="MSR1" s="77"/>
      <c r="MSS1" s="77"/>
      <c r="MST1" s="77"/>
      <c r="MSU1" s="77"/>
      <c r="MSV1" s="77"/>
      <c r="MSW1" s="77"/>
      <c r="MSX1" s="77"/>
      <c r="MSY1" s="77"/>
      <c r="MSZ1" s="77"/>
      <c r="MTA1" s="77"/>
      <c r="MTB1" s="77"/>
      <c r="MTC1" s="77"/>
      <c r="MTD1" s="77"/>
      <c r="MTE1" s="77"/>
      <c r="MTF1" s="77"/>
      <c r="MTG1" s="77"/>
      <c r="MTH1" s="77"/>
      <c r="MTI1" s="77"/>
      <c r="MTJ1" s="77"/>
      <c r="MTK1" s="77"/>
      <c r="MTL1" s="77"/>
      <c r="MTM1" s="77"/>
      <c r="MTN1" s="77"/>
      <c r="MTO1" s="77"/>
      <c r="MTP1" s="77"/>
      <c r="MTQ1" s="77"/>
      <c r="MTR1" s="77"/>
      <c r="MTS1" s="77"/>
      <c r="MTT1" s="77"/>
      <c r="MTU1" s="77"/>
      <c r="MTV1" s="77"/>
      <c r="MTW1" s="77"/>
      <c r="MTX1" s="77"/>
      <c r="MTY1" s="77"/>
      <c r="MTZ1" s="77"/>
      <c r="MUA1" s="77"/>
      <c r="MUB1" s="77"/>
      <c r="MUC1" s="77"/>
      <c r="MUD1" s="77"/>
      <c r="MUE1" s="77"/>
      <c r="MUF1" s="77"/>
      <c r="MUG1" s="77"/>
      <c r="MUH1" s="77"/>
      <c r="MUI1" s="77"/>
      <c r="MUJ1" s="77"/>
      <c r="MUK1" s="77"/>
      <c r="MUL1" s="77"/>
      <c r="MUM1" s="77"/>
      <c r="MUN1" s="77"/>
      <c r="MUO1" s="77"/>
      <c r="MUP1" s="77"/>
      <c r="MUQ1" s="77"/>
      <c r="MUR1" s="77"/>
      <c r="MUS1" s="77"/>
      <c r="MUT1" s="77"/>
      <c r="MUU1" s="77"/>
      <c r="MUV1" s="77"/>
      <c r="MUW1" s="77"/>
      <c r="MUX1" s="77"/>
      <c r="MUY1" s="77"/>
      <c r="MUZ1" s="77"/>
      <c r="MVA1" s="77"/>
      <c r="MVB1" s="77"/>
      <c r="MVC1" s="77"/>
      <c r="MVD1" s="77"/>
      <c r="MVE1" s="77"/>
      <c r="MVF1" s="77"/>
      <c r="MVG1" s="77"/>
      <c r="MVH1" s="77"/>
      <c r="MVI1" s="77"/>
      <c r="MVJ1" s="77"/>
      <c r="MVK1" s="77"/>
      <c r="MVL1" s="77"/>
      <c r="MVM1" s="77"/>
      <c r="MVN1" s="77"/>
      <c r="MVO1" s="77"/>
      <c r="MVP1" s="77"/>
      <c r="MVQ1" s="77"/>
      <c r="MVR1" s="77"/>
      <c r="MVS1" s="77"/>
      <c r="MVT1" s="77"/>
      <c r="MVU1" s="77"/>
      <c r="MVV1" s="77"/>
      <c r="MVW1" s="77"/>
      <c r="MVX1" s="77"/>
      <c r="MVY1" s="77"/>
      <c r="MVZ1" s="77"/>
      <c r="MWA1" s="77"/>
      <c r="MWB1" s="77"/>
      <c r="MWC1" s="77"/>
      <c r="MWD1" s="77"/>
      <c r="MWE1" s="77"/>
      <c r="MWF1" s="77"/>
      <c r="MWG1" s="77"/>
      <c r="MWH1" s="77"/>
      <c r="MWI1" s="77"/>
      <c r="MWJ1" s="77"/>
      <c r="MWK1" s="77"/>
      <c r="MWL1" s="77"/>
      <c r="MWM1" s="77"/>
      <c r="MWN1" s="77"/>
      <c r="MWO1" s="77"/>
      <c r="MWP1" s="77"/>
      <c r="MWQ1" s="77"/>
      <c r="MWR1" s="77"/>
      <c r="MWS1" s="77"/>
      <c r="MWT1" s="77"/>
      <c r="MWU1" s="77"/>
      <c r="MWV1" s="77"/>
      <c r="MWW1" s="77"/>
      <c r="MWX1" s="77"/>
      <c r="MWY1" s="77"/>
      <c r="MWZ1" s="77"/>
      <c r="MXA1" s="77"/>
      <c r="MXB1" s="77"/>
      <c r="MXC1" s="77"/>
      <c r="MXD1" s="77"/>
      <c r="MXE1" s="77"/>
      <c r="MXF1" s="77"/>
      <c r="MXG1" s="77"/>
      <c r="MXH1" s="77"/>
      <c r="MXI1" s="77"/>
      <c r="MXJ1" s="77"/>
      <c r="MXK1" s="77"/>
      <c r="MXL1" s="77"/>
      <c r="MXM1" s="77"/>
      <c r="MXN1" s="77"/>
      <c r="MXO1" s="77"/>
      <c r="MXP1" s="77"/>
      <c r="MXQ1" s="77"/>
      <c r="MXR1" s="77"/>
      <c r="MXS1" s="77"/>
      <c r="MXT1" s="77"/>
      <c r="MXU1" s="77"/>
      <c r="MXV1" s="77"/>
      <c r="MXW1" s="77"/>
      <c r="MXX1" s="77"/>
      <c r="MXY1" s="77"/>
      <c r="MXZ1" s="77"/>
      <c r="MYA1" s="77"/>
      <c r="MYB1" s="77"/>
      <c r="MYC1" s="77"/>
      <c r="MYD1" s="77"/>
      <c r="MYE1" s="77"/>
      <c r="MYF1" s="77"/>
      <c r="MYG1" s="77"/>
      <c r="MYH1" s="77"/>
      <c r="MYI1" s="77"/>
      <c r="MYJ1" s="77"/>
      <c r="MYK1" s="77"/>
      <c r="MYL1" s="77"/>
      <c r="MYM1" s="77"/>
      <c r="MYN1" s="77"/>
      <c r="MYO1" s="77"/>
      <c r="MYP1" s="77"/>
      <c r="MYQ1" s="77"/>
      <c r="MYR1" s="77"/>
      <c r="MYS1" s="77"/>
      <c r="MYT1" s="77"/>
      <c r="MYU1" s="77"/>
      <c r="MYV1" s="77"/>
      <c r="MYW1" s="77"/>
      <c r="MYX1" s="77"/>
      <c r="MYY1" s="77"/>
      <c r="MYZ1" s="77"/>
      <c r="MZA1" s="77"/>
      <c r="MZB1" s="77"/>
      <c r="MZC1" s="77"/>
      <c r="MZD1" s="77"/>
      <c r="MZE1" s="77"/>
      <c r="MZF1" s="77"/>
      <c r="MZG1" s="77"/>
      <c r="MZH1" s="77"/>
      <c r="MZI1" s="77"/>
      <c r="MZJ1" s="77"/>
      <c r="MZK1" s="77"/>
      <c r="MZL1" s="77"/>
      <c r="MZM1" s="77"/>
      <c r="MZN1" s="77"/>
      <c r="MZO1" s="77"/>
      <c r="MZP1" s="77"/>
      <c r="MZQ1" s="77"/>
      <c r="MZR1" s="77"/>
      <c r="MZS1" s="77"/>
      <c r="MZT1" s="77"/>
      <c r="MZU1" s="77"/>
      <c r="MZV1" s="77"/>
      <c r="MZW1" s="77"/>
      <c r="MZX1" s="77"/>
      <c r="MZY1" s="77"/>
      <c r="MZZ1" s="77"/>
      <c r="NAA1" s="77"/>
      <c r="NAB1" s="77"/>
      <c r="NAC1" s="77"/>
      <c r="NAD1" s="77"/>
      <c r="NAE1" s="77"/>
      <c r="NAF1" s="77"/>
      <c r="NAG1" s="77"/>
      <c r="NAH1" s="77"/>
      <c r="NAI1" s="77"/>
      <c r="NAJ1" s="77"/>
      <c r="NAK1" s="77"/>
      <c r="NAL1" s="77"/>
      <c r="NAM1" s="77"/>
      <c r="NAN1" s="77"/>
      <c r="NAO1" s="77"/>
      <c r="NAP1" s="77"/>
      <c r="NAQ1" s="77"/>
      <c r="NAR1" s="77"/>
      <c r="NAS1" s="77"/>
      <c r="NAT1" s="77"/>
      <c r="NAU1" s="77"/>
      <c r="NAV1" s="77"/>
      <c r="NAW1" s="77"/>
      <c r="NAX1" s="77"/>
      <c r="NAY1" s="77"/>
      <c r="NAZ1" s="77"/>
      <c r="NBA1" s="77"/>
      <c r="NBB1" s="77"/>
      <c r="NBC1" s="77"/>
      <c r="NBD1" s="77"/>
      <c r="NBE1" s="77"/>
      <c r="NBF1" s="77"/>
      <c r="NBG1" s="77"/>
      <c r="NBH1" s="77"/>
      <c r="NBI1" s="77"/>
      <c r="NBJ1" s="77"/>
      <c r="NBK1" s="77"/>
      <c r="NBL1" s="77"/>
      <c r="NBM1" s="77"/>
      <c r="NBN1" s="77"/>
      <c r="NBO1" s="77"/>
      <c r="NBP1" s="77"/>
      <c r="NBQ1" s="77"/>
      <c r="NBR1" s="77"/>
      <c r="NBS1" s="77"/>
      <c r="NBT1" s="77"/>
      <c r="NBU1" s="77"/>
      <c r="NBV1" s="77"/>
      <c r="NBW1" s="77"/>
      <c r="NBX1" s="77"/>
      <c r="NBY1" s="77"/>
      <c r="NBZ1" s="77"/>
      <c r="NCA1" s="77"/>
      <c r="NCB1" s="77"/>
      <c r="NCC1" s="77"/>
      <c r="NCD1" s="77"/>
      <c r="NCE1" s="77"/>
      <c r="NCF1" s="77"/>
      <c r="NCG1" s="77"/>
      <c r="NCH1" s="77"/>
      <c r="NCI1" s="77"/>
      <c r="NCJ1" s="77"/>
      <c r="NCK1" s="77"/>
      <c r="NCL1" s="77"/>
      <c r="NCM1" s="77"/>
      <c r="NCN1" s="77"/>
      <c r="NCO1" s="77"/>
      <c r="NCP1" s="77"/>
      <c r="NCQ1" s="77"/>
      <c r="NCR1" s="77"/>
      <c r="NCS1" s="77"/>
      <c r="NCT1" s="77"/>
      <c r="NCU1" s="77"/>
      <c r="NCV1" s="77"/>
      <c r="NCW1" s="77"/>
      <c r="NCX1" s="77"/>
      <c r="NCY1" s="77"/>
      <c r="NCZ1" s="77"/>
      <c r="NDA1" s="77"/>
      <c r="NDB1" s="77"/>
      <c r="NDC1" s="77"/>
      <c r="NDD1" s="77"/>
      <c r="NDE1" s="77"/>
      <c r="NDF1" s="77"/>
      <c r="NDG1" s="77"/>
      <c r="NDH1" s="77"/>
      <c r="NDI1" s="77"/>
      <c r="NDJ1" s="77"/>
      <c r="NDK1" s="77"/>
      <c r="NDL1" s="77"/>
      <c r="NDM1" s="77"/>
      <c r="NDN1" s="77"/>
      <c r="NDO1" s="77"/>
      <c r="NDP1" s="77"/>
      <c r="NDQ1" s="77"/>
      <c r="NDR1" s="77"/>
      <c r="NDS1" s="77"/>
      <c r="NDT1" s="77"/>
      <c r="NDU1" s="77"/>
      <c r="NDV1" s="77"/>
      <c r="NDW1" s="77"/>
      <c r="NDX1" s="77"/>
      <c r="NDY1" s="77"/>
      <c r="NDZ1" s="77"/>
      <c r="NEA1" s="77"/>
      <c r="NEB1" s="77"/>
      <c r="NEC1" s="77"/>
      <c r="NED1" s="77"/>
      <c r="NEE1" s="77"/>
      <c r="NEF1" s="77"/>
      <c r="NEG1" s="77"/>
      <c r="NEH1" s="77"/>
      <c r="NEI1" s="77"/>
      <c r="NEJ1" s="77"/>
      <c r="NEK1" s="77"/>
      <c r="NEL1" s="77"/>
      <c r="NEM1" s="77"/>
      <c r="NEN1" s="77"/>
      <c r="NEO1" s="77"/>
      <c r="NEP1" s="77"/>
      <c r="NEQ1" s="77"/>
      <c r="NER1" s="77"/>
      <c r="NES1" s="77"/>
      <c r="NET1" s="77"/>
      <c r="NEU1" s="77"/>
      <c r="NEV1" s="77"/>
      <c r="NEW1" s="77"/>
      <c r="NEX1" s="77"/>
      <c r="NEY1" s="77"/>
      <c r="NEZ1" s="77"/>
      <c r="NFA1" s="77"/>
      <c r="NFB1" s="77"/>
      <c r="NFC1" s="77"/>
      <c r="NFD1" s="77"/>
      <c r="NFE1" s="77"/>
      <c r="NFF1" s="77"/>
      <c r="NFG1" s="77"/>
      <c r="NFH1" s="77"/>
      <c r="NFI1" s="77"/>
      <c r="NFJ1" s="77"/>
      <c r="NFK1" s="77"/>
      <c r="NFL1" s="77"/>
      <c r="NFM1" s="77"/>
      <c r="NFN1" s="77"/>
      <c r="NFO1" s="77"/>
      <c r="NFP1" s="77"/>
      <c r="NFQ1" s="77"/>
      <c r="NFR1" s="77"/>
      <c r="NFS1" s="77"/>
      <c r="NFT1" s="77"/>
      <c r="NFU1" s="77"/>
      <c r="NFV1" s="77"/>
      <c r="NFW1" s="77"/>
      <c r="NFX1" s="77"/>
      <c r="NFY1" s="77"/>
      <c r="NFZ1" s="77"/>
      <c r="NGA1" s="77"/>
      <c r="NGB1" s="77"/>
      <c r="NGC1" s="77"/>
      <c r="NGD1" s="77"/>
      <c r="NGE1" s="77"/>
      <c r="NGF1" s="77"/>
      <c r="NGG1" s="77"/>
      <c r="NGH1" s="77"/>
      <c r="NGI1" s="77"/>
      <c r="NGJ1" s="77"/>
      <c r="NGK1" s="77"/>
      <c r="NGL1" s="77"/>
      <c r="NGM1" s="77"/>
      <c r="NGN1" s="77"/>
      <c r="NGO1" s="77"/>
      <c r="NGP1" s="77"/>
      <c r="NGQ1" s="77"/>
      <c r="NGR1" s="77"/>
      <c r="NGS1" s="77"/>
      <c r="NGT1" s="77"/>
      <c r="NGU1" s="77"/>
      <c r="NGV1" s="77"/>
      <c r="NGW1" s="77"/>
      <c r="NGX1" s="77"/>
      <c r="NGY1" s="77"/>
      <c r="NGZ1" s="77"/>
      <c r="NHA1" s="77"/>
      <c r="NHB1" s="77"/>
      <c r="NHC1" s="77"/>
      <c r="NHD1" s="77"/>
      <c r="NHE1" s="77"/>
      <c r="NHF1" s="77"/>
      <c r="NHG1" s="77"/>
      <c r="NHH1" s="77"/>
      <c r="NHI1" s="77"/>
      <c r="NHJ1" s="77"/>
      <c r="NHK1" s="77"/>
      <c r="NHL1" s="77"/>
      <c r="NHM1" s="77"/>
      <c r="NHN1" s="77"/>
      <c r="NHO1" s="77"/>
      <c r="NHP1" s="77"/>
      <c r="NHQ1" s="77"/>
      <c r="NHR1" s="77"/>
      <c r="NHS1" s="77"/>
      <c r="NHT1" s="77"/>
      <c r="NHU1" s="77"/>
      <c r="NHV1" s="77"/>
      <c r="NHW1" s="77"/>
      <c r="NHX1" s="77"/>
      <c r="NHY1" s="77"/>
      <c r="NHZ1" s="77"/>
      <c r="NIA1" s="77"/>
      <c r="NIB1" s="77"/>
      <c r="NIC1" s="77"/>
      <c r="NID1" s="77"/>
      <c r="NIE1" s="77"/>
      <c r="NIF1" s="77"/>
      <c r="NIG1" s="77"/>
      <c r="NIH1" s="77"/>
      <c r="NII1" s="77"/>
      <c r="NIJ1" s="77"/>
      <c r="NIK1" s="77"/>
      <c r="NIL1" s="77"/>
      <c r="NIM1" s="77"/>
      <c r="NIN1" s="77"/>
      <c r="NIO1" s="77"/>
      <c r="NIP1" s="77"/>
      <c r="NIQ1" s="77"/>
      <c r="NIR1" s="77"/>
      <c r="NIS1" s="77"/>
      <c r="NIT1" s="77"/>
      <c r="NIU1" s="77"/>
      <c r="NIV1" s="77"/>
      <c r="NIW1" s="77"/>
      <c r="NIX1" s="77"/>
      <c r="NIY1" s="77"/>
      <c r="NIZ1" s="77"/>
      <c r="NJA1" s="77"/>
      <c r="NJB1" s="77"/>
      <c r="NJC1" s="77"/>
      <c r="NJD1" s="77"/>
      <c r="NJE1" s="77"/>
      <c r="NJF1" s="77"/>
      <c r="NJG1" s="77"/>
      <c r="NJH1" s="77"/>
      <c r="NJI1" s="77"/>
      <c r="NJJ1" s="77"/>
      <c r="NJK1" s="77"/>
      <c r="NJL1" s="77"/>
      <c r="NJM1" s="77"/>
      <c r="NJN1" s="77"/>
      <c r="NJO1" s="77"/>
      <c r="NJP1" s="77"/>
      <c r="NJQ1" s="77"/>
      <c r="NJR1" s="77"/>
      <c r="NJS1" s="77"/>
      <c r="NJT1" s="77"/>
      <c r="NJU1" s="77"/>
      <c r="NJV1" s="77"/>
      <c r="NJW1" s="77"/>
      <c r="NJX1" s="77"/>
      <c r="NJY1" s="77"/>
      <c r="NJZ1" s="77"/>
      <c r="NKA1" s="77"/>
      <c r="NKB1" s="77"/>
      <c r="NKC1" s="77"/>
      <c r="NKD1" s="77"/>
      <c r="NKE1" s="77"/>
      <c r="NKF1" s="77"/>
      <c r="NKG1" s="77"/>
      <c r="NKH1" s="77"/>
      <c r="NKI1" s="77"/>
      <c r="NKJ1" s="77"/>
      <c r="NKK1" s="77"/>
      <c r="NKL1" s="77"/>
      <c r="NKM1" s="77"/>
      <c r="NKN1" s="77"/>
      <c r="NKO1" s="77"/>
      <c r="NKP1" s="77"/>
      <c r="NKQ1" s="77"/>
      <c r="NKR1" s="77"/>
      <c r="NKS1" s="77"/>
      <c r="NKT1" s="77"/>
      <c r="NKU1" s="77"/>
      <c r="NKV1" s="77"/>
      <c r="NKW1" s="77"/>
      <c r="NKX1" s="77"/>
      <c r="NKY1" s="77"/>
      <c r="NKZ1" s="77"/>
      <c r="NLA1" s="77"/>
      <c r="NLB1" s="77"/>
      <c r="NLC1" s="77"/>
      <c r="NLD1" s="77"/>
      <c r="NLE1" s="77"/>
      <c r="NLF1" s="77"/>
      <c r="NLG1" s="77"/>
      <c r="NLH1" s="77"/>
      <c r="NLI1" s="77"/>
      <c r="NLJ1" s="77"/>
      <c r="NLK1" s="77"/>
      <c r="NLL1" s="77"/>
      <c r="NLM1" s="77"/>
      <c r="NLN1" s="77"/>
      <c r="NLO1" s="77"/>
      <c r="NLP1" s="77"/>
      <c r="NLQ1" s="77"/>
      <c r="NLR1" s="77"/>
      <c r="NLS1" s="77"/>
      <c r="NLT1" s="77"/>
      <c r="NLU1" s="77"/>
      <c r="NLV1" s="77"/>
      <c r="NLW1" s="77"/>
      <c r="NLX1" s="77"/>
      <c r="NLY1" s="77"/>
      <c r="NLZ1" s="77"/>
      <c r="NMA1" s="77"/>
      <c r="NMB1" s="77"/>
      <c r="NMC1" s="77"/>
      <c r="NMD1" s="77"/>
      <c r="NME1" s="77"/>
      <c r="NMF1" s="77"/>
      <c r="NMG1" s="77"/>
      <c r="NMH1" s="77"/>
      <c r="NMI1" s="77"/>
      <c r="NMJ1" s="77"/>
      <c r="NMK1" s="77"/>
      <c r="NML1" s="77"/>
      <c r="NMM1" s="77"/>
      <c r="NMN1" s="77"/>
      <c r="NMO1" s="77"/>
      <c r="NMP1" s="77"/>
      <c r="NMQ1" s="77"/>
      <c r="NMR1" s="77"/>
      <c r="NMS1" s="77"/>
      <c r="NMT1" s="77"/>
      <c r="NMU1" s="77"/>
      <c r="NMV1" s="77"/>
      <c r="NMW1" s="77"/>
      <c r="NMX1" s="77"/>
      <c r="NMY1" s="77"/>
      <c r="NMZ1" s="77"/>
      <c r="NNA1" s="77"/>
      <c r="NNB1" s="77"/>
      <c r="NNC1" s="77"/>
      <c r="NND1" s="77"/>
      <c r="NNE1" s="77"/>
      <c r="NNF1" s="77"/>
      <c r="NNG1" s="77"/>
      <c r="NNH1" s="77"/>
      <c r="NNI1" s="77"/>
      <c r="NNJ1" s="77"/>
      <c r="NNK1" s="77"/>
      <c r="NNL1" s="77"/>
      <c r="NNM1" s="77"/>
      <c r="NNN1" s="77"/>
      <c r="NNO1" s="77"/>
      <c r="NNP1" s="77"/>
      <c r="NNQ1" s="77"/>
      <c r="NNR1" s="77"/>
      <c r="NNS1" s="77"/>
      <c r="NNT1" s="77"/>
      <c r="NNU1" s="77"/>
      <c r="NNV1" s="77"/>
      <c r="NNW1" s="77"/>
      <c r="NNX1" s="77"/>
      <c r="NNY1" s="77"/>
      <c r="NNZ1" s="77"/>
      <c r="NOA1" s="77"/>
      <c r="NOB1" s="77"/>
      <c r="NOC1" s="77"/>
      <c r="NOD1" s="77"/>
      <c r="NOE1" s="77"/>
      <c r="NOF1" s="77"/>
      <c r="NOG1" s="77"/>
      <c r="NOH1" s="77"/>
      <c r="NOI1" s="77"/>
      <c r="NOJ1" s="77"/>
      <c r="NOK1" s="77"/>
      <c r="NOL1" s="77"/>
      <c r="NOM1" s="77"/>
      <c r="NON1" s="77"/>
      <c r="NOO1" s="77"/>
      <c r="NOP1" s="77"/>
      <c r="NOQ1" s="77"/>
      <c r="NOR1" s="77"/>
      <c r="NOS1" s="77"/>
      <c r="NOT1" s="77"/>
      <c r="NOU1" s="77"/>
      <c r="NOV1" s="77"/>
      <c r="NOW1" s="77"/>
      <c r="NOX1" s="77"/>
      <c r="NOY1" s="77"/>
      <c r="NOZ1" s="77"/>
      <c r="NPA1" s="77"/>
      <c r="NPB1" s="77"/>
      <c r="NPC1" s="77"/>
      <c r="NPD1" s="77"/>
      <c r="NPE1" s="77"/>
      <c r="NPF1" s="77"/>
      <c r="NPG1" s="77"/>
      <c r="NPH1" s="77"/>
      <c r="NPI1" s="77"/>
      <c r="NPJ1" s="77"/>
      <c r="NPK1" s="77"/>
      <c r="NPL1" s="77"/>
      <c r="NPM1" s="77"/>
      <c r="NPN1" s="77"/>
      <c r="NPO1" s="77"/>
      <c r="NPP1" s="77"/>
      <c r="NPQ1" s="77"/>
      <c r="NPR1" s="77"/>
      <c r="NPS1" s="77"/>
      <c r="NPT1" s="77"/>
      <c r="NPU1" s="77"/>
      <c r="NPV1" s="77"/>
      <c r="NPW1" s="77"/>
      <c r="NPX1" s="77"/>
      <c r="NPY1" s="77"/>
      <c r="NPZ1" s="77"/>
      <c r="NQA1" s="77"/>
      <c r="NQB1" s="77"/>
      <c r="NQC1" s="77"/>
      <c r="NQD1" s="77"/>
      <c r="NQE1" s="77"/>
      <c r="NQF1" s="77"/>
      <c r="NQG1" s="77"/>
      <c r="NQH1" s="77"/>
      <c r="NQI1" s="77"/>
      <c r="NQJ1" s="77"/>
      <c r="NQK1" s="77"/>
      <c r="NQL1" s="77"/>
      <c r="NQM1" s="77"/>
      <c r="NQN1" s="77"/>
      <c r="NQO1" s="77"/>
      <c r="NQP1" s="77"/>
      <c r="NQQ1" s="77"/>
      <c r="NQR1" s="77"/>
      <c r="NQS1" s="77"/>
      <c r="NQT1" s="77"/>
      <c r="NQU1" s="77"/>
      <c r="NQV1" s="77"/>
      <c r="NQW1" s="77"/>
      <c r="NQX1" s="77"/>
      <c r="NQY1" s="77"/>
      <c r="NQZ1" s="77"/>
      <c r="NRA1" s="77"/>
      <c r="NRB1" s="77"/>
      <c r="NRC1" s="77"/>
      <c r="NRD1" s="77"/>
      <c r="NRE1" s="77"/>
      <c r="NRF1" s="77"/>
      <c r="NRG1" s="77"/>
      <c r="NRH1" s="77"/>
      <c r="NRI1" s="77"/>
      <c r="NRJ1" s="77"/>
      <c r="NRK1" s="77"/>
      <c r="NRL1" s="77"/>
      <c r="NRM1" s="77"/>
      <c r="NRN1" s="77"/>
      <c r="NRO1" s="77"/>
      <c r="NRP1" s="77"/>
      <c r="NRQ1" s="77"/>
      <c r="NRR1" s="77"/>
      <c r="NRS1" s="77"/>
      <c r="NRT1" s="77"/>
      <c r="NRU1" s="77"/>
      <c r="NRV1" s="77"/>
      <c r="NRW1" s="77"/>
      <c r="NRX1" s="77"/>
      <c r="NRY1" s="77"/>
      <c r="NRZ1" s="77"/>
      <c r="NSA1" s="77"/>
      <c r="NSB1" s="77"/>
      <c r="NSC1" s="77"/>
      <c r="NSD1" s="77"/>
      <c r="NSE1" s="77"/>
      <c r="NSF1" s="77"/>
      <c r="NSG1" s="77"/>
      <c r="NSH1" s="77"/>
      <c r="NSI1" s="77"/>
      <c r="NSJ1" s="77"/>
      <c r="NSK1" s="77"/>
      <c r="NSL1" s="77"/>
      <c r="NSM1" s="77"/>
      <c r="NSN1" s="77"/>
      <c r="NSO1" s="77"/>
      <c r="NSP1" s="77"/>
      <c r="NSQ1" s="77"/>
      <c r="NSR1" s="77"/>
      <c r="NSS1" s="77"/>
      <c r="NST1" s="77"/>
      <c r="NSU1" s="77"/>
      <c r="NSV1" s="77"/>
      <c r="NSW1" s="77"/>
      <c r="NSX1" s="77"/>
      <c r="NSY1" s="77"/>
      <c r="NSZ1" s="77"/>
      <c r="NTA1" s="77"/>
      <c r="NTB1" s="77"/>
      <c r="NTC1" s="77"/>
      <c r="NTD1" s="77"/>
      <c r="NTE1" s="77"/>
      <c r="NTF1" s="77"/>
      <c r="NTG1" s="77"/>
      <c r="NTH1" s="77"/>
      <c r="NTI1" s="77"/>
      <c r="NTJ1" s="77"/>
      <c r="NTK1" s="77"/>
      <c r="NTL1" s="77"/>
      <c r="NTM1" s="77"/>
      <c r="NTN1" s="77"/>
      <c r="NTO1" s="77"/>
      <c r="NTP1" s="77"/>
      <c r="NTQ1" s="77"/>
      <c r="NTR1" s="77"/>
      <c r="NTS1" s="77"/>
      <c r="NTT1" s="77"/>
      <c r="NTU1" s="77"/>
      <c r="NTV1" s="77"/>
      <c r="NTW1" s="77"/>
      <c r="NTX1" s="77"/>
      <c r="NTY1" s="77"/>
      <c r="NTZ1" s="77"/>
      <c r="NUA1" s="77"/>
      <c r="NUB1" s="77"/>
      <c r="NUC1" s="77"/>
      <c r="NUD1" s="77"/>
      <c r="NUE1" s="77"/>
      <c r="NUF1" s="77"/>
      <c r="NUG1" s="77"/>
      <c r="NUH1" s="77"/>
      <c r="NUI1" s="77"/>
      <c r="NUJ1" s="77"/>
      <c r="NUK1" s="77"/>
      <c r="NUL1" s="77"/>
      <c r="NUM1" s="77"/>
      <c r="NUN1" s="77"/>
      <c r="NUO1" s="77"/>
      <c r="NUP1" s="77"/>
      <c r="NUQ1" s="77"/>
      <c r="NUR1" s="77"/>
      <c r="NUS1" s="77"/>
      <c r="NUT1" s="77"/>
      <c r="NUU1" s="77"/>
      <c r="NUV1" s="77"/>
      <c r="NUW1" s="77"/>
      <c r="NUX1" s="77"/>
      <c r="NUY1" s="77"/>
      <c r="NUZ1" s="77"/>
      <c r="NVA1" s="77"/>
      <c r="NVB1" s="77"/>
      <c r="NVC1" s="77"/>
      <c r="NVD1" s="77"/>
      <c r="NVE1" s="77"/>
      <c r="NVF1" s="77"/>
      <c r="NVG1" s="77"/>
      <c r="NVH1" s="77"/>
      <c r="NVI1" s="77"/>
      <c r="NVJ1" s="77"/>
      <c r="NVK1" s="77"/>
      <c r="NVL1" s="77"/>
      <c r="NVM1" s="77"/>
      <c r="NVN1" s="77"/>
      <c r="NVO1" s="77"/>
      <c r="NVP1" s="77"/>
      <c r="NVQ1" s="77"/>
      <c r="NVR1" s="77"/>
      <c r="NVS1" s="77"/>
      <c r="NVT1" s="77"/>
      <c r="NVU1" s="77"/>
      <c r="NVV1" s="77"/>
      <c r="NVW1" s="77"/>
      <c r="NVX1" s="77"/>
      <c r="NVY1" s="77"/>
      <c r="NVZ1" s="77"/>
      <c r="NWA1" s="77"/>
      <c r="NWB1" s="77"/>
      <c r="NWC1" s="77"/>
      <c r="NWD1" s="77"/>
      <c r="NWE1" s="77"/>
      <c r="NWF1" s="77"/>
      <c r="NWG1" s="77"/>
      <c r="NWH1" s="77"/>
      <c r="NWI1" s="77"/>
      <c r="NWJ1" s="77"/>
      <c r="NWK1" s="77"/>
      <c r="NWL1" s="77"/>
      <c r="NWM1" s="77"/>
      <c r="NWN1" s="77"/>
      <c r="NWO1" s="77"/>
      <c r="NWP1" s="77"/>
      <c r="NWQ1" s="77"/>
      <c r="NWR1" s="77"/>
      <c r="NWS1" s="77"/>
      <c r="NWT1" s="77"/>
      <c r="NWU1" s="77"/>
      <c r="NWV1" s="77"/>
      <c r="NWW1" s="77"/>
      <c r="NWX1" s="77"/>
      <c r="NWY1" s="77"/>
      <c r="NWZ1" s="77"/>
      <c r="NXA1" s="77"/>
      <c r="NXB1" s="77"/>
      <c r="NXC1" s="77"/>
      <c r="NXD1" s="77"/>
      <c r="NXE1" s="77"/>
      <c r="NXF1" s="77"/>
      <c r="NXG1" s="77"/>
      <c r="NXH1" s="77"/>
      <c r="NXI1" s="77"/>
      <c r="NXJ1" s="77"/>
      <c r="NXK1" s="77"/>
      <c r="NXL1" s="77"/>
      <c r="NXM1" s="77"/>
      <c r="NXN1" s="77"/>
      <c r="NXO1" s="77"/>
      <c r="NXP1" s="77"/>
      <c r="NXQ1" s="77"/>
      <c r="NXR1" s="77"/>
      <c r="NXS1" s="77"/>
      <c r="NXT1" s="77"/>
      <c r="NXU1" s="77"/>
      <c r="NXV1" s="77"/>
      <c r="NXW1" s="77"/>
      <c r="NXX1" s="77"/>
      <c r="NXY1" s="77"/>
      <c r="NXZ1" s="77"/>
      <c r="NYA1" s="77"/>
      <c r="NYB1" s="77"/>
      <c r="NYC1" s="77"/>
      <c r="NYD1" s="77"/>
      <c r="NYE1" s="77"/>
      <c r="NYF1" s="77"/>
      <c r="NYG1" s="77"/>
      <c r="NYH1" s="77"/>
      <c r="NYI1" s="77"/>
      <c r="NYJ1" s="77"/>
      <c r="NYK1" s="77"/>
      <c r="NYL1" s="77"/>
      <c r="NYM1" s="77"/>
      <c r="NYN1" s="77"/>
      <c r="NYO1" s="77"/>
      <c r="NYP1" s="77"/>
      <c r="NYQ1" s="77"/>
      <c r="NYR1" s="77"/>
      <c r="NYS1" s="77"/>
      <c r="NYT1" s="77"/>
      <c r="NYU1" s="77"/>
      <c r="NYV1" s="77"/>
      <c r="NYW1" s="77"/>
      <c r="NYX1" s="77"/>
      <c r="NYY1" s="77"/>
      <c r="NYZ1" s="77"/>
      <c r="NZA1" s="77"/>
      <c r="NZB1" s="77"/>
      <c r="NZC1" s="77"/>
      <c r="NZD1" s="77"/>
      <c r="NZE1" s="77"/>
      <c r="NZF1" s="77"/>
      <c r="NZG1" s="77"/>
      <c r="NZH1" s="77"/>
      <c r="NZI1" s="77"/>
      <c r="NZJ1" s="77"/>
      <c r="NZK1" s="77"/>
      <c r="NZL1" s="77"/>
      <c r="NZM1" s="77"/>
      <c r="NZN1" s="77"/>
      <c r="NZO1" s="77"/>
      <c r="NZP1" s="77"/>
      <c r="NZQ1" s="77"/>
      <c r="NZR1" s="77"/>
      <c r="NZS1" s="77"/>
      <c r="NZT1" s="77"/>
      <c r="NZU1" s="77"/>
      <c r="NZV1" s="77"/>
      <c r="NZW1" s="77"/>
      <c r="NZX1" s="77"/>
      <c r="NZY1" s="77"/>
      <c r="NZZ1" s="77"/>
      <c r="OAA1" s="77"/>
      <c r="OAB1" s="77"/>
      <c r="OAC1" s="77"/>
      <c r="OAD1" s="77"/>
      <c r="OAE1" s="77"/>
      <c r="OAF1" s="77"/>
      <c r="OAG1" s="77"/>
      <c r="OAH1" s="77"/>
      <c r="OAI1" s="77"/>
      <c r="OAJ1" s="77"/>
      <c r="OAK1" s="77"/>
      <c r="OAL1" s="77"/>
      <c r="OAM1" s="77"/>
      <c r="OAN1" s="77"/>
      <c r="OAO1" s="77"/>
      <c r="OAP1" s="77"/>
      <c r="OAQ1" s="77"/>
      <c r="OAR1" s="77"/>
      <c r="OAS1" s="77"/>
      <c r="OAT1" s="77"/>
      <c r="OAU1" s="77"/>
      <c r="OAV1" s="77"/>
      <c r="OAW1" s="77"/>
      <c r="OAX1" s="77"/>
      <c r="OAY1" s="77"/>
      <c r="OAZ1" s="77"/>
      <c r="OBA1" s="77"/>
      <c r="OBB1" s="77"/>
      <c r="OBC1" s="77"/>
      <c r="OBD1" s="77"/>
      <c r="OBE1" s="77"/>
      <c r="OBF1" s="77"/>
      <c r="OBG1" s="77"/>
      <c r="OBH1" s="77"/>
      <c r="OBI1" s="77"/>
      <c r="OBJ1" s="77"/>
      <c r="OBK1" s="77"/>
      <c r="OBL1" s="77"/>
      <c r="OBM1" s="77"/>
      <c r="OBN1" s="77"/>
      <c r="OBO1" s="77"/>
      <c r="OBP1" s="77"/>
      <c r="OBQ1" s="77"/>
      <c r="OBR1" s="77"/>
      <c r="OBS1" s="77"/>
      <c r="OBT1" s="77"/>
      <c r="OBU1" s="77"/>
      <c r="OBV1" s="77"/>
      <c r="OBW1" s="77"/>
      <c r="OBX1" s="77"/>
      <c r="OBY1" s="77"/>
      <c r="OBZ1" s="77"/>
      <c r="OCA1" s="77"/>
      <c r="OCB1" s="77"/>
      <c r="OCC1" s="77"/>
      <c r="OCD1" s="77"/>
      <c r="OCE1" s="77"/>
      <c r="OCF1" s="77"/>
      <c r="OCG1" s="77"/>
      <c r="OCH1" s="77"/>
      <c r="OCI1" s="77"/>
      <c r="OCJ1" s="77"/>
      <c r="OCK1" s="77"/>
      <c r="OCL1" s="77"/>
      <c r="OCM1" s="77"/>
      <c r="OCN1" s="77"/>
      <c r="OCO1" s="77"/>
      <c r="OCP1" s="77"/>
      <c r="OCQ1" s="77"/>
      <c r="OCR1" s="77"/>
      <c r="OCS1" s="77"/>
      <c r="OCT1" s="77"/>
      <c r="OCU1" s="77"/>
      <c r="OCV1" s="77"/>
      <c r="OCW1" s="77"/>
      <c r="OCX1" s="77"/>
      <c r="OCY1" s="77"/>
      <c r="OCZ1" s="77"/>
      <c r="ODA1" s="77"/>
      <c r="ODB1" s="77"/>
      <c r="ODC1" s="77"/>
      <c r="ODD1" s="77"/>
      <c r="ODE1" s="77"/>
      <c r="ODF1" s="77"/>
      <c r="ODG1" s="77"/>
      <c r="ODH1" s="77"/>
      <c r="ODI1" s="77"/>
      <c r="ODJ1" s="77"/>
      <c r="ODK1" s="77"/>
      <c r="ODL1" s="77"/>
      <c r="ODM1" s="77"/>
      <c r="ODN1" s="77"/>
      <c r="ODO1" s="77"/>
      <c r="ODP1" s="77"/>
      <c r="ODQ1" s="77"/>
      <c r="ODR1" s="77"/>
      <c r="ODS1" s="77"/>
      <c r="ODT1" s="77"/>
      <c r="ODU1" s="77"/>
      <c r="ODV1" s="77"/>
      <c r="ODW1" s="77"/>
      <c r="ODX1" s="77"/>
      <c r="ODY1" s="77"/>
      <c r="ODZ1" s="77"/>
      <c r="OEA1" s="77"/>
      <c r="OEB1" s="77"/>
      <c r="OEC1" s="77"/>
      <c r="OED1" s="77"/>
      <c r="OEE1" s="77"/>
      <c r="OEF1" s="77"/>
      <c r="OEG1" s="77"/>
      <c r="OEH1" s="77"/>
      <c r="OEI1" s="77"/>
      <c r="OEJ1" s="77"/>
      <c r="OEK1" s="77"/>
      <c r="OEL1" s="77"/>
      <c r="OEM1" s="77"/>
      <c r="OEN1" s="77"/>
      <c r="OEO1" s="77"/>
      <c r="OEP1" s="77"/>
      <c r="OEQ1" s="77"/>
      <c r="OER1" s="77"/>
      <c r="OES1" s="77"/>
      <c r="OET1" s="77"/>
      <c r="OEU1" s="77"/>
      <c r="OEV1" s="77"/>
      <c r="OEW1" s="77"/>
      <c r="OEX1" s="77"/>
      <c r="OEY1" s="77"/>
      <c r="OEZ1" s="77"/>
      <c r="OFA1" s="77"/>
      <c r="OFB1" s="77"/>
      <c r="OFC1" s="77"/>
      <c r="OFD1" s="77"/>
      <c r="OFE1" s="77"/>
      <c r="OFF1" s="77"/>
      <c r="OFG1" s="77"/>
      <c r="OFH1" s="77"/>
      <c r="OFI1" s="77"/>
      <c r="OFJ1" s="77"/>
      <c r="OFK1" s="77"/>
      <c r="OFL1" s="77"/>
      <c r="OFM1" s="77"/>
      <c r="OFN1" s="77"/>
      <c r="OFO1" s="77"/>
      <c r="OFP1" s="77"/>
      <c r="OFQ1" s="77"/>
      <c r="OFR1" s="77"/>
      <c r="OFS1" s="77"/>
      <c r="OFT1" s="77"/>
      <c r="OFU1" s="77"/>
      <c r="OFV1" s="77"/>
      <c r="OFW1" s="77"/>
      <c r="OFX1" s="77"/>
      <c r="OFY1" s="77"/>
      <c r="OFZ1" s="77"/>
      <c r="OGA1" s="77"/>
      <c r="OGB1" s="77"/>
      <c r="OGC1" s="77"/>
      <c r="OGD1" s="77"/>
      <c r="OGE1" s="77"/>
      <c r="OGF1" s="77"/>
      <c r="OGG1" s="77"/>
      <c r="OGH1" s="77"/>
      <c r="OGI1" s="77"/>
      <c r="OGJ1" s="77"/>
      <c r="OGK1" s="77"/>
      <c r="OGL1" s="77"/>
      <c r="OGM1" s="77"/>
      <c r="OGN1" s="77"/>
      <c r="OGO1" s="77"/>
      <c r="OGP1" s="77"/>
      <c r="OGQ1" s="77"/>
      <c r="OGR1" s="77"/>
      <c r="OGS1" s="77"/>
      <c r="OGT1" s="77"/>
      <c r="OGU1" s="77"/>
      <c r="OGV1" s="77"/>
      <c r="OGW1" s="77"/>
      <c r="OGX1" s="77"/>
      <c r="OGY1" s="77"/>
      <c r="OGZ1" s="77"/>
      <c r="OHA1" s="77"/>
      <c r="OHB1" s="77"/>
      <c r="OHC1" s="77"/>
      <c r="OHD1" s="77"/>
      <c r="OHE1" s="77"/>
      <c r="OHF1" s="77"/>
      <c r="OHG1" s="77"/>
      <c r="OHH1" s="77"/>
      <c r="OHI1" s="77"/>
      <c r="OHJ1" s="77"/>
      <c r="OHK1" s="77"/>
      <c r="OHL1" s="77"/>
      <c r="OHM1" s="77"/>
      <c r="OHN1" s="77"/>
      <c r="OHO1" s="77"/>
      <c r="OHP1" s="77"/>
      <c r="OHQ1" s="77"/>
      <c r="OHR1" s="77"/>
      <c r="OHS1" s="77"/>
      <c r="OHT1" s="77"/>
      <c r="OHU1" s="77"/>
      <c r="OHV1" s="77"/>
      <c r="OHW1" s="77"/>
      <c r="OHX1" s="77"/>
      <c r="OHY1" s="77"/>
      <c r="OHZ1" s="77"/>
      <c r="OIA1" s="77"/>
      <c r="OIB1" s="77"/>
      <c r="OIC1" s="77"/>
      <c r="OID1" s="77"/>
      <c r="OIE1" s="77"/>
      <c r="OIF1" s="77"/>
      <c r="OIG1" s="77"/>
      <c r="OIH1" s="77"/>
      <c r="OII1" s="77"/>
      <c r="OIJ1" s="77"/>
      <c r="OIK1" s="77"/>
      <c r="OIL1" s="77"/>
      <c r="OIM1" s="77"/>
      <c r="OIN1" s="77"/>
      <c r="OIO1" s="77"/>
      <c r="OIP1" s="77"/>
      <c r="OIQ1" s="77"/>
      <c r="OIR1" s="77"/>
      <c r="OIS1" s="77"/>
      <c r="OIT1" s="77"/>
      <c r="OIU1" s="77"/>
      <c r="OIV1" s="77"/>
      <c r="OIW1" s="77"/>
      <c r="OIX1" s="77"/>
      <c r="OIY1" s="77"/>
      <c r="OIZ1" s="77"/>
      <c r="OJA1" s="77"/>
      <c r="OJB1" s="77"/>
      <c r="OJC1" s="77"/>
      <c r="OJD1" s="77"/>
      <c r="OJE1" s="77"/>
      <c r="OJF1" s="77"/>
      <c r="OJG1" s="77"/>
      <c r="OJH1" s="77"/>
      <c r="OJI1" s="77"/>
      <c r="OJJ1" s="77"/>
      <c r="OJK1" s="77"/>
      <c r="OJL1" s="77"/>
      <c r="OJM1" s="77"/>
      <c r="OJN1" s="77"/>
      <c r="OJO1" s="77"/>
      <c r="OJP1" s="77"/>
      <c r="OJQ1" s="77"/>
      <c r="OJR1" s="77"/>
      <c r="OJS1" s="77"/>
      <c r="OJT1" s="77"/>
      <c r="OJU1" s="77"/>
      <c r="OJV1" s="77"/>
      <c r="OJW1" s="77"/>
      <c r="OJX1" s="77"/>
      <c r="OJY1" s="77"/>
      <c r="OJZ1" s="77"/>
      <c r="OKA1" s="77"/>
      <c r="OKB1" s="77"/>
      <c r="OKC1" s="77"/>
      <c r="OKD1" s="77"/>
      <c r="OKE1" s="77"/>
      <c r="OKF1" s="77"/>
      <c r="OKG1" s="77"/>
      <c r="OKH1" s="77"/>
      <c r="OKI1" s="77"/>
      <c r="OKJ1" s="77"/>
      <c r="OKK1" s="77"/>
      <c r="OKL1" s="77"/>
      <c r="OKM1" s="77"/>
      <c r="OKN1" s="77"/>
      <c r="OKO1" s="77"/>
      <c r="OKP1" s="77"/>
      <c r="OKQ1" s="77"/>
      <c r="OKR1" s="77"/>
      <c r="OKS1" s="77"/>
      <c r="OKT1" s="77"/>
      <c r="OKU1" s="77"/>
      <c r="OKV1" s="77"/>
      <c r="OKW1" s="77"/>
      <c r="OKX1" s="77"/>
      <c r="OKY1" s="77"/>
      <c r="OKZ1" s="77"/>
      <c r="OLA1" s="77"/>
      <c r="OLB1" s="77"/>
      <c r="OLC1" s="77"/>
      <c r="OLD1" s="77"/>
      <c r="OLE1" s="77"/>
      <c r="OLF1" s="77"/>
      <c r="OLG1" s="77"/>
      <c r="OLH1" s="77"/>
      <c r="OLI1" s="77"/>
      <c r="OLJ1" s="77"/>
      <c r="OLK1" s="77"/>
      <c r="OLL1" s="77"/>
      <c r="OLM1" s="77"/>
      <c r="OLN1" s="77"/>
      <c r="OLO1" s="77"/>
      <c r="OLP1" s="77"/>
      <c r="OLQ1" s="77"/>
      <c r="OLR1" s="77"/>
      <c r="OLS1" s="77"/>
      <c r="OLT1" s="77"/>
      <c r="OLU1" s="77"/>
      <c r="OLV1" s="77"/>
      <c r="OLW1" s="77"/>
      <c r="OLX1" s="77"/>
      <c r="OLY1" s="77"/>
      <c r="OLZ1" s="77"/>
      <c r="OMA1" s="77"/>
      <c r="OMB1" s="77"/>
      <c r="OMC1" s="77"/>
      <c r="OMD1" s="77"/>
      <c r="OME1" s="77"/>
      <c r="OMF1" s="77"/>
      <c r="OMG1" s="77"/>
      <c r="OMH1" s="77"/>
      <c r="OMI1" s="77"/>
      <c r="OMJ1" s="77"/>
      <c r="OMK1" s="77"/>
      <c r="OML1" s="77"/>
      <c r="OMM1" s="77"/>
      <c r="OMN1" s="77"/>
      <c r="OMO1" s="77"/>
      <c r="OMP1" s="77"/>
      <c r="OMQ1" s="77"/>
      <c r="OMR1" s="77"/>
      <c r="OMS1" s="77"/>
      <c r="OMT1" s="77"/>
      <c r="OMU1" s="77"/>
      <c r="OMV1" s="77"/>
      <c r="OMW1" s="77"/>
      <c r="OMX1" s="77"/>
      <c r="OMY1" s="77"/>
      <c r="OMZ1" s="77"/>
      <c r="ONA1" s="77"/>
      <c r="ONB1" s="77"/>
      <c r="ONC1" s="77"/>
      <c r="OND1" s="77"/>
      <c r="ONE1" s="77"/>
      <c r="ONF1" s="77"/>
      <c r="ONG1" s="77"/>
      <c r="ONH1" s="77"/>
      <c r="ONI1" s="77"/>
      <c r="ONJ1" s="77"/>
      <c r="ONK1" s="77"/>
      <c r="ONL1" s="77"/>
      <c r="ONM1" s="77"/>
      <c r="ONN1" s="77"/>
      <c r="ONO1" s="77"/>
      <c r="ONP1" s="77"/>
      <c r="ONQ1" s="77"/>
      <c r="ONR1" s="77"/>
      <c r="ONS1" s="77"/>
      <c r="ONT1" s="77"/>
      <c r="ONU1" s="77"/>
      <c r="ONV1" s="77"/>
      <c r="ONW1" s="77"/>
      <c r="ONX1" s="77"/>
      <c r="ONY1" s="77"/>
      <c r="ONZ1" s="77"/>
      <c r="OOA1" s="77"/>
      <c r="OOB1" s="77"/>
      <c r="OOC1" s="77"/>
      <c r="OOD1" s="77"/>
      <c r="OOE1" s="77"/>
      <c r="OOF1" s="77"/>
      <c r="OOG1" s="77"/>
      <c r="OOH1" s="77"/>
      <c r="OOI1" s="77"/>
      <c r="OOJ1" s="77"/>
      <c r="OOK1" s="77"/>
      <c r="OOL1" s="77"/>
      <c r="OOM1" s="77"/>
      <c r="OON1" s="77"/>
      <c r="OOO1" s="77"/>
      <c r="OOP1" s="77"/>
      <c r="OOQ1" s="77"/>
      <c r="OOR1" s="77"/>
      <c r="OOS1" s="77"/>
      <c r="OOT1" s="77"/>
      <c r="OOU1" s="77"/>
      <c r="OOV1" s="77"/>
      <c r="OOW1" s="77"/>
      <c r="OOX1" s="77"/>
      <c r="OOY1" s="77"/>
      <c r="OOZ1" s="77"/>
      <c r="OPA1" s="77"/>
      <c r="OPB1" s="77"/>
      <c r="OPC1" s="77"/>
      <c r="OPD1" s="77"/>
      <c r="OPE1" s="77"/>
      <c r="OPF1" s="77"/>
      <c r="OPG1" s="77"/>
      <c r="OPH1" s="77"/>
      <c r="OPI1" s="77"/>
      <c r="OPJ1" s="77"/>
      <c r="OPK1" s="77"/>
      <c r="OPL1" s="77"/>
      <c r="OPM1" s="77"/>
      <c r="OPN1" s="77"/>
      <c r="OPO1" s="77"/>
      <c r="OPP1" s="77"/>
      <c r="OPQ1" s="77"/>
      <c r="OPR1" s="77"/>
      <c r="OPS1" s="77"/>
      <c r="OPT1" s="77"/>
      <c r="OPU1" s="77"/>
      <c r="OPV1" s="77"/>
      <c r="OPW1" s="77"/>
      <c r="OPX1" s="77"/>
      <c r="OPY1" s="77"/>
      <c r="OPZ1" s="77"/>
      <c r="OQA1" s="77"/>
      <c r="OQB1" s="77"/>
      <c r="OQC1" s="77"/>
      <c r="OQD1" s="77"/>
      <c r="OQE1" s="77"/>
      <c r="OQF1" s="77"/>
      <c r="OQG1" s="77"/>
      <c r="OQH1" s="77"/>
      <c r="OQI1" s="77"/>
      <c r="OQJ1" s="77"/>
      <c r="OQK1" s="77"/>
      <c r="OQL1" s="77"/>
      <c r="OQM1" s="77"/>
      <c r="OQN1" s="77"/>
      <c r="OQO1" s="77"/>
      <c r="OQP1" s="77"/>
      <c r="OQQ1" s="77"/>
      <c r="OQR1" s="77"/>
      <c r="OQS1" s="77"/>
      <c r="OQT1" s="77"/>
      <c r="OQU1" s="77"/>
      <c r="OQV1" s="77"/>
      <c r="OQW1" s="77"/>
      <c r="OQX1" s="77"/>
      <c r="OQY1" s="77"/>
      <c r="OQZ1" s="77"/>
      <c r="ORA1" s="77"/>
      <c r="ORB1" s="77"/>
      <c r="ORC1" s="77"/>
      <c r="ORD1" s="77"/>
      <c r="ORE1" s="77"/>
      <c r="ORF1" s="77"/>
      <c r="ORG1" s="77"/>
      <c r="ORH1" s="77"/>
      <c r="ORI1" s="77"/>
      <c r="ORJ1" s="77"/>
      <c r="ORK1" s="77"/>
      <c r="ORL1" s="77"/>
      <c r="ORM1" s="77"/>
      <c r="ORN1" s="77"/>
      <c r="ORO1" s="77"/>
      <c r="ORP1" s="77"/>
      <c r="ORQ1" s="77"/>
      <c r="ORR1" s="77"/>
      <c r="ORS1" s="77"/>
      <c r="ORT1" s="77"/>
      <c r="ORU1" s="77"/>
      <c r="ORV1" s="77"/>
      <c r="ORW1" s="77"/>
      <c r="ORX1" s="77"/>
      <c r="ORY1" s="77"/>
      <c r="ORZ1" s="77"/>
      <c r="OSA1" s="77"/>
      <c r="OSB1" s="77"/>
      <c r="OSC1" s="77"/>
      <c r="OSD1" s="77"/>
      <c r="OSE1" s="77"/>
      <c r="OSF1" s="77"/>
      <c r="OSG1" s="77"/>
      <c r="OSH1" s="77"/>
      <c r="OSI1" s="77"/>
      <c r="OSJ1" s="77"/>
      <c r="OSK1" s="77"/>
      <c r="OSL1" s="77"/>
      <c r="OSM1" s="77"/>
      <c r="OSN1" s="77"/>
      <c r="OSO1" s="77"/>
      <c r="OSP1" s="77"/>
      <c r="OSQ1" s="77"/>
      <c r="OSR1" s="77"/>
      <c r="OSS1" s="77"/>
      <c r="OST1" s="77"/>
      <c r="OSU1" s="77"/>
      <c r="OSV1" s="77"/>
      <c r="OSW1" s="77"/>
      <c r="OSX1" s="77"/>
      <c r="OSY1" s="77"/>
      <c r="OSZ1" s="77"/>
      <c r="OTA1" s="77"/>
      <c r="OTB1" s="77"/>
      <c r="OTC1" s="77"/>
      <c r="OTD1" s="77"/>
      <c r="OTE1" s="77"/>
      <c r="OTF1" s="77"/>
      <c r="OTG1" s="77"/>
      <c r="OTH1" s="77"/>
      <c r="OTI1" s="77"/>
      <c r="OTJ1" s="77"/>
      <c r="OTK1" s="77"/>
      <c r="OTL1" s="77"/>
      <c r="OTM1" s="77"/>
      <c r="OTN1" s="77"/>
      <c r="OTO1" s="77"/>
      <c r="OTP1" s="77"/>
      <c r="OTQ1" s="77"/>
      <c r="OTR1" s="77"/>
      <c r="OTS1" s="77"/>
      <c r="OTT1" s="77"/>
      <c r="OTU1" s="77"/>
      <c r="OTV1" s="77"/>
      <c r="OTW1" s="77"/>
      <c r="OTX1" s="77"/>
      <c r="OTY1" s="77"/>
      <c r="OTZ1" s="77"/>
      <c r="OUA1" s="77"/>
      <c r="OUB1" s="77"/>
      <c r="OUC1" s="77"/>
      <c r="OUD1" s="77"/>
      <c r="OUE1" s="77"/>
      <c r="OUF1" s="77"/>
      <c r="OUG1" s="77"/>
      <c r="OUH1" s="77"/>
      <c r="OUI1" s="77"/>
      <c r="OUJ1" s="77"/>
      <c r="OUK1" s="77"/>
      <c r="OUL1" s="77"/>
      <c r="OUM1" s="77"/>
      <c r="OUN1" s="77"/>
      <c r="OUO1" s="77"/>
      <c r="OUP1" s="77"/>
      <c r="OUQ1" s="77"/>
      <c r="OUR1" s="77"/>
      <c r="OUS1" s="77"/>
      <c r="OUT1" s="77"/>
      <c r="OUU1" s="77"/>
      <c r="OUV1" s="77"/>
      <c r="OUW1" s="77"/>
      <c r="OUX1" s="77"/>
      <c r="OUY1" s="77"/>
      <c r="OUZ1" s="77"/>
      <c r="OVA1" s="77"/>
      <c r="OVB1" s="77"/>
      <c r="OVC1" s="77"/>
      <c r="OVD1" s="77"/>
      <c r="OVE1" s="77"/>
      <c r="OVF1" s="77"/>
      <c r="OVG1" s="77"/>
      <c r="OVH1" s="77"/>
      <c r="OVI1" s="77"/>
      <c r="OVJ1" s="77"/>
      <c r="OVK1" s="77"/>
      <c r="OVL1" s="77"/>
      <c r="OVM1" s="77"/>
      <c r="OVN1" s="77"/>
      <c r="OVO1" s="77"/>
      <c r="OVP1" s="77"/>
      <c r="OVQ1" s="77"/>
      <c r="OVR1" s="77"/>
      <c r="OVS1" s="77"/>
      <c r="OVT1" s="77"/>
      <c r="OVU1" s="77"/>
      <c r="OVV1" s="77"/>
      <c r="OVW1" s="77"/>
      <c r="OVX1" s="77"/>
      <c r="OVY1" s="77"/>
      <c r="OVZ1" s="77"/>
      <c r="OWA1" s="77"/>
      <c r="OWB1" s="77"/>
      <c r="OWC1" s="77"/>
      <c r="OWD1" s="77"/>
      <c r="OWE1" s="77"/>
      <c r="OWF1" s="77"/>
      <c r="OWG1" s="77"/>
      <c r="OWH1" s="77"/>
      <c r="OWI1" s="77"/>
      <c r="OWJ1" s="77"/>
      <c r="OWK1" s="77"/>
      <c r="OWL1" s="77"/>
      <c r="OWM1" s="77"/>
      <c r="OWN1" s="77"/>
      <c r="OWO1" s="77"/>
      <c r="OWP1" s="77"/>
      <c r="OWQ1" s="77"/>
      <c r="OWR1" s="77"/>
      <c r="OWS1" s="77"/>
      <c r="OWT1" s="77"/>
      <c r="OWU1" s="77"/>
      <c r="OWV1" s="77"/>
      <c r="OWW1" s="77"/>
      <c r="OWX1" s="77"/>
      <c r="OWY1" s="77"/>
      <c r="OWZ1" s="77"/>
      <c r="OXA1" s="77"/>
      <c r="OXB1" s="77"/>
      <c r="OXC1" s="77"/>
      <c r="OXD1" s="77"/>
      <c r="OXE1" s="77"/>
      <c r="OXF1" s="77"/>
      <c r="OXG1" s="77"/>
      <c r="OXH1" s="77"/>
      <c r="OXI1" s="77"/>
      <c r="OXJ1" s="77"/>
      <c r="OXK1" s="77"/>
      <c r="OXL1" s="77"/>
      <c r="OXM1" s="77"/>
      <c r="OXN1" s="77"/>
      <c r="OXO1" s="77"/>
      <c r="OXP1" s="77"/>
      <c r="OXQ1" s="77"/>
      <c r="OXR1" s="77"/>
      <c r="OXS1" s="77"/>
      <c r="OXT1" s="77"/>
      <c r="OXU1" s="77"/>
      <c r="OXV1" s="77"/>
      <c r="OXW1" s="77"/>
      <c r="OXX1" s="77"/>
      <c r="OXY1" s="77"/>
      <c r="OXZ1" s="77"/>
      <c r="OYA1" s="77"/>
      <c r="OYB1" s="77"/>
      <c r="OYC1" s="77"/>
      <c r="OYD1" s="77"/>
      <c r="OYE1" s="77"/>
      <c r="OYF1" s="77"/>
      <c r="OYG1" s="77"/>
      <c r="OYH1" s="77"/>
      <c r="OYI1" s="77"/>
      <c r="OYJ1" s="77"/>
      <c r="OYK1" s="77"/>
      <c r="OYL1" s="77"/>
      <c r="OYM1" s="77"/>
      <c r="OYN1" s="77"/>
      <c r="OYO1" s="77"/>
      <c r="OYP1" s="77"/>
      <c r="OYQ1" s="77"/>
      <c r="OYR1" s="77"/>
      <c r="OYS1" s="77"/>
      <c r="OYT1" s="77"/>
      <c r="OYU1" s="77"/>
      <c r="OYV1" s="77"/>
      <c r="OYW1" s="77"/>
      <c r="OYX1" s="77"/>
      <c r="OYY1" s="77"/>
      <c r="OYZ1" s="77"/>
      <c r="OZA1" s="77"/>
      <c r="OZB1" s="77"/>
      <c r="OZC1" s="77"/>
      <c r="OZD1" s="77"/>
      <c r="OZE1" s="77"/>
      <c r="OZF1" s="77"/>
      <c r="OZG1" s="77"/>
      <c r="OZH1" s="77"/>
      <c r="OZI1" s="77"/>
      <c r="OZJ1" s="77"/>
      <c r="OZK1" s="77"/>
      <c r="OZL1" s="77"/>
      <c r="OZM1" s="77"/>
      <c r="OZN1" s="77"/>
      <c r="OZO1" s="77"/>
      <c r="OZP1" s="77"/>
      <c r="OZQ1" s="77"/>
      <c r="OZR1" s="77"/>
      <c r="OZS1" s="77"/>
      <c r="OZT1" s="77"/>
      <c r="OZU1" s="77"/>
      <c r="OZV1" s="77"/>
      <c r="OZW1" s="77"/>
      <c r="OZX1" s="77"/>
      <c r="OZY1" s="77"/>
      <c r="OZZ1" s="77"/>
      <c r="PAA1" s="77"/>
      <c r="PAB1" s="77"/>
      <c r="PAC1" s="77"/>
      <c r="PAD1" s="77"/>
      <c r="PAE1" s="77"/>
      <c r="PAF1" s="77"/>
      <c r="PAG1" s="77"/>
      <c r="PAH1" s="77"/>
      <c r="PAI1" s="77"/>
      <c r="PAJ1" s="77"/>
      <c r="PAK1" s="77"/>
      <c r="PAL1" s="77"/>
      <c r="PAM1" s="77"/>
      <c r="PAN1" s="77"/>
      <c r="PAO1" s="77"/>
      <c r="PAP1" s="77"/>
      <c r="PAQ1" s="77"/>
      <c r="PAR1" s="77"/>
      <c r="PAS1" s="77"/>
      <c r="PAT1" s="77"/>
      <c r="PAU1" s="77"/>
      <c r="PAV1" s="77"/>
      <c r="PAW1" s="77"/>
      <c r="PAX1" s="77"/>
      <c r="PAY1" s="77"/>
      <c r="PAZ1" s="77"/>
      <c r="PBA1" s="77"/>
      <c r="PBB1" s="77"/>
      <c r="PBC1" s="77"/>
      <c r="PBD1" s="77"/>
      <c r="PBE1" s="77"/>
      <c r="PBF1" s="77"/>
      <c r="PBG1" s="77"/>
      <c r="PBH1" s="77"/>
      <c r="PBI1" s="77"/>
      <c r="PBJ1" s="77"/>
      <c r="PBK1" s="77"/>
      <c r="PBL1" s="77"/>
      <c r="PBM1" s="77"/>
      <c r="PBN1" s="77"/>
      <c r="PBO1" s="77"/>
      <c r="PBP1" s="77"/>
      <c r="PBQ1" s="77"/>
      <c r="PBR1" s="77"/>
      <c r="PBS1" s="77"/>
      <c r="PBT1" s="77"/>
      <c r="PBU1" s="77"/>
      <c r="PBV1" s="77"/>
      <c r="PBW1" s="77"/>
      <c r="PBX1" s="77"/>
      <c r="PBY1" s="77"/>
      <c r="PBZ1" s="77"/>
      <c r="PCA1" s="77"/>
      <c r="PCB1" s="77"/>
      <c r="PCC1" s="77"/>
      <c r="PCD1" s="77"/>
      <c r="PCE1" s="77"/>
      <c r="PCF1" s="77"/>
      <c r="PCG1" s="77"/>
      <c r="PCH1" s="77"/>
      <c r="PCI1" s="77"/>
      <c r="PCJ1" s="77"/>
      <c r="PCK1" s="77"/>
      <c r="PCL1" s="77"/>
      <c r="PCM1" s="77"/>
      <c r="PCN1" s="77"/>
      <c r="PCO1" s="77"/>
      <c r="PCP1" s="77"/>
      <c r="PCQ1" s="77"/>
      <c r="PCR1" s="77"/>
      <c r="PCS1" s="77"/>
      <c r="PCT1" s="77"/>
      <c r="PCU1" s="77"/>
      <c r="PCV1" s="77"/>
      <c r="PCW1" s="77"/>
      <c r="PCX1" s="77"/>
      <c r="PCY1" s="77"/>
      <c r="PCZ1" s="77"/>
      <c r="PDA1" s="77"/>
      <c r="PDB1" s="77"/>
      <c r="PDC1" s="77"/>
      <c r="PDD1" s="77"/>
      <c r="PDE1" s="77"/>
      <c r="PDF1" s="77"/>
      <c r="PDG1" s="77"/>
      <c r="PDH1" s="77"/>
      <c r="PDI1" s="77"/>
      <c r="PDJ1" s="77"/>
      <c r="PDK1" s="77"/>
      <c r="PDL1" s="77"/>
      <c r="PDM1" s="77"/>
      <c r="PDN1" s="77"/>
      <c r="PDO1" s="77"/>
      <c r="PDP1" s="77"/>
      <c r="PDQ1" s="77"/>
      <c r="PDR1" s="77"/>
      <c r="PDS1" s="77"/>
      <c r="PDT1" s="77"/>
      <c r="PDU1" s="77"/>
      <c r="PDV1" s="77"/>
      <c r="PDW1" s="77"/>
      <c r="PDX1" s="77"/>
      <c r="PDY1" s="77"/>
      <c r="PDZ1" s="77"/>
      <c r="PEA1" s="77"/>
      <c r="PEB1" s="77"/>
      <c r="PEC1" s="77"/>
      <c r="PED1" s="77"/>
      <c r="PEE1" s="77"/>
      <c r="PEF1" s="77"/>
      <c r="PEG1" s="77"/>
      <c r="PEH1" s="77"/>
      <c r="PEI1" s="77"/>
      <c r="PEJ1" s="77"/>
      <c r="PEK1" s="77"/>
      <c r="PEL1" s="77"/>
      <c r="PEM1" s="77"/>
      <c r="PEN1" s="77"/>
      <c r="PEO1" s="77"/>
      <c r="PEP1" s="77"/>
      <c r="PEQ1" s="77"/>
      <c r="PER1" s="77"/>
      <c r="PES1" s="77"/>
      <c r="PET1" s="77"/>
      <c r="PEU1" s="77"/>
      <c r="PEV1" s="77"/>
      <c r="PEW1" s="77"/>
      <c r="PEX1" s="77"/>
      <c r="PEY1" s="77"/>
      <c r="PEZ1" s="77"/>
      <c r="PFA1" s="77"/>
      <c r="PFB1" s="77"/>
      <c r="PFC1" s="77"/>
      <c r="PFD1" s="77"/>
      <c r="PFE1" s="77"/>
      <c r="PFF1" s="77"/>
      <c r="PFG1" s="77"/>
      <c r="PFH1" s="77"/>
      <c r="PFI1" s="77"/>
      <c r="PFJ1" s="77"/>
      <c r="PFK1" s="77"/>
      <c r="PFL1" s="77"/>
      <c r="PFM1" s="77"/>
      <c r="PFN1" s="77"/>
      <c r="PFO1" s="77"/>
      <c r="PFP1" s="77"/>
      <c r="PFQ1" s="77"/>
      <c r="PFR1" s="77"/>
      <c r="PFS1" s="77"/>
      <c r="PFT1" s="77"/>
      <c r="PFU1" s="77"/>
      <c r="PFV1" s="77"/>
      <c r="PFW1" s="77"/>
      <c r="PFX1" s="77"/>
      <c r="PFY1" s="77"/>
      <c r="PFZ1" s="77"/>
      <c r="PGA1" s="77"/>
      <c r="PGB1" s="77"/>
      <c r="PGC1" s="77"/>
      <c r="PGD1" s="77"/>
      <c r="PGE1" s="77"/>
      <c r="PGF1" s="77"/>
      <c r="PGG1" s="77"/>
      <c r="PGH1" s="77"/>
      <c r="PGI1" s="77"/>
      <c r="PGJ1" s="77"/>
      <c r="PGK1" s="77"/>
      <c r="PGL1" s="77"/>
      <c r="PGM1" s="77"/>
      <c r="PGN1" s="77"/>
      <c r="PGO1" s="77"/>
      <c r="PGP1" s="77"/>
      <c r="PGQ1" s="77"/>
      <c r="PGR1" s="77"/>
      <c r="PGS1" s="77"/>
      <c r="PGT1" s="77"/>
      <c r="PGU1" s="77"/>
      <c r="PGV1" s="77"/>
      <c r="PGW1" s="77"/>
      <c r="PGX1" s="77"/>
      <c r="PGY1" s="77"/>
      <c r="PGZ1" s="77"/>
      <c r="PHA1" s="77"/>
      <c r="PHB1" s="77"/>
      <c r="PHC1" s="77"/>
      <c r="PHD1" s="77"/>
      <c r="PHE1" s="77"/>
      <c r="PHF1" s="77"/>
      <c r="PHG1" s="77"/>
      <c r="PHH1" s="77"/>
      <c r="PHI1" s="77"/>
      <c r="PHJ1" s="77"/>
      <c r="PHK1" s="77"/>
      <c r="PHL1" s="77"/>
      <c r="PHM1" s="77"/>
      <c r="PHN1" s="77"/>
      <c r="PHO1" s="77"/>
      <c r="PHP1" s="77"/>
      <c r="PHQ1" s="77"/>
      <c r="PHR1" s="77"/>
      <c r="PHS1" s="77"/>
      <c r="PHT1" s="77"/>
      <c r="PHU1" s="77"/>
      <c r="PHV1" s="77"/>
      <c r="PHW1" s="77"/>
      <c r="PHX1" s="77"/>
      <c r="PHY1" s="77"/>
      <c r="PHZ1" s="77"/>
      <c r="PIA1" s="77"/>
      <c r="PIB1" s="77"/>
      <c r="PIC1" s="77"/>
      <c r="PID1" s="77"/>
      <c r="PIE1" s="77"/>
      <c r="PIF1" s="77"/>
      <c r="PIG1" s="77"/>
      <c r="PIH1" s="77"/>
      <c r="PII1" s="77"/>
      <c r="PIJ1" s="77"/>
      <c r="PIK1" s="77"/>
      <c r="PIL1" s="77"/>
      <c r="PIM1" s="77"/>
      <c r="PIN1" s="77"/>
      <c r="PIO1" s="77"/>
      <c r="PIP1" s="77"/>
      <c r="PIQ1" s="77"/>
      <c r="PIR1" s="77"/>
      <c r="PIS1" s="77"/>
      <c r="PIT1" s="77"/>
      <c r="PIU1" s="77"/>
      <c r="PIV1" s="77"/>
      <c r="PIW1" s="77"/>
      <c r="PIX1" s="77"/>
      <c r="PIY1" s="77"/>
      <c r="PIZ1" s="77"/>
      <c r="PJA1" s="77"/>
      <c r="PJB1" s="77"/>
      <c r="PJC1" s="77"/>
      <c r="PJD1" s="77"/>
      <c r="PJE1" s="77"/>
      <c r="PJF1" s="77"/>
      <c r="PJG1" s="77"/>
      <c r="PJH1" s="77"/>
      <c r="PJI1" s="77"/>
      <c r="PJJ1" s="77"/>
      <c r="PJK1" s="77"/>
      <c r="PJL1" s="77"/>
      <c r="PJM1" s="77"/>
      <c r="PJN1" s="77"/>
      <c r="PJO1" s="77"/>
      <c r="PJP1" s="77"/>
      <c r="PJQ1" s="77"/>
      <c r="PJR1" s="77"/>
      <c r="PJS1" s="77"/>
      <c r="PJT1" s="77"/>
      <c r="PJU1" s="77"/>
      <c r="PJV1" s="77"/>
      <c r="PJW1" s="77"/>
      <c r="PJX1" s="77"/>
      <c r="PJY1" s="77"/>
      <c r="PJZ1" s="77"/>
      <c r="PKA1" s="77"/>
      <c r="PKB1" s="77"/>
      <c r="PKC1" s="77"/>
      <c r="PKD1" s="77"/>
      <c r="PKE1" s="77"/>
      <c r="PKF1" s="77"/>
      <c r="PKG1" s="77"/>
      <c r="PKH1" s="77"/>
      <c r="PKI1" s="77"/>
      <c r="PKJ1" s="77"/>
      <c r="PKK1" s="77"/>
      <c r="PKL1" s="77"/>
      <c r="PKM1" s="77"/>
      <c r="PKN1" s="77"/>
      <c r="PKO1" s="77"/>
      <c r="PKP1" s="77"/>
      <c r="PKQ1" s="77"/>
      <c r="PKR1" s="77"/>
      <c r="PKS1" s="77"/>
      <c r="PKT1" s="77"/>
      <c r="PKU1" s="77"/>
      <c r="PKV1" s="77"/>
      <c r="PKW1" s="77"/>
      <c r="PKX1" s="77"/>
      <c r="PKY1" s="77"/>
      <c r="PKZ1" s="77"/>
      <c r="PLA1" s="77"/>
      <c r="PLB1" s="77"/>
      <c r="PLC1" s="77"/>
      <c r="PLD1" s="77"/>
      <c r="PLE1" s="77"/>
      <c r="PLF1" s="77"/>
      <c r="PLG1" s="77"/>
      <c r="PLH1" s="77"/>
      <c r="PLI1" s="77"/>
      <c r="PLJ1" s="77"/>
      <c r="PLK1" s="77"/>
      <c r="PLL1" s="77"/>
      <c r="PLM1" s="77"/>
      <c r="PLN1" s="77"/>
      <c r="PLO1" s="77"/>
      <c r="PLP1" s="77"/>
      <c r="PLQ1" s="77"/>
      <c r="PLR1" s="77"/>
      <c r="PLS1" s="77"/>
      <c r="PLT1" s="77"/>
      <c r="PLU1" s="77"/>
      <c r="PLV1" s="77"/>
      <c r="PLW1" s="77"/>
      <c r="PLX1" s="77"/>
      <c r="PLY1" s="77"/>
      <c r="PLZ1" s="77"/>
      <c r="PMA1" s="77"/>
      <c r="PMB1" s="77"/>
      <c r="PMC1" s="77"/>
      <c r="PMD1" s="77"/>
      <c r="PME1" s="77"/>
      <c r="PMF1" s="77"/>
      <c r="PMG1" s="77"/>
      <c r="PMH1" s="77"/>
      <c r="PMI1" s="77"/>
      <c r="PMJ1" s="77"/>
      <c r="PMK1" s="77"/>
      <c r="PML1" s="77"/>
      <c r="PMM1" s="77"/>
      <c r="PMN1" s="77"/>
      <c r="PMO1" s="77"/>
      <c r="PMP1" s="77"/>
      <c r="PMQ1" s="77"/>
      <c r="PMR1" s="77"/>
      <c r="PMS1" s="77"/>
      <c r="PMT1" s="77"/>
      <c r="PMU1" s="77"/>
      <c r="PMV1" s="77"/>
      <c r="PMW1" s="77"/>
      <c r="PMX1" s="77"/>
      <c r="PMY1" s="77"/>
      <c r="PMZ1" s="77"/>
      <c r="PNA1" s="77"/>
      <c r="PNB1" s="77"/>
      <c r="PNC1" s="77"/>
      <c r="PND1" s="77"/>
      <c r="PNE1" s="77"/>
      <c r="PNF1" s="77"/>
      <c r="PNG1" s="77"/>
      <c r="PNH1" s="77"/>
      <c r="PNI1" s="77"/>
      <c r="PNJ1" s="77"/>
      <c r="PNK1" s="77"/>
      <c r="PNL1" s="77"/>
      <c r="PNM1" s="77"/>
      <c r="PNN1" s="77"/>
      <c r="PNO1" s="77"/>
      <c r="PNP1" s="77"/>
      <c r="PNQ1" s="77"/>
      <c r="PNR1" s="77"/>
      <c r="PNS1" s="77"/>
      <c r="PNT1" s="77"/>
      <c r="PNU1" s="77"/>
      <c r="PNV1" s="77"/>
      <c r="PNW1" s="77"/>
      <c r="PNX1" s="77"/>
      <c r="PNY1" s="77"/>
      <c r="PNZ1" s="77"/>
      <c r="POA1" s="77"/>
      <c r="POB1" s="77"/>
      <c r="POC1" s="77"/>
      <c r="POD1" s="77"/>
      <c r="POE1" s="77"/>
      <c r="POF1" s="77"/>
      <c r="POG1" s="77"/>
      <c r="POH1" s="77"/>
      <c r="POI1" s="77"/>
      <c r="POJ1" s="77"/>
      <c r="POK1" s="77"/>
      <c r="POL1" s="77"/>
      <c r="POM1" s="77"/>
      <c r="PON1" s="77"/>
      <c r="POO1" s="77"/>
      <c r="POP1" s="77"/>
      <c r="POQ1" s="77"/>
      <c r="POR1" s="77"/>
      <c r="POS1" s="77"/>
      <c r="POT1" s="77"/>
      <c r="POU1" s="77"/>
      <c r="POV1" s="77"/>
      <c r="POW1" s="77"/>
      <c r="POX1" s="77"/>
      <c r="POY1" s="77"/>
      <c r="POZ1" s="77"/>
      <c r="PPA1" s="77"/>
      <c r="PPB1" s="77"/>
      <c r="PPC1" s="77"/>
      <c r="PPD1" s="77"/>
      <c r="PPE1" s="77"/>
      <c r="PPF1" s="77"/>
      <c r="PPG1" s="77"/>
      <c r="PPH1" s="77"/>
      <c r="PPI1" s="77"/>
      <c r="PPJ1" s="77"/>
      <c r="PPK1" s="77"/>
      <c r="PPL1" s="77"/>
      <c r="PPM1" s="77"/>
      <c r="PPN1" s="77"/>
      <c r="PPO1" s="77"/>
      <c r="PPP1" s="77"/>
      <c r="PPQ1" s="77"/>
      <c r="PPR1" s="77"/>
      <c r="PPS1" s="77"/>
      <c r="PPT1" s="77"/>
      <c r="PPU1" s="77"/>
      <c r="PPV1" s="77"/>
      <c r="PPW1" s="77"/>
      <c r="PPX1" s="77"/>
      <c r="PPY1" s="77"/>
      <c r="PPZ1" s="77"/>
      <c r="PQA1" s="77"/>
      <c r="PQB1" s="77"/>
      <c r="PQC1" s="77"/>
      <c r="PQD1" s="77"/>
      <c r="PQE1" s="77"/>
      <c r="PQF1" s="77"/>
      <c r="PQG1" s="77"/>
      <c r="PQH1" s="77"/>
      <c r="PQI1" s="77"/>
      <c r="PQJ1" s="77"/>
      <c r="PQK1" s="77"/>
      <c r="PQL1" s="77"/>
      <c r="PQM1" s="77"/>
      <c r="PQN1" s="77"/>
      <c r="PQO1" s="77"/>
      <c r="PQP1" s="77"/>
      <c r="PQQ1" s="77"/>
      <c r="PQR1" s="77"/>
      <c r="PQS1" s="77"/>
      <c r="PQT1" s="77"/>
      <c r="PQU1" s="77"/>
      <c r="PQV1" s="77"/>
      <c r="PQW1" s="77"/>
      <c r="PQX1" s="77"/>
      <c r="PQY1" s="77"/>
      <c r="PQZ1" s="77"/>
      <c r="PRA1" s="77"/>
      <c r="PRB1" s="77"/>
      <c r="PRC1" s="77"/>
      <c r="PRD1" s="77"/>
      <c r="PRE1" s="77"/>
      <c r="PRF1" s="77"/>
      <c r="PRG1" s="77"/>
      <c r="PRH1" s="77"/>
      <c r="PRI1" s="77"/>
      <c r="PRJ1" s="77"/>
      <c r="PRK1" s="77"/>
      <c r="PRL1" s="77"/>
      <c r="PRM1" s="77"/>
      <c r="PRN1" s="77"/>
      <c r="PRO1" s="77"/>
      <c r="PRP1" s="77"/>
      <c r="PRQ1" s="77"/>
      <c r="PRR1" s="77"/>
      <c r="PRS1" s="77"/>
      <c r="PRT1" s="77"/>
      <c r="PRU1" s="77"/>
      <c r="PRV1" s="77"/>
      <c r="PRW1" s="77"/>
      <c r="PRX1" s="77"/>
      <c r="PRY1" s="77"/>
      <c r="PRZ1" s="77"/>
      <c r="PSA1" s="77"/>
      <c r="PSB1" s="77"/>
      <c r="PSC1" s="77"/>
      <c r="PSD1" s="77"/>
      <c r="PSE1" s="77"/>
      <c r="PSF1" s="77"/>
      <c r="PSG1" s="77"/>
      <c r="PSH1" s="77"/>
      <c r="PSI1" s="77"/>
      <c r="PSJ1" s="77"/>
      <c r="PSK1" s="77"/>
      <c r="PSL1" s="77"/>
      <c r="PSM1" s="77"/>
      <c r="PSN1" s="77"/>
      <c r="PSO1" s="77"/>
      <c r="PSP1" s="77"/>
      <c r="PSQ1" s="77"/>
      <c r="PSR1" s="77"/>
      <c r="PSS1" s="77"/>
      <c r="PST1" s="77"/>
      <c r="PSU1" s="77"/>
      <c r="PSV1" s="77"/>
      <c r="PSW1" s="77"/>
      <c r="PSX1" s="77"/>
      <c r="PSY1" s="77"/>
      <c r="PSZ1" s="77"/>
      <c r="PTA1" s="77"/>
      <c r="PTB1" s="77"/>
      <c r="PTC1" s="77"/>
      <c r="PTD1" s="77"/>
      <c r="PTE1" s="77"/>
      <c r="PTF1" s="77"/>
      <c r="PTG1" s="77"/>
      <c r="PTH1" s="77"/>
      <c r="PTI1" s="77"/>
      <c r="PTJ1" s="77"/>
      <c r="PTK1" s="77"/>
      <c r="PTL1" s="77"/>
      <c r="PTM1" s="77"/>
      <c r="PTN1" s="77"/>
      <c r="PTO1" s="77"/>
      <c r="PTP1" s="77"/>
      <c r="PTQ1" s="77"/>
      <c r="PTR1" s="77"/>
      <c r="PTS1" s="77"/>
      <c r="PTT1" s="77"/>
      <c r="PTU1" s="77"/>
      <c r="PTV1" s="77"/>
      <c r="PTW1" s="77"/>
      <c r="PTX1" s="77"/>
      <c r="PTY1" s="77"/>
      <c r="PTZ1" s="77"/>
      <c r="PUA1" s="77"/>
      <c r="PUB1" s="77"/>
      <c r="PUC1" s="77"/>
      <c r="PUD1" s="77"/>
      <c r="PUE1" s="77"/>
      <c r="PUF1" s="77"/>
      <c r="PUG1" s="77"/>
      <c r="PUH1" s="77"/>
      <c r="PUI1" s="77"/>
      <c r="PUJ1" s="77"/>
      <c r="PUK1" s="77"/>
      <c r="PUL1" s="77"/>
      <c r="PUM1" s="77"/>
      <c r="PUN1" s="77"/>
      <c r="PUO1" s="77"/>
      <c r="PUP1" s="77"/>
      <c r="PUQ1" s="77"/>
      <c r="PUR1" s="77"/>
      <c r="PUS1" s="77"/>
      <c r="PUT1" s="77"/>
      <c r="PUU1" s="77"/>
      <c r="PUV1" s="77"/>
      <c r="PUW1" s="77"/>
      <c r="PUX1" s="77"/>
      <c r="PUY1" s="77"/>
      <c r="PUZ1" s="77"/>
      <c r="PVA1" s="77"/>
      <c r="PVB1" s="77"/>
      <c r="PVC1" s="77"/>
      <c r="PVD1" s="77"/>
      <c r="PVE1" s="77"/>
      <c r="PVF1" s="77"/>
      <c r="PVG1" s="77"/>
      <c r="PVH1" s="77"/>
      <c r="PVI1" s="77"/>
      <c r="PVJ1" s="77"/>
      <c r="PVK1" s="77"/>
      <c r="PVL1" s="77"/>
      <c r="PVM1" s="77"/>
      <c r="PVN1" s="77"/>
      <c r="PVO1" s="77"/>
      <c r="PVP1" s="77"/>
      <c r="PVQ1" s="77"/>
      <c r="PVR1" s="77"/>
      <c r="PVS1" s="77"/>
      <c r="PVT1" s="77"/>
      <c r="PVU1" s="77"/>
      <c r="PVV1" s="77"/>
      <c r="PVW1" s="77"/>
      <c r="PVX1" s="77"/>
      <c r="PVY1" s="77"/>
      <c r="PVZ1" s="77"/>
      <c r="PWA1" s="77"/>
      <c r="PWB1" s="77"/>
      <c r="PWC1" s="77"/>
      <c r="PWD1" s="77"/>
      <c r="PWE1" s="77"/>
      <c r="PWF1" s="77"/>
      <c r="PWG1" s="77"/>
      <c r="PWH1" s="77"/>
      <c r="PWI1" s="77"/>
      <c r="PWJ1" s="77"/>
      <c r="PWK1" s="77"/>
      <c r="PWL1" s="77"/>
      <c r="PWM1" s="77"/>
      <c r="PWN1" s="77"/>
      <c r="PWO1" s="77"/>
      <c r="PWP1" s="77"/>
      <c r="PWQ1" s="77"/>
      <c r="PWR1" s="77"/>
      <c r="PWS1" s="77"/>
      <c r="PWT1" s="77"/>
      <c r="PWU1" s="77"/>
      <c r="PWV1" s="77"/>
      <c r="PWW1" s="77"/>
      <c r="PWX1" s="77"/>
      <c r="PWY1" s="77"/>
      <c r="PWZ1" s="77"/>
      <c r="PXA1" s="77"/>
      <c r="PXB1" s="77"/>
      <c r="PXC1" s="77"/>
      <c r="PXD1" s="77"/>
      <c r="PXE1" s="77"/>
      <c r="PXF1" s="77"/>
      <c r="PXG1" s="77"/>
      <c r="PXH1" s="77"/>
      <c r="PXI1" s="77"/>
      <c r="PXJ1" s="77"/>
      <c r="PXK1" s="77"/>
      <c r="PXL1" s="77"/>
      <c r="PXM1" s="77"/>
      <c r="PXN1" s="77"/>
      <c r="PXO1" s="77"/>
      <c r="PXP1" s="77"/>
      <c r="PXQ1" s="77"/>
      <c r="PXR1" s="77"/>
      <c r="PXS1" s="77"/>
      <c r="PXT1" s="77"/>
      <c r="PXU1" s="77"/>
      <c r="PXV1" s="77"/>
      <c r="PXW1" s="77"/>
      <c r="PXX1" s="77"/>
      <c r="PXY1" s="77"/>
      <c r="PXZ1" s="77"/>
      <c r="PYA1" s="77"/>
      <c r="PYB1" s="77"/>
      <c r="PYC1" s="77"/>
      <c r="PYD1" s="77"/>
      <c r="PYE1" s="77"/>
      <c r="PYF1" s="77"/>
      <c r="PYG1" s="77"/>
      <c r="PYH1" s="77"/>
      <c r="PYI1" s="77"/>
      <c r="PYJ1" s="77"/>
      <c r="PYK1" s="77"/>
      <c r="PYL1" s="77"/>
      <c r="PYM1" s="77"/>
      <c r="PYN1" s="77"/>
      <c r="PYO1" s="77"/>
      <c r="PYP1" s="77"/>
      <c r="PYQ1" s="77"/>
      <c r="PYR1" s="77"/>
      <c r="PYS1" s="77"/>
      <c r="PYT1" s="77"/>
      <c r="PYU1" s="77"/>
      <c r="PYV1" s="77"/>
      <c r="PYW1" s="77"/>
      <c r="PYX1" s="77"/>
      <c r="PYY1" s="77"/>
      <c r="PYZ1" s="77"/>
      <c r="PZA1" s="77"/>
      <c r="PZB1" s="77"/>
      <c r="PZC1" s="77"/>
      <c r="PZD1" s="77"/>
      <c r="PZE1" s="77"/>
      <c r="PZF1" s="77"/>
      <c r="PZG1" s="77"/>
      <c r="PZH1" s="77"/>
      <c r="PZI1" s="77"/>
      <c r="PZJ1" s="77"/>
      <c r="PZK1" s="77"/>
      <c r="PZL1" s="77"/>
      <c r="PZM1" s="77"/>
      <c r="PZN1" s="77"/>
      <c r="PZO1" s="77"/>
      <c r="PZP1" s="77"/>
      <c r="PZQ1" s="77"/>
      <c r="PZR1" s="77"/>
      <c r="PZS1" s="77"/>
      <c r="PZT1" s="77"/>
      <c r="PZU1" s="77"/>
      <c r="PZV1" s="77"/>
      <c r="PZW1" s="77"/>
      <c r="PZX1" s="77"/>
      <c r="PZY1" s="77"/>
      <c r="PZZ1" s="77"/>
      <c r="QAA1" s="77"/>
      <c r="QAB1" s="77"/>
      <c r="QAC1" s="77"/>
      <c r="QAD1" s="77"/>
      <c r="QAE1" s="77"/>
      <c r="QAF1" s="77"/>
      <c r="QAG1" s="77"/>
      <c r="QAH1" s="77"/>
      <c r="QAI1" s="77"/>
      <c r="QAJ1" s="77"/>
      <c r="QAK1" s="77"/>
      <c r="QAL1" s="77"/>
      <c r="QAM1" s="77"/>
      <c r="QAN1" s="77"/>
      <c r="QAO1" s="77"/>
      <c r="QAP1" s="77"/>
      <c r="QAQ1" s="77"/>
      <c r="QAR1" s="77"/>
      <c r="QAS1" s="77"/>
      <c r="QAT1" s="77"/>
      <c r="QAU1" s="77"/>
      <c r="QAV1" s="77"/>
      <c r="QAW1" s="77"/>
      <c r="QAX1" s="77"/>
      <c r="QAY1" s="77"/>
      <c r="QAZ1" s="77"/>
      <c r="QBA1" s="77"/>
      <c r="QBB1" s="77"/>
      <c r="QBC1" s="77"/>
      <c r="QBD1" s="77"/>
      <c r="QBE1" s="77"/>
      <c r="QBF1" s="77"/>
      <c r="QBG1" s="77"/>
      <c r="QBH1" s="77"/>
      <c r="QBI1" s="77"/>
      <c r="QBJ1" s="77"/>
      <c r="QBK1" s="77"/>
      <c r="QBL1" s="77"/>
      <c r="QBM1" s="77"/>
      <c r="QBN1" s="77"/>
      <c r="QBO1" s="77"/>
      <c r="QBP1" s="77"/>
      <c r="QBQ1" s="77"/>
      <c r="QBR1" s="77"/>
      <c r="QBS1" s="77"/>
      <c r="QBT1" s="77"/>
      <c r="QBU1" s="77"/>
      <c r="QBV1" s="77"/>
      <c r="QBW1" s="77"/>
      <c r="QBX1" s="77"/>
      <c r="QBY1" s="77"/>
      <c r="QBZ1" s="77"/>
      <c r="QCA1" s="77"/>
      <c r="QCB1" s="77"/>
      <c r="QCC1" s="77"/>
      <c r="QCD1" s="77"/>
      <c r="QCE1" s="77"/>
      <c r="QCF1" s="77"/>
      <c r="QCG1" s="77"/>
      <c r="QCH1" s="77"/>
      <c r="QCI1" s="77"/>
      <c r="QCJ1" s="77"/>
      <c r="QCK1" s="77"/>
      <c r="QCL1" s="77"/>
      <c r="QCM1" s="77"/>
      <c r="QCN1" s="77"/>
      <c r="QCO1" s="77"/>
      <c r="QCP1" s="77"/>
      <c r="QCQ1" s="77"/>
      <c r="QCR1" s="77"/>
      <c r="QCS1" s="77"/>
      <c r="QCT1" s="77"/>
      <c r="QCU1" s="77"/>
      <c r="QCV1" s="77"/>
      <c r="QCW1" s="77"/>
      <c r="QCX1" s="77"/>
      <c r="QCY1" s="77"/>
      <c r="QCZ1" s="77"/>
      <c r="QDA1" s="77"/>
      <c r="QDB1" s="77"/>
      <c r="QDC1" s="77"/>
      <c r="QDD1" s="77"/>
      <c r="QDE1" s="77"/>
      <c r="QDF1" s="77"/>
      <c r="QDG1" s="77"/>
      <c r="QDH1" s="77"/>
      <c r="QDI1" s="77"/>
      <c r="QDJ1" s="77"/>
      <c r="QDK1" s="77"/>
      <c r="QDL1" s="77"/>
      <c r="QDM1" s="77"/>
      <c r="QDN1" s="77"/>
      <c r="QDO1" s="77"/>
      <c r="QDP1" s="77"/>
      <c r="QDQ1" s="77"/>
      <c r="QDR1" s="77"/>
      <c r="QDS1" s="77"/>
      <c r="QDT1" s="77"/>
      <c r="QDU1" s="77"/>
      <c r="QDV1" s="77"/>
      <c r="QDW1" s="77"/>
      <c r="QDX1" s="77"/>
      <c r="QDY1" s="77"/>
      <c r="QDZ1" s="77"/>
      <c r="QEA1" s="77"/>
      <c r="QEB1" s="77"/>
      <c r="QEC1" s="77"/>
      <c r="QED1" s="77"/>
      <c r="QEE1" s="77"/>
      <c r="QEF1" s="77"/>
      <c r="QEG1" s="77"/>
      <c r="QEH1" s="77"/>
      <c r="QEI1" s="77"/>
      <c r="QEJ1" s="77"/>
      <c r="QEK1" s="77"/>
      <c r="QEL1" s="77"/>
      <c r="QEM1" s="77"/>
      <c r="QEN1" s="77"/>
      <c r="QEO1" s="77"/>
      <c r="QEP1" s="77"/>
      <c r="QEQ1" s="77"/>
      <c r="QER1" s="77"/>
      <c r="QES1" s="77"/>
      <c r="QET1" s="77"/>
      <c r="QEU1" s="77"/>
      <c r="QEV1" s="77"/>
      <c r="QEW1" s="77"/>
      <c r="QEX1" s="77"/>
      <c r="QEY1" s="77"/>
      <c r="QEZ1" s="77"/>
      <c r="QFA1" s="77"/>
      <c r="QFB1" s="77"/>
      <c r="QFC1" s="77"/>
      <c r="QFD1" s="77"/>
      <c r="QFE1" s="77"/>
      <c r="QFF1" s="77"/>
      <c r="QFG1" s="77"/>
      <c r="QFH1" s="77"/>
      <c r="QFI1" s="77"/>
      <c r="QFJ1" s="77"/>
      <c r="QFK1" s="77"/>
      <c r="QFL1" s="77"/>
      <c r="QFM1" s="77"/>
      <c r="QFN1" s="77"/>
      <c r="QFO1" s="77"/>
      <c r="QFP1" s="77"/>
      <c r="QFQ1" s="77"/>
      <c r="QFR1" s="77"/>
      <c r="QFS1" s="77"/>
      <c r="QFT1" s="77"/>
      <c r="QFU1" s="77"/>
      <c r="QFV1" s="77"/>
      <c r="QFW1" s="77"/>
      <c r="QFX1" s="77"/>
      <c r="QFY1" s="77"/>
      <c r="QFZ1" s="77"/>
      <c r="QGA1" s="77"/>
      <c r="QGB1" s="77"/>
      <c r="QGC1" s="77"/>
      <c r="QGD1" s="77"/>
      <c r="QGE1" s="77"/>
      <c r="QGF1" s="77"/>
      <c r="QGG1" s="77"/>
      <c r="QGH1" s="77"/>
      <c r="QGI1" s="77"/>
      <c r="QGJ1" s="77"/>
      <c r="QGK1" s="77"/>
      <c r="QGL1" s="77"/>
      <c r="QGM1" s="77"/>
      <c r="QGN1" s="77"/>
      <c r="QGO1" s="77"/>
      <c r="QGP1" s="77"/>
      <c r="QGQ1" s="77"/>
      <c r="QGR1" s="77"/>
      <c r="QGS1" s="77"/>
      <c r="QGT1" s="77"/>
      <c r="QGU1" s="77"/>
      <c r="QGV1" s="77"/>
      <c r="QGW1" s="77"/>
      <c r="QGX1" s="77"/>
      <c r="QGY1" s="77"/>
      <c r="QGZ1" s="77"/>
      <c r="QHA1" s="77"/>
      <c r="QHB1" s="77"/>
      <c r="QHC1" s="77"/>
      <c r="QHD1" s="77"/>
      <c r="QHE1" s="77"/>
      <c r="QHF1" s="77"/>
      <c r="QHG1" s="77"/>
      <c r="QHH1" s="77"/>
      <c r="QHI1" s="77"/>
      <c r="QHJ1" s="77"/>
      <c r="QHK1" s="77"/>
      <c r="QHL1" s="77"/>
      <c r="QHM1" s="77"/>
      <c r="QHN1" s="77"/>
      <c r="QHO1" s="77"/>
      <c r="QHP1" s="77"/>
      <c r="QHQ1" s="77"/>
      <c r="QHR1" s="77"/>
      <c r="QHS1" s="77"/>
      <c r="QHT1" s="77"/>
      <c r="QHU1" s="77"/>
      <c r="QHV1" s="77"/>
      <c r="QHW1" s="77"/>
      <c r="QHX1" s="77"/>
      <c r="QHY1" s="77"/>
      <c r="QHZ1" s="77"/>
      <c r="QIA1" s="77"/>
      <c r="QIB1" s="77"/>
      <c r="QIC1" s="77"/>
      <c r="QID1" s="77"/>
      <c r="QIE1" s="77"/>
      <c r="QIF1" s="77"/>
      <c r="QIG1" s="77"/>
      <c r="QIH1" s="77"/>
      <c r="QII1" s="77"/>
      <c r="QIJ1" s="77"/>
      <c r="QIK1" s="77"/>
      <c r="QIL1" s="77"/>
      <c r="QIM1" s="77"/>
      <c r="QIN1" s="77"/>
      <c r="QIO1" s="77"/>
      <c r="QIP1" s="77"/>
      <c r="QIQ1" s="77"/>
      <c r="QIR1" s="77"/>
      <c r="QIS1" s="77"/>
      <c r="QIT1" s="77"/>
      <c r="QIU1" s="77"/>
      <c r="QIV1" s="77"/>
      <c r="QIW1" s="77"/>
      <c r="QIX1" s="77"/>
      <c r="QIY1" s="77"/>
      <c r="QIZ1" s="77"/>
      <c r="QJA1" s="77"/>
      <c r="QJB1" s="77"/>
      <c r="QJC1" s="77"/>
      <c r="QJD1" s="77"/>
      <c r="QJE1" s="77"/>
      <c r="QJF1" s="77"/>
      <c r="QJG1" s="77"/>
      <c r="QJH1" s="77"/>
      <c r="QJI1" s="77"/>
      <c r="QJJ1" s="77"/>
      <c r="QJK1" s="77"/>
      <c r="QJL1" s="77"/>
      <c r="QJM1" s="77"/>
      <c r="QJN1" s="77"/>
      <c r="QJO1" s="77"/>
      <c r="QJP1" s="77"/>
      <c r="QJQ1" s="77"/>
      <c r="QJR1" s="77"/>
      <c r="QJS1" s="77"/>
      <c r="QJT1" s="77"/>
      <c r="QJU1" s="77"/>
      <c r="QJV1" s="77"/>
      <c r="QJW1" s="77"/>
      <c r="QJX1" s="77"/>
      <c r="QJY1" s="77"/>
      <c r="QJZ1" s="77"/>
      <c r="QKA1" s="77"/>
      <c r="QKB1" s="77"/>
      <c r="QKC1" s="77"/>
      <c r="QKD1" s="77"/>
      <c r="QKE1" s="77"/>
      <c r="QKF1" s="77"/>
      <c r="QKG1" s="77"/>
      <c r="QKH1" s="77"/>
      <c r="QKI1" s="77"/>
      <c r="QKJ1" s="77"/>
      <c r="QKK1" s="77"/>
      <c r="QKL1" s="77"/>
      <c r="QKM1" s="77"/>
      <c r="QKN1" s="77"/>
      <c r="QKO1" s="77"/>
      <c r="QKP1" s="77"/>
      <c r="QKQ1" s="77"/>
      <c r="QKR1" s="77"/>
      <c r="QKS1" s="77"/>
      <c r="QKT1" s="77"/>
      <c r="QKU1" s="77"/>
      <c r="QKV1" s="77"/>
      <c r="QKW1" s="77"/>
      <c r="QKX1" s="77"/>
      <c r="QKY1" s="77"/>
      <c r="QKZ1" s="77"/>
      <c r="QLA1" s="77"/>
      <c r="QLB1" s="77"/>
      <c r="QLC1" s="77"/>
      <c r="QLD1" s="77"/>
      <c r="QLE1" s="77"/>
      <c r="QLF1" s="77"/>
      <c r="QLG1" s="77"/>
      <c r="QLH1" s="77"/>
      <c r="QLI1" s="77"/>
      <c r="QLJ1" s="77"/>
      <c r="QLK1" s="77"/>
      <c r="QLL1" s="77"/>
      <c r="QLM1" s="77"/>
      <c r="QLN1" s="77"/>
      <c r="QLO1" s="77"/>
      <c r="QLP1" s="77"/>
      <c r="QLQ1" s="77"/>
      <c r="QLR1" s="77"/>
      <c r="QLS1" s="77"/>
      <c r="QLT1" s="77"/>
      <c r="QLU1" s="77"/>
      <c r="QLV1" s="77"/>
      <c r="QLW1" s="77"/>
      <c r="QLX1" s="77"/>
      <c r="QLY1" s="77"/>
      <c r="QLZ1" s="77"/>
      <c r="QMA1" s="77"/>
      <c r="QMB1" s="77"/>
      <c r="QMC1" s="77"/>
      <c r="QMD1" s="77"/>
      <c r="QME1" s="77"/>
      <c r="QMF1" s="77"/>
      <c r="QMG1" s="77"/>
      <c r="QMH1" s="77"/>
      <c r="QMI1" s="77"/>
      <c r="QMJ1" s="77"/>
      <c r="QMK1" s="77"/>
      <c r="QML1" s="77"/>
      <c r="QMM1" s="77"/>
      <c r="QMN1" s="77"/>
      <c r="QMO1" s="77"/>
      <c r="QMP1" s="77"/>
      <c r="QMQ1" s="77"/>
      <c r="QMR1" s="77"/>
      <c r="QMS1" s="77"/>
      <c r="QMT1" s="77"/>
      <c r="QMU1" s="77"/>
      <c r="QMV1" s="77"/>
      <c r="QMW1" s="77"/>
      <c r="QMX1" s="77"/>
      <c r="QMY1" s="77"/>
      <c r="QMZ1" s="77"/>
      <c r="QNA1" s="77"/>
      <c r="QNB1" s="77"/>
      <c r="QNC1" s="77"/>
      <c r="QND1" s="77"/>
      <c r="QNE1" s="77"/>
      <c r="QNF1" s="77"/>
      <c r="QNG1" s="77"/>
      <c r="QNH1" s="77"/>
      <c r="QNI1" s="77"/>
      <c r="QNJ1" s="77"/>
      <c r="QNK1" s="77"/>
      <c r="QNL1" s="77"/>
      <c r="QNM1" s="77"/>
      <c r="QNN1" s="77"/>
      <c r="QNO1" s="77"/>
      <c r="QNP1" s="77"/>
      <c r="QNQ1" s="77"/>
      <c r="QNR1" s="77"/>
      <c r="QNS1" s="77"/>
      <c r="QNT1" s="77"/>
      <c r="QNU1" s="77"/>
      <c r="QNV1" s="77"/>
      <c r="QNW1" s="77"/>
      <c r="QNX1" s="77"/>
      <c r="QNY1" s="77"/>
      <c r="QNZ1" s="77"/>
      <c r="QOA1" s="77"/>
      <c r="QOB1" s="77"/>
      <c r="QOC1" s="77"/>
      <c r="QOD1" s="77"/>
      <c r="QOE1" s="77"/>
      <c r="QOF1" s="77"/>
      <c r="QOG1" s="77"/>
      <c r="QOH1" s="77"/>
      <c r="QOI1" s="77"/>
      <c r="QOJ1" s="77"/>
      <c r="QOK1" s="77"/>
      <c r="QOL1" s="77"/>
      <c r="QOM1" s="77"/>
      <c r="QON1" s="77"/>
      <c r="QOO1" s="77"/>
      <c r="QOP1" s="77"/>
      <c r="QOQ1" s="77"/>
      <c r="QOR1" s="77"/>
      <c r="QOS1" s="77"/>
      <c r="QOT1" s="77"/>
      <c r="QOU1" s="77"/>
      <c r="QOV1" s="77"/>
      <c r="QOW1" s="77"/>
      <c r="QOX1" s="77"/>
      <c r="QOY1" s="77"/>
      <c r="QOZ1" s="77"/>
      <c r="QPA1" s="77"/>
      <c r="QPB1" s="77"/>
      <c r="QPC1" s="77"/>
      <c r="QPD1" s="77"/>
      <c r="QPE1" s="77"/>
      <c r="QPF1" s="77"/>
      <c r="QPG1" s="77"/>
      <c r="QPH1" s="77"/>
      <c r="QPI1" s="77"/>
      <c r="QPJ1" s="77"/>
      <c r="QPK1" s="77"/>
      <c r="QPL1" s="77"/>
      <c r="QPM1" s="77"/>
      <c r="QPN1" s="77"/>
      <c r="QPO1" s="77"/>
      <c r="QPP1" s="77"/>
      <c r="QPQ1" s="77"/>
      <c r="QPR1" s="77"/>
      <c r="QPS1" s="77"/>
      <c r="QPT1" s="77"/>
      <c r="QPU1" s="77"/>
      <c r="QPV1" s="77"/>
      <c r="QPW1" s="77"/>
      <c r="QPX1" s="77"/>
      <c r="QPY1" s="77"/>
      <c r="QPZ1" s="77"/>
      <c r="QQA1" s="77"/>
      <c r="QQB1" s="77"/>
      <c r="QQC1" s="77"/>
      <c r="QQD1" s="77"/>
      <c r="QQE1" s="77"/>
      <c r="QQF1" s="77"/>
      <c r="QQG1" s="77"/>
      <c r="QQH1" s="77"/>
      <c r="QQI1" s="77"/>
      <c r="QQJ1" s="77"/>
      <c r="QQK1" s="77"/>
      <c r="QQL1" s="77"/>
      <c r="QQM1" s="77"/>
      <c r="QQN1" s="77"/>
      <c r="QQO1" s="77"/>
      <c r="QQP1" s="77"/>
      <c r="QQQ1" s="77"/>
      <c r="QQR1" s="77"/>
      <c r="QQS1" s="77"/>
      <c r="QQT1" s="77"/>
      <c r="QQU1" s="77"/>
      <c r="QQV1" s="77"/>
      <c r="QQW1" s="77"/>
      <c r="QQX1" s="77"/>
      <c r="QQY1" s="77"/>
      <c r="QQZ1" s="77"/>
      <c r="QRA1" s="77"/>
      <c r="QRB1" s="77"/>
      <c r="QRC1" s="77"/>
      <c r="QRD1" s="77"/>
      <c r="QRE1" s="77"/>
      <c r="QRF1" s="77"/>
      <c r="QRG1" s="77"/>
      <c r="QRH1" s="77"/>
      <c r="QRI1" s="77"/>
      <c r="QRJ1" s="77"/>
      <c r="QRK1" s="77"/>
      <c r="QRL1" s="77"/>
      <c r="QRM1" s="77"/>
      <c r="QRN1" s="77"/>
      <c r="QRO1" s="77"/>
      <c r="QRP1" s="77"/>
      <c r="QRQ1" s="77"/>
      <c r="QRR1" s="77"/>
      <c r="QRS1" s="77"/>
      <c r="QRT1" s="77"/>
      <c r="QRU1" s="77"/>
      <c r="QRV1" s="77"/>
      <c r="QRW1" s="77"/>
      <c r="QRX1" s="77"/>
      <c r="QRY1" s="77"/>
      <c r="QRZ1" s="77"/>
      <c r="QSA1" s="77"/>
      <c r="QSB1" s="77"/>
      <c r="QSC1" s="77"/>
      <c r="QSD1" s="77"/>
      <c r="QSE1" s="77"/>
      <c r="QSF1" s="77"/>
      <c r="QSG1" s="77"/>
      <c r="QSH1" s="77"/>
      <c r="QSI1" s="77"/>
      <c r="QSJ1" s="77"/>
      <c r="QSK1" s="77"/>
      <c r="QSL1" s="77"/>
      <c r="QSM1" s="77"/>
      <c r="QSN1" s="77"/>
      <c r="QSO1" s="77"/>
      <c r="QSP1" s="77"/>
      <c r="QSQ1" s="77"/>
      <c r="QSR1" s="77"/>
      <c r="QSS1" s="77"/>
      <c r="QST1" s="77"/>
      <c r="QSU1" s="77"/>
      <c r="QSV1" s="77"/>
      <c r="QSW1" s="77"/>
      <c r="QSX1" s="77"/>
      <c r="QSY1" s="77"/>
      <c r="QSZ1" s="77"/>
      <c r="QTA1" s="77"/>
      <c r="QTB1" s="77"/>
      <c r="QTC1" s="77"/>
      <c r="QTD1" s="77"/>
      <c r="QTE1" s="77"/>
      <c r="QTF1" s="77"/>
      <c r="QTG1" s="77"/>
      <c r="QTH1" s="77"/>
      <c r="QTI1" s="77"/>
      <c r="QTJ1" s="77"/>
      <c r="QTK1" s="77"/>
      <c r="QTL1" s="77"/>
      <c r="QTM1" s="77"/>
      <c r="QTN1" s="77"/>
      <c r="QTO1" s="77"/>
      <c r="QTP1" s="77"/>
      <c r="QTQ1" s="77"/>
      <c r="QTR1" s="77"/>
      <c r="QTS1" s="77"/>
      <c r="QTT1" s="77"/>
      <c r="QTU1" s="77"/>
      <c r="QTV1" s="77"/>
      <c r="QTW1" s="77"/>
      <c r="QTX1" s="77"/>
      <c r="QTY1" s="77"/>
      <c r="QTZ1" s="77"/>
      <c r="QUA1" s="77"/>
      <c r="QUB1" s="77"/>
      <c r="QUC1" s="77"/>
      <c r="QUD1" s="77"/>
      <c r="QUE1" s="77"/>
      <c r="QUF1" s="77"/>
      <c r="QUG1" s="77"/>
      <c r="QUH1" s="77"/>
      <c r="QUI1" s="77"/>
      <c r="QUJ1" s="77"/>
      <c r="QUK1" s="77"/>
      <c r="QUL1" s="77"/>
      <c r="QUM1" s="77"/>
      <c r="QUN1" s="77"/>
      <c r="QUO1" s="77"/>
      <c r="QUP1" s="77"/>
      <c r="QUQ1" s="77"/>
      <c r="QUR1" s="77"/>
      <c r="QUS1" s="77"/>
      <c r="QUT1" s="77"/>
      <c r="QUU1" s="77"/>
      <c r="QUV1" s="77"/>
      <c r="QUW1" s="77"/>
      <c r="QUX1" s="77"/>
      <c r="QUY1" s="77"/>
      <c r="QUZ1" s="77"/>
      <c r="QVA1" s="77"/>
      <c r="QVB1" s="77"/>
      <c r="QVC1" s="77"/>
      <c r="QVD1" s="77"/>
      <c r="QVE1" s="77"/>
      <c r="QVF1" s="77"/>
      <c r="QVG1" s="77"/>
      <c r="QVH1" s="77"/>
      <c r="QVI1" s="77"/>
      <c r="QVJ1" s="77"/>
      <c r="QVK1" s="77"/>
      <c r="QVL1" s="77"/>
      <c r="QVM1" s="77"/>
      <c r="QVN1" s="77"/>
      <c r="QVO1" s="77"/>
      <c r="QVP1" s="77"/>
      <c r="QVQ1" s="77"/>
      <c r="QVR1" s="77"/>
      <c r="QVS1" s="77"/>
      <c r="QVT1" s="77"/>
      <c r="QVU1" s="77"/>
      <c r="QVV1" s="77"/>
      <c r="QVW1" s="77"/>
      <c r="QVX1" s="77"/>
      <c r="QVY1" s="77"/>
      <c r="QVZ1" s="77"/>
      <c r="QWA1" s="77"/>
      <c r="QWB1" s="77"/>
      <c r="QWC1" s="77"/>
      <c r="QWD1" s="77"/>
      <c r="QWE1" s="77"/>
      <c r="QWF1" s="77"/>
      <c r="QWG1" s="77"/>
      <c r="QWH1" s="77"/>
      <c r="QWI1" s="77"/>
      <c r="QWJ1" s="77"/>
      <c r="QWK1" s="77"/>
      <c r="QWL1" s="77"/>
      <c r="QWM1" s="77"/>
      <c r="QWN1" s="77"/>
      <c r="QWO1" s="77"/>
      <c r="QWP1" s="77"/>
      <c r="QWQ1" s="77"/>
      <c r="QWR1" s="77"/>
      <c r="QWS1" s="77"/>
      <c r="QWT1" s="77"/>
      <c r="QWU1" s="77"/>
      <c r="QWV1" s="77"/>
      <c r="QWW1" s="77"/>
      <c r="QWX1" s="77"/>
      <c r="QWY1" s="77"/>
      <c r="QWZ1" s="77"/>
      <c r="QXA1" s="77"/>
      <c r="QXB1" s="77"/>
      <c r="QXC1" s="77"/>
      <c r="QXD1" s="77"/>
      <c r="QXE1" s="77"/>
      <c r="QXF1" s="77"/>
      <c r="QXG1" s="77"/>
      <c r="QXH1" s="77"/>
      <c r="QXI1" s="77"/>
      <c r="QXJ1" s="77"/>
      <c r="QXK1" s="77"/>
      <c r="QXL1" s="77"/>
      <c r="QXM1" s="77"/>
      <c r="QXN1" s="77"/>
      <c r="QXO1" s="77"/>
      <c r="QXP1" s="77"/>
      <c r="QXQ1" s="77"/>
      <c r="QXR1" s="77"/>
      <c r="QXS1" s="77"/>
      <c r="QXT1" s="77"/>
      <c r="QXU1" s="77"/>
      <c r="QXV1" s="77"/>
      <c r="QXW1" s="77"/>
      <c r="QXX1" s="77"/>
      <c r="QXY1" s="77"/>
      <c r="QXZ1" s="77"/>
      <c r="QYA1" s="77"/>
      <c r="QYB1" s="77"/>
      <c r="QYC1" s="77"/>
      <c r="QYD1" s="77"/>
      <c r="QYE1" s="77"/>
      <c r="QYF1" s="77"/>
      <c r="QYG1" s="77"/>
      <c r="QYH1" s="77"/>
      <c r="QYI1" s="77"/>
      <c r="QYJ1" s="77"/>
      <c r="QYK1" s="77"/>
      <c r="QYL1" s="77"/>
      <c r="QYM1" s="77"/>
      <c r="QYN1" s="77"/>
      <c r="QYO1" s="77"/>
      <c r="QYP1" s="77"/>
      <c r="QYQ1" s="77"/>
      <c r="QYR1" s="77"/>
      <c r="QYS1" s="77"/>
      <c r="QYT1" s="77"/>
      <c r="QYU1" s="77"/>
      <c r="QYV1" s="77"/>
      <c r="QYW1" s="77"/>
      <c r="QYX1" s="77"/>
      <c r="QYY1" s="77"/>
      <c r="QYZ1" s="77"/>
      <c r="QZA1" s="77"/>
      <c r="QZB1" s="77"/>
      <c r="QZC1" s="77"/>
      <c r="QZD1" s="77"/>
      <c r="QZE1" s="77"/>
      <c r="QZF1" s="77"/>
      <c r="QZG1" s="77"/>
      <c r="QZH1" s="77"/>
      <c r="QZI1" s="77"/>
      <c r="QZJ1" s="77"/>
      <c r="QZK1" s="77"/>
      <c r="QZL1" s="77"/>
      <c r="QZM1" s="77"/>
      <c r="QZN1" s="77"/>
      <c r="QZO1" s="77"/>
      <c r="QZP1" s="77"/>
      <c r="QZQ1" s="77"/>
      <c r="QZR1" s="77"/>
      <c r="QZS1" s="77"/>
      <c r="QZT1" s="77"/>
      <c r="QZU1" s="77"/>
      <c r="QZV1" s="77"/>
      <c r="QZW1" s="77"/>
      <c r="QZX1" s="77"/>
      <c r="QZY1" s="77"/>
      <c r="QZZ1" s="77"/>
      <c r="RAA1" s="77"/>
      <c r="RAB1" s="77"/>
      <c r="RAC1" s="77"/>
      <c r="RAD1" s="77"/>
      <c r="RAE1" s="77"/>
      <c r="RAF1" s="77"/>
      <c r="RAG1" s="77"/>
      <c r="RAH1" s="77"/>
      <c r="RAI1" s="77"/>
      <c r="RAJ1" s="77"/>
      <c r="RAK1" s="77"/>
      <c r="RAL1" s="77"/>
      <c r="RAM1" s="77"/>
      <c r="RAN1" s="77"/>
      <c r="RAO1" s="77"/>
      <c r="RAP1" s="77"/>
      <c r="RAQ1" s="77"/>
      <c r="RAR1" s="77"/>
      <c r="RAS1" s="77"/>
      <c r="RAT1" s="77"/>
      <c r="RAU1" s="77"/>
      <c r="RAV1" s="77"/>
      <c r="RAW1" s="77"/>
      <c r="RAX1" s="77"/>
      <c r="RAY1" s="77"/>
      <c r="RAZ1" s="77"/>
      <c r="RBA1" s="77"/>
      <c r="RBB1" s="77"/>
      <c r="RBC1" s="77"/>
      <c r="RBD1" s="77"/>
      <c r="RBE1" s="77"/>
      <c r="RBF1" s="77"/>
      <c r="RBG1" s="77"/>
      <c r="RBH1" s="77"/>
      <c r="RBI1" s="77"/>
      <c r="RBJ1" s="77"/>
      <c r="RBK1" s="77"/>
      <c r="RBL1" s="77"/>
      <c r="RBM1" s="77"/>
      <c r="RBN1" s="77"/>
      <c r="RBO1" s="77"/>
      <c r="RBP1" s="77"/>
      <c r="RBQ1" s="77"/>
      <c r="RBR1" s="77"/>
      <c r="RBS1" s="77"/>
      <c r="RBT1" s="77"/>
      <c r="RBU1" s="77"/>
      <c r="RBV1" s="77"/>
      <c r="RBW1" s="77"/>
      <c r="RBX1" s="77"/>
      <c r="RBY1" s="77"/>
      <c r="RBZ1" s="77"/>
      <c r="RCA1" s="77"/>
      <c r="RCB1" s="77"/>
      <c r="RCC1" s="77"/>
      <c r="RCD1" s="77"/>
      <c r="RCE1" s="77"/>
      <c r="RCF1" s="77"/>
      <c r="RCG1" s="77"/>
      <c r="RCH1" s="77"/>
      <c r="RCI1" s="77"/>
      <c r="RCJ1" s="77"/>
      <c r="RCK1" s="77"/>
      <c r="RCL1" s="77"/>
      <c r="RCM1" s="77"/>
      <c r="RCN1" s="77"/>
      <c r="RCO1" s="77"/>
      <c r="RCP1" s="77"/>
      <c r="RCQ1" s="77"/>
      <c r="RCR1" s="77"/>
      <c r="RCS1" s="77"/>
      <c r="RCT1" s="77"/>
      <c r="RCU1" s="77"/>
      <c r="RCV1" s="77"/>
      <c r="RCW1" s="77"/>
      <c r="RCX1" s="77"/>
      <c r="RCY1" s="77"/>
      <c r="RCZ1" s="77"/>
      <c r="RDA1" s="77"/>
      <c r="RDB1" s="77"/>
      <c r="RDC1" s="77"/>
      <c r="RDD1" s="77"/>
      <c r="RDE1" s="77"/>
      <c r="RDF1" s="77"/>
      <c r="RDG1" s="77"/>
      <c r="RDH1" s="77"/>
      <c r="RDI1" s="77"/>
      <c r="RDJ1" s="77"/>
      <c r="RDK1" s="77"/>
      <c r="RDL1" s="77"/>
      <c r="RDM1" s="77"/>
      <c r="RDN1" s="77"/>
      <c r="RDO1" s="77"/>
      <c r="RDP1" s="77"/>
      <c r="RDQ1" s="77"/>
      <c r="RDR1" s="77"/>
      <c r="RDS1" s="77"/>
      <c r="RDT1" s="77"/>
      <c r="RDU1" s="77"/>
      <c r="RDV1" s="77"/>
      <c r="RDW1" s="77"/>
      <c r="RDX1" s="77"/>
      <c r="RDY1" s="77"/>
      <c r="RDZ1" s="77"/>
      <c r="REA1" s="77"/>
      <c r="REB1" s="77"/>
      <c r="REC1" s="77"/>
      <c r="RED1" s="77"/>
      <c r="REE1" s="77"/>
      <c r="REF1" s="77"/>
      <c r="REG1" s="77"/>
      <c r="REH1" s="77"/>
      <c r="REI1" s="77"/>
      <c r="REJ1" s="77"/>
      <c r="REK1" s="77"/>
      <c r="REL1" s="77"/>
      <c r="REM1" s="77"/>
      <c r="REN1" s="77"/>
      <c r="REO1" s="77"/>
      <c r="REP1" s="77"/>
      <c r="REQ1" s="77"/>
      <c r="RER1" s="77"/>
      <c r="RES1" s="77"/>
      <c r="RET1" s="77"/>
      <c r="REU1" s="77"/>
      <c r="REV1" s="77"/>
      <c r="REW1" s="77"/>
      <c r="REX1" s="77"/>
      <c r="REY1" s="77"/>
      <c r="REZ1" s="77"/>
      <c r="RFA1" s="77"/>
      <c r="RFB1" s="77"/>
      <c r="RFC1" s="77"/>
      <c r="RFD1" s="77"/>
      <c r="RFE1" s="77"/>
      <c r="RFF1" s="77"/>
      <c r="RFG1" s="77"/>
      <c r="RFH1" s="77"/>
      <c r="RFI1" s="77"/>
      <c r="RFJ1" s="77"/>
      <c r="RFK1" s="77"/>
      <c r="RFL1" s="77"/>
      <c r="RFM1" s="77"/>
      <c r="RFN1" s="77"/>
      <c r="RFO1" s="77"/>
      <c r="RFP1" s="77"/>
      <c r="RFQ1" s="77"/>
      <c r="RFR1" s="77"/>
      <c r="RFS1" s="77"/>
      <c r="RFT1" s="77"/>
      <c r="RFU1" s="77"/>
      <c r="RFV1" s="77"/>
      <c r="RFW1" s="77"/>
      <c r="RFX1" s="77"/>
      <c r="RFY1" s="77"/>
      <c r="RFZ1" s="77"/>
      <c r="RGA1" s="77"/>
      <c r="RGB1" s="77"/>
      <c r="RGC1" s="77"/>
      <c r="RGD1" s="77"/>
      <c r="RGE1" s="77"/>
      <c r="RGF1" s="77"/>
      <c r="RGG1" s="77"/>
      <c r="RGH1" s="77"/>
      <c r="RGI1" s="77"/>
      <c r="RGJ1" s="77"/>
      <c r="RGK1" s="77"/>
      <c r="RGL1" s="77"/>
      <c r="RGM1" s="77"/>
      <c r="RGN1" s="77"/>
      <c r="RGO1" s="77"/>
      <c r="RGP1" s="77"/>
      <c r="RGQ1" s="77"/>
      <c r="RGR1" s="77"/>
      <c r="RGS1" s="77"/>
      <c r="RGT1" s="77"/>
      <c r="RGU1" s="77"/>
      <c r="RGV1" s="77"/>
      <c r="RGW1" s="77"/>
      <c r="RGX1" s="77"/>
      <c r="RGY1" s="77"/>
      <c r="RGZ1" s="77"/>
      <c r="RHA1" s="77"/>
      <c r="RHB1" s="77"/>
      <c r="RHC1" s="77"/>
      <c r="RHD1" s="77"/>
      <c r="RHE1" s="77"/>
      <c r="RHF1" s="77"/>
      <c r="RHG1" s="77"/>
      <c r="RHH1" s="77"/>
      <c r="RHI1" s="77"/>
      <c r="RHJ1" s="77"/>
      <c r="RHK1" s="77"/>
      <c r="RHL1" s="77"/>
      <c r="RHM1" s="77"/>
      <c r="RHN1" s="77"/>
      <c r="RHO1" s="77"/>
      <c r="RHP1" s="77"/>
      <c r="RHQ1" s="77"/>
      <c r="RHR1" s="77"/>
      <c r="RHS1" s="77"/>
      <c r="RHT1" s="77"/>
      <c r="RHU1" s="77"/>
      <c r="RHV1" s="77"/>
      <c r="RHW1" s="77"/>
      <c r="RHX1" s="77"/>
      <c r="RHY1" s="77"/>
      <c r="RHZ1" s="77"/>
      <c r="RIA1" s="77"/>
      <c r="RIB1" s="77"/>
      <c r="RIC1" s="77"/>
      <c r="RID1" s="77"/>
      <c r="RIE1" s="77"/>
      <c r="RIF1" s="77"/>
      <c r="RIG1" s="77"/>
      <c r="RIH1" s="77"/>
      <c r="RII1" s="77"/>
      <c r="RIJ1" s="77"/>
      <c r="RIK1" s="77"/>
      <c r="RIL1" s="77"/>
      <c r="RIM1" s="77"/>
      <c r="RIN1" s="77"/>
      <c r="RIO1" s="77"/>
      <c r="RIP1" s="77"/>
      <c r="RIQ1" s="77"/>
      <c r="RIR1" s="77"/>
      <c r="RIS1" s="77"/>
      <c r="RIT1" s="77"/>
      <c r="RIU1" s="77"/>
      <c r="RIV1" s="77"/>
      <c r="RIW1" s="77"/>
      <c r="RIX1" s="77"/>
      <c r="RIY1" s="77"/>
      <c r="RIZ1" s="77"/>
      <c r="RJA1" s="77"/>
      <c r="RJB1" s="77"/>
      <c r="RJC1" s="77"/>
      <c r="RJD1" s="77"/>
      <c r="RJE1" s="77"/>
      <c r="RJF1" s="77"/>
      <c r="RJG1" s="77"/>
      <c r="RJH1" s="77"/>
      <c r="RJI1" s="77"/>
      <c r="RJJ1" s="77"/>
      <c r="RJK1" s="77"/>
      <c r="RJL1" s="77"/>
      <c r="RJM1" s="77"/>
      <c r="RJN1" s="77"/>
      <c r="RJO1" s="77"/>
      <c r="RJP1" s="77"/>
      <c r="RJQ1" s="77"/>
      <c r="RJR1" s="77"/>
      <c r="RJS1" s="77"/>
      <c r="RJT1" s="77"/>
      <c r="RJU1" s="77"/>
      <c r="RJV1" s="77"/>
      <c r="RJW1" s="77"/>
      <c r="RJX1" s="77"/>
      <c r="RJY1" s="77"/>
      <c r="RJZ1" s="77"/>
      <c r="RKA1" s="77"/>
      <c r="RKB1" s="77"/>
      <c r="RKC1" s="77"/>
      <c r="RKD1" s="77"/>
      <c r="RKE1" s="77"/>
      <c r="RKF1" s="77"/>
      <c r="RKG1" s="77"/>
      <c r="RKH1" s="77"/>
      <c r="RKI1" s="77"/>
      <c r="RKJ1" s="77"/>
      <c r="RKK1" s="77"/>
      <c r="RKL1" s="77"/>
      <c r="RKM1" s="77"/>
      <c r="RKN1" s="77"/>
      <c r="RKO1" s="77"/>
      <c r="RKP1" s="77"/>
      <c r="RKQ1" s="77"/>
      <c r="RKR1" s="77"/>
      <c r="RKS1" s="77"/>
      <c r="RKT1" s="77"/>
      <c r="RKU1" s="77"/>
      <c r="RKV1" s="77"/>
      <c r="RKW1" s="77"/>
      <c r="RKX1" s="77"/>
      <c r="RKY1" s="77"/>
      <c r="RKZ1" s="77"/>
      <c r="RLA1" s="77"/>
      <c r="RLB1" s="77"/>
      <c r="RLC1" s="77"/>
      <c r="RLD1" s="77"/>
      <c r="RLE1" s="77"/>
      <c r="RLF1" s="77"/>
      <c r="RLG1" s="77"/>
      <c r="RLH1" s="77"/>
      <c r="RLI1" s="77"/>
      <c r="RLJ1" s="77"/>
      <c r="RLK1" s="77"/>
      <c r="RLL1" s="77"/>
      <c r="RLM1" s="77"/>
      <c r="RLN1" s="77"/>
      <c r="RLO1" s="77"/>
      <c r="RLP1" s="77"/>
      <c r="RLQ1" s="77"/>
      <c r="RLR1" s="77"/>
      <c r="RLS1" s="77"/>
      <c r="RLT1" s="77"/>
      <c r="RLU1" s="77"/>
      <c r="RLV1" s="77"/>
      <c r="RLW1" s="77"/>
      <c r="RLX1" s="77"/>
      <c r="RLY1" s="77"/>
      <c r="RLZ1" s="77"/>
      <c r="RMA1" s="77"/>
      <c r="RMB1" s="77"/>
      <c r="RMC1" s="77"/>
      <c r="RMD1" s="77"/>
      <c r="RME1" s="77"/>
      <c r="RMF1" s="77"/>
      <c r="RMG1" s="77"/>
      <c r="RMH1" s="77"/>
      <c r="RMI1" s="77"/>
      <c r="RMJ1" s="77"/>
      <c r="RMK1" s="77"/>
      <c r="RML1" s="77"/>
      <c r="RMM1" s="77"/>
      <c r="RMN1" s="77"/>
      <c r="RMO1" s="77"/>
      <c r="RMP1" s="77"/>
      <c r="RMQ1" s="77"/>
      <c r="RMR1" s="77"/>
      <c r="RMS1" s="77"/>
      <c r="RMT1" s="77"/>
      <c r="RMU1" s="77"/>
      <c r="RMV1" s="77"/>
      <c r="RMW1" s="77"/>
      <c r="RMX1" s="77"/>
      <c r="RMY1" s="77"/>
      <c r="RMZ1" s="77"/>
      <c r="RNA1" s="77"/>
      <c r="RNB1" s="77"/>
      <c r="RNC1" s="77"/>
      <c r="RND1" s="77"/>
      <c r="RNE1" s="77"/>
      <c r="RNF1" s="77"/>
      <c r="RNG1" s="77"/>
      <c r="RNH1" s="77"/>
      <c r="RNI1" s="77"/>
      <c r="RNJ1" s="77"/>
      <c r="RNK1" s="77"/>
      <c r="RNL1" s="77"/>
      <c r="RNM1" s="77"/>
      <c r="RNN1" s="77"/>
      <c r="RNO1" s="77"/>
      <c r="RNP1" s="77"/>
      <c r="RNQ1" s="77"/>
      <c r="RNR1" s="77"/>
      <c r="RNS1" s="77"/>
      <c r="RNT1" s="77"/>
      <c r="RNU1" s="77"/>
      <c r="RNV1" s="77"/>
      <c r="RNW1" s="77"/>
      <c r="RNX1" s="77"/>
      <c r="RNY1" s="77"/>
      <c r="RNZ1" s="77"/>
      <c r="ROA1" s="77"/>
      <c r="ROB1" s="77"/>
      <c r="ROC1" s="77"/>
      <c r="ROD1" s="77"/>
      <c r="ROE1" s="77"/>
      <c r="ROF1" s="77"/>
      <c r="ROG1" s="77"/>
      <c r="ROH1" s="77"/>
      <c r="ROI1" s="77"/>
      <c r="ROJ1" s="77"/>
      <c r="ROK1" s="77"/>
      <c r="ROL1" s="77"/>
      <c r="ROM1" s="77"/>
      <c r="RON1" s="77"/>
      <c r="ROO1" s="77"/>
      <c r="ROP1" s="77"/>
      <c r="ROQ1" s="77"/>
      <c r="ROR1" s="77"/>
      <c r="ROS1" s="77"/>
      <c r="ROT1" s="77"/>
      <c r="ROU1" s="77"/>
      <c r="ROV1" s="77"/>
      <c r="ROW1" s="77"/>
      <c r="ROX1" s="77"/>
      <c r="ROY1" s="77"/>
      <c r="ROZ1" s="77"/>
      <c r="RPA1" s="77"/>
      <c r="RPB1" s="77"/>
      <c r="RPC1" s="77"/>
      <c r="RPD1" s="77"/>
      <c r="RPE1" s="77"/>
      <c r="RPF1" s="77"/>
      <c r="RPG1" s="77"/>
      <c r="RPH1" s="77"/>
      <c r="RPI1" s="77"/>
      <c r="RPJ1" s="77"/>
      <c r="RPK1" s="77"/>
      <c r="RPL1" s="77"/>
      <c r="RPM1" s="77"/>
      <c r="RPN1" s="77"/>
      <c r="RPO1" s="77"/>
      <c r="RPP1" s="77"/>
      <c r="RPQ1" s="77"/>
      <c r="RPR1" s="77"/>
      <c r="RPS1" s="77"/>
      <c r="RPT1" s="77"/>
      <c r="RPU1" s="77"/>
      <c r="RPV1" s="77"/>
      <c r="RPW1" s="77"/>
      <c r="RPX1" s="77"/>
      <c r="RPY1" s="77"/>
      <c r="RPZ1" s="77"/>
      <c r="RQA1" s="77"/>
      <c r="RQB1" s="77"/>
      <c r="RQC1" s="77"/>
      <c r="RQD1" s="77"/>
      <c r="RQE1" s="77"/>
      <c r="RQF1" s="77"/>
      <c r="RQG1" s="77"/>
      <c r="RQH1" s="77"/>
      <c r="RQI1" s="77"/>
      <c r="RQJ1" s="77"/>
      <c r="RQK1" s="77"/>
      <c r="RQL1" s="77"/>
      <c r="RQM1" s="77"/>
      <c r="RQN1" s="77"/>
      <c r="RQO1" s="77"/>
      <c r="RQP1" s="77"/>
      <c r="RQQ1" s="77"/>
      <c r="RQR1" s="77"/>
      <c r="RQS1" s="77"/>
      <c r="RQT1" s="77"/>
      <c r="RQU1" s="77"/>
      <c r="RQV1" s="77"/>
      <c r="RQW1" s="77"/>
      <c r="RQX1" s="77"/>
      <c r="RQY1" s="77"/>
      <c r="RQZ1" s="77"/>
      <c r="RRA1" s="77"/>
      <c r="RRB1" s="77"/>
      <c r="RRC1" s="77"/>
      <c r="RRD1" s="77"/>
      <c r="RRE1" s="77"/>
      <c r="RRF1" s="77"/>
      <c r="RRG1" s="77"/>
      <c r="RRH1" s="77"/>
      <c r="RRI1" s="77"/>
      <c r="RRJ1" s="77"/>
      <c r="RRK1" s="77"/>
      <c r="RRL1" s="77"/>
      <c r="RRM1" s="77"/>
      <c r="RRN1" s="77"/>
      <c r="RRO1" s="77"/>
      <c r="RRP1" s="77"/>
      <c r="RRQ1" s="77"/>
      <c r="RRR1" s="77"/>
      <c r="RRS1" s="77"/>
      <c r="RRT1" s="77"/>
      <c r="RRU1" s="77"/>
      <c r="RRV1" s="77"/>
      <c r="RRW1" s="77"/>
      <c r="RRX1" s="77"/>
      <c r="RRY1" s="77"/>
      <c r="RRZ1" s="77"/>
      <c r="RSA1" s="77"/>
      <c r="RSB1" s="77"/>
      <c r="RSC1" s="77"/>
      <c r="RSD1" s="77"/>
      <c r="RSE1" s="77"/>
      <c r="RSF1" s="77"/>
      <c r="RSG1" s="77"/>
      <c r="RSH1" s="77"/>
      <c r="RSI1" s="77"/>
      <c r="RSJ1" s="77"/>
      <c r="RSK1" s="77"/>
      <c r="RSL1" s="77"/>
      <c r="RSM1" s="77"/>
      <c r="RSN1" s="77"/>
      <c r="RSO1" s="77"/>
      <c r="RSP1" s="77"/>
      <c r="RSQ1" s="77"/>
      <c r="RSR1" s="77"/>
      <c r="RSS1" s="77"/>
      <c r="RST1" s="77"/>
      <c r="RSU1" s="77"/>
      <c r="RSV1" s="77"/>
      <c r="RSW1" s="77"/>
      <c r="RSX1" s="77"/>
      <c r="RSY1" s="77"/>
      <c r="RSZ1" s="77"/>
      <c r="RTA1" s="77"/>
      <c r="RTB1" s="77"/>
      <c r="RTC1" s="77"/>
      <c r="RTD1" s="77"/>
      <c r="RTE1" s="77"/>
      <c r="RTF1" s="77"/>
      <c r="RTG1" s="77"/>
      <c r="RTH1" s="77"/>
      <c r="RTI1" s="77"/>
      <c r="RTJ1" s="77"/>
      <c r="RTK1" s="77"/>
      <c r="RTL1" s="77"/>
      <c r="RTM1" s="77"/>
      <c r="RTN1" s="77"/>
      <c r="RTO1" s="77"/>
      <c r="RTP1" s="77"/>
      <c r="RTQ1" s="77"/>
      <c r="RTR1" s="77"/>
      <c r="RTS1" s="77"/>
      <c r="RTT1" s="77"/>
      <c r="RTU1" s="77"/>
      <c r="RTV1" s="77"/>
      <c r="RTW1" s="77"/>
      <c r="RTX1" s="77"/>
      <c r="RTY1" s="77"/>
      <c r="RTZ1" s="77"/>
      <c r="RUA1" s="77"/>
      <c r="RUB1" s="77"/>
      <c r="RUC1" s="77"/>
      <c r="RUD1" s="77"/>
      <c r="RUE1" s="77"/>
      <c r="RUF1" s="77"/>
      <c r="RUG1" s="77"/>
      <c r="RUH1" s="77"/>
      <c r="RUI1" s="77"/>
      <c r="RUJ1" s="77"/>
      <c r="RUK1" s="77"/>
      <c r="RUL1" s="77"/>
      <c r="RUM1" s="77"/>
      <c r="RUN1" s="77"/>
      <c r="RUO1" s="77"/>
      <c r="RUP1" s="77"/>
      <c r="RUQ1" s="77"/>
      <c r="RUR1" s="77"/>
      <c r="RUS1" s="77"/>
      <c r="RUT1" s="77"/>
      <c r="RUU1" s="77"/>
      <c r="RUV1" s="77"/>
      <c r="RUW1" s="77"/>
      <c r="RUX1" s="77"/>
      <c r="RUY1" s="77"/>
      <c r="RUZ1" s="77"/>
      <c r="RVA1" s="77"/>
      <c r="RVB1" s="77"/>
      <c r="RVC1" s="77"/>
      <c r="RVD1" s="77"/>
      <c r="RVE1" s="77"/>
      <c r="RVF1" s="77"/>
      <c r="RVG1" s="77"/>
      <c r="RVH1" s="77"/>
      <c r="RVI1" s="77"/>
      <c r="RVJ1" s="77"/>
      <c r="RVK1" s="77"/>
      <c r="RVL1" s="77"/>
      <c r="RVM1" s="77"/>
      <c r="RVN1" s="77"/>
      <c r="RVO1" s="77"/>
      <c r="RVP1" s="77"/>
      <c r="RVQ1" s="77"/>
      <c r="RVR1" s="77"/>
      <c r="RVS1" s="77"/>
      <c r="RVT1" s="77"/>
      <c r="RVU1" s="77"/>
      <c r="RVV1" s="77"/>
      <c r="RVW1" s="77"/>
      <c r="RVX1" s="77"/>
      <c r="RVY1" s="77"/>
      <c r="RVZ1" s="77"/>
      <c r="RWA1" s="77"/>
      <c r="RWB1" s="77"/>
      <c r="RWC1" s="77"/>
      <c r="RWD1" s="77"/>
      <c r="RWE1" s="77"/>
      <c r="RWF1" s="77"/>
      <c r="RWG1" s="77"/>
      <c r="RWH1" s="77"/>
      <c r="RWI1" s="77"/>
      <c r="RWJ1" s="77"/>
      <c r="RWK1" s="77"/>
      <c r="RWL1" s="77"/>
      <c r="RWM1" s="77"/>
      <c r="RWN1" s="77"/>
      <c r="RWO1" s="77"/>
      <c r="RWP1" s="77"/>
      <c r="RWQ1" s="77"/>
      <c r="RWR1" s="77"/>
      <c r="RWS1" s="77"/>
      <c r="RWT1" s="77"/>
      <c r="RWU1" s="77"/>
      <c r="RWV1" s="77"/>
      <c r="RWW1" s="77"/>
      <c r="RWX1" s="77"/>
      <c r="RWY1" s="77"/>
      <c r="RWZ1" s="77"/>
      <c r="RXA1" s="77"/>
      <c r="RXB1" s="77"/>
      <c r="RXC1" s="77"/>
      <c r="RXD1" s="77"/>
      <c r="RXE1" s="77"/>
      <c r="RXF1" s="77"/>
      <c r="RXG1" s="77"/>
      <c r="RXH1" s="77"/>
      <c r="RXI1" s="77"/>
      <c r="RXJ1" s="77"/>
      <c r="RXK1" s="77"/>
      <c r="RXL1" s="77"/>
      <c r="RXM1" s="77"/>
      <c r="RXN1" s="77"/>
      <c r="RXO1" s="77"/>
      <c r="RXP1" s="77"/>
      <c r="RXQ1" s="77"/>
      <c r="RXR1" s="77"/>
      <c r="RXS1" s="77"/>
      <c r="RXT1" s="77"/>
      <c r="RXU1" s="77"/>
      <c r="RXV1" s="77"/>
      <c r="RXW1" s="77"/>
      <c r="RXX1" s="77"/>
      <c r="RXY1" s="77"/>
      <c r="RXZ1" s="77"/>
      <c r="RYA1" s="77"/>
      <c r="RYB1" s="77"/>
      <c r="RYC1" s="77"/>
      <c r="RYD1" s="77"/>
      <c r="RYE1" s="77"/>
      <c r="RYF1" s="77"/>
      <c r="RYG1" s="77"/>
      <c r="RYH1" s="77"/>
      <c r="RYI1" s="77"/>
      <c r="RYJ1" s="77"/>
      <c r="RYK1" s="77"/>
      <c r="RYL1" s="77"/>
      <c r="RYM1" s="77"/>
      <c r="RYN1" s="77"/>
      <c r="RYO1" s="77"/>
      <c r="RYP1" s="77"/>
      <c r="RYQ1" s="77"/>
      <c r="RYR1" s="77"/>
      <c r="RYS1" s="77"/>
      <c r="RYT1" s="77"/>
      <c r="RYU1" s="77"/>
      <c r="RYV1" s="77"/>
      <c r="RYW1" s="77"/>
      <c r="RYX1" s="77"/>
      <c r="RYY1" s="77"/>
      <c r="RYZ1" s="77"/>
      <c r="RZA1" s="77"/>
      <c r="RZB1" s="77"/>
      <c r="RZC1" s="77"/>
      <c r="RZD1" s="77"/>
      <c r="RZE1" s="77"/>
      <c r="RZF1" s="77"/>
      <c r="RZG1" s="77"/>
      <c r="RZH1" s="77"/>
      <c r="RZI1" s="77"/>
      <c r="RZJ1" s="77"/>
      <c r="RZK1" s="77"/>
      <c r="RZL1" s="77"/>
      <c r="RZM1" s="77"/>
      <c r="RZN1" s="77"/>
      <c r="RZO1" s="77"/>
      <c r="RZP1" s="77"/>
      <c r="RZQ1" s="77"/>
      <c r="RZR1" s="77"/>
      <c r="RZS1" s="77"/>
      <c r="RZT1" s="77"/>
      <c r="RZU1" s="77"/>
      <c r="RZV1" s="77"/>
      <c r="RZW1" s="77"/>
      <c r="RZX1" s="77"/>
      <c r="RZY1" s="77"/>
      <c r="RZZ1" s="77"/>
      <c r="SAA1" s="77"/>
      <c r="SAB1" s="77"/>
      <c r="SAC1" s="77"/>
      <c r="SAD1" s="77"/>
      <c r="SAE1" s="77"/>
      <c r="SAF1" s="77"/>
      <c r="SAG1" s="77"/>
      <c r="SAH1" s="77"/>
      <c r="SAI1" s="77"/>
      <c r="SAJ1" s="77"/>
      <c r="SAK1" s="77"/>
      <c r="SAL1" s="77"/>
      <c r="SAM1" s="77"/>
      <c r="SAN1" s="77"/>
      <c r="SAO1" s="77"/>
      <c r="SAP1" s="77"/>
      <c r="SAQ1" s="77"/>
      <c r="SAR1" s="77"/>
      <c r="SAS1" s="77"/>
      <c r="SAT1" s="77"/>
      <c r="SAU1" s="77"/>
      <c r="SAV1" s="77"/>
      <c r="SAW1" s="77"/>
      <c r="SAX1" s="77"/>
      <c r="SAY1" s="77"/>
      <c r="SAZ1" s="77"/>
      <c r="SBA1" s="77"/>
      <c r="SBB1" s="77"/>
      <c r="SBC1" s="77"/>
      <c r="SBD1" s="77"/>
      <c r="SBE1" s="77"/>
      <c r="SBF1" s="77"/>
      <c r="SBG1" s="77"/>
      <c r="SBH1" s="77"/>
      <c r="SBI1" s="77"/>
      <c r="SBJ1" s="77"/>
      <c r="SBK1" s="77"/>
      <c r="SBL1" s="77"/>
      <c r="SBM1" s="77"/>
      <c r="SBN1" s="77"/>
      <c r="SBO1" s="77"/>
      <c r="SBP1" s="77"/>
      <c r="SBQ1" s="77"/>
      <c r="SBR1" s="77"/>
      <c r="SBS1" s="77"/>
      <c r="SBT1" s="77"/>
      <c r="SBU1" s="77"/>
      <c r="SBV1" s="77"/>
      <c r="SBW1" s="77"/>
      <c r="SBX1" s="77"/>
      <c r="SBY1" s="77"/>
      <c r="SBZ1" s="77"/>
      <c r="SCA1" s="77"/>
      <c r="SCB1" s="77"/>
      <c r="SCC1" s="77"/>
      <c r="SCD1" s="77"/>
      <c r="SCE1" s="77"/>
      <c r="SCF1" s="77"/>
      <c r="SCG1" s="77"/>
      <c r="SCH1" s="77"/>
      <c r="SCI1" s="77"/>
      <c r="SCJ1" s="77"/>
      <c r="SCK1" s="77"/>
      <c r="SCL1" s="77"/>
      <c r="SCM1" s="77"/>
      <c r="SCN1" s="77"/>
      <c r="SCO1" s="77"/>
      <c r="SCP1" s="77"/>
      <c r="SCQ1" s="77"/>
      <c r="SCR1" s="77"/>
      <c r="SCS1" s="77"/>
      <c r="SCT1" s="77"/>
      <c r="SCU1" s="77"/>
      <c r="SCV1" s="77"/>
      <c r="SCW1" s="77"/>
      <c r="SCX1" s="77"/>
      <c r="SCY1" s="77"/>
      <c r="SCZ1" s="77"/>
      <c r="SDA1" s="77"/>
      <c r="SDB1" s="77"/>
      <c r="SDC1" s="77"/>
      <c r="SDD1" s="77"/>
      <c r="SDE1" s="77"/>
      <c r="SDF1" s="77"/>
      <c r="SDG1" s="77"/>
      <c r="SDH1" s="77"/>
      <c r="SDI1" s="77"/>
      <c r="SDJ1" s="77"/>
      <c r="SDK1" s="77"/>
      <c r="SDL1" s="77"/>
      <c r="SDM1" s="77"/>
      <c r="SDN1" s="77"/>
      <c r="SDO1" s="77"/>
      <c r="SDP1" s="77"/>
      <c r="SDQ1" s="77"/>
      <c r="SDR1" s="77"/>
      <c r="SDS1" s="77"/>
      <c r="SDT1" s="77"/>
      <c r="SDU1" s="77"/>
      <c r="SDV1" s="77"/>
      <c r="SDW1" s="77"/>
      <c r="SDX1" s="77"/>
      <c r="SDY1" s="77"/>
      <c r="SDZ1" s="77"/>
      <c r="SEA1" s="77"/>
      <c r="SEB1" s="77"/>
      <c r="SEC1" s="77"/>
      <c r="SED1" s="77"/>
      <c r="SEE1" s="77"/>
      <c r="SEF1" s="77"/>
      <c r="SEG1" s="77"/>
      <c r="SEH1" s="77"/>
      <c r="SEI1" s="77"/>
      <c r="SEJ1" s="77"/>
      <c r="SEK1" s="77"/>
      <c r="SEL1" s="77"/>
      <c r="SEM1" s="77"/>
      <c r="SEN1" s="77"/>
      <c r="SEO1" s="77"/>
      <c r="SEP1" s="77"/>
      <c r="SEQ1" s="77"/>
      <c r="SER1" s="77"/>
      <c r="SES1" s="77"/>
      <c r="SET1" s="77"/>
      <c r="SEU1" s="77"/>
      <c r="SEV1" s="77"/>
      <c r="SEW1" s="77"/>
      <c r="SEX1" s="77"/>
      <c r="SEY1" s="77"/>
      <c r="SEZ1" s="77"/>
      <c r="SFA1" s="77"/>
      <c r="SFB1" s="77"/>
      <c r="SFC1" s="77"/>
      <c r="SFD1" s="77"/>
      <c r="SFE1" s="77"/>
      <c r="SFF1" s="77"/>
      <c r="SFG1" s="77"/>
      <c r="SFH1" s="77"/>
      <c r="SFI1" s="77"/>
      <c r="SFJ1" s="77"/>
      <c r="SFK1" s="77"/>
      <c r="SFL1" s="77"/>
      <c r="SFM1" s="77"/>
      <c r="SFN1" s="77"/>
      <c r="SFO1" s="77"/>
      <c r="SFP1" s="77"/>
      <c r="SFQ1" s="77"/>
      <c r="SFR1" s="77"/>
      <c r="SFS1" s="77"/>
      <c r="SFT1" s="77"/>
      <c r="SFU1" s="77"/>
      <c r="SFV1" s="77"/>
      <c r="SFW1" s="77"/>
      <c r="SFX1" s="77"/>
      <c r="SFY1" s="77"/>
      <c r="SFZ1" s="77"/>
      <c r="SGA1" s="77"/>
      <c r="SGB1" s="77"/>
      <c r="SGC1" s="77"/>
      <c r="SGD1" s="77"/>
      <c r="SGE1" s="77"/>
      <c r="SGF1" s="77"/>
      <c r="SGG1" s="77"/>
      <c r="SGH1" s="77"/>
      <c r="SGI1" s="77"/>
      <c r="SGJ1" s="77"/>
      <c r="SGK1" s="77"/>
      <c r="SGL1" s="77"/>
      <c r="SGM1" s="77"/>
      <c r="SGN1" s="77"/>
      <c r="SGO1" s="77"/>
      <c r="SGP1" s="77"/>
      <c r="SGQ1" s="77"/>
      <c r="SGR1" s="77"/>
      <c r="SGS1" s="77"/>
      <c r="SGT1" s="77"/>
      <c r="SGU1" s="77"/>
      <c r="SGV1" s="77"/>
      <c r="SGW1" s="77"/>
      <c r="SGX1" s="77"/>
      <c r="SGY1" s="77"/>
      <c r="SGZ1" s="77"/>
      <c r="SHA1" s="77"/>
      <c r="SHB1" s="77"/>
      <c r="SHC1" s="77"/>
      <c r="SHD1" s="77"/>
      <c r="SHE1" s="77"/>
      <c r="SHF1" s="77"/>
      <c r="SHG1" s="77"/>
      <c r="SHH1" s="77"/>
      <c r="SHI1" s="77"/>
      <c r="SHJ1" s="77"/>
      <c r="SHK1" s="77"/>
      <c r="SHL1" s="77"/>
      <c r="SHM1" s="77"/>
      <c r="SHN1" s="77"/>
      <c r="SHO1" s="77"/>
      <c r="SHP1" s="77"/>
      <c r="SHQ1" s="77"/>
      <c r="SHR1" s="77"/>
      <c r="SHS1" s="77"/>
      <c r="SHT1" s="77"/>
      <c r="SHU1" s="77"/>
      <c r="SHV1" s="77"/>
      <c r="SHW1" s="77"/>
      <c r="SHX1" s="77"/>
      <c r="SHY1" s="77"/>
      <c r="SHZ1" s="77"/>
      <c r="SIA1" s="77"/>
      <c r="SIB1" s="77"/>
      <c r="SIC1" s="77"/>
      <c r="SID1" s="77"/>
      <c r="SIE1" s="77"/>
      <c r="SIF1" s="77"/>
      <c r="SIG1" s="77"/>
      <c r="SIH1" s="77"/>
      <c r="SII1" s="77"/>
      <c r="SIJ1" s="77"/>
      <c r="SIK1" s="77"/>
      <c r="SIL1" s="77"/>
      <c r="SIM1" s="77"/>
      <c r="SIN1" s="77"/>
      <c r="SIO1" s="77"/>
      <c r="SIP1" s="77"/>
      <c r="SIQ1" s="77"/>
      <c r="SIR1" s="77"/>
      <c r="SIS1" s="77"/>
      <c r="SIT1" s="77"/>
      <c r="SIU1" s="77"/>
      <c r="SIV1" s="77"/>
      <c r="SIW1" s="77"/>
      <c r="SIX1" s="77"/>
      <c r="SIY1" s="77"/>
      <c r="SIZ1" s="77"/>
      <c r="SJA1" s="77"/>
      <c r="SJB1" s="77"/>
      <c r="SJC1" s="77"/>
      <c r="SJD1" s="77"/>
      <c r="SJE1" s="77"/>
      <c r="SJF1" s="77"/>
      <c r="SJG1" s="77"/>
      <c r="SJH1" s="77"/>
      <c r="SJI1" s="77"/>
      <c r="SJJ1" s="77"/>
      <c r="SJK1" s="77"/>
      <c r="SJL1" s="77"/>
      <c r="SJM1" s="77"/>
      <c r="SJN1" s="77"/>
      <c r="SJO1" s="77"/>
      <c r="SJP1" s="77"/>
      <c r="SJQ1" s="77"/>
      <c r="SJR1" s="77"/>
      <c r="SJS1" s="77"/>
      <c r="SJT1" s="77"/>
      <c r="SJU1" s="77"/>
      <c r="SJV1" s="77"/>
      <c r="SJW1" s="77"/>
      <c r="SJX1" s="77"/>
      <c r="SJY1" s="77"/>
      <c r="SJZ1" s="77"/>
      <c r="SKA1" s="77"/>
      <c r="SKB1" s="77"/>
      <c r="SKC1" s="77"/>
      <c r="SKD1" s="77"/>
      <c r="SKE1" s="77"/>
      <c r="SKF1" s="77"/>
      <c r="SKG1" s="77"/>
      <c r="SKH1" s="77"/>
      <c r="SKI1" s="77"/>
      <c r="SKJ1" s="77"/>
      <c r="SKK1" s="77"/>
      <c r="SKL1" s="77"/>
      <c r="SKM1" s="77"/>
      <c r="SKN1" s="77"/>
      <c r="SKO1" s="77"/>
      <c r="SKP1" s="77"/>
      <c r="SKQ1" s="77"/>
      <c r="SKR1" s="77"/>
      <c r="SKS1" s="77"/>
      <c r="SKT1" s="77"/>
      <c r="SKU1" s="77"/>
      <c r="SKV1" s="77"/>
      <c r="SKW1" s="77"/>
      <c r="SKX1" s="77"/>
      <c r="SKY1" s="77"/>
      <c r="SKZ1" s="77"/>
      <c r="SLA1" s="77"/>
      <c r="SLB1" s="77"/>
      <c r="SLC1" s="77"/>
      <c r="SLD1" s="77"/>
      <c r="SLE1" s="77"/>
      <c r="SLF1" s="77"/>
      <c r="SLG1" s="77"/>
      <c r="SLH1" s="77"/>
      <c r="SLI1" s="77"/>
      <c r="SLJ1" s="77"/>
      <c r="SLK1" s="77"/>
      <c r="SLL1" s="77"/>
      <c r="SLM1" s="77"/>
      <c r="SLN1" s="77"/>
      <c r="SLO1" s="77"/>
      <c r="SLP1" s="77"/>
      <c r="SLQ1" s="77"/>
      <c r="SLR1" s="77"/>
      <c r="SLS1" s="77"/>
      <c r="SLT1" s="77"/>
      <c r="SLU1" s="77"/>
      <c r="SLV1" s="77"/>
      <c r="SLW1" s="77"/>
      <c r="SLX1" s="77"/>
      <c r="SLY1" s="77"/>
      <c r="SLZ1" s="77"/>
      <c r="SMA1" s="77"/>
      <c r="SMB1" s="77"/>
      <c r="SMC1" s="77"/>
      <c r="SMD1" s="77"/>
      <c r="SME1" s="77"/>
      <c r="SMF1" s="77"/>
      <c r="SMG1" s="77"/>
      <c r="SMH1" s="77"/>
      <c r="SMI1" s="77"/>
      <c r="SMJ1" s="77"/>
      <c r="SMK1" s="77"/>
      <c r="SML1" s="77"/>
      <c r="SMM1" s="77"/>
      <c r="SMN1" s="77"/>
      <c r="SMO1" s="77"/>
      <c r="SMP1" s="77"/>
      <c r="SMQ1" s="77"/>
      <c r="SMR1" s="77"/>
      <c r="SMS1" s="77"/>
      <c r="SMT1" s="77"/>
      <c r="SMU1" s="77"/>
      <c r="SMV1" s="77"/>
      <c r="SMW1" s="77"/>
      <c r="SMX1" s="77"/>
      <c r="SMY1" s="77"/>
      <c r="SMZ1" s="77"/>
      <c r="SNA1" s="77"/>
      <c r="SNB1" s="77"/>
      <c r="SNC1" s="77"/>
      <c r="SND1" s="77"/>
      <c r="SNE1" s="77"/>
      <c r="SNF1" s="77"/>
      <c r="SNG1" s="77"/>
      <c r="SNH1" s="77"/>
      <c r="SNI1" s="77"/>
      <c r="SNJ1" s="77"/>
      <c r="SNK1" s="77"/>
      <c r="SNL1" s="77"/>
      <c r="SNM1" s="77"/>
      <c r="SNN1" s="77"/>
      <c r="SNO1" s="77"/>
      <c r="SNP1" s="77"/>
      <c r="SNQ1" s="77"/>
      <c r="SNR1" s="77"/>
      <c r="SNS1" s="77"/>
      <c r="SNT1" s="77"/>
      <c r="SNU1" s="77"/>
      <c r="SNV1" s="77"/>
      <c r="SNW1" s="77"/>
      <c r="SNX1" s="77"/>
      <c r="SNY1" s="77"/>
      <c r="SNZ1" s="77"/>
      <c r="SOA1" s="77"/>
      <c r="SOB1" s="77"/>
      <c r="SOC1" s="77"/>
      <c r="SOD1" s="77"/>
      <c r="SOE1" s="77"/>
      <c r="SOF1" s="77"/>
      <c r="SOG1" s="77"/>
      <c r="SOH1" s="77"/>
      <c r="SOI1" s="77"/>
      <c r="SOJ1" s="77"/>
      <c r="SOK1" s="77"/>
      <c r="SOL1" s="77"/>
      <c r="SOM1" s="77"/>
      <c r="SON1" s="77"/>
      <c r="SOO1" s="77"/>
      <c r="SOP1" s="77"/>
      <c r="SOQ1" s="77"/>
      <c r="SOR1" s="77"/>
      <c r="SOS1" s="77"/>
      <c r="SOT1" s="77"/>
      <c r="SOU1" s="77"/>
      <c r="SOV1" s="77"/>
      <c r="SOW1" s="77"/>
      <c r="SOX1" s="77"/>
      <c r="SOY1" s="77"/>
      <c r="SOZ1" s="77"/>
      <c r="SPA1" s="77"/>
      <c r="SPB1" s="77"/>
      <c r="SPC1" s="77"/>
      <c r="SPD1" s="77"/>
      <c r="SPE1" s="77"/>
      <c r="SPF1" s="77"/>
      <c r="SPG1" s="77"/>
      <c r="SPH1" s="77"/>
      <c r="SPI1" s="77"/>
      <c r="SPJ1" s="77"/>
      <c r="SPK1" s="77"/>
      <c r="SPL1" s="77"/>
      <c r="SPM1" s="77"/>
      <c r="SPN1" s="77"/>
      <c r="SPO1" s="77"/>
      <c r="SPP1" s="77"/>
      <c r="SPQ1" s="77"/>
      <c r="SPR1" s="77"/>
      <c r="SPS1" s="77"/>
      <c r="SPT1" s="77"/>
      <c r="SPU1" s="77"/>
      <c r="SPV1" s="77"/>
      <c r="SPW1" s="77"/>
      <c r="SPX1" s="77"/>
      <c r="SPY1" s="77"/>
      <c r="SPZ1" s="77"/>
      <c r="SQA1" s="77"/>
      <c r="SQB1" s="77"/>
      <c r="SQC1" s="77"/>
      <c r="SQD1" s="77"/>
      <c r="SQE1" s="77"/>
      <c r="SQF1" s="77"/>
      <c r="SQG1" s="77"/>
      <c r="SQH1" s="77"/>
      <c r="SQI1" s="77"/>
      <c r="SQJ1" s="77"/>
      <c r="SQK1" s="77"/>
      <c r="SQL1" s="77"/>
      <c r="SQM1" s="77"/>
      <c r="SQN1" s="77"/>
      <c r="SQO1" s="77"/>
      <c r="SQP1" s="77"/>
      <c r="SQQ1" s="77"/>
      <c r="SQR1" s="77"/>
      <c r="SQS1" s="77"/>
      <c r="SQT1" s="77"/>
      <c r="SQU1" s="77"/>
      <c r="SQV1" s="77"/>
      <c r="SQW1" s="77"/>
      <c r="SQX1" s="77"/>
      <c r="SQY1" s="77"/>
      <c r="SQZ1" s="77"/>
      <c r="SRA1" s="77"/>
      <c r="SRB1" s="77"/>
      <c r="SRC1" s="77"/>
      <c r="SRD1" s="77"/>
      <c r="SRE1" s="77"/>
      <c r="SRF1" s="77"/>
      <c r="SRG1" s="77"/>
      <c r="SRH1" s="77"/>
      <c r="SRI1" s="77"/>
      <c r="SRJ1" s="77"/>
      <c r="SRK1" s="77"/>
      <c r="SRL1" s="77"/>
      <c r="SRM1" s="77"/>
      <c r="SRN1" s="77"/>
      <c r="SRO1" s="77"/>
      <c r="SRP1" s="77"/>
      <c r="SRQ1" s="77"/>
      <c r="SRR1" s="77"/>
      <c r="SRS1" s="77"/>
      <c r="SRT1" s="77"/>
      <c r="SRU1" s="77"/>
      <c r="SRV1" s="77"/>
      <c r="SRW1" s="77"/>
      <c r="SRX1" s="77"/>
      <c r="SRY1" s="77"/>
      <c r="SRZ1" s="77"/>
      <c r="SSA1" s="77"/>
      <c r="SSB1" s="77"/>
      <c r="SSC1" s="77"/>
      <c r="SSD1" s="77"/>
      <c r="SSE1" s="77"/>
      <c r="SSF1" s="77"/>
      <c r="SSG1" s="77"/>
      <c r="SSH1" s="77"/>
      <c r="SSI1" s="77"/>
      <c r="SSJ1" s="77"/>
      <c r="SSK1" s="77"/>
      <c r="SSL1" s="77"/>
      <c r="SSM1" s="77"/>
      <c r="SSN1" s="77"/>
      <c r="SSO1" s="77"/>
      <c r="SSP1" s="77"/>
      <c r="SSQ1" s="77"/>
      <c r="SSR1" s="77"/>
      <c r="SSS1" s="77"/>
      <c r="SST1" s="77"/>
      <c r="SSU1" s="77"/>
      <c r="SSV1" s="77"/>
      <c r="SSW1" s="77"/>
      <c r="SSX1" s="77"/>
      <c r="SSY1" s="77"/>
      <c r="SSZ1" s="77"/>
      <c r="STA1" s="77"/>
      <c r="STB1" s="77"/>
      <c r="STC1" s="77"/>
      <c r="STD1" s="77"/>
      <c r="STE1" s="77"/>
      <c r="STF1" s="77"/>
      <c r="STG1" s="77"/>
      <c r="STH1" s="77"/>
      <c r="STI1" s="77"/>
      <c r="STJ1" s="77"/>
      <c r="STK1" s="77"/>
      <c r="STL1" s="77"/>
      <c r="STM1" s="77"/>
      <c r="STN1" s="77"/>
      <c r="STO1" s="77"/>
      <c r="STP1" s="77"/>
      <c r="STQ1" s="77"/>
      <c r="STR1" s="77"/>
      <c r="STS1" s="77"/>
      <c r="STT1" s="77"/>
      <c r="STU1" s="77"/>
      <c r="STV1" s="77"/>
      <c r="STW1" s="77"/>
      <c r="STX1" s="77"/>
      <c r="STY1" s="77"/>
      <c r="STZ1" s="77"/>
      <c r="SUA1" s="77"/>
      <c r="SUB1" s="77"/>
      <c r="SUC1" s="77"/>
      <c r="SUD1" s="77"/>
      <c r="SUE1" s="77"/>
      <c r="SUF1" s="77"/>
      <c r="SUG1" s="77"/>
      <c r="SUH1" s="77"/>
      <c r="SUI1" s="77"/>
      <c r="SUJ1" s="77"/>
      <c r="SUK1" s="77"/>
      <c r="SUL1" s="77"/>
      <c r="SUM1" s="77"/>
      <c r="SUN1" s="77"/>
      <c r="SUO1" s="77"/>
      <c r="SUP1" s="77"/>
      <c r="SUQ1" s="77"/>
      <c r="SUR1" s="77"/>
      <c r="SUS1" s="77"/>
      <c r="SUT1" s="77"/>
      <c r="SUU1" s="77"/>
      <c r="SUV1" s="77"/>
      <c r="SUW1" s="77"/>
      <c r="SUX1" s="77"/>
      <c r="SUY1" s="77"/>
      <c r="SUZ1" s="77"/>
      <c r="SVA1" s="77"/>
      <c r="SVB1" s="77"/>
      <c r="SVC1" s="77"/>
      <c r="SVD1" s="77"/>
      <c r="SVE1" s="77"/>
      <c r="SVF1" s="77"/>
      <c r="SVG1" s="77"/>
      <c r="SVH1" s="77"/>
      <c r="SVI1" s="77"/>
      <c r="SVJ1" s="77"/>
      <c r="SVK1" s="77"/>
      <c r="SVL1" s="77"/>
      <c r="SVM1" s="77"/>
      <c r="SVN1" s="77"/>
      <c r="SVO1" s="77"/>
      <c r="SVP1" s="77"/>
      <c r="SVQ1" s="77"/>
      <c r="SVR1" s="77"/>
      <c r="SVS1" s="77"/>
      <c r="SVT1" s="77"/>
      <c r="SVU1" s="77"/>
      <c r="SVV1" s="77"/>
      <c r="SVW1" s="77"/>
      <c r="SVX1" s="77"/>
      <c r="SVY1" s="77"/>
      <c r="SVZ1" s="77"/>
      <c r="SWA1" s="77"/>
      <c r="SWB1" s="77"/>
      <c r="SWC1" s="77"/>
      <c r="SWD1" s="77"/>
      <c r="SWE1" s="77"/>
      <c r="SWF1" s="77"/>
      <c r="SWG1" s="77"/>
      <c r="SWH1" s="77"/>
      <c r="SWI1" s="77"/>
      <c r="SWJ1" s="77"/>
      <c r="SWK1" s="77"/>
      <c r="SWL1" s="77"/>
      <c r="SWM1" s="77"/>
      <c r="SWN1" s="77"/>
      <c r="SWO1" s="77"/>
      <c r="SWP1" s="77"/>
      <c r="SWQ1" s="77"/>
      <c r="SWR1" s="77"/>
      <c r="SWS1" s="77"/>
      <c r="SWT1" s="77"/>
      <c r="SWU1" s="77"/>
      <c r="SWV1" s="77"/>
      <c r="SWW1" s="77"/>
      <c r="SWX1" s="77"/>
      <c r="SWY1" s="77"/>
      <c r="SWZ1" s="77"/>
      <c r="SXA1" s="77"/>
      <c r="SXB1" s="77"/>
      <c r="SXC1" s="77"/>
      <c r="SXD1" s="77"/>
      <c r="SXE1" s="77"/>
      <c r="SXF1" s="77"/>
      <c r="SXG1" s="77"/>
      <c r="SXH1" s="77"/>
      <c r="SXI1" s="77"/>
      <c r="SXJ1" s="77"/>
      <c r="SXK1" s="77"/>
      <c r="SXL1" s="77"/>
      <c r="SXM1" s="77"/>
      <c r="SXN1" s="77"/>
      <c r="SXO1" s="77"/>
      <c r="SXP1" s="77"/>
      <c r="SXQ1" s="77"/>
      <c r="SXR1" s="77"/>
      <c r="SXS1" s="77"/>
      <c r="SXT1" s="77"/>
      <c r="SXU1" s="77"/>
      <c r="SXV1" s="77"/>
      <c r="SXW1" s="77"/>
      <c r="SXX1" s="77"/>
      <c r="SXY1" s="77"/>
      <c r="SXZ1" s="77"/>
      <c r="SYA1" s="77"/>
      <c r="SYB1" s="77"/>
      <c r="SYC1" s="77"/>
      <c r="SYD1" s="77"/>
      <c r="SYE1" s="77"/>
      <c r="SYF1" s="77"/>
      <c r="SYG1" s="77"/>
      <c r="SYH1" s="77"/>
      <c r="SYI1" s="77"/>
      <c r="SYJ1" s="77"/>
      <c r="SYK1" s="77"/>
      <c r="SYL1" s="77"/>
      <c r="SYM1" s="77"/>
      <c r="SYN1" s="77"/>
      <c r="SYO1" s="77"/>
      <c r="SYP1" s="77"/>
      <c r="SYQ1" s="77"/>
      <c r="SYR1" s="77"/>
      <c r="SYS1" s="77"/>
      <c r="SYT1" s="77"/>
      <c r="SYU1" s="77"/>
      <c r="SYV1" s="77"/>
      <c r="SYW1" s="77"/>
      <c r="SYX1" s="77"/>
      <c r="SYY1" s="77"/>
      <c r="SYZ1" s="77"/>
      <c r="SZA1" s="77"/>
      <c r="SZB1" s="77"/>
      <c r="SZC1" s="77"/>
      <c r="SZD1" s="77"/>
      <c r="SZE1" s="77"/>
      <c r="SZF1" s="77"/>
      <c r="SZG1" s="77"/>
      <c r="SZH1" s="77"/>
      <c r="SZI1" s="77"/>
      <c r="SZJ1" s="77"/>
      <c r="SZK1" s="77"/>
      <c r="SZL1" s="77"/>
      <c r="SZM1" s="77"/>
      <c r="SZN1" s="77"/>
      <c r="SZO1" s="77"/>
      <c r="SZP1" s="77"/>
      <c r="SZQ1" s="77"/>
      <c r="SZR1" s="77"/>
      <c r="SZS1" s="77"/>
      <c r="SZT1" s="77"/>
      <c r="SZU1" s="77"/>
      <c r="SZV1" s="77"/>
      <c r="SZW1" s="77"/>
      <c r="SZX1" s="77"/>
      <c r="SZY1" s="77"/>
      <c r="SZZ1" s="77"/>
      <c r="TAA1" s="77"/>
      <c r="TAB1" s="77"/>
      <c r="TAC1" s="77"/>
      <c r="TAD1" s="77"/>
      <c r="TAE1" s="77"/>
      <c r="TAF1" s="77"/>
      <c r="TAG1" s="77"/>
      <c r="TAH1" s="77"/>
      <c r="TAI1" s="77"/>
      <c r="TAJ1" s="77"/>
      <c r="TAK1" s="77"/>
      <c r="TAL1" s="77"/>
      <c r="TAM1" s="77"/>
      <c r="TAN1" s="77"/>
      <c r="TAO1" s="77"/>
      <c r="TAP1" s="77"/>
      <c r="TAQ1" s="77"/>
      <c r="TAR1" s="77"/>
      <c r="TAS1" s="77"/>
      <c r="TAT1" s="77"/>
      <c r="TAU1" s="77"/>
      <c r="TAV1" s="77"/>
      <c r="TAW1" s="77"/>
      <c r="TAX1" s="77"/>
      <c r="TAY1" s="77"/>
      <c r="TAZ1" s="77"/>
      <c r="TBA1" s="77"/>
      <c r="TBB1" s="77"/>
      <c r="TBC1" s="77"/>
      <c r="TBD1" s="77"/>
      <c r="TBE1" s="77"/>
      <c r="TBF1" s="77"/>
      <c r="TBG1" s="77"/>
      <c r="TBH1" s="77"/>
      <c r="TBI1" s="77"/>
      <c r="TBJ1" s="77"/>
      <c r="TBK1" s="77"/>
      <c r="TBL1" s="77"/>
      <c r="TBM1" s="77"/>
      <c r="TBN1" s="77"/>
      <c r="TBO1" s="77"/>
      <c r="TBP1" s="77"/>
      <c r="TBQ1" s="77"/>
      <c r="TBR1" s="77"/>
      <c r="TBS1" s="77"/>
      <c r="TBT1" s="77"/>
      <c r="TBU1" s="77"/>
      <c r="TBV1" s="77"/>
      <c r="TBW1" s="77"/>
      <c r="TBX1" s="77"/>
      <c r="TBY1" s="77"/>
      <c r="TBZ1" s="77"/>
      <c r="TCA1" s="77"/>
      <c r="TCB1" s="77"/>
      <c r="TCC1" s="77"/>
      <c r="TCD1" s="77"/>
      <c r="TCE1" s="77"/>
      <c r="TCF1" s="77"/>
      <c r="TCG1" s="77"/>
      <c r="TCH1" s="77"/>
      <c r="TCI1" s="77"/>
      <c r="TCJ1" s="77"/>
      <c r="TCK1" s="77"/>
      <c r="TCL1" s="77"/>
      <c r="TCM1" s="77"/>
      <c r="TCN1" s="77"/>
      <c r="TCO1" s="77"/>
      <c r="TCP1" s="77"/>
      <c r="TCQ1" s="77"/>
      <c r="TCR1" s="77"/>
      <c r="TCS1" s="77"/>
      <c r="TCT1" s="77"/>
      <c r="TCU1" s="77"/>
      <c r="TCV1" s="77"/>
      <c r="TCW1" s="77"/>
      <c r="TCX1" s="77"/>
      <c r="TCY1" s="77"/>
      <c r="TCZ1" s="77"/>
      <c r="TDA1" s="77"/>
      <c r="TDB1" s="77"/>
      <c r="TDC1" s="77"/>
      <c r="TDD1" s="77"/>
      <c r="TDE1" s="77"/>
      <c r="TDF1" s="77"/>
      <c r="TDG1" s="77"/>
      <c r="TDH1" s="77"/>
      <c r="TDI1" s="77"/>
      <c r="TDJ1" s="77"/>
      <c r="TDK1" s="77"/>
      <c r="TDL1" s="77"/>
      <c r="TDM1" s="77"/>
      <c r="TDN1" s="77"/>
      <c r="TDO1" s="77"/>
      <c r="TDP1" s="77"/>
      <c r="TDQ1" s="77"/>
      <c r="TDR1" s="77"/>
      <c r="TDS1" s="77"/>
      <c r="TDT1" s="77"/>
      <c r="TDU1" s="77"/>
      <c r="TDV1" s="77"/>
      <c r="TDW1" s="77"/>
      <c r="TDX1" s="77"/>
      <c r="TDY1" s="77"/>
      <c r="TDZ1" s="77"/>
      <c r="TEA1" s="77"/>
      <c r="TEB1" s="77"/>
      <c r="TEC1" s="77"/>
      <c r="TED1" s="77"/>
      <c r="TEE1" s="77"/>
      <c r="TEF1" s="77"/>
      <c r="TEG1" s="77"/>
      <c r="TEH1" s="77"/>
      <c r="TEI1" s="77"/>
      <c r="TEJ1" s="77"/>
      <c r="TEK1" s="77"/>
      <c r="TEL1" s="77"/>
      <c r="TEM1" s="77"/>
      <c r="TEN1" s="77"/>
      <c r="TEO1" s="77"/>
      <c r="TEP1" s="77"/>
      <c r="TEQ1" s="77"/>
      <c r="TER1" s="77"/>
      <c r="TES1" s="77"/>
      <c r="TET1" s="77"/>
      <c r="TEU1" s="77"/>
      <c r="TEV1" s="77"/>
      <c r="TEW1" s="77"/>
      <c r="TEX1" s="77"/>
      <c r="TEY1" s="77"/>
      <c r="TEZ1" s="77"/>
      <c r="TFA1" s="77"/>
      <c r="TFB1" s="77"/>
      <c r="TFC1" s="77"/>
      <c r="TFD1" s="77"/>
      <c r="TFE1" s="77"/>
      <c r="TFF1" s="77"/>
      <c r="TFG1" s="77"/>
      <c r="TFH1" s="77"/>
      <c r="TFI1" s="77"/>
      <c r="TFJ1" s="77"/>
      <c r="TFK1" s="77"/>
      <c r="TFL1" s="77"/>
      <c r="TFM1" s="77"/>
      <c r="TFN1" s="77"/>
      <c r="TFO1" s="77"/>
      <c r="TFP1" s="77"/>
      <c r="TFQ1" s="77"/>
      <c r="TFR1" s="77"/>
      <c r="TFS1" s="77"/>
      <c r="TFT1" s="77"/>
      <c r="TFU1" s="77"/>
      <c r="TFV1" s="77"/>
      <c r="TFW1" s="77"/>
      <c r="TFX1" s="77"/>
      <c r="TFY1" s="77"/>
      <c r="TFZ1" s="77"/>
      <c r="TGA1" s="77"/>
      <c r="TGB1" s="77"/>
      <c r="TGC1" s="77"/>
      <c r="TGD1" s="77"/>
      <c r="TGE1" s="77"/>
      <c r="TGF1" s="77"/>
      <c r="TGG1" s="77"/>
      <c r="TGH1" s="77"/>
      <c r="TGI1" s="77"/>
      <c r="TGJ1" s="77"/>
      <c r="TGK1" s="77"/>
      <c r="TGL1" s="77"/>
      <c r="TGM1" s="77"/>
      <c r="TGN1" s="77"/>
      <c r="TGO1" s="77"/>
      <c r="TGP1" s="77"/>
      <c r="TGQ1" s="77"/>
      <c r="TGR1" s="77"/>
      <c r="TGS1" s="77"/>
      <c r="TGT1" s="77"/>
      <c r="TGU1" s="77"/>
      <c r="TGV1" s="77"/>
      <c r="TGW1" s="77"/>
      <c r="TGX1" s="77"/>
      <c r="TGY1" s="77"/>
      <c r="TGZ1" s="77"/>
      <c r="THA1" s="77"/>
      <c r="THB1" s="77"/>
      <c r="THC1" s="77"/>
      <c r="THD1" s="77"/>
      <c r="THE1" s="77"/>
      <c r="THF1" s="77"/>
      <c r="THG1" s="77"/>
      <c r="THH1" s="77"/>
      <c r="THI1" s="77"/>
      <c r="THJ1" s="77"/>
      <c r="THK1" s="77"/>
      <c r="THL1" s="77"/>
      <c r="THM1" s="77"/>
      <c r="THN1" s="77"/>
      <c r="THO1" s="77"/>
      <c r="THP1" s="77"/>
      <c r="THQ1" s="77"/>
      <c r="THR1" s="77"/>
      <c r="THS1" s="77"/>
      <c r="THT1" s="77"/>
      <c r="THU1" s="77"/>
      <c r="THV1" s="77"/>
      <c r="THW1" s="77"/>
      <c r="THX1" s="77"/>
      <c r="THY1" s="77"/>
      <c r="THZ1" s="77"/>
      <c r="TIA1" s="77"/>
      <c r="TIB1" s="77"/>
      <c r="TIC1" s="77"/>
      <c r="TID1" s="77"/>
      <c r="TIE1" s="77"/>
      <c r="TIF1" s="77"/>
      <c r="TIG1" s="77"/>
      <c r="TIH1" s="77"/>
      <c r="TII1" s="77"/>
      <c r="TIJ1" s="77"/>
      <c r="TIK1" s="77"/>
      <c r="TIL1" s="77"/>
      <c r="TIM1" s="77"/>
      <c r="TIN1" s="77"/>
      <c r="TIO1" s="77"/>
      <c r="TIP1" s="77"/>
      <c r="TIQ1" s="77"/>
      <c r="TIR1" s="77"/>
      <c r="TIS1" s="77"/>
      <c r="TIT1" s="77"/>
      <c r="TIU1" s="77"/>
      <c r="TIV1" s="77"/>
      <c r="TIW1" s="77"/>
      <c r="TIX1" s="77"/>
      <c r="TIY1" s="77"/>
      <c r="TIZ1" s="77"/>
      <c r="TJA1" s="77"/>
      <c r="TJB1" s="77"/>
      <c r="TJC1" s="77"/>
      <c r="TJD1" s="77"/>
      <c r="TJE1" s="77"/>
      <c r="TJF1" s="77"/>
      <c r="TJG1" s="77"/>
      <c r="TJH1" s="77"/>
      <c r="TJI1" s="77"/>
      <c r="TJJ1" s="77"/>
      <c r="TJK1" s="77"/>
      <c r="TJL1" s="77"/>
      <c r="TJM1" s="77"/>
      <c r="TJN1" s="77"/>
      <c r="TJO1" s="77"/>
      <c r="TJP1" s="77"/>
      <c r="TJQ1" s="77"/>
      <c r="TJR1" s="77"/>
      <c r="TJS1" s="77"/>
      <c r="TJT1" s="77"/>
      <c r="TJU1" s="77"/>
      <c r="TJV1" s="77"/>
      <c r="TJW1" s="77"/>
      <c r="TJX1" s="77"/>
      <c r="TJY1" s="77"/>
      <c r="TJZ1" s="77"/>
      <c r="TKA1" s="77"/>
      <c r="TKB1" s="77"/>
      <c r="TKC1" s="77"/>
      <c r="TKD1" s="77"/>
      <c r="TKE1" s="77"/>
      <c r="TKF1" s="77"/>
      <c r="TKG1" s="77"/>
      <c r="TKH1" s="77"/>
      <c r="TKI1" s="77"/>
      <c r="TKJ1" s="77"/>
      <c r="TKK1" s="77"/>
      <c r="TKL1" s="77"/>
      <c r="TKM1" s="77"/>
      <c r="TKN1" s="77"/>
      <c r="TKO1" s="77"/>
      <c r="TKP1" s="77"/>
      <c r="TKQ1" s="77"/>
      <c r="TKR1" s="77"/>
      <c r="TKS1" s="77"/>
      <c r="TKT1" s="77"/>
      <c r="TKU1" s="77"/>
      <c r="TKV1" s="77"/>
      <c r="TKW1" s="77"/>
      <c r="TKX1" s="77"/>
      <c r="TKY1" s="77"/>
      <c r="TKZ1" s="77"/>
      <c r="TLA1" s="77"/>
      <c r="TLB1" s="77"/>
      <c r="TLC1" s="77"/>
      <c r="TLD1" s="77"/>
      <c r="TLE1" s="77"/>
      <c r="TLF1" s="77"/>
      <c r="TLG1" s="77"/>
      <c r="TLH1" s="77"/>
      <c r="TLI1" s="77"/>
      <c r="TLJ1" s="77"/>
      <c r="TLK1" s="77"/>
      <c r="TLL1" s="77"/>
      <c r="TLM1" s="77"/>
      <c r="TLN1" s="77"/>
      <c r="TLO1" s="77"/>
      <c r="TLP1" s="77"/>
      <c r="TLQ1" s="77"/>
      <c r="TLR1" s="77"/>
      <c r="TLS1" s="77"/>
      <c r="TLT1" s="77"/>
      <c r="TLU1" s="77"/>
      <c r="TLV1" s="77"/>
      <c r="TLW1" s="77"/>
      <c r="TLX1" s="77"/>
      <c r="TLY1" s="77"/>
      <c r="TLZ1" s="77"/>
      <c r="TMA1" s="77"/>
      <c r="TMB1" s="77"/>
      <c r="TMC1" s="77"/>
      <c r="TMD1" s="77"/>
      <c r="TME1" s="77"/>
      <c r="TMF1" s="77"/>
      <c r="TMG1" s="77"/>
      <c r="TMH1" s="77"/>
      <c r="TMI1" s="77"/>
      <c r="TMJ1" s="77"/>
      <c r="TMK1" s="77"/>
      <c r="TML1" s="77"/>
      <c r="TMM1" s="77"/>
      <c r="TMN1" s="77"/>
      <c r="TMO1" s="77"/>
      <c r="TMP1" s="77"/>
      <c r="TMQ1" s="77"/>
      <c r="TMR1" s="77"/>
      <c r="TMS1" s="77"/>
      <c r="TMT1" s="77"/>
      <c r="TMU1" s="77"/>
      <c r="TMV1" s="77"/>
      <c r="TMW1" s="77"/>
      <c r="TMX1" s="77"/>
      <c r="TMY1" s="77"/>
      <c r="TMZ1" s="77"/>
      <c r="TNA1" s="77"/>
      <c r="TNB1" s="77"/>
      <c r="TNC1" s="77"/>
      <c r="TND1" s="77"/>
      <c r="TNE1" s="77"/>
      <c r="TNF1" s="77"/>
      <c r="TNG1" s="77"/>
      <c r="TNH1" s="77"/>
      <c r="TNI1" s="77"/>
      <c r="TNJ1" s="77"/>
      <c r="TNK1" s="77"/>
      <c r="TNL1" s="77"/>
      <c r="TNM1" s="77"/>
      <c r="TNN1" s="77"/>
      <c r="TNO1" s="77"/>
      <c r="TNP1" s="77"/>
      <c r="TNQ1" s="77"/>
      <c r="TNR1" s="77"/>
      <c r="TNS1" s="77"/>
      <c r="TNT1" s="77"/>
      <c r="TNU1" s="77"/>
      <c r="TNV1" s="77"/>
      <c r="TNW1" s="77"/>
      <c r="TNX1" s="77"/>
      <c r="TNY1" s="77"/>
      <c r="TNZ1" s="77"/>
      <c r="TOA1" s="77"/>
      <c r="TOB1" s="77"/>
      <c r="TOC1" s="77"/>
      <c r="TOD1" s="77"/>
      <c r="TOE1" s="77"/>
      <c r="TOF1" s="77"/>
      <c r="TOG1" s="77"/>
      <c r="TOH1" s="77"/>
      <c r="TOI1" s="77"/>
      <c r="TOJ1" s="77"/>
      <c r="TOK1" s="77"/>
      <c r="TOL1" s="77"/>
      <c r="TOM1" s="77"/>
      <c r="TON1" s="77"/>
      <c r="TOO1" s="77"/>
      <c r="TOP1" s="77"/>
      <c r="TOQ1" s="77"/>
      <c r="TOR1" s="77"/>
      <c r="TOS1" s="77"/>
      <c r="TOT1" s="77"/>
      <c r="TOU1" s="77"/>
      <c r="TOV1" s="77"/>
      <c r="TOW1" s="77"/>
      <c r="TOX1" s="77"/>
      <c r="TOY1" s="77"/>
      <c r="TOZ1" s="77"/>
      <c r="TPA1" s="77"/>
      <c r="TPB1" s="77"/>
      <c r="TPC1" s="77"/>
      <c r="TPD1" s="77"/>
      <c r="TPE1" s="77"/>
      <c r="TPF1" s="77"/>
      <c r="TPG1" s="77"/>
      <c r="TPH1" s="77"/>
      <c r="TPI1" s="77"/>
      <c r="TPJ1" s="77"/>
      <c r="TPK1" s="77"/>
      <c r="TPL1" s="77"/>
      <c r="TPM1" s="77"/>
      <c r="TPN1" s="77"/>
      <c r="TPO1" s="77"/>
      <c r="TPP1" s="77"/>
      <c r="TPQ1" s="77"/>
      <c r="TPR1" s="77"/>
      <c r="TPS1" s="77"/>
      <c r="TPT1" s="77"/>
      <c r="TPU1" s="77"/>
      <c r="TPV1" s="77"/>
      <c r="TPW1" s="77"/>
      <c r="TPX1" s="77"/>
      <c r="TPY1" s="77"/>
      <c r="TPZ1" s="77"/>
      <c r="TQA1" s="77"/>
      <c r="TQB1" s="77"/>
      <c r="TQC1" s="77"/>
      <c r="TQD1" s="77"/>
      <c r="TQE1" s="77"/>
      <c r="TQF1" s="77"/>
      <c r="TQG1" s="77"/>
      <c r="TQH1" s="77"/>
      <c r="TQI1" s="77"/>
      <c r="TQJ1" s="77"/>
      <c r="TQK1" s="77"/>
      <c r="TQL1" s="77"/>
      <c r="TQM1" s="77"/>
      <c r="TQN1" s="77"/>
      <c r="TQO1" s="77"/>
      <c r="TQP1" s="77"/>
      <c r="TQQ1" s="77"/>
      <c r="TQR1" s="77"/>
      <c r="TQS1" s="77"/>
      <c r="TQT1" s="77"/>
      <c r="TQU1" s="77"/>
      <c r="TQV1" s="77"/>
      <c r="TQW1" s="77"/>
      <c r="TQX1" s="77"/>
      <c r="TQY1" s="77"/>
      <c r="TQZ1" s="77"/>
      <c r="TRA1" s="77"/>
      <c r="TRB1" s="77"/>
      <c r="TRC1" s="77"/>
      <c r="TRD1" s="77"/>
      <c r="TRE1" s="77"/>
      <c r="TRF1" s="77"/>
      <c r="TRG1" s="77"/>
      <c r="TRH1" s="77"/>
      <c r="TRI1" s="77"/>
      <c r="TRJ1" s="77"/>
      <c r="TRK1" s="77"/>
      <c r="TRL1" s="77"/>
      <c r="TRM1" s="77"/>
      <c r="TRN1" s="77"/>
      <c r="TRO1" s="77"/>
      <c r="TRP1" s="77"/>
      <c r="TRQ1" s="77"/>
      <c r="TRR1" s="77"/>
      <c r="TRS1" s="77"/>
      <c r="TRT1" s="77"/>
      <c r="TRU1" s="77"/>
      <c r="TRV1" s="77"/>
      <c r="TRW1" s="77"/>
      <c r="TRX1" s="77"/>
      <c r="TRY1" s="77"/>
      <c r="TRZ1" s="77"/>
      <c r="TSA1" s="77"/>
      <c r="TSB1" s="77"/>
      <c r="TSC1" s="77"/>
      <c r="TSD1" s="77"/>
      <c r="TSE1" s="77"/>
      <c r="TSF1" s="77"/>
      <c r="TSG1" s="77"/>
      <c r="TSH1" s="77"/>
      <c r="TSI1" s="77"/>
      <c r="TSJ1" s="77"/>
      <c r="TSK1" s="77"/>
      <c r="TSL1" s="77"/>
      <c r="TSM1" s="77"/>
      <c r="TSN1" s="77"/>
      <c r="TSO1" s="77"/>
      <c r="TSP1" s="77"/>
      <c r="TSQ1" s="77"/>
      <c r="TSR1" s="77"/>
      <c r="TSS1" s="77"/>
      <c r="TST1" s="77"/>
      <c r="TSU1" s="77"/>
      <c r="TSV1" s="77"/>
      <c r="TSW1" s="77"/>
      <c r="TSX1" s="77"/>
      <c r="TSY1" s="77"/>
      <c r="TSZ1" s="77"/>
      <c r="TTA1" s="77"/>
      <c r="TTB1" s="77"/>
      <c r="TTC1" s="77"/>
      <c r="TTD1" s="77"/>
      <c r="TTE1" s="77"/>
      <c r="TTF1" s="77"/>
      <c r="TTG1" s="77"/>
      <c r="TTH1" s="77"/>
      <c r="TTI1" s="77"/>
      <c r="TTJ1" s="77"/>
      <c r="TTK1" s="77"/>
      <c r="TTL1" s="77"/>
      <c r="TTM1" s="77"/>
      <c r="TTN1" s="77"/>
      <c r="TTO1" s="77"/>
      <c r="TTP1" s="77"/>
      <c r="TTQ1" s="77"/>
      <c r="TTR1" s="77"/>
      <c r="TTS1" s="77"/>
      <c r="TTT1" s="77"/>
      <c r="TTU1" s="77"/>
      <c r="TTV1" s="77"/>
      <c r="TTW1" s="77"/>
      <c r="TTX1" s="77"/>
      <c r="TTY1" s="77"/>
      <c r="TTZ1" s="77"/>
      <c r="TUA1" s="77"/>
      <c r="TUB1" s="77"/>
      <c r="TUC1" s="77"/>
      <c r="TUD1" s="77"/>
      <c r="TUE1" s="77"/>
      <c r="TUF1" s="77"/>
      <c r="TUG1" s="77"/>
      <c r="TUH1" s="77"/>
      <c r="TUI1" s="77"/>
      <c r="TUJ1" s="77"/>
      <c r="TUK1" s="77"/>
      <c r="TUL1" s="77"/>
      <c r="TUM1" s="77"/>
      <c r="TUN1" s="77"/>
      <c r="TUO1" s="77"/>
      <c r="TUP1" s="77"/>
      <c r="TUQ1" s="77"/>
      <c r="TUR1" s="77"/>
      <c r="TUS1" s="77"/>
      <c r="TUT1" s="77"/>
      <c r="TUU1" s="77"/>
      <c r="TUV1" s="77"/>
      <c r="TUW1" s="77"/>
      <c r="TUX1" s="77"/>
      <c r="TUY1" s="77"/>
      <c r="TUZ1" s="77"/>
      <c r="TVA1" s="77"/>
      <c r="TVB1" s="77"/>
      <c r="TVC1" s="77"/>
      <c r="TVD1" s="77"/>
      <c r="TVE1" s="77"/>
      <c r="TVF1" s="77"/>
      <c r="TVG1" s="77"/>
      <c r="TVH1" s="77"/>
      <c r="TVI1" s="77"/>
      <c r="TVJ1" s="77"/>
      <c r="TVK1" s="77"/>
      <c r="TVL1" s="77"/>
      <c r="TVM1" s="77"/>
      <c r="TVN1" s="77"/>
      <c r="TVO1" s="77"/>
      <c r="TVP1" s="77"/>
      <c r="TVQ1" s="77"/>
      <c r="TVR1" s="77"/>
      <c r="TVS1" s="77"/>
      <c r="TVT1" s="77"/>
      <c r="TVU1" s="77"/>
      <c r="TVV1" s="77"/>
      <c r="TVW1" s="77"/>
      <c r="TVX1" s="77"/>
      <c r="TVY1" s="77"/>
      <c r="TVZ1" s="77"/>
      <c r="TWA1" s="77"/>
      <c r="TWB1" s="77"/>
      <c r="TWC1" s="77"/>
      <c r="TWD1" s="77"/>
      <c r="TWE1" s="77"/>
      <c r="TWF1" s="77"/>
      <c r="TWG1" s="77"/>
      <c r="TWH1" s="77"/>
      <c r="TWI1" s="77"/>
      <c r="TWJ1" s="77"/>
      <c r="TWK1" s="77"/>
      <c r="TWL1" s="77"/>
      <c r="TWM1" s="77"/>
      <c r="TWN1" s="77"/>
      <c r="TWO1" s="77"/>
      <c r="TWP1" s="77"/>
      <c r="TWQ1" s="77"/>
      <c r="TWR1" s="77"/>
      <c r="TWS1" s="77"/>
      <c r="TWT1" s="77"/>
      <c r="TWU1" s="77"/>
      <c r="TWV1" s="77"/>
      <c r="TWW1" s="77"/>
      <c r="TWX1" s="77"/>
      <c r="TWY1" s="77"/>
      <c r="TWZ1" s="77"/>
      <c r="TXA1" s="77"/>
      <c r="TXB1" s="77"/>
      <c r="TXC1" s="77"/>
      <c r="TXD1" s="77"/>
      <c r="TXE1" s="77"/>
      <c r="TXF1" s="77"/>
      <c r="TXG1" s="77"/>
      <c r="TXH1" s="77"/>
      <c r="TXI1" s="77"/>
      <c r="TXJ1" s="77"/>
      <c r="TXK1" s="77"/>
      <c r="TXL1" s="77"/>
      <c r="TXM1" s="77"/>
      <c r="TXN1" s="77"/>
      <c r="TXO1" s="77"/>
      <c r="TXP1" s="77"/>
      <c r="TXQ1" s="77"/>
      <c r="TXR1" s="77"/>
      <c r="TXS1" s="77"/>
      <c r="TXT1" s="77"/>
      <c r="TXU1" s="77"/>
      <c r="TXV1" s="77"/>
      <c r="TXW1" s="77"/>
      <c r="TXX1" s="77"/>
      <c r="TXY1" s="77"/>
      <c r="TXZ1" s="77"/>
      <c r="TYA1" s="77"/>
      <c r="TYB1" s="77"/>
      <c r="TYC1" s="77"/>
      <c r="TYD1" s="77"/>
      <c r="TYE1" s="77"/>
      <c r="TYF1" s="77"/>
      <c r="TYG1" s="77"/>
      <c r="TYH1" s="77"/>
      <c r="TYI1" s="77"/>
      <c r="TYJ1" s="77"/>
      <c r="TYK1" s="77"/>
      <c r="TYL1" s="77"/>
      <c r="TYM1" s="77"/>
      <c r="TYN1" s="77"/>
      <c r="TYO1" s="77"/>
      <c r="TYP1" s="77"/>
      <c r="TYQ1" s="77"/>
      <c r="TYR1" s="77"/>
      <c r="TYS1" s="77"/>
      <c r="TYT1" s="77"/>
      <c r="TYU1" s="77"/>
      <c r="TYV1" s="77"/>
      <c r="TYW1" s="77"/>
      <c r="TYX1" s="77"/>
      <c r="TYY1" s="77"/>
      <c r="TYZ1" s="77"/>
      <c r="TZA1" s="77"/>
      <c r="TZB1" s="77"/>
      <c r="TZC1" s="77"/>
      <c r="TZD1" s="77"/>
      <c r="TZE1" s="77"/>
      <c r="TZF1" s="77"/>
      <c r="TZG1" s="77"/>
      <c r="TZH1" s="77"/>
      <c r="TZI1" s="77"/>
      <c r="TZJ1" s="77"/>
      <c r="TZK1" s="77"/>
      <c r="TZL1" s="77"/>
      <c r="TZM1" s="77"/>
      <c r="TZN1" s="77"/>
      <c r="TZO1" s="77"/>
      <c r="TZP1" s="77"/>
      <c r="TZQ1" s="77"/>
      <c r="TZR1" s="77"/>
      <c r="TZS1" s="77"/>
      <c r="TZT1" s="77"/>
      <c r="TZU1" s="77"/>
      <c r="TZV1" s="77"/>
      <c r="TZW1" s="77"/>
      <c r="TZX1" s="77"/>
      <c r="TZY1" s="77"/>
      <c r="TZZ1" s="77"/>
      <c r="UAA1" s="77"/>
      <c r="UAB1" s="77"/>
      <c r="UAC1" s="77"/>
      <c r="UAD1" s="77"/>
      <c r="UAE1" s="77"/>
      <c r="UAF1" s="77"/>
      <c r="UAG1" s="77"/>
      <c r="UAH1" s="77"/>
      <c r="UAI1" s="77"/>
      <c r="UAJ1" s="77"/>
      <c r="UAK1" s="77"/>
      <c r="UAL1" s="77"/>
      <c r="UAM1" s="77"/>
      <c r="UAN1" s="77"/>
      <c r="UAO1" s="77"/>
      <c r="UAP1" s="77"/>
      <c r="UAQ1" s="77"/>
      <c r="UAR1" s="77"/>
      <c r="UAS1" s="77"/>
      <c r="UAT1" s="77"/>
      <c r="UAU1" s="77"/>
      <c r="UAV1" s="77"/>
      <c r="UAW1" s="77"/>
      <c r="UAX1" s="77"/>
      <c r="UAY1" s="77"/>
      <c r="UAZ1" s="77"/>
      <c r="UBA1" s="77"/>
      <c r="UBB1" s="77"/>
      <c r="UBC1" s="77"/>
      <c r="UBD1" s="77"/>
      <c r="UBE1" s="77"/>
      <c r="UBF1" s="77"/>
      <c r="UBG1" s="77"/>
      <c r="UBH1" s="77"/>
      <c r="UBI1" s="77"/>
      <c r="UBJ1" s="77"/>
      <c r="UBK1" s="77"/>
      <c r="UBL1" s="77"/>
      <c r="UBM1" s="77"/>
      <c r="UBN1" s="77"/>
      <c r="UBO1" s="77"/>
      <c r="UBP1" s="77"/>
      <c r="UBQ1" s="77"/>
      <c r="UBR1" s="77"/>
      <c r="UBS1" s="77"/>
      <c r="UBT1" s="77"/>
      <c r="UBU1" s="77"/>
      <c r="UBV1" s="77"/>
      <c r="UBW1" s="77"/>
      <c r="UBX1" s="77"/>
      <c r="UBY1" s="77"/>
      <c r="UBZ1" s="77"/>
      <c r="UCA1" s="77"/>
      <c r="UCB1" s="77"/>
      <c r="UCC1" s="77"/>
      <c r="UCD1" s="77"/>
      <c r="UCE1" s="77"/>
      <c r="UCF1" s="77"/>
      <c r="UCG1" s="77"/>
      <c r="UCH1" s="77"/>
      <c r="UCI1" s="77"/>
      <c r="UCJ1" s="77"/>
      <c r="UCK1" s="77"/>
      <c r="UCL1" s="77"/>
      <c r="UCM1" s="77"/>
      <c r="UCN1" s="77"/>
      <c r="UCO1" s="77"/>
      <c r="UCP1" s="77"/>
      <c r="UCQ1" s="77"/>
      <c r="UCR1" s="77"/>
      <c r="UCS1" s="77"/>
      <c r="UCT1" s="77"/>
      <c r="UCU1" s="77"/>
      <c r="UCV1" s="77"/>
      <c r="UCW1" s="77"/>
      <c r="UCX1" s="77"/>
      <c r="UCY1" s="77"/>
      <c r="UCZ1" s="77"/>
      <c r="UDA1" s="77"/>
      <c r="UDB1" s="77"/>
      <c r="UDC1" s="77"/>
      <c r="UDD1" s="77"/>
      <c r="UDE1" s="77"/>
      <c r="UDF1" s="77"/>
      <c r="UDG1" s="77"/>
      <c r="UDH1" s="77"/>
      <c r="UDI1" s="77"/>
      <c r="UDJ1" s="77"/>
      <c r="UDK1" s="77"/>
      <c r="UDL1" s="77"/>
      <c r="UDM1" s="77"/>
      <c r="UDN1" s="77"/>
      <c r="UDO1" s="77"/>
      <c r="UDP1" s="77"/>
      <c r="UDQ1" s="77"/>
      <c r="UDR1" s="77"/>
      <c r="UDS1" s="77"/>
      <c r="UDT1" s="77"/>
      <c r="UDU1" s="77"/>
      <c r="UDV1" s="77"/>
      <c r="UDW1" s="77"/>
      <c r="UDX1" s="77"/>
      <c r="UDY1" s="77"/>
      <c r="UDZ1" s="77"/>
      <c r="UEA1" s="77"/>
      <c r="UEB1" s="77"/>
      <c r="UEC1" s="77"/>
      <c r="UED1" s="77"/>
      <c r="UEE1" s="77"/>
      <c r="UEF1" s="77"/>
      <c r="UEG1" s="77"/>
      <c r="UEH1" s="77"/>
      <c r="UEI1" s="77"/>
      <c r="UEJ1" s="77"/>
      <c r="UEK1" s="77"/>
      <c r="UEL1" s="77"/>
      <c r="UEM1" s="77"/>
      <c r="UEN1" s="77"/>
      <c r="UEO1" s="77"/>
      <c r="UEP1" s="77"/>
      <c r="UEQ1" s="77"/>
      <c r="UER1" s="77"/>
      <c r="UES1" s="77"/>
      <c r="UET1" s="77"/>
      <c r="UEU1" s="77"/>
      <c r="UEV1" s="77"/>
      <c r="UEW1" s="77"/>
      <c r="UEX1" s="77"/>
      <c r="UEY1" s="77"/>
      <c r="UEZ1" s="77"/>
      <c r="UFA1" s="77"/>
      <c r="UFB1" s="77"/>
      <c r="UFC1" s="77"/>
      <c r="UFD1" s="77"/>
      <c r="UFE1" s="77"/>
      <c r="UFF1" s="77"/>
      <c r="UFG1" s="77"/>
      <c r="UFH1" s="77"/>
      <c r="UFI1" s="77"/>
      <c r="UFJ1" s="77"/>
      <c r="UFK1" s="77"/>
      <c r="UFL1" s="77"/>
      <c r="UFM1" s="77"/>
      <c r="UFN1" s="77"/>
      <c r="UFO1" s="77"/>
      <c r="UFP1" s="77"/>
      <c r="UFQ1" s="77"/>
      <c r="UFR1" s="77"/>
      <c r="UFS1" s="77"/>
      <c r="UFT1" s="77"/>
      <c r="UFU1" s="77"/>
      <c r="UFV1" s="77"/>
      <c r="UFW1" s="77"/>
      <c r="UFX1" s="77"/>
      <c r="UFY1" s="77"/>
      <c r="UFZ1" s="77"/>
      <c r="UGA1" s="77"/>
      <c r="UGB1" s="77"/>
      <c r="UGC1" s="77"/>
      <c r="UGD1" s="77"/>
      <c r="UGE1" s="77"/>
      <c r="UGF1" s="77"/>
      <c r="UGG1" s="77"/>
      <c r="UGH1" s="77"/>
      <c r="UGI1" s="77"/>
      <c r="UGJ1" s="77"/>
      <c r="UGK1" s="77"/>
      <c r="UGL1" s="77"/>
      <c r="UGM1" s="77"/>
      <c r="UGN1" s="77"/>
      <c r="UGO1" s="77"/>
      <c r="UGP1" s="77"/>
      <c r="UGQ1" s="77"/>
      <c r="UGR1" s="77"/>
      <c r="UGS1" s="77"/>
      <c r="UGT1" s="77"/>
      <c r="UGU1" s="77"/>
      <c r="UGV1" s="77"/>
      <c r="UGW1" s="77"/>
      <c r="UGX1" s="77"/>
      <c r="UGY1" s="77"/>
      <c r="UGZ1" s="77"/>
      <c r="UHA1" s="77"/>
      <c r="UHB1" s="77"/>
      <c r="UHC1" s="77"/>
      <c r="UHD1" s="77"/>
      <c r="UHE1" s="77"/>
      <c r="UHF1" s="77"/>
      <c r="UHG1" s="77"/>
      <c r="UHH1" s="77"/>
      <c r="UHI1" s="77"/>
      <c r="UHJ1" s="77"/>
      <c r="UHK1" s="77"/>
      <c r="UHL1" s="77"/>
      <c r="UHM1" s="77"/>
      <c r="UHN1" s="77"/>
      <c r="UHO1" s="77"/>
      <c r="UHP1" s="77"/>
      <c r="UHQ1" s="77"/>
      <c r="UHR1" s="77"/>
      <c r="UHS1" s="77"/>
      <c r="UHT1" s="77"/>
      <c r="UHU1" s="77"/>
      <c r="UHV1" s="77"/>
      <c r="UHW1" s="77"/>
      <c r="UHX1" s="77"/>
      <c r="UHY1" s="77"/>
      <c r="UHZ1" s="77"/>
      <c r="UIA1" s="77"/>
      <c r="UIB1" s="77"/>
      <c r="UIC1" s="77"/>
      <c r="UID1" s="77"/>
      <c r="UIE1" s="77"/>
      <c r="UIF1" s="77"/>
      <c r="UIG1" s="77"/>
      <c r="UIH1" s="77"/>
      <c r="UII1" s="77"/>
      <c r="UIJ1" s="77"/>
      <c r="UIK1" s="77"/>
      <c r="UIL1" s="77"/>
      <c r="UIM1" s="77"/>
      <c r="UIN1" s="77"/>
      <c r="UIO1" s="77"/>
      <c r="UIP1" s="77"/>
      <c r="UIQ1" s="77"/>
      <c r="UIR1" s="77"/>
      <c r="UIS1" s="77"/>
      <c r="UIT1" s="77"/>
      <c r="UIU1" s="77"/>
      <c r="UIV1" s="77"/>
      <c r="UIW1" s="77"/>
      <c r="UIX1" s="77"/>
      <c r="UIY1" s="77"/>
      <c r="UIZ1" s="77"/>
      <c r="UJA1" s="77"/>
      <c r="UJB1" s="77"/>
      <c r="UJC1" s="77"/>
      <c r="UJD1" s="77"/>
      <c r="UJE1" s="77"/>
      <c r="UJF1" s="77"/>
      <c r="UJG1" s="77"/>
      <c r="UJH1" s="77"/>
      <c r="UJI1" s="77"/>
      <c r="UJJ1" s="77"/>
      <c r="UJK1" s="77"/>
      <c r="UJL1" s="77"/>
      <c r="UJM1" s="77"/>
      <c r="UJN1" s="77"/>
      <c r="UJO1" s="77"/>
      <c r="UJP1" s="77"/>
      <c r="UJQ1" s="77"/>
      <c r="UJR1" s="77"/>
      <c r="UJS1" s="77"/>
      <c r="UJT1" s="77"/>
      <c r="UJU1" s="77"/>
      <c r="UJV1" s="77"/>
      <c r="UJW1" s="77"/>
      <c r="UJX1" s="77"/>
      <c r="UJY1" s="77"/>
      <c r="UJZ1" s="77"/>
      <c r="UKA1" s="77"/>
      <c r="UKB1" s="77"/>
      <c r="UKC1" s="77"/>
      <c r="UKD1" s="77"/>
      <c r="UKE1" s="77"/>
      <c r="UKF1" s="77"/>
      <c r="UKG1" s="77"/>
      <c r="UKH1" s="77"/>
      <c r="UKI1" s="77"/>
      <c r="UKJ1" s="77"/>
      <c r="UKK1" s="77"/>
      <c r="UKL1" s="77"/>
      <c r="UKM1" s="77"/>
      <c r="UKN1" s="77"/>
      <c r="UKO1" s="77"/>
      <c r="UKP1" s="77"/>
      <c r="UKQ1" s="77"/>
      <c r="UKR1" s="77"/>
      <c r="UKS1" s="77"/>
      <c r="UKT1" s="77"/>
      <c r="UKU1" s="77"/>
      <c r="UKV1" s="77"/>
      <c r="UKW1" s="77"/>
      <c r="UKX1" s="77"/>
      <c r="UKY1" s="77"/>
      <c r="UKZ1" s="77"/>
      <c r="ULA1" s="77"/>
      <c r="ULB1" s="77"/>
      <c r="ULC1" s="77"/>
      <c r="ULD1" s="77"/>
      <c r="ULE1" s="77"/>
      <c r="ULF1" s="77"/>
      <c r="ULG1" s="77"/>
      <c r="ULH1" s="77"/>
      <c r="ULI1" s="77"/>
      <c r="ULJ1" s="77"/>
      <c r="ULK1" s="77"/>
      <c r="ULL1" s="77"/>
      <c r="ULM1" s="77"/>
      <c r="ULN1" s="77"/>
      <c r="ULO1" s="77"/>
      <c r="ULP1" s="77"/>
      <c r="ULQ1" s="77"/>
      <c r="ULR1" s="77"/>
      <c r="ULS1" s="77"/>
      <c r="ULT1" s="77"/>
      <c r="ULU1" s="77"/>
      <c r="ULV1" s="77"/>
      <c r="ULW1" s="77"/>
      <c r="ULX1" s="77"/>
      <c r="ULY1" s="77"/>
      <c r="ULZ1" s="77"/>
      <c r="UMA1" s="77"/>
      <c r="UMB1" s="77"/>
      <c r="UMC1" s="77"/>
      <c r="UMD1" s="77"/>
      <c r="UME1" s="77"/>
      <c r="UMF1" s="77"/>
      <c r="UMG1" s="77"/>
      <c r="UMH1" s="77"/>
      <c r="UMI1" s="77"/>
      <c r="UMJ1" s="77"/>
      <c r="UMK1" s="77"/>
      <c r="UML1" s="77"/>
      <c r="UMM1" s="77"/>
      <c r="UMN1" s="77"/>
      <c r="UMO1" s="77"/>
      <c r="UMP1" s="77"/>
      <c r="UMQ1" s="77"/>
      <c r="UMR1" s="77"/>
      <c r="UMS1" s="77"/>
      <c r="UMT1" s="77"/>
      <c r="UMU1" s="77"/>
      <c r="UMV1" s="77"/>
      <c r="UMW1" s="77"/>
      <c r="UMX1" s="77"/>
      <c r="UMY1" s="77"/>
      <c r="UMZ1" s="77"/>
      <c r="UNA1" s="77"/>
      <c r="UNB1" s="77"/>
      <c r="UNC1" s="77"/>
      <c r="UND1" s="77"/>
      <c r="UNE1" s="77"/>
      <c r="UNF1" s="77"/>
      <c r="UNG1" s="77"/>
      <c r="UNH1" s="77"/>
      <c r="UNI1" s="77"/>
      <c r="UNJ1" s="77"/>
      <c r="UNK1" s="77"/>
      <c r="UNL1" s="77"/>
      <c r="UNM1" s="77"/>
      <c r="UNN1" s="77"/>
      <c r="UNO1" s="77"/>
      <c r="UNP1" s="77"/>
      <c r="UNQ1" s="77"/>
      <c r="UNR1" s="77"/>
      <c r="UNS1" s="77"/>
      <c r="UNT1" s="77"/>
      <c r="UNU1" s="77"/>
      <c r="UNV1" s="77"/>
      <c r="UNW1" s="77"/>
      <c r="UNX1" s="77"/>
      <c r="UNY1" s="77"/>
      <c r="UNZ1" s="77"/>
      <c r="UOA1" s="77"/>
      <c r="UOB1" s="77"/>
      <c r="UOC1" s="77"/>
      <c r="UOD1" s="77"/>
      <c r="UOE1" s="77"/>
      <c r="UOF1" s="77"/>
      <c r="UOG1" s="77"/>
      <c r="UOH1" s="77"/>
      <c r="UOI1" s="77"/>
      <c r="UOJ1" s="77"/>
      <c r="UOK1" s="77"/>
      <c r="UOL1" s="77"/>
      <c r="UOM1" s="77"/>
      <c r="UON1" s="77"/>
      <c r="UOO1" s="77"/>
      <c r="UOP1" s="77"/>
      <c r="UOQ1" s="77"/>
      <c r="UOR1" s="77"/>
      <c r="UOS1" s="77"/>
      <c r="UOT1" s="77"/>
      <c r="UOU1" s="77"/>
      <c r="UOV1" s="77"/>
      <c r="UOW1" s="77"/>
      <c r="UOX1" s="77"/>
      <c r="UOY1" s="77"/>
      <c r="UOZ1" s="77"/>
      <c r="UPA1" s="77"/>
      <c r="UPB1" s="77"/>
      <c r="UPC1" s="77"/>
      <c r="UPD1" s="77"/>
      <c r="UPE1" s="77"/>
      <c r="UPF1" s="77"/>
      <c r="UPG1" s="77"/>
      <c r="UPH1" s="77"/>
      <c r="UPI1" s="77"/>
      <c r="UPJ1" s="77"/>
      <c r="UPK1" s="77"/>
      <c r="UPL1" s="77"/>
      <c r="UPM1" s="77"/>
      <c r="UPN1" s="77"/>
      <c r="UPO1" s="77"/>
      <c r="UPP1" s="77"/>
      <c r="UPQ1" s="77"/>
      <c r="UPR1" s="77"/>
      <c r="UPS1" s="77"/>
      <c r="UPT1" s="77"/>
      <c r="UPU1" s="77"/>
      <c r="UPV1" s="77"/>
      <c r="UPW1" s="77"/>
      <c r="UPX1" s="77"/>
      <c r="UPY1" s="77"/>
      <c r="UPZ1" s="77"/>
      <c r="UQA1" s="77"/>
      <c r="UQB1" s="77"/>
      <c r="UQC1" s="77"/>
      <c r="UQD1" s="77"/>
      <c r="UQE1" s="77"/>
      <c r="UQF1" s="77"/>
      <c r="UQG1" s="77"/>
      <c r="UQH1" s="77"/>
      <c r="UQI1" s="77"/>
      <c r="UQJ1" s="77"/>
      <c r="UQK1" s="77"/>
      <c r="UQL1" s="77"/>
      <c r="UQM1" s="77"/>
      <c r="UQN1" s="77"/>
      <c r="UQO1" s="77"/>
      <c r="UQP1" s="77"/>
      <c r="UQQ1" s="77"/>
      <c r="UQR1" s="77"/>
      <c r="UQS1" s="77"/>
      <c r="UQT1" s="77"/>
      <c r="UQU1" s="77"/>
      <c r="UQV1" s="77"/>
      <c r="UQW1" s="77"/>
      <c r="UQX1" s="77"/>
      <c r="UQY1" s="77"/>
      <c r="UQZ1" s="77"/>
      <c r="URA1" s="77"/>
      <c r="URB1" s="77"/>
      <c r="URC1" s="77"/>
      <c r="URD1" s="77"/>
      <c r="URE1" s="77"/>
      <c r="URF1" s="77"/>
      <c r="URG1" s="77"/>
      <c r="URH1" s="77"/>
      <c r="URI1" s="77"/>
      <c r="URJ1" s="77"/>
      <c r="URK1" s="77"/>
      <c r="URL1" s="77"/>
      <c r="URM1" s="77"/>
      <c r="URN1" s="77"/>
      <c r="URO1" s="77"/>
      <c r="URP1" s="77"/>
      <c r="URQ1" s="77"/>
      <c r="URR1" s="77"/>
      <c r="URS1" s="77"/>
      <c r="URT1" s="77"/>
      <c r="URU1" s="77"/>
      <c r="URV1" s="77"/>
      <c r="URW1" s="77"/>
      <c r="URX1" s="77"/>
      <c r="URY1" s="77"/>
      <c r="URZ1" s="77"/>
      <c r="USA1" s="77"/>
      <c r="USB1" s="77"/>
      <c r="USC1" s="77"/>
      <c r="USD1" s="77"/>
      <c r="USE1" s="77"/>
      <c r="USF1" s="77"/>
      <c r="USG1" s="77"/>
      <c r="USH1" s="77"/>
      <c r="USI1" s="77"/>
      <c r="USJ1" s="77"/>
      <c r="USK1" s="77"/>
      <c r="USL1" s="77"/>
      <c r="USM1" s="77"/>
      <c r="USN1" s="77"/>
      <c r="USO1" s="77"/>
      <c r="USP1" s="77"/>
      <c r="USQ1" s="77"/>
      <c r="USR1" s="77"/>
      <c r="USS1" s="77"/>
      <c r="UST1" s="77"/>
      <c r="USU1" s="77"/>
      <c r="USV1" s="77"/>
      <c r="USW1" s="77"/>
      <c r="USX1" s="77"/>
      <c r="USY1" s="77"/>
      <c r="USZ1" s="77"/>
      <c r="UTA1" s="77"/>
      <c r="UTB1" s="77"/>
      <c r="UTC1" s="77"/>
      <c r="UTD1" s="77"/>
      <c r="UTE1" s="77"/>
      <c r="UTF1" s="77"/>
      <c r="UTG1" s="77"/>
      <c r="UTH1" s="77"/>
      <c r="UTI1" s="77"/>
      <c r="UTJ1" s="77"/>
      <c r="UTK1" s="77"/>
      <c r="UTL1" s="77"/>
      <c r="UTM1" s="77"/>
      <c r="UTN1" s="77"/>
      <c r="UTO1" s="77"/>
      <c r="UTP1" s="77"/>
      <c r="UTQ1" s="77"/>
      <c r="UTR1" s="77"/>
      <c r="UTS1" s="77"/>
      <c r="UTT1" s="77"/>
      <c r="UTU1" s="77"/>
      <c r="UTV1" s="77"/>
      <c r="UTW1" s="77"/>
      <c r="UTX1" s="77"/>
      <c r="UTY1" s="77"/>
      <c r="UTZ1" s="77"/>
      <c r="UUA1" s="77"/>
      <c r="UUB1" s="77"/>
      <c r="UUC1" s="77"/>
      <c r="UUD1" s="77"/>
      <c r="UUE1" s="77"/>
      <c r="UUF1" s="77"/>
      <c r="UUG1" s="77"/>
      <c r="UUH1" s="77"/>
      <c r="UUI1" s="77"/>
      <c r="UUJ1" s="77"/>
      <c r="UUK1" s="77"/>
      <c r="UUL1" s="77"/>
      <c r="UUM1" s="77"/>
      <c r="UUN1" s="77"/>
      <c r="UUO1" s="77"/>
      <c r="UUP1" s="77"/>
      <c r="UUQ1" s="77"/>
      <c r="UUR1" s="77"/>
      <c r="UUS1" s="77"/>
      <c r="UUT1" s="77"/>
      <c r="UUU1" s="77"/>
      <c r="UUV1" s="77"/>
      <c r="UUW1" s="77"/>
      <c r="UUX1" s="77"/>
      <c r="UUY1" s="77"/>
      <c r="UUZ1" s="77"/>
      <c r="UVA1" s="77"/>
      <c r="UVB1" s="77"/>
      <c r="UVC1" s="77"/>
      <c r="UVD1" s="77"/>
      <c r="UVE1" s="77"/>
      <c r="UVF1" s="77"/>
      <c r="UVG1" s="77"/>
      <c r="UVH1" s="77"/>
      <c r="UVI1" s="77"/>
      <c r="UVJ1" s="77"/>
      <c r="UVK1" s="77"/>
      <c r="UVL1" s="77"/>
      <c r="UVM1" s="77"/>
      <c r="UVN1" s="77"/>
      <c r="UVO1" s="77"/>
      <c r="UVP1" s="77"/>
      <c r="UVQ1" s="77"/>
      <c r="UVR1" s="77"/>
      <c r="UVS1" s="77"/>
      <c r="UVT1" s="77"/>
      <c r="UVU1" s="77"/>
      <c r="UVV1" s="77"/>
      <c r="UVW1" s="77"/>
      <c r="UVX1" s="77"/>
      <c r="UVY1" s="77"/>
      <c r="UVZ1" s="77"/>
      <c r="UWA1" s="77"/>
      <c r="UWB1" s="77"/>
      <c r="UWC1" s="77"/>
      <c r="UWD1" s="77"/>
      <c r="UWE1" s="77"/>
      <c r="UWF1" s="77"/>
      <c r="UWG1" s="77"/>
      <c r="UWH1" s="77"/>
      <c r="UWI1" s="77"/>
      <c r="UWJ1" s="77"/>
      <c r="UWK1" s="77"/>
      <c r="UWL1" s="77"/>
      <c r="UWM1" s="77"/>
      <c r="UWN1" s="77"/>
      <c r="UWO1" s="77"/>
      <c r="UWP1" s="77"/>
      <c r="UWQ1" s="77"/>
      <c r="UWR1" s="77"/>
      <c r="UWS1" s="77"/>
      <c r="UWT1" s="77"/>
      <c r="UWU1" s="77"/>
      <c r="UWV1" s="77"/>
      <c r="UWW1" s="77"/>
      <c r="UWX1" s="77"/>
      <c r="UWY1" s="77"/>
      <c r="UWZ1" s="77"/>
      <c r="UXA1" s="77"/>
      <c r="UXB1" s="77"/>
      <c r="UXC1" s="77"/>
      <c r="UXD1" s="77"/>
      <c r="UXE1" s="77"/>
      <c r="UXF1" s="77"/>
      <c r="UXG1" s="77"/>
      <c r="UXH1" s="77"/>
      <c r="UXI1" s="77"/>
      <c r="UXJ1" s="77"/>
      <c r="UXK1" s="77"/>
      <c r="UXL1" s="77"/>
      <c r="UXM1" s="77"/>
      <c r="UXN1" s="77"/>
      <c r="UXO1" s="77"/>
      <c r="UXP1" s="77"/>
      <c r="UXQ1" s="77"/>
      <c r="UXR1" s="77"/>
      <c r="UXS1" s="77"/>
      <c r="UXT1" s="77"/>
      <c r="UXU1" s="77"/>
      <c r="UXV1" s="77"/>
      <c r="UXW1" s="77"/>
      <c r="UXX1" s="77"/>
      <c r="UXY1" s="77"/>
      <c r="UXZ1" s="77"/>
      <c r="UYA1" s="77"/>
      <c r="UYB1" s="77"/>
      <c r="UYC1" s="77"/>
      <c r="UYD1" s="77"/>
      <c r="UYE1" s="77"/>
      <c r="UYF1" s="77"/>
      <c r="UYG1" s="77"/>
      <c r="UYH1" s="77"/>
      <c r="UYI1" s="77"/>
      <c r="UYJ1" s="77"/>
      <c r="UYK1" s="77"/>
      <c r="UYL1" s="77"/>
      <c r="UYM1" s="77"/>
      <c r="UYN1" s="77"/>
      <c r="UYO1" s="77"/>
      <c r="UYP1" s="77"/>
      <c r="UYQ1" s="77"/>
      <c r="UYR1" s="77"/>
      <c r="UYS1" s="77"/>
      <c r="UYT1" s="77"/>
      <c r="UYU1" s="77"/>
      <c r="UYV1" s="77"/>
      <c r="UYW1" s="77"/>
      <c r="UYX1" s="77"/>
      <c r="UYY1" s="77"/>
      <c r="UYZ1" s="77"/>
      <c r="UZA1" s="77"/>
      <c r="UZB1" s="77"/>
      <c r="UZC1" s="77"/>
      <c r="UZD1" s="77"/>
      <c r="UZE1" s="77"/>
      <c r="UZF1" s="77"/>
      <c r="UZG1" s="77"/>
      <c r="UZH1" s="77"/>
      <c r="UZI1" s="77"/>
      <c r="UZJ1" s="77"/>
      <c r="UZK1" s="77"/>
      <c r="UZL1" s="77"/>
      <c r="UZM1" s="77"/>
      <c r="UZN1" s="77"/>
      <c r="UZO1" s="77"/>
      <c r="UZP1" s="77"/>
      <c r="UZQ1" s="77"/>
      <c r="UZR1" s="77"/>
      <c r="UZS1" s="77"/>
      <c r="UZT1" s="77"/>
      <c r="UZU1" s="77"/>
      <c r="UZV1" s="77"/>
      <c r="UZW1" s="77"/>
      <c r="UZX1" s="77"/>
      <c r="UZY1" s="77"/>
      <c r="UZZ1" s="77"/>
      <c r="VAA1" s="77"/>
      <c r="VAB1" s="77"/>
      <c r="VAC1" s="77"/>
      <c r="VAD1" s="77"/>
      <c r="VAE1" s="77"/>
      <c r="VAF1" s="77"/>
      <c r="VAG1" s="77"/>
      <c r="VAH1" s="77"/>
      <c r="VAI1" s="77"/>
      <c r="VAJ1" s="77"/>
      <c r="VAK1" s="77"/>
      <c r="VAL1" s="77"/>
      <c r="VAM1" s="77"/>
      <c r="VAN1" s="77"/>
      <c r="VAO1" s="77"/>
      <c r="VAP1" s="77"/>
      <c r="VAQ1" s="77"/>
      <c r="VAR1" s="77"/>
      <c r="VAS1" s="77"/>
      <c r="VAT1" s="77"/>
      <c r="VAU1" s="77"/>
      <c r="VAV1" s="77"/>
      <c r="VAW1" s="77"/>
      <c r="VAX1" s="77"/>
      <c r="VAY1" s="77"/>
      <c r="VAZ1" s="77"/>
      <c r="VBA1" s="77"/>
      <c r="VBB1" s="77"/>
      <c r="VBC1" s="77"/>
      <c r="VBD1" s="77"/>
      <c r="VBE1" s="77"/>
      <c r="VBF1" s="77"/>
      <c r="VBG1" s="77"/>
      <c r="VBH1" s="77"/>
      <c r="VBI1" s="77"/>
      <c r="VBJ1" s="77"/>
      <c r="VBK1" s="77"/>
      <c r="VBL1" s="77"/>
      <c r="VBM1" s="77"/>
      <c r="VBN1" s="77"/>
      <c r="VBO1" s="77"/>
      <c r="VBP1" s="77"/>
      <c r="VBQ1" s="77"/>
      <c r="VBR1" s="77"/>
      <c r="VBS1" s="77"/>
      <c r="VBT1" s="77"/>
      <c r="VBU1" s="77"/>
      <c r="VBV1" s="77"/>
      <c r="VBW1" s="77"/>
      <c r="VBX1" s="77"/>
      <c r="VBY1" s="77"/>
      <c r="VBZ1" s="77"/>
      <c r="VCA1" s="77"/>
      <c r="VCB1" s="77"/>
      <c r="VCC1" s="77"/>
      <c r="VCD1" s="77"/>
      <c r="VCE1" s="77"/>
      <c r="VCF1" s="77"/>
      <c r="VCG1" s="77"/>
      <c r="VCH1" s="77"/>
      <c r="VCI1" s="77"/>
      <c r="VCJ1" s="77"/>
      <c r="VCK1" s="77"/>
      <c r="VCL1" s="77"/>
      <c r="VCM1" s="77"/>
      <c r="VCN1" s="77"/>
      <c r="VCO1" s="77"/>
      <c r="VCP1" s="77"/>
      <c r="VCQ1" s="77"/>
      <c r="VCR1" s="77"/>
      <c r="VCS1" s="77"/>
      <c r="VCT1" s="77"/>
      <c r="VCU1" s="77"/>
      <c r="VCV1" s="77"/>
      <c r="VCW1" s="77"/>
      <c r="VCX1" s="77"/>
      <c r="VCY1" s="77"/>
      <c r="VCZ1" s="77"/>
      <c r="VDA1" s="77"/>
      <c r="VDB1" s="77"/>
      <c r="VDC1" s="77"/>
      <c r="VDD1" s="77"/>
      <c r="VDE1" s="77"/>
      <c r="VDF1" s="77"/>
      <c r="VDG1" s="77"/>
      <c r="VDH1" s="77"/>
      <c r="VDI1" s="77"/>
      <c r="VDJ1" s="77"/>
      <c r="VDK1" s="77"/>
      <c r="VDL1" s="77"/>
      <c r="VDM1" s="77"/>
      <c r="VDN1" s="77"/>
      <c r="VDO1" s="77"/>
      <c r="VDP1" s="77"/>
      <c r="VDQ1" s="77"/>
      <c r="VDR1" s="77"/>
      <c r="VDS1" s="77"/>
      <c r="VDT1" s="77"/>
      <c r="VDU1" s="77"/>
      <c r="VDV1" s="77"/>
      <c r="VDW1" s="77"/>
      <c r="VDX1" s="77"/>
      <c r="VDY1" s="77"/>
      <c r="VDZ1" s="77"/>
      <c r="VEA1" s="77"/>
      <c r="VEB1" s="77"/>
      <c r="VEC1" s="77"/>
      <c r="VED1" s="77"/>
      <c r="VEE1" s="77"/>
      <c r="VEF1" s="77"/>
      <c r="VEG1" s="77"/>
      <c r="VEH1" s="77"/>
      <c r="VEI1" s="77"/>
      <c r="VEJ1" s="77"/>
      <c r="VEK1" s="77"/>
      <c r="VEL1" s="77"/>
      <c r="VEM1" s="77"/>
      <c r="VEN1" s="77"/>
      <c r="VEO1" s="77"/>
      <c r="VEP1" s="77"/>
      <c r="VEQ1" s="77"/>
      <c r="VER1" s="77"/>
      <c r="VES1" s="77"/>
      <c r="VET1" s="77"/>
      <c r="VEU1" s="77"/>
      <c r="VEV1" s="77"/>
      <c r="VEW1" s="77"/>
      <c r="VEX1" s="77"/>
      <c r="VEY1" s="77"/>
      <c r="VEZ1" s="77"/>
      <c r="VFA1" s="77"/>
      <c r="VFB1" s="77"/>
      <c r="VFC1" s="77"/>
      <c r="VFD1" s="77"/>
      <c r="VFE1" s="77"/>
      <c r="VFF1" s="77"/>
      <c r="VFG1" s="77"/>
      <c r="VFH1" s="77"/>
      <c r="VFI1" s="77"/>
      <c r="VFJ1" s="77"/>
      <c r="VFK1" s="77"/>
      <c r="VFL1" s="77"/>
      <c r="VFM1" s="77"/>
      <c r="VFN1" s="77"/>
      <c r="VFO1" s="77"/>
      <c r="VFP1" s="77"/>
      <c r="VFQ1" s="77"/>
      <c r="VFR1" s="77"/>
      <c r="VFS1" s="77"/>
      <c r="VFT1" s="77"/>
      <c r="VFU1" s="77"/>
      <c r="VFV1" s="77"/>
      <c r="VFW1" s="77"/>
      <c r="VFX1" s="77"/>
      <c r="VFY1" s="77"/>
      <c r="VFZ1" s="77"/>
      <c r="VGA1" s="77"/>
      <c r="VGB1" s="77"/>
      <c r="VGC1" s="77"/>
      <c r="VGD1" s="77"/>
      <c r="VGE1" s="77"/>
      <c r="VGF1" s="77"/>
      <c r="VGG1" s="77"/>
      <c r="VGH1" s="77"/>
      <c r="VGI1" s="77"/>
      <c r="VGJ1" s="77"/>
      <c r="VGK1" s="77"/>
      <c r="VGL1" s="77"/>
      <c r="VGM1" s="77"/>
      <c r="VGN1" s="77"/>
      <c r="VGO1" s="77"/>
      <c r="VGP1" s="77"/>
      <c r="VGQ1" s="77"/>
      <c r="VGR1" s="77"/>
      <c r="VGS1" s="77"/>
      <c r="VGT1" s="77"/>
      <c r="VGU1" s="77"/>
      <c r="VGV1" s="77"/>
      <c r="VGW1" s="77"/>
      <c r="VGX1" s="77"/>
      <c r="VGY1" s="77"/>
      <c r="VGZ1" s="77"/>
      <c r="VHA1" s="77"/>
      <c r="VHB1" s="77"/>
      <c r="VHC1" s="77"/>
      <c r="VHD1" s="77"/>
      <c r="VHE1" s="77"/>
      <c r="VHF1" s="77"/>
      <c r="VHG1" s="77"/>
      <c r="VHH1" s="77"/>
      <c r="VHI1" s="77"/>
      <c r="VHJ1" s="77"/>
      <c r="VHK1" s="77"/>
      <c r="VHL1" s="77"/>
      <c r="VHM1" s="77"/>
      <c r="VHN1" s="77"/>
      <c r="VHO1" s="77"/>
      <c r="VHP1" s="77"/>
      <c r="VHQ1" s="77"/>
      <c r="VHR1" s="77"/>
      <c r="VHS1" s="77"/>
      <c r="VHT1" s="77"/>
      <c r="VHU1" s="77"/>
      <c r="VHV1" s="77"/>
      <c r="VHW1" s="77"/>
      <c r="VHX1" s="77"/>
      <c r="VHY1" s="77"/>
      <c r="VHZ1" s="77"/>
      <c r="VIA1" s="77"/>
      <c r="VIB1" s="77"/>
      <c r="VIC1" s="77"/>
      <c r="VID1" s="77"/>
      <c r="VIE1" s="77"/>
      <c r="VIF1" s="77"/>
      <c r="VIG1" s="77"/>
      <c r="VIH1" s="77"/>
      <c r="VII1" s="77"/>
      <c r="VIJ1" s="77"/>
      <c r="VIK1" s="77"/>
      <c r="VIL1" s="77"/>
      <c r="VIM1" s="77"/>
      <c r="VIN1" s="77"/>
      <c r="VIO1" s="77"/>
      <c r="VIP1" s="77"/>
      <c r="VIQ1" s="77"/>
      <c r="VIR1" s="77"/>
      <c r="VIS1" s="77"/>
      <c r="VIT1" s="77"/>
      <c r="VIU1" s="77"/>
      <c r="VIV1" s="77"/>
      <c r="VIW1" s="77"/>
      <c r="VIX1" s="77"/>
      <c r="VIY1" s="77"/>
      <c r="VIZ1" s="77"/>
      <c r="VJA1" s="77"/>
      <c r="VJB1" s="77"/>
      <c r="VJC1" s="77"/>
      <c r="VJD1" s="77"/>
      <c r="VJE1" s="77"/>
      <c r="VJF1" s="77"/>
      <c r="VJG1" s="77"/>
      <c r="VJH1" s="77"/>
      <c r="VJI1" s="77"/>
      <c r="VJJ1" s="77"/>
      <c r="VJK1" s="77"/>
      <c r="VJL1" s="77"/>
      <c r="VJM1" s="77"/>
      <c r="VJN1" s="77"/>
      <c r="VJO1" s="77"/>
      <c r="VJP1" s="77"/>
      <c r="VJQ1" s="77"/>
      <c r="VJR1" s="77"/>
      <c r="VJS1" s="77"/>
      <c r="VJT1" s="77"/>
      <c r="VJU1" s="77"/>
      <c r="VJV1" s="77"/>
      <c r="VJW1" s="77"/>
      <c r="VJX1" s="77"/>
      <c r="VJY1" s="77"/>
      <c r="VJZ1" s="77"/>
      <c r="VKA1" s="77"/>
      <c r="VKB1" s="77"/>
      <c r="VKC1" s="77"/>
      <c r="VKD1" s="77"/>
      <c r="VKE1" s="77"/>
      <c r="VKF1" s="77"/>
      <c r="VKG1" s="77"/>
      <c r="VKH1" s="77"/>
      <c r="VKI1" s="77"/>
      <c r="VKJ1" s="77"/>
      <c r="VKK1" s="77"/>
      <c r="VKL1" s="77"/>
      <c r="VKM1" s="77"/>
      <c r="VKN1" s="77"/>
      <c r="VKO1" s="77"/>
      <c r="VKP1" s="77"/>
      <c r="VKQ1" s="77"/>
      <c r="VKR1" s="77"/>
      <c r="VKS1" s="77"/>
      <c r="VKT1" s="77"/>
      <c r="VKU1" s="77"/>
      <c r="VKV1" s="77"/>
      <c r="VKW1" s="77"/>
      <c r="VKX1" s="77"/>
      <c r="VKY1" s="77"/>
      <c r="VKZ1" s="77"/>
      <c r="VLA1" s="77"/>
      <c r="VLB1" s="77"/>
      <c r="VLC1" s="77"/>
      <c r="VLD1" s="77"/>
      <c r="VLE1" s="77"/>
      <c r="VLF1" s="77"/>
      <c r="VLG1" s="77"/>
      <c r="VLH1" s="77"/>
      <c r="VLI1" s="77"/>
      <c r="VLJ1" s="77"/>
      <c r="VLK1" s="77"/>
      <c r="VLL1" s="77"/>
      <c r="VLM1" s="77"/>
      <c r="VLN1" s="77"/>
      <c r="VLO1" s="77"/>
      <c r="VLP1" s="77"/>
      <c r="VLQ1" s="77"/>
      <c r="VLR1" s="77"/>
      <c r="VLS1" s="77"/>
      <c r="VLT1" s="77"/>
      <c r="VLU1" s="77"/>
      <c r="VLV1" s="77"/>
      <c r="VLW1" s="77"/>
      <c r="VLX1" s="77"/>
      <c r="VLY1" s="77"/>
      <c r="VLZ1" s="77"/>
      <c r="VMA1" s="77"/>
      <c r="VMB1" s="77"/>
      <c r="VMC1" s="77"/>
      <c r="VMD1" s="77"/>
      <c r="VME1" s="77"/>
      <c r="VMF1" s="77"/>
      <c r="VMG1" s="77"/>
      <c r="VMH1" s="77"/>
      <c r="VMI1" s="77"/>
      <c r="VMJ1" s="77"/>
      <c r="VMK1" s="77"/>
      <c r="VML1" s="77"/>
      <c r="VMM1" s="77"/>
      <c r="VMN1" s="77"/>
      <c r="VMO1" s="77"/>
      <c r="VMP1" s="77"/>
      <c r="VMQ1" s="77"/>
      <c r="VMR1" s="77"/>
      <c r="VMS1" s="77"/>
      <c r="VMT1" s="77"/>
      <c r="VMU1" s="77"/>
      <c r="VMV1" s="77"/>
      <c r="VMW1" s="77"/>
      <c r="VMX1" s="77"/>
      <c r="VMY1" s="77"/>
      <c r="VMZ1" s="77"/>
      <c r="VNA1" s="77"/>
      <c r="VNB1" s="77"/>
      <c r="VNC1" s="77"/>
      <c r="VND1" s="77"/>
      <c r="VNE1" s="77"/>
      <c r="VNF1" s="77"/>
      <c r="VNG1" s="77"/>
      <c r="VNH1" s="77"/>
      <c r="VNI1" s="77"/>
      <c r="VNJ1" s="77"/>
      <c r="VNK1" s="77"/>
      <c r="VNL1" s="77"/>
      <c r="VNM1" s="77"/>
      <c r="VNN1" s="77"/>
      <c r="VNO1" s="77"/>
      <c r="VNP1" s="77"/>
      <c r="VNQ1" s="77"/>
      <c r="VNR1" s="77"/>
      <c r="VNS1" s="77"/>
      <c r="VNT1" s="77"/>
      <c r="VNU1" s="77"/>
      <c r="VNV1" s="77"/>
      <c r="VNW1" s="77"/>
      <c r="VNX1" s="77"/>
      <c r="VNY1" s="77"/>
      <c r="VNZ1" s="77"/>
      <c r="VOA1" s="77"/>
      <c r="VOB1" s="77"/>
      <c r="VOC1" s="77"/>
      <c r="VOD1" s="77"/>
      <c r="VOE1" s="77"/>
      <c r="VOF1" s="77"/>
      <c r="VOG1" s="77"/>
      <c r="VOH1" s="77"/>
      <c r="VOI1" s="77"/>
      <c r="VOJ1" s="77"/>
      <c r="VOK1" s="77"/>
      <c r="VOL1" s="77"/>
      <c r="VOM1" s="77"/>
      <c r="VON1" s="77"/>
      <c r="VOO1" s="77"/>
      <c r="VOP1" s="77"/>
      <c r="VOQ1" s="77"/>
      <c r="VOR1" s="77"/>
      <c r="VOS1" s="77"/>
      <c r="VOT1" s="77"/>
      <c r="VOU1" s="77"/>
      <c r="VOV1" s="77"/>
      <c r="VOW1" s="77"/>
      <c r="VOX1" s="77"/>
      <c r="VOY1" s="77"/>
      <c r="VOZ1" s="77"/>
      <c r="VPA1" s="77"/>
      <c r="VPB1" s="77"/>
      <c r="VPC1" s="77"/>
      <c r="VPD1" s="77"/>
      <c r="VPE1" s="77"/>
      <c r="VPF1" s="77"/>
      <c r="VPG1" s="77"/>
      <c r="VPH1" s="77"/>
      <c r="VPI1" s="77"/>
      <c r="VPJ1" s="77"/>
      <c r="VPK1" s="77"/>
      <c r="VPL1" s="77"/>
      <c r="VPM1" s="77"/>
      <c r="VPN1" s="77"/>
      <c r="VPO1" s="77"/>
      <c r="VPP1" s="77"/>
      <c r="VPQ1" s="77"/>
      <c r="VPR1" s="77"/>
      <c r="VPS1" s="77"/>
      <c r="VPT1" s="77"/>
      <c r="VPU1" s="77"/>
      <c r="VPV1" s="77"/>
      <c r="VPW1" s="77"/>
      <c r="VPX1" s="77"/>
      <c r="VPY1" s="77"/>
      <c r="VPZ1" s="77"/>
      <c r="VQA1" s="77"/>
      <c r="VQB1" s="77"/>
      <c r="VQC1" s="77"/>
      <c r="VQD1" s="77"/>
      <c r="VQE1" s="77"/>
      <c r="VQF1" s="77"/>
      <c r="VQG1" s="77"/>
      <c r="VQH1" s="77"/>
      <c r="VQI1" s="77"/>
      <c r="VQJ1" s="77"/>
      <c r="VQK1" s="77"/>
      <c r="VQL1" s="77"/>
      <c r="VQM1" s="77"/>
      <c r="VQN1" s="77"/>
      <c r="VQO1" s="77"/>
      <c r="VQP1" s="77"/>
      <c r="VQQ1" s="77"/>
      <c r="VQR1" s="77"/>
      <c r="VQS1" s="77"/>
      <c r="VQT1" s="77"/>
      <c r="VQU1" s="77"/>
      <c r="VQV1" s="77"/>
      <c r="VQW1" s="77"/>
      <c r="VQX1" s="77"/>
      <c r="VQY1" s="77"/>
      <c r="VQZ1" s="77"/>
      <c r="VRA1" s="77"/>
      <c r="VRB1" s="77"/>
      <c r="VRC1" s="77"/>
      <c r="VRD1" s="77"/>
      <c r="VRE1" s="77"/>
      <c r="VRF1" s="77"/>
      <c r="VRG1" s="77"/>
      <c r="VRH1" s="77"/>
      <c r="VRI1" s="77"/>
      <c r="VRJ1" s="77"/>
      <c r="VRK1" s="77"/>
      <c r="VRL1" s="77"/>
      <c r="VRM1" s="77"/>
      <c r="VRN1" s="77"/>
      <c r="VRO1" s="77"/>
      <c r="VRP1" s="77"/>
      <c r="VRQ1" s="77"/>
      <c r="VRR1" s="77"/>
      <c r="VRS1" s="77"/>
      <c r="VRT1" s="77"/>
      <c r="VRU1" s="77"/>
      <c r="VRV1" s="77"/>
      <c r="VRW1" s="77"/>
      <c r="VRX1" s="77"/>
      <c r="VRY1" s="77"/>
      <c r="VRZ1" s="77"/>
      <c r="VSA1" s="77"/>
      <c r="VSB1" s="77"/>
      <c r="VSC1" s="77"/>
      <c r="VSD1" s="77"/>
      <c r="VSE1" s="77"/>
      <c r="VSF1" s="77"/>
      <c r="VSG1" s="77"/>
      <c r="VSH1" s="77"/>
      <c r="VSI1" s="77"/>
      <c r="VSJ1" s="77"/>
      <c r="VSK1" s="77"/>
      <c r="VSL1" s="77"/>
      <c r="VSM1" s="77"/>
      <c r="VSN1" s="77"/>
      <c r="VSO1" s="77"/>
      <c r="VSP1" s="77"/>
      <c r="VSQ1" s="77"/>
      <c r="VSR1" s="77"/>
      <c r="VSS1" s="77"/>
      <c r="VST1" s="77"/>
      <c r="VSU1" s="77"/>
      <c r="VSV1" s="77"/>
      <c r="VSW1" s="77"/>
      <c r="VSX1" s="77"/>
      <c r="VSY1" s="77"/>
      <c r="VSZ1" s="77"/>
      <c r="VTA1" s="77"/>
      <c r="VTB1" s="77"/>
      <c r="VTC1" s="77"/>
      <c r="VTD1" s="77"/>
      <c r="VTE1" s="77"/>
      <c r="VTF1" s="77"/>
      <c r="VTG1" s="77"/>
      <c r="VTH1" s="77"/>
      <c r="VTI1" s="77"/>
      <c r="VTJ1" s="77"/>
      <c r="VTK1" s="77"/>
      <c r="VTL1" s="77"/>
      <c r="VTM1" s="77"/>
      <c r="VTN1" s="77"/>
      <c r="VTO1" s="77"/>
      <c r="VTP1" s="77"/>
      <c r="VTQ1" s="77"/>
      <c r="VTR1" s="77"/>
      <c r="VTS1" s="77"/>
      <c r="VTT1" s="77"/>
      <c r="VTU1" s="77"/>
      <c r="VTV1" s="77"/>
      <c r="VTW1" s="77"/>
      <c r="VTX1" s="77"/>
      <c r="VTY1" s="77"/>
      <c r="VTZ1" s="77"/>
      <c r="VUA1" s="77"/>
      <c r="VUB1" s="77"/>
      <c r="VUC1" s="77"/>
      <c r="VUD1" s="77"/>
      <c r="VUE1" s="77"/>
      <c r="VUF1" s="77"/>
      <c r="VUG1" s="77"/>
      <c r="VUH1" s="77"/>
      <c r="VUI1" s="77"/>
      <c r="VUJ1" s="77"/>
      <c r="VUK1" s="77"/>
      <c r="VUL1" s="77"/>
      <c r="VUM1" s="77"/>
      <c r="VUN1" s="77"/>
      <c r="VUO1" s="77"/>
      <c r="VUP1" s="77"/>
      <c r="VUQ1" s="77"/>
      <c r="VUR1" s="77"/>
      <c r="VUS1" s="77"/>
      <c r="VUT1" s="77"/>
      <c r="VUU1" s="77"/>
      <c r="VUV1" s="77"/>
      <c r="VUW1" s="77"/>
      <c r="VUX1" s="77"/>
      <c r="VUY1" s="77"/>
      <c r="VUZ1" s="77"/>
      <c r="VVA1" s="77"/>
      <c r="VVB1" s="77"/>
      <c r="VVC1" s="77"/>
      <c r="VVD1" s="77"/>
      <c r="VVE1" s="77"/>
      <c r="VVF1" s="77"/>
      <c r="VVG1" s="77"/>
      <c r="VVH1" s="77"/>
      <c r="VVI1" s="77"/>
      <c r="VVJ1" s="77"/>
      <c r="VVK1" s="77"/>
      <c r="VVL1" s="77"/>
      <c r="VVM1" s="77"/>
      <c r="VVN1" s="77"/>
      <c r="VVO1" s="77"/>
      <c r="VVP1" s="77"/>
      <c r="VVQ1" s="77"/>
      <c r="VVR1" s="77"/>
      <c r="VVS1" s="77"/>
      <c r="VVT1" s="77"/>
      <c r="VVU1" s="77"/>
      <c r="VVV1" s="77"/>
      <c r="VVW1" s="77"/>
      <c r="VVX1" s="77"/>
      <c r="VVY1" s="77"/>
      <c r="VVZ1" s="77"/>
      <c r="VWA1" s="77"/>
      <c r="VWB1" s="77"/>
      <c r="VWC1" s="77"/>
      <c r="VWD1" s="77"/>
      <c r="VWE1" s="77"/>
      <c r="VWF1" s="77"/>
      <c r="VWG1" s="77"/>
      <c r="VWH1" s="77"/>
      <c r="VWI1" s="77"/>
      <c r="VWJ1" s="77"/>
      <c r="VWK1" s="77"/>
      <c r="VWL1" s="77"/>
      <c r="VWM1" s="77"/>
      <c r="VWN1" s="77"/>
      <c r="VWO1" s="77"/>
      <c r="VWP1" s="77"/>
      <c r="VWQ1" s="77"/>
      <c r="VWR1" s="77"/>
      <c r="VWS1" s="77"/>
      <c r="VWT1" s="77"/>
      <c r="VWU1" s="77"/>
      <c r="VWV1" s="77"/>
      <c r="VWW1" s="77"/>
      <c r="VWX1" s="77"/>
      <c r="VWY1" s="77"/>
      <c r="VWZ1" s="77"/>
      <c r="VXA1" s="77"/>
      <c r="VXB1" s="77"/>
      <c r="VXC1" s="77"/>
      <c r="VXD1" s="77"/>
      <c r="VXE1" s="77"/>
      <c r="VXF1" s="77"/>
      <c r="VXG1" s="77"/>
      <c r="VXH1" s="77"/>
      <c r="VXI1" s="77"/>
      <c r="VXJ1" s="77"/>
      <c r="VXK1" s="77"/>
      <c r="VXL1" s="77"/>
      <c r="VXM1" s="77"/>
      <c r="VXN1" s="77"/>
      <c r="VXO1" s="77"/>
      <c r="VXP1" s="77"/>
      <c r="VXQ1" s="77"/>
      <c r="VXR1" s="77"/>
      <c r="VXS1" s="77"/>
      <c r="VXT1" s="77"/>
      <c r="VXU1" s="77"/>
      <c r="VXV1" s="77"/>
      <c r="VXW1" s="77"/>
      <c r="VXX1" s="77"/>
      <c r="VXY1" s="77"/>
      <c r="VXZ1" s="77"/>
      <c r="VYA1" s="77"/>
      <c r="VYB1" s="77"/>
      <c r="VYC1" s="77"/>
      <c r="VYD1" s="77"/>
      <c r="VYE1" s="77"/>
      <c r="VYF1" s="77"/>
      <c r="VYG1" s="77"/>
      <c r="VYH1" s="77"/>
      <c r="VYI1" s="77"/>
      <c r="VYJ1" s="77"/>
      <c r="VYK1" s="77"/>
      <c r="VYL1" s="77"/>
      <c r="VYM1" s="77"/>
      <c r="VYN1" s="77"/>
      <c r="VYO1" s="77"/>
      <c r="VYP1" s="77"/>
      <c r="VYQ1" s="77"/>
      <c r="VYR1" s="77"/>
      <c r="VYS1" s="77"/>
      <c r="VYT1" s="77"/>
      <c r="VYU1" s="77"/>
      <c r="VYV1" s="77"/>
      <c r="VYW1" s="77"/>
      <c r="VYX1" s="77"/>
      <c r="VYY1" s="77"/>
      <c r="VYZ1" s="77"/>
      <c r="VZA1" s="77"/>
      <c r="VZB1" s="77"/>
      <c r="VZC1" s="77"/>
      <c r="VZD1" s="77"/>
      <c r="VZE1" s="77"/>
      <c r="VZF1" s="77"/>
      <c r="VZG1" s="77"/>
      <c r="VZH1" s="77"/>
      <c r="VZI1" s="77"/>
      <c r="VZJ1" s="77"/>
      <c r="VZK1" s="77"/>
      <c r="VZL1" s="77"/>
      <c r="VZM1" s="77"/>
      <c r="VZN1" s="77"/>
      <c r="VZO1" s="77"/>
      <c r="VZP1" s="77"/>
      <c r="VZQ1" s="77"/>
      <c r="VZR1" s="77"/>
      <c r="VZS1" s="77"/>
      <c r="VZT1" s="77"/>
      <c r="VZU1" s="77"/>
      <c r="VZV1" s="77"/>
      <c r="VZW1" s="77"/>
      <c r="VZX1" s="77"/>
      <c r="VZY1" s="77"/>
      <c r="VZZ1" s="77"/>
      <c r="WAA1" s="77"/>
      <c r="WAB1" s="77"/>
      <c r="WAC1" s="77"/>
      <c r="WAD1" s="77"/>
      <c r="WAE1" s="77"/>
      <c r="WAF1" s="77"/>
      <c r="WAG1" s="77"/>
      <c r="WAH1" s="77"/>
      <c r="WAI1" s="77"/>
      <c r="WAJ1" s="77"/>
      <c r="WAK1" s="77"/>
      <c r="WAL1" s="77"/>
      <c r="WAM1" s="77"/>
      <c r="WAN1" s="77"/>
      <c r="WAO1" s="77"/>
      <c r="WAP1" s="77"/>
      <c r="WAQ1" s="77"/>
      <c r="WAR1" s="77"/>
      <c r="WAS1" s="77"/>
      <c r="WAT1" s="77"/>
      <c r="WAU1" s="77"/>
      <c r="WAV1" s="77"/>
      <c r="WAW1" s="77"/>
      <c r="WAX1" s="77"/>
      <c r="WAY1" s="77"/>
      <c r="WAZ1" s="77"/>
      <c r="WBA1" s="77"/>
      <c r="WBB1" s="77"/>
      <c r="WBC1" s="77"/>
      <c r="WBD1" s="77"/>
      <c r="WBE1" s="77"/>
      <c r="WBF1" s="77"/>
      <c r="WBG1" s="77"/>
      <c r="WBH1" s="77"/>
      <c r="WBI1" s="77"/>
      <c r="WBJ1" s="77"/>
      <c r="WBK1" s="77"/>
      <c r="WBL1" s="77"/>
      <c r="WBM1" s="77"/>
      <c r="WBN1" s="77"/>
      <c r="WBO1" s="77"/>
      <c r="WBP1" s="77"/>
      <c r="WBQ1" s="77"/>
      <c r="WBR1" s="77"/>
      <c r="WBS1" s="77"/>
      <c r="WBT1" s="77"/>
      <c r="WBU1" s="77"/>
      <c r="WBV1" s="77"/>
      <c r="WBW1" s="77"/>
      <c r="WBX1" s="77"/>
      <c r="WBY1" s="77"/>
      <c r="WBZ1" s="77"/>
      <c r="WCA1" s="77"/>
      <c r="WCB1" s="77"/>
      <c r="WCC1" s="77"/>
      <c r="WCD1" s="77"/>
      <c r="WCE1" s="77"/>
      <c r="WCF1" s="77"/>
      <c r="WCG1" s="77"/>
      <c r="WCH1" s="77"/>
      <c r="WCI1" s="77"/>
      <c r="WCJ1" s="77"/>
      <c r="WCK1" s="77"/>
      <c r="WCL1" s="77"/>
      <c r="WCM1" s="77"/>
      <c r="WCN1" s="77"/>
      <c r="WCO1" s="77"/>
      <c r="WCP1" s="77"/>
      <c r="WCQ1" s="77"/>
      <c r="WCR1" s="77"/>
      <c r="WCS1" s="77"/>
      <c r="WCT1" s="77"/>
      <c r="WCU1" s="77"/>
      <c r="WCV1" s="77"/>
      <c r="WCW1" s="77"/>
      <c r="WCX1" s="77"/>
      <c r="WCY1" s="77"/>
      <c r="WCZ1" s="77"/>
      <c r="WDA1" s="77"/>
      <c r="WDB1" s="77"/>
      <c r="WDC1" s="77"/>
      <c r="WDD1" s="77"/>
      <c r="WDE1" s="77"/>
      <c r="WDF1" s="77"/>
      <c r="WDG1" s="77"/>
      <c r="WDH1" s="77"/>
      <c r="WDI1" s="77"/>
      <c r="WDJ1" s="77"/>
      <c r="WDK1" s="77"/>
      <c r="WDL1" s="77"/>
      <c r="WDM1" s="77"/>
      <c r="WDN1" s="77"/>
      <c r="WDO1" s="77"/>
      <c r="WDP1" s="77"/>
      <c r="WDQ1" s="77"/>
      <c r="WDR1" s="77"/>
      <c r="WDS1" s="77"/>
      <c r="WDT1" s="77"/>
      <c r="WDU1" s="77"/>
      <c r="WDV1" s="77"/>
      <c r="WDW1" s="77"/>
      <c r="WDX1" s="77"/>
      <c r="WDY1" s="77"/>
      <c r="WDZ1" s="77"/>
      <c r="WEA1" s="77"/>
      <c r="WEB1" s="77"/>
      <c r="WEC1" s="77"/>
      <c r="WED1" s="77"/>
      <c r="WEE1" s="77"/>
      <c r="WEF1" s="77"/>
      <c r="WEG1" s="77"/>
      <c r="WEH1" s="77"/>
      <c r="WEI1" s="77"/>
      <c r="WEJ1" s="77"/>
      <c r="WEK1" s="77"/>
      <c r="WEL1" s="77"/>
      <c r="WEM1" s="77"/>
      <c r="WEN1" s="77"/>
      <c r="WEO1" s="77"/>
      <c r="WEP1" s="77"/>
      <c r="WEQ1" s="77"/>
      <c r="WER1" s="77"/>
      <c r="WES1" s="77"/>
      <c r="WET1" s="77"/>
      <c r="WEU1" s="77"/>
      <c r="WEV1" s="77"/>
      <c r="WEW1" s="77"/>
      <c r="WEX1" s="77"/>
      <c r="WEY1" s="77"/>
      <c r="WEZ1" s="77"/>
      <c r="WFA1" s="77"/>
      <c r="WFB1" s="77"/>
      <c r="WFC1" s="77"/>
      <c r="WFD1" s="77"/>
      <c r="WFE1" s="77"/>
      <c r="WFF1" s="77"/>
      <c r="WFG1" s="77"/>
      <c r="WFH1" s="77"/>
      <c r="WFI1" s="77"/>
      <c r="WFJ1" s="77"/>
      <c r="WFK1" s="77"/>
      <c r="WFL1" s="77"/>
      <c r="WFM1" s="77"/>
      <c r="WFN1" s="77"/>
      <c r="WFO1" s="77"/>
      <c r="WFP1" s="77"/>
      <c r="WFQ1" s="77"/>
      <c r="WFR1" s="77"/>
      <c r="WFS1" s="77"/>
      <c r="WFT1" s="77"/>
      <c r="WFU1" s="77"/>
      <c r="WFV1" s="77"/>
      <c r="WFW1" s="77"/>
      <c r="WFX1" s="77"/>
      <c r="WFY1" s="77"/>
      <c r="WFZ1" s="77"/>
      <c r="WGA1" s="77"/>
      <c r="WGB1" s="77"/>
      <c r="WGC1" s="77"/>
      <c r="WGD1" s="77"/>
      <c r="WGE1" s="77"/>
      <c r="WGF1" s="77"/>
      <c r="WGG1" s="77"/>
      <c r="WGH1" s="77"/>
      <c r="WGI1" s="77"/>
      <c r="WGJ1" s="77"/>
      <c r="WGK1" s="77"/>
      <c r="WGL1" s="77"/>
      <c r="WGM1" s="77"/>
      <c r="WGN1" s="77"/>
      <c r="WGO1" s="77"/>
      <c r="WGP1" s="77"/>
      <c r="WGQ1" s="77"/>
      <c r="WGR1" s="77"/>
      <c r="WGS1" s="77"/>
      <c r="WGT1" s="77"/>
      <c r="WGU1" s="77"/>
      <c r="WGV1" s="77"/>
      <c r="WGW1" s="77"/>
      <c r="WGX1" s="77"/>
      <c r="WGY1" s="77"/>
      <c r="WGZ1" s="77"/>
      <c r="WHA1" s="77"/>
      <c r="WHB1" s="77"/>
      <c r="WHC1" s="77"/>
      <c r="WHD1" s="77"/>
      <c r="WHE1" s="77"/>
      <c r="WHF1" s="77"/>
      <c r="WHG1" s="77"/>
      <c r="WHH1" s="77"/>
      <c r="WHI1" s="77"/>
      <c r="WHJ1" s="77"/>
      <c r="WHK1" s="77"/>
      <c r="WHL1" s="77"/>
      <c r="WHM1" s="77"/>
      <c r="WHN1" s="77"/>
      <c r="WHO1" s="77"/>
      <c r="WHP1" s="77"/>
      <c r="WHQ1" s="77"/>
      <c r="WHR1" s="77"/>
      <c r="WHS1" s="77"/>
      <c r="WHT1" s="77"/>
      <c r="WHU1" s="77"/>
      <c r="WHV1" s="77"/>
      <c r="WHW1" s="77"/>
      <c r="WHX1" s="77"/>
      <c r="WHY1" s="77"/>
      <c r="WHZ1" s="77"/>
      <c r="WIA1" s="77"/>
      <c r="WIB1" s="77"/>
      <c r="WIC1" s="77"/>
      <c r="WID1" s="77"/>
      <c r="WIE1" s="77"/>
      <c r="WIF1" s="77"/>
      <c r="WIG1" s="77"/>
      <c r="WIH1" s="77"/>
      <c r="WII1" s="77"/>
      <c r="WIJ1" s="77"/>
      <c r="WIK1" s="77"/>
      <c r="WIL1" s="77"/>
      <c r="WIM1" s="77"/>
      <c r="WIN1" s="77"/>
      <c r="WIO1" s="77"/>
      <c r="WIP1" s="77"/>
      <c r="WIQ1" s="77"/>
      <c r="WIR1" s="77"/>
      <c r="WIS1" s="77"/>
      <c r="WIT1" s="77"/>
      <c r="WIU1" s="77"/>
      <c r="WIV1" s="77"/>
      <c r="WIW1" s="77"/>
      <c r="WIX1" s="77"/>
      <c r="WIY1" s="77"/>
      <c r="WIZ1" s="77"/>
      <c r="WJA1" s="77"/>
      <c r="WJB1" s="77"/>
      <c r="WJC1" s="77"/>
      <c r="WJD1" s="77"/>
      <c r="WJE1" s="77"/>
      <c r="WJF1" s="77"/>
      <c r="WJG1" s="77"/>
      <c r="WJH1" s="77"/>
      <c r="WJI1" s="77"/>
      <c r="WJJ1" s="77"/>
      <c r="WJK1" s="77"/>
      <c r="WJL1" s="77"/>
      <c r="WJM1" s="77"/>
      <c r="WJN1" s="77"/>
      <c r="WJO1" s="77"/>
      <c r="WJP1" s="77"/>
      <c r="WJQ1" s="77"/>
      <c r="WJR1" s="77"/>
      <c r="WJS1" s="77"/>
      <c r="WJT1" s="77"/>
      <c r="WJU1" s="77"/>
      <c r="WJV1" s="77"/>
      <c r="WJW1" s="77"/>
      <c r="WJX1" s="77"/>
      <c r="WJY1" s="77"/>
      <c r="WJZ1" s="77"/>
      <c r="WKA1" s="77"/>
      <c r="WKB1" s="77"/>
      <c r="WKC1" s="77"/>
      <c r="WKD1" s="77"/>
      <c r="WKE1" s="77"/>
      <c r="WKF1" s="77"/>
      <c r="WKG1" s="77"/>
      <c r="WKH1" s="77"/>
      <c r="WKI1" s="77"/>
      <c r="WKJ1" s="77"/>
      <c r="WKK1" s="77"/>
      <c r="WKL1" s="77"/>
      <c r="WKM1" s="77"/>
      <c r="WKN1" s="77"/>
      <c r="WKO1" s="77"/>
      <c r="WKP1" s="77"/>
      <c r="WKQ1" s="77"/>
      <c r="WKR1" s="77"/>
      <c r="WKS1" s="77"/>
      <c r="WKT1" s="77"/>
      <c r="WKU1" s="77"/>
      <c r="WKV1" s="77"/>
      <c r="WKW1" s="77"/>
      <c r="WKX1" s="77"/>
      <c r="WKY1" s="77"/>
      <c r="WKZ1" s="77"/>
      <c r="WLA1" s="77"/>
      <c r="WLB1" s="77"/>
      <c r="WLC1" s="77"/>
      <c r="WLD1" s="77"/>
      <c r="WLE1" s="77"/>
      <c r="WLF1" s="77"/>
      <c r="WLG1" s="77"/>
      <c r="WLH1" s="77"/>
      <c r="WLI1" s="77"/>
      <c r="WLJ1" s="77"/>
      <c r="WLK1" s="77"/>
      <c r="WLL1" s="77"/>
      <c r="WLM1" s="77"/>
      <c r="WLN1" s="77"/>
      <c r="WLO1" s="77"/>
      <c r="WLP1" s="77"/>
      <c r="WLQ1" s="77"/>
      <c r="WLR1" s="77"/>
      <c r="WLS1" s="77"/>
      <c r="WLT1" s="77"/>
      <c r="WLU1" s="77"/>
      <c r="WLV1" s="77"/>
      <c r="WLW1" s="77"/>
      <c r="WLX1" s="77"/>
      <c r="WLY1" s="77"/>
      <c r="WLZ1" s="77"/>
      <c r="WMA1" s="77"/>
      <c r="WMB1" s="77"/>
      <c r="WMC1" s="77"/>
      <c r="WMD1" s="77"/>
      <c r="WME1" s="77"/>
      <c r="WMF1" s="77"/>
      <c r="WMG1" s="77"/>
      <c r="WMH1" s="77"/>
      <c r="WMI1" s="77"/>
      <c r="WMJ1" s="77"/>
      <c r="WMK1" s="77"/>
      <c r="WML1" s="77"/>
      <c r="WMM1" s="77"/>
      <c r="WMN1" s="77"/>
      <c r="WMO1" s="77"/>
      <c r="WMP1" s="77"/>
      <c r="WMQ1" s="77"/>
      <c r="WMR1" s="77"/>
      <c r="WMS1" s="77"/>
      <c r="WMT1" s="77"/>
      <c r="WMU1" s="77"/>
      <c r="WMV1" s="77"/>
      <c r="WMW1" s="77"/>
      <c r="WMX1" s="77"/>
      <c r="WMY1" s="77"/>
      <c r="WMZ1" s="77"/>
      <c r="WNA1" s="77"/>
      <c r="WNB1" s="77"/>
      <c r="WNC1" s="77"/>
      <c r="WND1" s="77"/>
      <c r="WNE1" s="77"/>
      <c r="WNF1" s="77"/>
      <c r="WNG1" s="77"/>
      <c r="WNH1" s="77"/>
      <c r="WNI1" s="77"/>
      <c r="WNJ1" s="77"/>
      <c r="WNK1" s="77"/>
      <c r="WNL1" s="77"/>
      <c r="WNM1" s="77"/>
      <c r="WNN1" s="77"/>
      <c r="WNO1" s="77"/>
      <c r="WNP1" s="77"/>
      <c r="WNQ1" s="77"/>
      <c r="WNR1" s="77"/>
      <c r="WNS1" s="77"/>
      <c r="WNT1" s="77"/>
      <c r="WNU1" s="77"/>
      <c r="WNV1" s="77"/>
      <c r="WNW1" s="77"/>
      <c r="WNX1" s="77"/>
      <c r="WNY1" s="77"/>
      <c r="WNZ1" s="77"/>
      <c r="WOA1" s="77"/>
      <c r="WOB1" s="77"/>
      <c r="WOC1" s="77"/>
      <c r="WOD1" s="77"/>
      <c r="WOE1" s="77"/>
      <c r="WOF1" s="77"/>
      <c r="WOG1" s="77"/>
      <c r="WOH1" s="77"/>
      <c r="WOI1" s="77"/>
      <c r="WOJ1" s="77"/>
      <c r="WOK1" s="77"/>
      <c r="WOL1" s="77"/>
      <c r="WOM1" s="77"/>
      <c r="WON1" s="77"/>
      <c r="WOO1" s="77"/>
      <c r="WOP1" s="77"/>
      <c r="WOQ1" s="77"/>
      <c r="WOR1" s="77"/>
      <c r="WOS1" s="77"/>
      <c r="WOT1" s="77"/>
      <c r="WOU1" s="77"/>
      <c r="WOV1" s="77"/>
      <c r="WOW1" s="77"/>
      <c r="WOX1" s="77"/>
      <c r="WOY1" s="77"/>
      <c r="WOZ1" s="77"/>
      <c r="WPA1" s="77"/>
      <c r="WPB1" s="77"/>
      <c r="WPC1" s="77"/>
      <c r="WPD1" s="77"/>
      <c r="WPE1" s="77"/>
      <c r="WPF1" s="77"/>
      <c r="WPG1" s="77"/>
      <c r="WPH1" s="77"/>
      <c r="WPI1" s="77"/>
      <c r="WPJ1" s="77"/>
      <c r="WPK1" s="77"/>
      <c r="WPL1" s="77"/>
      <c r="WPM1" s="77"/>
      <c r="WPN1" s="77"/>
      <c r="WPO1" s="77"/>
      <c r="WPP1" s="77"/>
      <c r="WPQ1" s="77"/>
      <c r="WPR1" s="77"/>
      <c r="WPS1" s="77"/>
      <c r="WPT1" s="77"/>
      <c r="WPU1" s="77"/>
      <c r="WPV1" s="77"/>
      <c r="WPW1" s="77"/>
      <c r="WPX1" s="77"/>
      <c r="WPY1" s="77"/>
      <c r="WPZ1" s="77"/>
      <c r="WQA1" s="77"/>
      <c r="WQB1" s="77"/>
      <c r="WQC1" s="77"/>
      <c r="WQD1" s="77"/>
      <c r="WQE1" s="77"/>
      <c r="WQF1" s="77"/>
      <c r="WQG1" s="77"/>
      <c r="WQH1" s="77"/>
      <c r="WQI1" s="77"/>
      <c r="WQJ1" s="77"/>
      <c r="WQK1" s="77"/>
      <c r="WQL1" s="77"/>
      <c r="WQM1" s="77"/>
      <c r="WQN1" s="77"/>
      <c r="WQO1" s="77"/>
      <c r="WQP1" s="77"/>
      <c r="WQQ1" s="77"/>
      <c r="WQR1" s="77"/>
      <c r="WQS1" s="77"/>
      <c r="WQT1" s="77"/>
      <c r="WQU1" s="77"/>
      <c r="WQV1" s="77"/>
      <c r="WQW1" s="77"/>
      <c r="WQX1" s="77"/>
      <c r="WQY1" s="77"/>
      <c r="WQZ1" s="77"/>
      <c r="WRA1" s="77"/>
      <c r="WRB1" s="77"/>
      <c r="WRC1" s="77"/>
      <c r="WRD1" s="77"/>
      <c r="WRE1" s="77"/>
      <c r="WRF1" s="77"/>
      <c r="WRG1" s="77"/>
      <c r="WRH1" s="77"/>
      <c r="WRI1" s="77"/>
      <c r="WRJ1" s="77"/>
      <c r="WRK1" s="77"/>
      <c r="WRL1" s="77"/>
      <c r="WRM1" s="77"/>
      <c r="WRN1" s="77"/>
      <c r="WRO1" s="77"/>
      <c r="WRP1" s="77"/>
      <c r="WRQ1" s="77"/>
      <c r="WRR1" s="77"/>
      <c r="WRS1" s="77"/>
      <c r="WRT1" s="77"/>
      <c r="WRU1" s="77"/>
      <c r="WRV1" s="77"/>
      <c r="WRW1" s="77"/>
      <c r="WRX1" s="77"/>
      <c r="WRY1" s="77"/>
      <c r="WRZ1" s="77"/>
      <c r="WSA1" s="77"/>
      <c r="WSB1" s="77"/>
      <c r="WSC1" s="77"/>
      <c r="WSD1" s="77"/>
      <c r="WSE1" s="77"/>
      <c r="WSF1" s="77"/>
      <c r="WSG1" s="77"/>
      <c r="WSH1" s="77"/>
      <c r="WSI1" s="77"/>
      <c r="WSJ1" s="77"/>
      <c r="WSK1" s="77"/>
      <c r="WSL1" s="77"/>
      <c r="WSM1" s="77"/>
      <c r="WSN1" s="77"/>
      <c r="WSO1" s="77"/>
      <c r="WSP1" s="77"/>
      <c r="WSQ1" s="77"/>
      <c r="WSR1" s="77"/>
      <c r="WSS1" s="77"/>
      <c r="WST1" s="77"/>
      <c r="WSU1" s="77"/>
      <c r="WSV1" s="77"/>
      <c r="WSW1" s="77"/>
      <c r="WSX1" s="77"/>
      <c r="WSY1" s="77"/>
      <c r="WSZ1" s="77"/>
      <c r="WTA1" s="77"/>
      <c r="WTB1" s="77"/>
      <c r="WTC1" s="77"/>
      <c r="WTD1" s="77"/>
      <c r="WTE1" s="77"/>
      <c r="WTF1" s="77"/>
      <c r="WTG1" s="77"/>
      <c r="WTH1" s="77"/>
      <c r="WTI1" s="77"/>
      <c r="WTJ1" s="77"/>
      <c r="WTK1" s="77"/>
      <c r="WTL1" s="77"/>
      <c r="WTM1" s="77"/>
      <c r="WTN1" s="77"/>
      <c r="WTO1" s="77"/>
      <c r="WTP1" s="77"/>
      <c r="WTQ1" s="77"/>
      <c r="WTR1" s="77"/>
      <c r="WTS1" s="77"/>
      <c r="WTT1" s="77"/>
      <c r="WTU1" s="77"/>
      <c r="WTV1" s="77"/>
      <c r="WTW1" s="77"/>
      <c r="WTX1" s="77"/>
      <c r="WTY1" s="77"/>
      <c r="WTZ1" s="77"/>
      <c r="WUA1" s="77"/>
      <c r="WUB1" s="77"/>
      <c r="WUC1" s="77"/>
      <c r="WUD1" s="77"/>
      <c r="WUE1" s="77"/>
      <c r="WUF1" s="77"/>
      <c r="WUG1" s="77"/>
      <c r="WUH1" s="77"/>
      <c r="WUI1" s="77"/>
      <c r="WUJ1" s="77"/>
      <c r="WUK1" s="77"/>
      <c r="WUL1" s="77"/>
      <c r="WUM1" s="77"/>
      <c r="WUN1" s="77"/>
      <c r="WUO1" s="77"/>
      <c r="WUP1" s="77"/>
      <c r="WUQ1" s="77"/>
      <c r="WUR1" s="77"/>
      <c r="WUS1" s="77"/>
      <c r="WUT1" s="77"/>
      <c r="WUU1" s="77"/>
      <c r="WUV1" s="77"/>
      <c r="WUW1" s="77"/>
      <c r="WUX1" s="77"/>
      <c r="WUY1" s="77"/>
      <c r="WUZ1" s="77"/>
      <c r="WVA1" s="77"/>
      <c r="WVB1" s="77"/>
      <c r="WVC1" s="77"/>
      <c r="WVD1" s="77"/>
      <c r="WVE1" s="77"/>
      <c r="WVF1" s="77"/>
      <c r="WVG1" s="77"/>
      <c r="WVH1" s="77"/>
      <c r="WVI1" s="77"/>
      <c r="WVJ1" s="77"/>
      <c r="WVK1" s="77"/>
      <c r="WVL1" s="77"/>
      <c r="WVM1" s="77"/>
      <c r="WVN1" s="77"/>
      <c r="WVO1" s="77"/>
      <c r="WVP1" s="77"/>
      <c r="WVQ1" s="77"/>
      <c r="WVR1" s="77"/>
      <c r="WVS1" s="77"/>
      <c r="WVT1" s="77"/>
      <c r="WVU1" s="77"/>
      <c r="WVV1" s="77"/>
      <c r="WVW1" s="77"/>
      <c r="WVX1" s="77"/>
      <c r="WVY1" s="77"/>
      <c r="WVZ1" s="77"/>
      <c r="WWA1" s="77"/>
      <c r="WWB1" s="77"/>
      <c r="WWC1" s="77"/>
      <c r="WWD1" s="77"/>
      <c r="WWE1" s="77"/>
      <c r="WWF1" s="77"/>
      <c r="WWG1" s="77"/>
      <c r="WWH1" s="77"/>
      <c r="WWI1" s="77"/>
      <c r="WWJ1" s="77"/>
      <c r="WWK1" s="77"/>
      <c r="WWL1" s="77"/>
      <c r="WWM1" s="77"/>
      <c r="WWN1" s="77"/>
      <c r="WWO1" s="77"/>
      <c r="WWP1" s="77"/>
      <c r="WWQ1" s="77"/>
      <c r="WWR1" s="77"/>
      <c r="WWS1" s="77"/>
      <c r="WWT1" s="77"/>
      <c r="WWU1" s="77"/>
      <c r="WWV1" s="77"/>
      <c r="WWW1" s="77"/>
      <c r="WWX1" s="77"/>
      <c r="WWY1" s="77"/>
      <c r="WWZ1" s="77"/>
      <c r="WXA1" s="77"/>
      <c r="WXB1" s="77"/>
      <c r="WXC1" s="77"/>
      <c r="WXD1" s="77"/>
      <c r="WXE1" s="77"/>
      <c r="WXF1" s="77"/>
      <c r="WXG1" s="77"/>
      <c r="WXH1" s="77"/>
      <c r="WXI1" s="77"/>
      <c r="WXJ1" s="77"/>
      <c r="WXK1" s="77"/>
      <c r="WXL1" s="77"/>
      <c r="WXM1" s="77"/>
      <c r="WXN1" s="77"/>
      <c r="WXO1" s="77"/>
      <c r="WXP1" s="77"/>
      <c r="WXQ1" s="77"/>
      <c r="WXR1" s="77"/>
      <c r="WXS1" s="77"/>
      <c r="WXT1" s="77"/>
      <c r="WXU1" s="77"/>
      <c r="WXV1" s="77"/>
      <c r="WXW1" s="77"/>
      <c r="WXX1" s="77"/>
      <c r="WXY1" s="77"/>
      <c r="WXZ1" s="77"/>
      <c r="WYA1" s="77"/>
      <c r="WYB1" s="77"/>
      <c r="WYC1" s="77"/>
      <c r="WYD1" s="77"/>
      <c r="WYE1" s="77"/>
      <c r="WYF1" s="77"/>
      <c r="WYG1" s="77"/>
      <c r="WYH1" s="77"/>
      <c r="WYI1" s="77"/>
      <c r="WYJ1" s="77"/>
      <c r="WYK1" s="77"/>
      <c r="WYL1" s="77"/>
      <c r="WYM1" s="77"/>
      <c r="WYN1" s="77"/>
      <c r="WYO1" s="77"/>
      <c r="WYP1" s="77"/>
      <c r="WYQ1" s="77"/>
      <c r="WYR1" s="77"/>
      <c r="WYS1" s="77"/>
      <c r="WYT1" s="77"/>
      <c r="WYU1" s="77"/>
      <c r="WYV1" s="77"/>
      <c r="WYW1" s="77"/>
      <c r="WYX1" s="77"/>
      <c r="WYY1" s="77"/>
      <c r="WYZ1" s="77"/>
      <c r="WZA1" s="77"/>
      <c r="WZB1" s="77"/>
      <c r="WZC1" s="77"/>
      <c r="WZD1" s="77"/>
      <c r="WZE1" s="77"/>
      <c r="WZF1" s="77"/>
      <c r="WZG1" s="77"/>
      <c r="WZH1" s="77"/>
      <c r="WZI1" s="77"/>
      <c r="WZJ1" s="77"/>
      <c r="WZK1" s="77"/>
      <c r="WZL1" s="77"/>
      <c r="WZM1" s="77"/>
      <c r="WZN1" s="77"/>
      <c r="WZO1" s="77"/>
      <c r="WZP1" s="77"/>
      <c r="WZQ1" s="77"/>
      <c r="WZR1" s="77"/>
      <c r="WZS1" s="77"/>
      <c r="WZT1" s="77"/>
      <c r="WZU1" s="77"/>
      <c r="WZV1" s="77"/>
      <c r="WZW1" s="77"/>
      <c r="WZX1" s="77"/>
      <c r="WZY1" s="77"/>
      <c r="WZZ1" s="77"/>
      <c r="XAA1" s="77"/>
      <c r="XAB1" s="77"/>
      <c r="XAC1" s="77"/>
      <c r="XAD1" s="77"/>
      <c r="XAE1" s="77"/>
      <c r="XAF1" s="77"/>
      <c r="XAG1" s="77"/>
      <c r="XAH1" s="77"/>
      <c r="XAI1" s="77"/>
      <c r="XAJ1" s="77"/>
      <c r="XAK1" s="77"/>
      <c r="XAL1" s="77"/>
      <c r="XAM1" s="77"/>
      <c r="XAN1" s="77"/>
      <c r="XAO1" s="77"/>
      <c r="XAP1" s="77"/>
      <c r="XAQ1" s="77"/>
      <c r="XAR1" s="77"/>
      <c r="XAS1" s="77"/>
      <c r="XAT1" s="77"/>
      <c r="XAU1" s="77"/>
      <c r="XAV1" s="77"/>
      <c r="XAW1" s="77"/>
      <c r="XAX1" s="77"/>
      <c r="XAY1" s="77"/>
      <c r="XAZ1" s="77"/>
      <c r="XBA1" s="77"/>
      <c r="XBB1" s="77"/>
      <c r="XBC1" s="77"/>
      <c r="XBD1" s="77"/>
      <c r="XBE1" s="77"/>
      <c r="XBF1" s="77"/>
      <c r="XBG1" s="77"/>
      <c r="XBH1" s="77"/>
      <c r="XBI1" s="77"/>
      <c r="XBJ1" s="77"/>
      <c r="XBK1" s="77"/>
      <c r="XBL1" s="77"/>
      <c r="XBM1" s="77"/>
      <c r="XBN1" s="77"/>
      <c r="XBO1" s="77"/>
      <c r="XBP1" s="77"/>
      <c r="XBQ1" s="77"/>
      <c r="XBR1" s="77"/>
      <c r="XBS1" s="77"/>
      <c r="XBT1" s="77"/>
      <c r="XBU1" s="77"/>
      <c r="XBV1" s="77"/>
      <c r="XBW1" s="77"/>
      <c r="XBX1" s="77"/>
      <c r="XBY1" s="77"/>
      <c r="XBZ1" s="77"/>
      <c r="XCA1" s="77"/>
      <c r="XCB1" s="77"/>
      <c r="XCC1" s="77"/>
      <c r="XCD1" s="77"/>
      <c r="XCE1" s="77"/>
      <c r="XCF1" s="77"/>
      <c r="XCG1" s="77"/>
      <c r="XCH1" s="77"/>
      <c r="XCI1" s="77"/>
      <c r="XCJ1" s="77"/>
      <c r="XCK1" s="77"/>
      <c r="XCL1" s="77"/>
      <c r="XCM1" s="77"/>
      <c r="XCN1" s="77"/>
      <c r="XCO1" s="77"/>
      <c r="XCP1" s="77"/>
      <c r="XCQ1" s="77"/>
      <c r="XCR1" s="77"/>
      <c r="XCS1" s="77"/>
      <c r="XCT1" s="77"/>
      <c r="XCU1" s="77"/>
      <c r="XCV1" s="77"/>
      <c r="XCW1" s="77"/>
      <c r="XCX1" s="77"/>
      <c r="XCY1" s="77"/>
      <c r="XCZ1" s="77"/>
      <c r="XDA1" s="77"/>
      <c r="XDB1" s="77"/>
      <c r="XDC1" s="77"/>
      <c r="XDD1" s="77"/>
      <c r="XDE1" s="77"/>
      <c r="XDF1" s="77"/>
      <c r="XDG1" s="77"/>
      <c r="XDH1" s="77"/>
      <c r="XDI1" s="77"/>
      <c r="XDJ1" s="77"/>
      <c r="XDK1" s="77"/>
      <c r="XDL1" s="77"/>
      <c r="XDM1" s="77"/>
      <c r="XDN1" s="77"/>
      <c r="XDO1" s="77"/>
      <c r="XDP1" s="77"/>
      <c r="XDQ1" s="77"/>
      <c r="XDR1" s="77"/>
      <c r="XDS1" s="77"/>
      <c r="XDT1" s="77"/>
      <c r="XDU1" s="77"/>
      <c r="XDV1" s="77"/>
      <c r="XDW1" s="77"/>
      <c r="XDX1" s="77"/>
      <c r="XDY1" s="77"/>
      <c r="XDZ1" s="77"/>
      <c r="XEA1" s="77"/>
      <c r="XEB1" s="77"/>
      <c r="XEC1" s="77"/>
      <c r="XED1" s="77"/>
      <c r="XEE1" s="77"/>
      <c r="XEF1" s="77"/>
      <c r="XEG1" s="77"/>
      <c r="XEH1" s="77"/>
      <c r="XEI1" s="77"/>
      <c r="XEJ1" s="77"/>
      <c r="XEK1" s="77"/>
      <c r="XEL1" s="77"/>
      <c r="XEM1" s="77"/>
      <c r="XEN1" s="77"/>
      <c r="XEO1" s="77"/>
      <c r="XEP1" s="77"/>
      <c r="XEQ1" s="77"/>
      <c r="XER1" s="77"/>
      <c r="XES1" s="77"/>
      <c r="XET1" s="77"/>
      <c r="XEU1" s="77"/>
      <c r="XEV1" s="77"/>
      <c r="XEW1" s="77"/>
      <c r="XEX1" s="77"/>
      <c r="XEY1" s="77"/>
      <c r="XEZ1" s="77"/>
      <c r="XFA1" s="77"/>
      <c r="XFB1" s="77"/>
      <c r="XFC1" s="77"/>
      <c r="XFD1" s="77"/>
    </row>
    <row r="2" spans="1:16384" ht="20" thickBot="1">
      <c r="A2" s="91" t="str">
        <f>INPUT!C1</f>
        <v>Canfor Corporation</v>
      </c>
      <c r="B2" s="93">
        <v>2</v>
      </c>
      <c r="C2" s="93">
        <v>3</v>
      </c>
      <c r="D2" s="93">
        <v>4</v>
      </c>
      <c r="E2" s="93">
        <v>5</v>
      </c>
      <c r="F2" s="93">
        <v>6</v>
      </c>
      <c r="G2" s="93">
        <v>7</v>
      </c>
      <c r="H2" s="93">
        <v>8</v>
      </c>
      <c r="I2" s="93">
        <v>9</v>
      </c>
      <c r="J2" s="93">
        <v>10</v>
      </c>
      <c r="K2" s="93">
        <v>11</v>
      </c>
      <c r="L2" s="93">
        <v>12</v>
      </c>
      <c r="M2" s="77"/>
      <c r="N2" s="92" t="str">
        <f>INPUT!C1</f>
        <v>Canfor Corporation</v>
      </c>
      <c r="O2" s="93">
        <v>2</v>
      </c>
      <c r="P2" s="93">
        <v>3</v>
      </c>
      <c r="Q2" s="93">
        <v>4</v>
      </c>
      <c r="R2" s="93">
        <v>5</v>
      </c>
      <c r="S2" s="93">
        <v>6</v>
      </c>
      <c r="T2" s="93">
        <v>7</v>
      </c>
      <c r="U2" s="93">
        <v>8</v>
      </c>
      <c r="V2" s="93">
        <v>9</v>
      </c>
      <c r="W2" s="93">
        <v>10</v>
      </c>
      <c r="X2" s="93">
        <v>11</v>
      </c>
      <c r="Z2" s="94" t="str">
        <f>INPUT!C1</f>
        <v>Canfor Corporation</v>
      </c>
      <c r="AA2" s="93">
        <v>2</v>
      </c>
      <c r="AB2" s="93">
        <v>3</v>
      </c>
      <c r="AC2" s="93">
        <v>4</v>
      </c>
      <c r="AD2" s="93">
        <v>5</v>
      </c>
      <c r="AE2" s="93">
        <v>6</v>
      </c>
      <c r="AF2" s="93">
        <v>7</v>
      </c>
      <c r="AG2" s="93">
        <v>8</v>
      </c>
      <c r="AH2" s="93">
        <v>9</v>
      </c>
      <c r="AI2" s="93">
        <v>10</v>
      </c>
      <c r="AJ2" s="93">
        <v>11</v>
      </c>
      <c r="AK2" s="93">
        <v>12</v>
      </c>
    </row>
    <row r="3" spans="1:16384">
      <c r="A3" s="84" t="s">
        <v>260</v>
      </c>
      <c r="B3" s="85">
        <f>'10K-R'!B6</f>
        <v>39783</v>
      </c>
      <c r="C3" s="85">
        <f>'10K-R'!C6</f>
        <v>40148</v>
      </c>
      <c r="D3" s="85">
        <f>'10K-R'!D6</f>
        <v>40513</v>
      </c>
      <c r="E3" s="85">
        <f>'10K-R'!E6</f>
        <v>40878</v>
      </c>
      <c r="F3" s="85">
        <f>'10K-R'!F6</f>
        <v>41244</v>
      </c>
      <c r="G3" s="85">
        <f>'10K-R'!G6</f>
        <v>41609</v>
      </c>
      <c r="H3" s="85">
        <f>'10K-R'!H6</f>
        <v>41974</v>
      </c>
      <c r="I3" s="85">
        <f>'10K-R'!I6</f>
        <v>42339</v>
      </c>
      <c r="J3" s="85">
        <f>'10K-R'!J6</f>
        <v>42705</v>
      </c>
      <c r="K3" s="85">
        <f>'10K-R'!K6</f>
        <v>43070</v>
      </c>
      <c r="L3" s="85" t="str">
        <f>'10K-R'!L6</f>
        <v>TTM</v>
      </c>
      <c r="M3" s="77"/>
      <c r="N3" s="84" t="s">
        <v>297</v>
      </c>
      <c r="O3" s="79">
        <f>'10K-R'!O6</f>
        <v>39783</v>
      </c>
      <c r="P3" s="79">
        <f>'10K-R'!P6</f>
        <v>40148</v>
      </c>
      <c r="Q3" s="79">
        <f>'10K-R'!Q6</f>
        <v>40513</v>
      </c>
      <c r="R3" s="79">
        <f>'10K-R'!R6</f>
        <v>40878</v>
      </c>
      <c r="S3" s="79">
        <f>'10K-R'!S6</f>
        <v>41244</v>
      </c>
      <c r="T3" s="79">
        <f>'10K-R'!T6</f>
        <v>41609</v>
      </c>
      <c r="U3" s="79">
        <f>'10K-R'!U6</f>
        <v>41974</v>
      </c>
      <c r="V3" s="79">
        <f>'10K-R'!V6</f>
        <v>42339</v>
      </c>
      <c r="W3" s="79">
        <f>'10K-R'!W6</f>
        <v>42705</v>
      </c>
      <c r="X3" s="79">
        <f>'10K-R'!X6</f>
        <v>43070</v>
      </c>
      <c r="Z3" s="35" t="s">
        <v>297</v>
      </c>
      <c r="AA3" s="79">
        <f>'10K-R'!AA6</f>
        <v>39783</v>
      </c>
      <c r="AB3" s="79">
        <f>'10K-R'!AB6</f>
        <v>40148</v>
      </c>
      <c r="AC3" s="79">
        <f>'10K-R'!AC6</f>
        <v>40513</v>
      </c>
      <c r="AD3" s="79">
        <f>'10K-R'!AD6</f>
        <v>40878</v>
      </c>
      <c r="AE3" s="79">
        <f>'10K-R'!AE6</f>
        <v>41244</v>
      </c>
      <c r="AF3" s="79">
        <f>'10K-R'!AF6</f>
        <v>41609</v>
      </c>
      <c r="AG3" s="79">
        <f>'10K-R'!AG6</f>
        <v>41974</v>
      </c>
      <c r="AH3" s="79">
        <f>'10K-R'!AH6</f>
        <v>42339</v>
      </c>
      <c r="AI3" s="79">
        <f>'10K-R'!AI6</f>
        <v>42705</v>
      </c>
      <c r="AJ3" s="79">
        <f>'10K-R'!AJ6</f>
        <v>43070</v>
      </c>
      <c r="AK3" s="79">
        <f>'10K-R'!AL6</f>
        <v>0</v>
      </c>
    </row>
    <row r="4" spans="1:16384">
      <c r="A4" s="84" t="s">
        <v>217</v>
      </c>
      <c r="B4" s="84">
        <f>VLOOKUP($A$4,'10K-R'!$A$6:$L$44,2,)</f>
        <v>2612</v>
      </c>
      <c r="C4" s="84">
        <f>VLOOKUP($A$4,'10K-R'!$A$6:$L$44,3,)</f>
        <v>2120</v>
      </c>
      <c r="D4" s="84">
        <f>VLOOKUP($A$4,'10K-R'!$A$6:$L$44,4,)</f>
        <v>2430</v>
      </c>
      <c r="E4" s="84">
        <f>VLOOKUP($A$4,'10K-R'!$A$6:$L$44,5,)</f>
        <v>2421</v>
      </c>
      <c r="F4" s="84">
        <f>VLOOKUP($A$4,'10K-R'!$A$6:$L$44,6,)</f>
        <v>2714</v>
      </c>
      <c r="G4" s="84">
        <f>VLOOKUP(A4,'10K-R'!$A$6:$L$44,7,)</f>
        <v>3195</v>
      </c>
      <c r="H4" s="84">
        <f>VLOOKUP(A4,'10K-R'!$A$6:$L$44,8,)</f>
        <v>3348</v>
      </c>
      <c r="I4" s="84">
        <f>VLOOKUP(A4,'10K-R'!$A$6:$L$44,9,)</f>
        <v>3925</v>
      </c>
      <c r="J4" s="84">
        <f>VLOOKUP($A$4,'10K-R'!$A$6:$L$44,J2,)</f>
        <v>4235</v>
      </c>
      <c r="K4" s="84">
        <f>VLOOKUP($A$4,'10K-R'!$A$6:$L$44,K2,)</f>
        <v>4659</v>
      </c>
      <c r="L4" s="84">
        <f>VLOOKUP($A$4,'10K-R'!$A$6:$L$44,12,)</f>
        <v>5268</v>
      </c>
      <c r="M4" s="78"/>
      <c r="N4" s="86" t="s">
        <v>269</v>
      </c>
      <c r="Z4" s="35" t="s">
        <v>316</v>
      </c>
      <c r="AA4">
        <f>VLOOKUP($Z$4,'10K-R'!$Z$5:$AK$54,$AA$2,)</f>
        <v>0</v>
      </c>
      <c r="AB4">
        <f>VLOOKUP($Z$4,'10K-R'!$Z$5:$AK$54,AB2,)</f>
        <v>0</v>
      </c>
      <c r="AC4">
        <f>VLOOKUP($Z$4,'10K-R'!$Z$5:$AK$54,AC2,)</f>
        <v>0</v>
      </c>
      <c r="AD4">
        <f>VLOOKUP($Z$4,'10K-R'!$Z$5:$AK$54,AD2,)</f>
        <v>0</v>
      </c>
      <c r="AE4">
        <f>VLOOKUP($Z$4,'10K-R'!$Z$5:$AK$54,AE2,)</f>
        <v>0</v>
      </c>
      <c r="AF4">
        <f>VLOOKUP($Z$4,'10K-R'!$Z$5:$AK$54,AF2,)</f>
        <v>0</v>
      </c>
      <c r="AG4">
        <f>VLOOKUP($Z$4,'10K-R'!$Z$5:$AK$54,AG2,)</f>
        <v>0</v>
      </c>
      <c r="AH4">
        <f>VLOOKUP($Z$4,'10K-R'!$Z$5:$AK$54,AH2,)</f>
        <v>0</v>
      </c>
      <c r="AI4">
        <f>VLOOKUP($Z$4,'10K-R'!$Z$5:$AK$54,AI2,)</f>
        <v>0</v>
      </c>
      <c r="AJ4">
        <f>VLOOKUP($Z$4,'10K-R'!$Z$5:$AK$54,AJ2,)</f>
        <v>0</v>
      </c>
      <c r="AK4">
        <f>VLOOKUP($Z$4,'10K-R'!$Z$5:$AK$54,AK2,)</f>
        <v>0</v>
      </c>
    </row>
    <row r="5" spans="1:16384">
      <c r="A5" s="84" t="s">
        <v>432</v>
      </c>
      <c r="B5" s="84">
        <f>VLOOKUP($A$5,'10K-R'!$A$5:$L$44,'10K-S'!B2,)</f>
        <v>2429</v>
      </c>
      <c r="C5" s="84">
        <f>VLOOKUP($A$5,'10K-R'!$A$5:$L$44,'10K-S'!C2,)</f>
        <v>2043</v>
      </c>
      <c r="D5" s="84">
        <f>VLOOKUP($A$5,'10K-R'!$A$5:$L$44,'10K-S'!D2,)</f>
        <v>1969</v>
      </c>
      <c r="E5" s="84">
        <f>VLOOKUP($A$5,'10K-R'!$A$5:$L$44,'10K-S'!E2,)</f>
        <v>2098</v>
      </c>
      <c r="F5" s="84">
        <f>VLOOKUP($A$5,'10K-R'!$A$5:$L$44,'10K-S'!F2,)</f>
        <v>1820</v>
      </c>
      <c r="G5" s="84">
        <f>VLOOKUP($A$5,'10K-R'!$A$5:$L$44,'10K-S'!G2,)</f>
        <v>2037</v>
      </c>
      <c r="H5" s="84">
        <f>VLOOKUP($A$5,'10K-R'!$A$5:$L$44,'10K-S'!H2,)</f>
        <v>2202</v>
      </c>
      <c r="I5" s="84">
        <f>VLOOKUP($A$5,'10K-R'!$A$5:$L$44,'10K-S'!I2,)</f>
        <v>2781</v>
      </c>
      <c r="J5" s="84">
        <f>VLOOKUP($A$5,'10K-R'!$A$5:$L$44,'10K-S'!J2,)</f>
        <v>2947</v>
      </c>
      <c r="K5" s="84">
        <f>VLOOKUP($A$5,'10K-R'!$A$5:$L$44,'10K-S'!K2,)</f>
        <v>3038</v>
      </c>
      <c r="L5" s="84">
        <f>VLOOKUP($A$5,'10K-R'!$A$5:$L$44,'10K-S'!L2,)</f>
        <v>3210</v>
      </c>
      <c r="M5" s="77"/>
      <c r="N5" s="86" t="s">
        <v>270</v>
      </c>
      <c r="Z5" s="35" t="s">
        <v>317</v>
      </c>
      <c r="AA5" t="str">
        <f>_xlfn.IFNA(VLOOKUP($Z$5,'10K-R'!$Z$5:$AK$54,AA2,),"Missing")</f>
        <v>Missing</v>
      </c>
      <c r="AB5" t="str">
        <f>_xlfn.IFNA(VLOOKUP($Z$5,'10K-R'!$Z$5:$AK$54,AB2,),"Missing")</f>
        <v>Missing</v>
      </c>
      <c r="AC5" t="str">
        <f>_xlfn.IFNA(VLOOKUP($Z$5,'10K-R'!$Z$5:$AK$54,AC2,),"Missing")</f>
        <v>Missing</v>
      </c>
      <c r="AD5" t="str">
        <f>_xlfn.IFNA(VLOOKUP($Z$5,'10K-R'!$Z$5:$AK$54,AD2,),"Missing")</f>
        <v>Missing</v>
      </c>
      <c r="AE5" t="str">
        <f>_xlfn.IFNA(VLOOKUP($Z$5,'10K-R'!$Z$5:$AK$54,AE2,),"Missing")</f>
        <v>Missing</v>
      </c>
      <c r="AF5" t="str">
        <f>_xlfn.IFNA(VLOOKUP($Z$5,'10K-R'!$Z$5:$AK$54,AF2,),"Missing")</f>
        <v>Missing</v>
      </c>
      <c r="AG5" t="str">
        <f>_xlfn.IFNA(VLOOKUP($Z$5,'10K-R'!$Z$5:$AK$54,AG2,),"Missing")</f>
        <v>Missing</v>
      </c>
      <c r="AH5" t="str">
        <f>_xlfn.IFNA(VLOOKUP($Z$5,'10K-R'!$Z$5:$AK$54,AH2,),"Missing")</f>
        <v>Missing</v>
      </c>
      <c r="AI5" t="str">
        <f>_xlfn.IFNA(VLOOKUP($Z$5,'10K-R'!$Z$5:$AK$54,AI2,),"Missing")</f>
        <v>Missing</v>
      </c>
      <c r="AJ5" t="str">
        <f>_xlfn.IFNA(VLOOKUP($Z$5,'10K-R'!$Z$5:$AK$54,AJ2,),"Missing")</f>
        <v>Missing</v>
      </c>
      <c r="AK5" t="str">
        <f>_xlfn.IFNA(VLOOKUP($Z$5,'10K-R'!$Z$5:$AK$54,AK2,),"Missing")</f>
        <v>Missing</v>
      </c>
    </row>
    <row r="6" spans="1:16384">
      <c r="A6" s="84" t="s">
        <v>248</v>
      </c>
      <c r="B6" s="84">
        <f>VLOOKUP($A$6,'10K-R'!$A$6:$L$44,2,)</f>
        <v>182</v>
      </c>
      <c r="C6" s="84">
        <f>VLOOKUP($A$6,'10K-R'!$A$6:$L$44,3,)</f>
        <v>77</v>
      </c>
      <c r="D6" s="84">
        <f>VLOOKUP($A$6,'10K-R'!$A$6:$L$44,4,)</f>
        <v>462</v>
      </c>
      <c r="E6" s="84">
        <f>VLOOKUP($A$6,'10K-R'!$A$6:$L$44,5,)</f>
        <v>324</v>
      </c>
      <c r="F6" s="84">
        <f>VLOOKUP($A$6,'10K-R'!$A$6:$L$44,6,)</f>
        <v>894</v>
      </c>
      <c r="G6" s="84">
        <f>VLOOKUP(A6,'10K-R'!$A$6:$L$44,7,)</f>
        <v>1158</v>
      </c>
      <c r="H6" s="84">
        <f>VLOOKUP(A6,'10K-R'!$A$6:$L$44,8,)</f>
        <v>1146</v>
      </c>
      <c r="I6" s="84">
        <f>VLOOKUP(A6,'10K-R'!$A$6:$L$44,9,)</f>
        <v>1144</v>
      </c>
      <c r="J6" s="84">
        <f>VLOOKUP(A6,'10K-R'!$A$6:$L$44,10,)</f>
        <v>1288</v>
      </c>
      <c r="K6" s="84">
        <f>VLOOKUP(A6,'10K-R'!$A$6:$L$44,11,)</f>
        <v>1621</v>
      </c>
      <c r="L6" s="84">
        <f>VLOOKUP($A$6,'10K-R'!$A$6:$L$44,12,)</f>
        <v>2058</v>
      </c>
      <c r="M6" s="77"/>
      <c r="N6" s="35" t="s">
        <v>271</v>
      </c>
      <c r="O6">
        <f>VLOOKUP(N6,'10K-R'!$N$5:$X$69,2,)</f>
        <v>0</v>
      </c>
      <c r="P6">
        <f>VLOOKUP(N6,'10K-R'!$N$5:$X$69,3,)</f>
        <v>0</v>
      </c>
      <c r="Q6">
        <f>VLOOKUP(N6,'10K-R'!$N$5:$X$69,4,)</f>
        <v>0</v>
      </c>
      <c r="R6">
        <f>VLOOKUP(N6,'10K-R'!$N$5:$X$69,5,)</f>
        <v>0</v>
      </c>
      <c r="S6">
        <f>VLOOKUP(N6,'10K-R'!$N$5:$X$69,6,)</f>
        <v>0</v>
      </c>
      <c r="T6">
        <f>VLOOKUP(N6,'10K-R'!$N$5:$X$69,7,)</f>
        <v>0</v>
      </c>
      <c r="U6">
        <f>VLOOKUP(N6,'10K-R'!$N$5:$X$69,8,)</f>
        <v>0</v>
      </c>
      <c r="V6">
        <f>VLOOKUP(N6,'10K-R'!$N$5:$X$69,9,)</f>
        <v>0</v>
      </c>
      <c r="W6">
        <f>VLOOKUP(N6,'10K-R'!$N$5:$X$69,10,)</f>
        <v>0</v>
      </c>
      <c r="X6">
        <f>VLOOKUP(N6,'10K-R'!$N$5:$X$69,11,)</f>
        <v>0</v>
      </c>
      <c r="Z6" s="35" t="s">
        <v>318</v>
      </c>
      <c r="AA6">
        <f>VLOOKUP(Z6,'10K-R'!$Z$5:$AK$54,2,)</f>
        <v>171</v>
      </c>
      <c r="AB6">
        <f>VLOOKUP(Z6,'10K-R'!$Z$5:$AK$54,3,)</f>
        <v>155</v>
      </c>
      <c r="AC6">
        <f>VLOOKUP(Z6,'10K-R'!$Z$5:$AK$54,4,)</f>
        <v>156</v>
      </c>
      <c r="AD6">
        <f>VLOOKUP(Z6,'10K-R'!$Z$5:$AK$54,5,)</f>
        <v>169</v>
      </c>
      <c r="AE6">
        <f>VLOOKUP(Z6,'10K-R'!$Z$5:$AK$54,6,)</f>
        <v>187</v>
      </c>
      <c r="AF6">
        <f>VLOOKUP(Z6,'10K-R'!$Z$5:$AK$54,7,)</f>
        <v>186</v>
      </c>
      <c r="AG6">
        <f>VLOOKUP(Z6,'10K-R'!$Z$5:$AK$54,8,)</f>
        <v>182</v>
      </c>
      <c r="AH6">
        <f>VLOOKUP(Z6,'10K-R'!$Z$5:$AK$54,9,)</f>
        <v>214</v>
      </c>
      <c r="AI6">
        <f>VLOOKUP(Z6,'10K-R'!$Z$5:$AK$54,10,)</f>
        <v>242</v>
      </c>
      <c r="AJ6">
        <f>VLOOKUP(Z6,'10K-R'!$Z$5:$AK$54,11,)</f>
        <v>250</v>
      </c>
      <c r="AK6">
        <f>VLOOKUP(Z6,'10K-R'!$Z$5:$AK$54,12,)</f>
        <v>264</v>
      </c>
    </row>
    <row r="7" spans="1:16384">
      <c r="A7" s="86" t="s">
        <v>249</v>
      </c>
      <c r="B7" s="84"/>
      <c r="C7" s="84"/>
      <c r="D7" s="84"/>
      <c r="E7" s="84"/>
      <c r="F7" s="84"/>
      <c r="G7" s="84"/>
      <c r="H7" s="84"/>
      <c r="I7" s="84"/>
      <c r="J7" s="84"/>
      <c r="K7" s="84"/>
      <c r="L7" s="84"/>
      <c r="M7" s="77"/>
      <c r="N7" s="35" t="s">
        <v>272</v>
      </c>
      <c r="O7">
        <f>VLOOKUP(N7,'10K-R'!$N$5:$X$69,2,)</f>
        <v>362</v>
      </c>
      <c r="P7">
        <f>VLOOKUP(N7,'10K-R'!$N$5:$X$69,3,)</f>
        <v>133</v>
      </c>
      <c r="Q7">
        <f>VLOOKUP(N7,'10K-R'!$N$5:$X$69,4,)</f>
        <v>260</v>
      </c>
      <c r="R7">
        <f>VLOOKUP(N7,'10K-R'!$N$5:$X$69,5,)</f>
        <v>29</v>
      </c>
      <c r="S7">
        <f>VLOOKUP(N7,'10K-R'!$N$5:$X$69,6,)</f>
        <v>0</v>
      </c>
      <c r="T7">
        <f>VLOOKUP(N7,'10K-R'!$N$5:$X$69,7,)</f>
        <v>90</v>
      </c>
      <c r="U7">
        <f>VLOOKUP(N7,'10K-R'!$N$5:$X$69,8,)</f>
        <v>158</v>
      </c>
      <c r="V7">
        <f>VLOOKUP(N7,'10K-R'!$N$5:$X$69,9,)</f>
        <v>98</v>
      </c>
      <c r="W7">
        <f>VLOOKUP(N7,'10K-R'!$N$5:$X$69,10,)</f>
        <v>157</v>
      </c>
      <c r="X7">
        <f>VLOOKUP(N7,'10K-R'!$N$5:$X$69,11,)</f>
        <v>288</v>
      </c>
      <c r="Z7" s="35" t="s">
        <v>319</v>
      </c>
      <c r="AA7">
        <f>_xlfn.IFNA(VLOOKUP($Z$7,'10K-R'!$Z$5:$AK$54,AA2,),VLOOKUP("Change in Working Capital",'10K-R'!$Z$5:$AK$54,AA2))</f>
        <v>-80</v>
      </c>
      <c r="AB7">
        <f>_xlfn.IFNA(VLOOKUP($Z$7,'10K-R'!$Z$5:$AK$54,AB2,),VLOOKUP("Change in Working Capital",'10K-R'!$Z$5:$AK$54,AB2))</f>
        <v>-59</v>
      </c>
      <c r="AC7">
        <f>_xlfn.IFNA(VLOOKUP($Z$7,'10K-R'!$Z$5:$AK$54,AC2,),VLOOKUP("Change in Working Capital",'10K-R'!$Z$5:$AK$54,AC2))</f>
        <v>-128</v>
      </c>
      <c r="AD7">
        <f>_xlfn.IFNA(VLOOKUP($Z$7,'10K-R'!$Z$5:$AK$54,AD2,),VLOOKUP("Change in Working Capital",'10K-R'!$Z$5:$AK$54,AD2))</f>
        <v>-312</v>
      </c>
      <c r="AE7">
        <f>_xlfn.IFNA(VLOOKUP($Z$7,'10K-R'!$Z$5:$AK$54,AE2,),VLOOKUP("Change in Working Capital",'10K-R'!$Z$5:$AK$54,AE2))</f>
        <v>-200</v>
      </c>
      <c r="AF7">
        <f>_xlfn.IFNA(VLOOKUP($Z$7,'10K-R'!$Z$5:$AK$54,AF2,),VLOOKUP("Change in Working Capital",'10K-R'!$Z$5:$AK$54,AF2))</f>
        <v>-237</v>
      </c>
      <c r="AG7">
        <f>_xlfn.IFNA(VLOOKUP($Z$7,'10K-R'!$Z$5:$AK$54,AG2,),VLOOKUP("Change in Working Capital",'10K-R'!$Z$5:$AK$54,AG2))</f>
        <v>-234</v>
      </c>
      <c r="AH7">
        <f>_xlfn.IFNA(VLOOKUP($Z$7,'10K-R'!$Z$5:$AK$54,AH2,),VLOOKUP("Change in Working Capital",'10K-R'!$Z$5:$AK$54,AH2))</f>
        <v>-240</v>
      </c>
      <c r="AI7">
        <f>_xlfn.IFNA(VLOOKUP($Z$7,'10K-R'!$Z$5:$AK$54,AI2,),VLOOKUP("Change in Working Capital",'10K-R'!$Z$5:$AK$54,AI2))</f>
        <v>-234</v>
      </c>
      <c r="AJ7">
        <f>_xlfn.IFNA(VLOOKUP($Z$7,'10K-R'!$Z$5:$AK$54,AJ2,),VLOOKUP("Change in Working Capital",'10K-R'!$Z$5:$AK$54,AJ2))</f>
        <v>-252</v>
      </c>
      <c r="AK7">
        <f>_xlfn.IFNA(VLOOKUP($Z$7,'10K-R'!$Z$5:$AK$54,AK2,),VLOOKUP("Change in Working Capital",'10K-R'!$Z$5:$AK$54,AK2))</f>
        <v>-355</v>
      </c>
    </row>
    <row r="8" spans="1:16384">
      <c r="A8" s="84" t="s">
        <v>261</v>
      </c>
      <c r="B8" s="84">
        <f>VLOOKUP($A$8,'10K-R'!$A$6:$L$44,2,)</f>
        <v>61</v>
      </c>
      <c r="C8" s="84">
        <f>VLOOKUP($A$8,'10K-R'!$A$6:$L$44,3,)</f>
        <v>54</v>
      </c>
      <c r="D8" s="84">
        <f>VLOOKUP($A$8,'10K-R'!$A$6:$L$44,4,)</f>
        <v>63</v>
      </c>
      <c r="E8" s="84">
        <f>VLOOKUP($A$8,'10K-R'!$A$6:$L$44,5,)</f>
        <v>59</v>
      </c>
      <c r="F8" s="84">
        <f>VLOOKUP($A$8,'10K-R'!$A$6:$L$44,6,)</f>
        <v>565</v>
      </c>
      <c r="G8" s="84">
        <f>VLOOKUP(A8,'10K-R'!$A$6:$L$44,7,)</f>
        <v>608</v>
      </c>
      <c r="H8" s="84">
        <f>VLOOKUP(A8,'10K-R'!$A$6:$L$44,8,)</f>
        <v>627</v>
      </c>
      <c r="I8" s="84">
        <f>VLOOKUP(A8,'10K-R'!$A$6:$L$44,9,)</f>
        <v>737</v>
      </c>
      <c r="J8" s="84">
        <f>VLOOKUP(A8,'10K-R'!$A$6:$L$44,10,)</f>
        <v>740</v>
      </c>
      <c r="K8" s="84">
        <f>VLOOKUP(A8,'10K-R'!$A$6:$L$44,11,)</f>
        <v>771</v>
      </c>
      <c r="L8" s="84">
        <f>VLOOKUP($A$8,'10K-R'!$A$6:$L$44,12,)</f>
        <v>785</v>
      </c>
      <c r="M8" s="77"/>
      <c r="N8" s="35" t="s">
        <v>273</v>
      </c>
      <c r="O8">
        <f>_xlfn.IFNA(VLOOKUP(N8,'10K-R'!$N$5:$X$69,2,),O7)</f>
        <v>362</v>
      </c>
      <c r="P8">
        <f>_xlfn.IFNA(VLOOKUP(N8,'10K-R'!$N$5:$X$69,3,),P7)</f>
        <v>133</v>
      </c>
      <c r="Q8">
        <f>_xlfn.IFNA(VLOOKUP(N8,'10K-R'!$N$5:$X$69,4,),Q7)</f>
        <v>260</v>
      </c>
      <c r="R8">
        <f>_xlfn.IFNA(VLOOKUP(N8,'10K-R'!$N$5:$X$69,5,),R7)</f>
        <v>29</v>
      </c>
      <c r="S8">
        <f>_xlfn.IFNA(VLOOKUP(N8,'10K-R'!$N$5:$X$69,6,),S7)</f>
        <v>0</v>
      </c>
      <c r="T8">
        <f>_xlfn.IFNA(VLOOKUP(N8,'10K-R'!$N$5:$X$69,7,),T7)</f>
        <v>90</v>
      </c>
      <c r="U8">
        <f>_xlfn.IFNA(VLOOKUP(N8,'10K-R'!$N$5:$X$69,8,),U7)</f>
        <v>158</v>
      </c>
      <c r="V8">
        <f>_xlfn.IFNA(VLOOKUP(N8,'10K-R'!$N$5:$X$69,9,),V7)</f>
        <v>98</v>
      </c>
      <c r="W8">
        <f>_xlfn.IFNA(VLOOKUP(N8,'10K-R'!$N$5:$X$69,10,),W7)</f>
        <v>157</v>
      </c>
      <c r="X8">
        <f>_xlfn.IFNA(VLOOKUP(N8,'10K-R'!$N$5:$X$69,11,),X7)</f>
        <v>288</v>
      </c>
      <c r="Z8" s="35" t="s">
        <v>320</v>
      </c>
      <c r="AA8">
        <f>VLOOKUP(Z8,'10K-R'!$Z$5:$AK$54,2,)</f>
        <v>158</v>
      </c>
      <c r="AB8">
        <f>VLOOKUP(Z8,'10K-R'!$Z$5:$AK$54,3,)</f>
        <v>-69</v>
      </c>
      <c r="AC8">
        <f>VLOOKUP(Z8,'10K-R'!$Z$5:$AK$54,4,)</f>
        <v>343</v>
      </c>
      <c r="AD8">
        <f>VLOOKUP(Z8,'10K-R'!$Z$5:$AK$54,5,)</f>
        <v>163</v>
      </c>
      <c r="AE8">
        <f>VLOOKUP(Z8,'10K-R'!$Z$5:$AK$54,6,)</f>
        <v>131</v>
      </c>
      <c r="AF8">
        <f>VLOOKUP(Z8,'10K-R'!$Z$5:$AK$54,7,)</f>
        <v>490</v>
      </c>
      <c r="AG8">
        <f>VLOOKUP(Z8,'10K-R'!$Z$5:$AK$54,8,)</f>
        <v>392</v>
      </c>
      <c r="AH8">
        <f>VLOOKUP(Z8,'10K-R'!$Z$5:$AK$54,9,)</f>
        <v>255</v>
      </c>
      <c r="AI8">
        <f>VLOOKUP(Z8,'10K-R'!$Z$5:$AK$54,10,)</f>
        <v>584</v>
      </c>
      <c r="AJ8">
        <f>VLOOKUP(Z8,'10K-R'!$Z$5:$AK$54,11,)</f>
        <v>610</v>
      </c>
      <c r="AK8">
        <f>VLOOKUP(Z8,'10K-R'!$Z$5:$AK$54,12,)</f>
        <v>800</v>
      </c>
    </row>
    <row r="9" spans="1:16384">
      <c r="A9" s="84" t="s">
        <v>250</v>
      </c>
      <c r="B9" s="84">
        <f>VLOOKUP($A$9,'10K-R'!$A$6:$L$44,2,)</f>
        <v>287</v>
      </c>
      <c r="C9" s="84">
        <f>VLOOKUP($A$9,'10K-R'!$A$6:$L$44,3,)</f>
        <v>258</v>
      </c>
      <c r="D9" s="84">
        <f>VLOOKUP($A$9,'10K-R'!$A$6:$L$44,4,)</f>
        <v>259</v>
      </c>
      <c r="E9" s="84">
        <f>VLOOKUP($A$9,'10K-R'!$A$6:$L$44,5,)</f>
        <v>268</v>
      </c>
      <c r="F9" s="84">
        <f>VLOOKUP($A$9,'10K-R'!$A$6:$L$44,6,)</f>
        <v>798</v>
      </c>
      <c r="G9" s="84">
        <f>VLOOKUP(A9,'10K-R'!$A$6:$L$44,7,)</f>
        <v>804</v>
      </c>
      <c r="H9" s="84">
        <f>VLOOKUP(A9,'10K-R'!$A$6:$L$44,8,)</f>
        <v>810</v>
      </c>
      <c r="I9" s="84">
        <f>VLOOKUP(A9,'10K-R'!$A$6:$L$44,9,)</f>
        <v>979</v>
      </c>
      <c r="J9" s="84">
        <f>VLOOKUP($A$9,'10K-R'!$A$6:$L$44,J2,)</f>
        <v>982</v>
      </c>
      <c r="K9" s="84">
        <f>VLOOKUP($A$9,'10K-R'!$A$6:$L$44,K2,)</f>
        <v>1065</v>
      </c>
      <c r="L9" s="84">
        <f>VLOOKUP($A$9,'10K-R'!$A$6:$L$44,12,)</f>
        <v>1155</v>
      </c>
      <c r="M9" s="77"/>
      <c r="N9" s="35" t="s">
        <v>274</v>
      </c>
      <c r="O9">
        <f>_xlfn.IFNA(VLOOKUP($N$9,'10K-R'!$N$5:$X$69,O2,),VLOOKUP("Receivables",'10K-R'!$N$5:$X$69,O2,))</f>
        <v>200</v>
      </c>
      <c r="P9">
        <f>_xlfn.IFNA(VLOOKUP($N$9,'10K-R'!$N$5:$X$69,P2,),VLOOKUP("Receivables",'10K-R'!$N$5:$X$69,P2,))</f>
        <v>179</v>
      </c>
      <c r="Q9">
        <f>_xlfn.IFNA(VLOOKUP($N$9,'10K-R'!$N$5:$X$69,Q2,),VLOOKUP("Receivables",'10K-R'!$N$5:$X$69,Q2,))</f>
        <v>201</v>
      </c>
      <c r="R9">
        <f>_xlfn.IFNA(VLOOKUP($N$9,'10K-R'!$N$5:$X$69,R2,),VLOOKUP("Receivables",'10K-R'!$N$5:$X$69,R2,))</f>
        <v>171</v>
      </c>
      <c r="S9">
        <f>_xlfn.IFNA(VLOOKUP($N$9,'10K-R'!$N$5:$X$69,S2,),VLOOKUP("Receivables",'10K-R'!$N$5:$X$69,S2,))</f>
        <v>103</v>
      </c>
      <c r="T9">
        <f>_xlfn.IFNA(VLOOKUP($N$9,'10K-R'!$N$5:$X$69,T2,),VLOOKUP("Receivables",'10K-R'!$N$5:$X$69,T2,))</f>
        <v>113</v>
      </c>
      <c r="U9">
        <f>_xlfn.IFNA(VLOOKUP($N$9,'10K-R'!$N$5:$X$69,U2,),VLOOKUP("Receivables",'10K-R'!$N$5:$X$69,U2,))</f>
        <v>91</v>
      </c>
      <c r="V9">
        <f>_xlfn.IFNA(VLOOKUP($N$9,'10K-R'!$N$5:$X$69,V2,),VLOOKUP("Receivables",'10K-R'!$N$5:$X$69,V2,))</f>
        <v>192</v>
      </c>
      <c r="W9">
        <f>_xlfn.IFNA(VLOOKUP($N$9,'10K-R'!$N$5:$X$69,W2,),VLOOKUP("Receivables",'10K-R'!$N$5:$X$69,W2,))</f>
        <v>164</v>
      </c>
      <c r="X9">
        <f>_xlfn.IFNA(VLOOKUP($N$9,'10K-R'!$N$5:$X$69,X2,),VLOOKUP("Receivables",'10K-R'!$N$5:$X$69,X2,))</f>
        <v>193</v>
      </c>
      <c r="Z9" s="35" t="s">
        <v>321</v>
      </c>
      <c r="AA9">
        <f>VLOOKUP(Z9,'10K-R'!$Z$5:$AK$54,2,)</f>
        <v>0</v>
      </c>
      <c r="AB9">
        <f>VLOOKUP(Z9,'10K-R'!$Z$5:$AK$54,3,)</f>
        <v>0</v>
      </c>
      <c r="AC9">
        <f>VLOOKUP(Z9,'10K-R'!$Z$5:$AK$54,4,)</f>
        <v>0</v>
      </c>
      <c r="AD9">
        <f>VLOOKUP(Z9,'10K-R'!$Z$5:$AK$54,5,)</f>
        <v>0</v>
      </c>
      <c r="AE9">
        <f>VLOOKUP(Z9,'10K-R'!$Z$5:$AK$54,6,)</f>
        <v>0</v>
      </c>
      <c r="AF9">
        <f>VLOOKUP(Z9,'10K-R'!$Z$5:$AK$54,7,)</f>
        <v>0</v>
      </c>
      <c r="AG9">
        <f>VLOOKUP(Z9,'10K-R'!$Z$5:$AK$54,8,)</f>
        <v>0</v>
      </c>
      <c r="AH9">
        <f>VLOOKUP(Z9,'10K-R'!$Z$5:$AK$54,9,)</f>
        <v>0</v>
      </c>
      <c r="AI9">
        <f>VLOOKUP(Z9,'10K-R'!$Z$5:$AK$54,10,)</f>
        <v>0</v>
      </c>
      <c r="AJ9">
        <f>VLOOKUP(Z9,'10K-R'!$Z$5:$AK$54,11,)</f>
        <v>0</v>
      </c>
      <c r="AK9">
        <f>VLOOKUP(Z9,'10K-R'!$Z$5:$AK$54,12,)</f>
        <v>0</v>
      </c>
    </row>
    <row r="10" spans="1:16384">
      <c r="A10" s="84" t="s">
        <v>251</v>
      </c>
      <c r="B10" s="84">
        <f>VLOOKUP(A10,'10K-R'!$A$6:$L$44,2,)</f>
        <v>-105</v>
      </c>
      <c r="C10" s="84">
        <f>VLOOKUP($A$10,'10K-R'!$A$6:$L$44,3,)</f>
        <v>-180</v>
      </c>
      <c r="D10" s="84">
        <f>VLOOKUP($A$10,'10K-R'!$A$6:$L$44,4,)</f>
        <v>202</v>
      </c>
      <c r="E10" s="84">
        <f>VLOOKUP($A$10,'10K-R'!$A$6:$L$44,5,)</f>
        <v>56</v>
      </c>
      <c r="F10" s="84">
        <f>VLOOKUP($A$10,'10K-R'!$A$6:$L$44,6,)</f>
        <v>96</v>
      </c>
      <c r="G10" s="84">
        <f>VLOOKUP(A10,'10K-R'!$A$6:$L$44,7,)</f>
        <v>354</v>
      </c>
      <c r="H10" s="84">
        <f>VLOOKUP(A10,'10K-R'!$A$6:$L$44,8,)</f>
        <v>336</v>
      </c>
      <c r="I10" s="84">
        <f>VLOOKUP(A10,'10K-R'!$A$6:$L$44,9,)</f>
        <v>166</v>
      </c>
      <c r="J10" s="84">
        <f>VLOOKUP($A$10,'10K-R'!$A$6:$L$44,J2,)</f>
        <v>306</v>
      </c>
      <c r="K10" s="84">
        <f>VLOOKUP($A$10,'10K-R'!$A$6:$L$44,K2,)</f>
        <v>556</v>
      </c>
      <c r="L10" s="84">
        <f>VLOOKUP($A$10,'10K-R'!$A$6:$L$44,12,)</f>
        <v>903</v>
      </c>
      <c r="M10" s="77"/>
      <c r="N10" s="35" t="s">
        <v>275</v>
      </c>
      <c r="O10">
        <f>VLOOKUP(N10,'10K-R'!$N$5:$X$69,2,)</f>
        <v>405</v>
      </c>
      <c r="P10">
        <f>VLOOKUP(N10,'10K-R'!$N$5:$X$69,3,)</f>
        <v>311</v>
      </c>
      <c r="Q10">
        <f>VLOOKUP(N10,'10K-R'!$N$5:$X$69,4,)</f>
        <v>327</v>
      </c>
      <c r="R10">
        <f>VLOOKUP(N10,'10K-R'!$N$5:$X$69,5,)</f>
        <v>348</v>
      </c>
      <c r="S10">
        <f>VLOOKUP(N10,'10K-R'!$N$5:$X$69,6,)</f>
        <v>431</v>
      </c>
      <c r="T10">
        <f>VLOOKUP(N10,'10K-R'!$N$5:$X$69,7,)</f>
        <v>472</v>
      </c>
      <c r="U10">
        <f>VLOOKUP(N10,'10K-R'!$N$5:$X$69,8,)</f>
        <v>518</v>
      </c>
      <c r="V10">
        <f>VLOOKUP(N10,'10K-R'!$N$5:$X$69,9,)</f>
        <v>587</v>
      </c>
      <c r="W10">
        <f>VLOOKUP(N10,'10K-R'!$N$5:$X$69,10,)</f>
        <v>549</v>
      </c>
      <c r="X10">
        <f>VLOOKUP(N10,'10K-R'!$N$5:$X$69,11,)</f>
        <v>629</v>
      </c>
      <c r="Z10" s="35" t="s">
        <v>322</v>
      </c>
      <c r="AA10">
        <f>_xlfn.IFNA(VLOOKUP($Z$10,'10K-R'!$Z$5:$AK$54,AA2,),VLOOKUP("Investments in Property, Plant, and Equipment",'10K-R'!$Z$5:$AK$54,AA2,))</f>
        <v>-80</v>
      </c>
      <c r="AB10">
        <f>_xlfn.IFNA(VLOOKUP($Z$10,'10K-R'!$Z$5:$AK$54,AB2,),VLOOKUP("Investments in Property, Plant, and Equipment",'10K-R'!$Z$5:$AK$54,AB2,))</f>
        <v>-59</v>
      </c>
      <c r="AC10">
        <f>_xlfn.IFNA(VLOOKUP($Z$10,'10K-R'!$Z$5:$AK$54,AC2,),VLOOKUP("Investments in Property, Plant, and Equipment",'10K-R'!$Z$5:$AK$54,AC2,))</f>
        <v>-128</v>
      </c>
      <c r="AD10">
        <f>_xlfn.IFNA(VLOOKUP($Z$10,'10K-R'!$Z$5:$AK$54,AD2,),VLOOKUP("Investments in Property, Plant, and Equipment",'10K-R'!$Z$5:$AK$54,AD2,))</f>
        <v>-312</v>
      </c>
      <c r="AE10">
        <f>_xlfn.IFNA(VLOOKUP($Z$10,'10K-R'!$Z$5:$AK$54,AE2,),VLOOKUP("Investments in Property, Plant, and Equipment",'10K-R'!$Z$5:$AK$54,AE2,))</f>
        <v>-200</v>
      </c>
      <c r="AF10">
        <f>_xlfn.IFNA(VLOOKUP($Z$10,'10K-R'!$Z$5:$AK$54,AF2,),VLOOKUP("Investments in Property, Plant, and Equipment",'10K-R'!$Z$5:$AK$54,AF2,))</f>
        <v>-237</v>
      </c>
      <c r="AG10">
        <f>_xlfn.IFNA(VLOOKUP($Z$10,'10K-R'!$Z$5:$AK$54,AG2,),VLOOKUP("Investments in Property, Plant, and Equipment",'10K-R'!$Z$5:$AK$54,AG2,))</f>
        <v>-234</v>
      </c>
      <c r="AH10">
        <f>_xlfn.IFNA(VLOOKUP($Z$10,'10K-R'!$Z$5:$AK$54,AH2,),VLOOKUP("Investments in Property, Plant, and Equipment",'10K-R'!$Z$5:$AK$54,AH2,))</f>
        <v>-240</v>
      </c>
      <c r="AI10">
        <f>_xlfn.IFNA(VLOOKUP($Z$10,'10K-R'!$Z$5:$AK$54,AI2,),VLOOKUP("Investments in Property, Plant, and Equipment",'10K-R'!$Z$5:$AK$54,AI2,))</f>
        <v>-234</v>
      </c>
      <c r="AJ10">
        <f>_xlfn.IFNA(VLOOKUP($Z$10,'10K-R'!$Z$5:$AK$54,AJ2,),VLOOKUP("Investments in Property, Plant, and Equipment",'10K-R'!$Z$5:$AK$54,AJ2,))</f>
        <v>-252</v>
      </c>
      <c r="AK10">
        <f>_xlfn.IFNA(VLOOKUP($Z$10,'10K-R'!$Z$5:$AK$54,AK2,),VLOOKUP("Investments in Property, Plant, and Equipment",'10K-R'!$Z$5:$AK$54,AK2,))</f>
        <v>-355</v>
      </c>
    </row>
    <row r="11" spans="1:16384">
      <c r="A11" t="s">
        <v>252</v>
      </c>
      <c r="B11" s="84">
        <f>VLOOKUP($A$11,'10K-R'!$A$6:$L$44,2,)</f>
        <v>39</v>
      </c>
      <c r="C11" s="84">
        <f>VLOOKUP($A$11,'10K-R'!$A$6:$L$44,3,)</f>
        <v>33</v>
      </c>
      <c r="D11" s="84">
        <f>VLOOKUP($A$11,'10K-R'!$A$6:$L$44,4,)</f>
        <v>26</v>
      </c>
      <c r="E11" s="84">
        <f>VLOOKUP($A$11,'10K-R'!$A$6:$L$44,5,)</f>
        <v>22</v>
      </c>
      <c r="F11" s="84">
        <f>VLOOKUP($A$11,'10K-R'!$A$6:$L$44,6,)</f>
        <v>25</v>
      </c>
      <c r="G11" s="84">
        <f>VLOOKUP($A$11,'10K-R'!$A$6:$L$44,7,)</f>
        <v>29</v>
      </c>
      <c r="H11" s="84">
        <f>VLOOKUP($A$11,'10K-R'!$A$6:$L$44,8,)</f>
        <v>20</v>
      </c>
      <c r="I11" s="84">
        <f>VLOOKUP($A$11,'10K-R'!$A$6:$L$44,9,)</f>
        <v>25</v>
      </c>
      <c r="J11" s="84">
        <f>VLOOKUP($A$11,'10K-R'!$A$6:$L$44,10,)</f>
        <v>33</v>
      </c>
      <c r="K11" s="84">
        <f>VLOOKUP($A$11,'10K-R'!$A$6:$L$44,11,)</f>
        <v>32</v>
      </c>
      <c r="L11" s="84">
        <f>VLOOKUP($A$11,'10K-R'!$A$6:$L$44,12,)</f>
        <v>0</v>
      </c>
      <c r="M11" s="77"/>
      <c r="N11" s="35" t="s">
        <v>276</v>
      </c>
      <c r="O11">
        <f>VLOOKUP(N11,'10K-R'!$N$5:$X$69,2,)</f>
        <v>1080</v>
      </c>
      <c r="P11">
        <f>VLOOKUP(N11,'10K-R'!$N$5:$X$69,3,)</f>
        <v>717</v>
      </c>
      <c r="Q11">
        <f>VLOOKUP(N11,'10K-R'!$N$5:$X$69,4,)</f>
        <v>839</v>
      </c>
      <c r="R11">
        <f>VLOOKUP(N11,'10K-R'!$N$5:$X$69,5,)</f>
        <v>568</v>
      </c>
      <c r="S11">
        <f>VLOOKUP(N11,'10K-R'!$N$5:$X$69,6,)</f>
        <v>687</v>
      </c>
      <c r="T11">
        <f>VLOOKUP(N11,'10K-R'!$N$5:$X$69,7,)</f>
        <v>752</v>
      </c>
      <c r="U11">
        <f>VLOOKUP(N11,'10K-R'!$N$5:$X$69,8,)</f>
        <v>903</v>
      </c>
      <c r="V11">
        <f>VLOOKUP(N11,'10K-R'!$N$5:$X$69,9,)</f>
        <v>991</v>
      </c>
      <c r="W11">
        <f>VLOOKUP(N11,'10K-R'!$N$5:$X$69,10,)</f>
        <v>987</v>
      </c>
      <c r="X11">
        <f>VLOOKUP(N11,'10K-R'!$N$5:$X$69,11,)</f>
        <v>1207</v>
      </c>
      <c r="Z11" s="35" t="s">
        <v>323</v>
      </c>
      <c r="AA11">
        <f>VLOOKUP(Z11,'10K-R'!$Z$5:$AK$54,2,)</f>
        <v>-48</v>
      </c>
      <c r="AB11">
        <f>VLOOKUP(Z11,'10K-R'!$Z$5:$AK$54,3,)</f>
        <v>50</v>
      </c>
      <c r="AC11">
        <f>VLOOKUP(Z11,'10K-R'!$Z$5:$AK$54,4,)</f>
        <v>-101</v>
      </c>
      <c r="AD11">
        <f>VLOOKUP(Z11,'10K-R'!$Z$5:$AK$54,5,)</f>
        <v>-203</v>
      </c>
      <c r="AE11">
        <f>VLOOKUP(Z11,'10K-R'!$Z$5:$AK$54,6,)</f>
        <v>-217</v>
      </c>
      <c r="AF11">
        <f>VLOOKUP(Z11,'10K-R'!$Z$5:$AK$54,7,)</f>
        <v>-202</v>
      </c>
      <c r="AG11">
        <f>VLOOKUP(Z11,'10K-R'!$Z$5:$AK$54,8,)</f>
        <v>-259</v>
      </c>
      <c r="AH11">
        <f>VLOOKUP(Z11,'10K-R'!$Z$5:$AK$54,9,)</f>
        <v>-478</v>
      </c>
      <c r="AI11">
        <f>VLOOKUP(Z11,'10K-R'!$Z$5:$AK$54,10,)</f>
        <v>-318</v>
      </c>
      <c r="AJ11">
        <f>VLOOKUP(Z11,'10K-R'!$Z$5:$AK$54,11,)</f>
        <v>-266</v>
      </c>
      <c r="AK11">
        <f>VLOOKUP(Z11,'10K-R'!$Z$5:$AK$54,12,)</f>
        <v>-338</v>
      </c>
    </row>
    <row r="12" spans="1:16384">
      <c r="A12" s="84" t="s">
        <v>262</v>
      </c>
      <c r="B12" s="84">
        <f>VLOOKUP($A$12,'10K-R'!$A$6:$L$44,2,)</f>
        <v>-463</v>
      </c>
      <c r="C12" s="84">
        <f>VLOOKUP($A$12,'10K-R'!$A$6:$L$44,3,)</f>
        <v>-135</v>
      </c>
      <c r="D12" s="84">
        <f>VLOOKUP($A$12,'10K-R'!$A$6:$L$44,4,)</f>
        <v>167</v>
      </c>
      <c r="E12" s="84">
        <f>VLOOKUP($A$12,'10K-R'!$A$6:$L$44,5,)</f>
        <v>-10</v>
      </c>
      <c r="F12" s="84">
        <f>VLOOKUP($A$12,'10K-R'!$A$6:$L$44,6,)</f>
        <v>56</v>
      </c>
      <c r="G12" s="84">
        <f>VLOOKUP(A12,'10K-R'!$A$6:$L$44,7,)</f>
        <v>339</v>
      </c>
      <c r="H12" s="84">
        <f>VLOOKUP(A12,'10K-R'!$A$6:$L$44,8,)</f>
        <v>298</v>
      </c>
      <c r="I12" s="84">
        <f>VLOOKUP(A12,'10K-R'!$A$6:$L$44,9,)</f>
        <v>110</v>
      </c>
      <c r="J12" s="84">
        <f>VLOOKUP($A$12,'10K-R'!$A$6:$L$44,J2,)</f>
        <v>268</v>
      </c>
      <c r="K12" s="84">
        <f>VLOOKUP($A$12,'10K-R'!$A$6:$L$44,K2,)</f>
        <v>526</v>
      </c>
      <c r="L12" s="84">
        <f>VLOOKUP($A$12,'10K-R'!$A$6:$L$44,12,)</f>
        <v>856</v>
      </c>
      <c r="M12" s="77"/>
      <c r="N12" s="86" t="s">
        <v>277</v>
      </c>
      <c r="Z12" s="35" t="s">
        <v>324</v>
      </c>
      <c r="AA12">
        <f>VLOOKUP(Z12,'10K-R'!$Z$5:$AK$54,2,)</f>
        <v>0</v>
      </c>
      <c r="AB12">
        <f>VLOOKUP(Z12,'10K-R'!$Z$5:$AK$54,3,)</f>
        <v>0</v>
      </c>
      <c r="AC12">
        <f>VLOOKUP(Z12,'10K-R'!$Z$5:$AK$54,4,)</f>
        <v>0</v>
      </c>
      <c r="AD12">
        <f>VLOOKUP(Z12,'10K-R'!$Z$5:$AK$54,5,)</f>
        <v>0</v>
      </c>
      <c r="AE12">
        <f>VLOOKUP(Z12,'10K-R'!$Z$5:$AK$54,6,)</f>
        <v>0</v>
      </c>
      <c r="AF12">
        <f>VLOOKUP(Z12,'10K-R'!$Z$5:$AK$54,7,)</f>
        <v>0</v>
      </c>
      <c r="AG12">
        <f>VLOOKUP(Z12,'10K-R'!$Z$5:$AK$54,8,)</f>
        <v>0</v>
      </c>
      <c r="AH12">
        <f>VLOOKUP(Z12,'10K-R'!$Z$5:$AK$54,9,)</f>
        <v>0</v>
      </c>
      <c r="AI12">
        <f>VLOOKUP(Z12,'10K-R'!$Z$5:$AK$54,10,)</f>
        <v>0</v>
      </c>
      <c r="AJ12">
        <f>VLOOKUP(Z12,'10K-R'!$Z$5:$AK$54,11,)</f>
        <v>0</v>
      </c>
      <c r="AK12">
        <f>VLOOKUP(Z12,'10K-R'!$Z$5:$AK$54,12,)</f>
        <v>0</v>
      </c>
    </row>
    <row r="13" spans="1:16384">
      <c r="A13" s="84" t="s">
        <v>253</v>
      </c>
      <c r="B13" s="84">
        <f>VLOOKUP($A$13,'10K-R'!$A$6:$L$44,2,)</f>
        <v>-142</v>
      </c>
      <c r="C13" s="84">
        <f>VLOOKUP($A$13,'10K-R'!$A$6:$L$44,3,)</f>
        <v>-72</v>
      </c>
      <c r="D13" s="84">
        <f>VLOOKUP($A$13,'10K-R'!$A$6:$L$44,4,)</f>
        <v>5</v>
      </c>
      <c r="E13" s="84">
        <f>VLOOKUP($A$13,'10K-R'!$A$6:$L$44,5,)</f>
        <v>-20</v>
      </c>
      <c r="F13" s="84">
        <f>VLOOKUP($A$13,'10K-R'!$A$6:$L$44,6,)</f>
        <v>14</v>
      </c>
      <c r="G13" s="84">
        <f>VLOOKUP(A13,'10K-R'!$A$6:$L$44,7,)</f>
        <v>88</v>
      </c>
      <c r="H13" s="84">
        <f>VLOOKUP(A13,'10K-R'!$A$6:$L$44,8,)</f>
        <v>76</v>
      </c>
      <c r="I13" s="84">
        <f>VLOOKUP(A13,'10K-R'!$A$6:$L$44,9,)</f>
        <v>18</v>
      </c>
      <c r="J13" s="84">
        <f>VLOOKUP($A$13,'10K-R'!$A$6:$L$44,J2,)</f>
        <v>64</v>
      </c>
      <c r="K13" s="84">
        <f>VLOOKUP($A$13,'10K-R'!$A$6:$L$44,K2,)</f>
        <v>133</v>
      </c>
      <c r="L13" s="84">
        <f>VLOOKUP($A$13,'10K-R'!$A$6:$L$44,12,)</f>
        <v>218</v>
      </c>
      <c r="M13" s="77"/>
      <c r="N13" s="35" t="s">
        <v>278</v>
      </c>
      <c r="O13">
        <f>VLOOKUP(N13,'10K-R'!$N$5:$X$69,2,)</f>
        <v>1798</v>
      </c>
      <c r="P13">
        <f>VLOOKUP(N13,'10K-R'!$N$5:$X$69,3,)</f>
        <v>1677</v>
      </c>
      <c r="Q13">
        <f>VLOOKUP(N13,'10K-R'!$N$5:$X$69,4,)</f>
        <v>1631</v>
      </c>
      <c r="R13">
        <f>VLOOKUP(N13,'10K-R'!$N$5:$X$69,5,)</f>
        <v>1139</v>
      </c>
      <c r="S13">
        <f>VLOOKUP(N13,'10K-R'!$N$5:$X$69,6,)</f>
        <v>1082</v>
      </c>
      <c r="T13">
        <f>VLOOKUP(N13,'10K-R'!$N$5:$X$69,7,)</f>
        <v>1152</v>
      </c>
      <c r="U13">
        <f>VLOOKUP(N13,'10K-R'!$N$5:$X$69,8,)</f>
        <v>1216</v>
      </c>
      <c r="V13">
        <f>VLOOKUP(N13,'10K-R'!$N$5:$X$69,9,)</f>
        <v>1445</v>
      </c>
      <c r="W13">
        <f>VLOOKUP(N13,'10K-R'!$N$5:$X$69,10,)</f>
        <v>1461</v>
      </c>
      <c r="X13">
        <f>VLOOKUP(N13,'10K-R'!$N$5:$X$69,11,)</f>
        <v>1438</v>
      </c>
      <c r="Z13" s="35" t="s">
        <v>325</v>
      </c>
      <c r="AA13">
        <f>VLOOKUP(Z13,'10K-R'!$Z$5:$AK$54,2,)</f>
        <v>-53</v>
      </c>
      <c r="AB13">
        <f>VLOOKUP(Z13,'10K-R'!$Z$5:$AK$54,3,)</f>
        <v>-8</v>
      </c>
      <c r="AC13">
        <f>VLOOKUP(Z13,'10K-R'!$Z$5:$AK$54,4,)</f>
        <v>-78</v>
      </c>
      <c r="AD13">
        <f>VLOOKUP(Z13,'10K-R'!$Z$5:$AK$54,5,)</f>
        <v>-18</v>
      </c>
      <c r="AE13">
        <f>VLOOKUP(Z13,'10K-R'!$Z$5:$AK$54,6,)</f>
        <v>-8</v>
      </c>
      <c r="AF13">
        <f>VLOOKUP(Z13,'10K-R'!$Z$5:$AK$54,7,)</f>
        <v>18</v>
      </c>
      <c r="AG13">
        <f>VLOOKUP(Z13,'10K-R'!$Z$5:$AK$54,8,)</f>
        <v>-31</v>
      </c>
      <c r="AH13">
        <f>VLOOKUP(Z13,'10K-R'!$Z$5:$AK$54,9,)</f>
        <v>-5</v>
      </c>
      <c r="AI13">
        <f>VLOOKUP(Z13,'10K-R'!$Z$5:$AK$54,10,)</f>
        <v>-205</v>
      </c>
      <c r="AJ13">
        <f>VLOOKUP(Z13,'10K-R'!$Z$5:$AK$54,11,)</f>
        <v>-76</v>
      </c>
      <c r="AK13">
        <f>VLOOKUP(Z13,'10K-R'!$Z$5:$AK$54,12,)</f>
        <v>-29</v>
      </c>
    </row>
    <row r="14" spans="1:16384">
      <c r="A14" s="84" t="s">
        <v>254</v>
      </c>
      <c r="B14" s="84">
        <f>_xlfn.IFNA(VLOOKUP($A$14,'10K-R'!$A$6:$L$44,2,),VLOOKUP("Net income from continuing ops",'10K-R'!$A$6:$L$44,2,))</f>
        <v>-321</v>
      </c>
      <c r="C14" s="84">
        <f>_xlfn.IFNA(VLOOKUP($A$14,'10K-R'!$A$6:$L$44,3,),VLOOKUP("Net income from continuing ops",'10K-R'!$A$6:$L$44,3,))</f>
        <v>-63</v>
      </c>
      <c r="D14" s="84">
        <f>_xlfn.IFNA(VLOOKUP($A$14,'10K-R'!$A$6:$L$44,4,),VLOOKUP("Net income from continuing ops",'10K-R'!$A$6:$L$44,4,))</f>
        <v>161</v>
      </c>
      <c r="E14" s="84">
        <f>_xlfn.IFNA(VLOOKUP($A$14,'10K-R'!$A$6:$L$44,5,),VLOOKUP("Net income from continuing ops",'10K-R'!$A$6:$L$44,5,))</f>
        <v>11</v>
      </c>
      <c r="F14" s="84">
        <f>_xlfn.IFNA(VLOOKUP($A$14,'10K-R'!$A$6:$L$44,6,),VLOOKUP("Net income from continuing ops",'10K-R'!$A$6:$L$44,6,))</f>
        <v>41</v>
      </c>
      <c r="G14" s="84">
        <f>VLOOKUP(A14,'10K-R'!$A$6:$L$44,7,)</f>
        <v>250</v>
      </c>
      <c r="H14" s="84">
        <f>VLOOKUP(A14,'10K-R'!$A$6:$L$44,8,)</f>
        <v>222</v>
      </c>
      <c r="I14" s="84">
        <f>VLOOKUP(A14,'10K-R'!$A$6:$L$44,9,)</f>
        <v>92</v>
      </c>
      <c r="J14" s="84">
        <f>VLOOKUP($A$14,'10K-R'!$A$6:$L$44,J2,)</f>
        <v>204</v>
      </c>
      <c r="K14" s="84">
        <f>VLOOKUP($A$14,'10K-R'!$A$6:$L$44,K2,)</f>
        <v>394</v>
      </c>
      <c r="L14" s="84">
        <f>_xlfn.IFNA(VLOOKUP($A$14,'10K-R'!$A$6:$L$44,12,),VLOOKUP("Net income from continuing ops",'10K-R'!$A$6:$L$44,12,))</f>
        <v>638</v>
      </c>
      <c r="M14" s="77"/>
      <c r="N14" s="35" t="s">
        <v>279</v>
      </c>
      <c r="O14">
        <f>VLOOKUP(N14,'10K-R'!$N$5:$X$69,2,)</f>
        <v>110</v>
      </c>
      <c r="P14">
        <f>VLOOKUP(N14,'10K-R'!$N$5:$X$69,3,)</f>
        <v>117</v>
      </c>
      <c r="Q14">
        <f>VLOOKUP(N14,'10K-R'!$N$5:$X$69,4,)</f>
        <v>136</v>
      </c>
      <c r="R14">
        <f>VLOOKUP(N14,'10K-R'!$N$5:$X$69,5,)</f>
        <v>0</v>
      </c>
      <c r="S14">
        <f>VLOOKUP(N14,'10K-R'!$N$5:$X$69,6,)</f>
        <v>20</v>
      </c>
      <c r="T14">
        <f>VLOOKUP(N14,'10K-R'!$N$5:$X$69,7,)</f>
        <v>59</v>
      </c>
      <c r="U14">
        <f>VLOOKUP(N14,'10K-R'!$N$5:$X$69,8,)</f>
        <v>37</v>
      </c>
      <c r="V14">
        <f>VLOOKUP(N14,'10K-R'!$N$5:$X$69,9,)</f>
        <v>66</v>
      </c>
      <c r="W14">
        <f>VLOOKUP(N14,'10K-R'!$N$5:$X$69,10,)</f>
        <v>19</v>
      </c>
      <c r="X14">
        <f>VLOOKUP(N14,'10K-R'!$N$5:$X$69,11,)</f>
        <v>61</v>
      </c>
      <c r="Z14" s="35" t="s">
        <v>326</v>
      </c>
      <c r="AA14">
        <f>VLOOKUP(Z14,'10K-R'!$Z$5:$AK$54,2,)</f>
        <v>-42</v>
      </c>
      <c r="AB14">
        <f>VLOOKUP(Z14,'10K-R'!$Z$5:$AK$54,3,)</f>
        <v>-208</v>
      </c>
      <c r="AC14">
        <f>VLOOKUP(Z14,'10K-R'!$Z$5:$AK$54,4,)</f>
        <v>-114</v>
      </c>
      <c r="AD14">
        <f>VLOOKUP(Z14,'10K-R'!$Z$5:$AK$54,5,)</f>
        <v>-191</v>
      </c>
      <c r="AE14">
        <f>VLOOKUP(Z14,'10K-R'!$Z$5:$AK$54,6,)</f>
        <v>42</v>
      </c>
      <c r="AF14">
        <f>VLOOKUP(Z14,'10K-R'!$Z$5:$AK$54,7,)</f>
        <v>-181</v>
      </c>
      <c r="AG14">
        <f>VLOOKUP(Z14,'10K-R'!$Z$5:$AK$54,8,)</f>
        <v>-65</v>
      </c>
      <c r="AH14">
        <f>VLOOKUP(Z14,'10K-R'!$Z$5:$AK$54,9,)</f>
        <v>149</v>
      </c>
      <c r="AI14">
        <f>VLOOKUP(Z14,'10K-R'!$Z$5:$AK$54,10,)</f>
        <v>-205</v>
      </c>
      <c r="AJ14">
        <f>VLOOKUP(Z14,'10K-R'!$Z$5:$AK$54,11,)</f>
        <v>-208</v>
      </c>
      <c r="AK14">
        <f>VLOOKUP(Z14,'10K-R'!$Z$5:$AK$54,12,)</f>
        <v>-151</v>
      </c>
    </row>
    <row r="15" spans="1:16384">
      <c r="A15" s="84" t="s">
        <v>255</v>
      </c>
      <c r="B15" s="84">
        <f>VLOOKUP($A$15,'10K-R'!$A$6:$L$44,2,)</f>
        <v>-345</v>
      </c>
      <c r="C15" s="84">
        <f>VLOOKUP($A$15,'10K-R'!$A$6:$L$44,3,)</f>
        <v>-70</v>
      </c>
      <c r="D15" s="84">
        <f>VLOOKUP($A$15,'10K-R'!$A$6:$L$44,4,)</f>
        <v>161</v>
      </c>
      <c r="E15" s="84">
        <f>VLOOKUP($A$15,'10K-R'!$A$6:$L$44,5,)</f>
        <v>-57</v>
      </c>
      <c r="F15" s="84">
        <f>VLOOKUP($A$15,'10K-R'!$A$6:$L$44,6,)</f>
        <v>32</v>
      </c>
      <c r="G15" s="84">
        <f>VLOOKUP(A15,'10K-R'!$A$6:$L$44,7,)</f>
        <v>229</v>
      </c>
      <c r="H15" s="84">
        <f>VLOOKUP(A15,'10K-R'!$A$6:$L$44,8,)</f>
        <v>175</v>
      </c>
      <c r="I15" s="84">
        <f>VLOOKUP(A15,'10K-R'!$A$6:$L$44,9,)</f>
        <v>25</v>
      </c>
      <c r="J15" s="84">
        <f>VLOOKUP($A$15,'10K-R'!$A$6:$L$44,10,)</f>
        <v>151</v>
      </c>
      <c r="K15" s="84">
        <f>VLOOKUP(A15,'10K-R'!$A$6:$L$44,11,)</f>
        <v>345</v>
      </c>
      <c r="L15" s="84">
        <f>VLOOKUP($A$15,'10K-R'!$A$6:$L$44,12,)</f>
        <v>539</v>
      </c>
      <c r="M15" s="77"/>
      <c r="N15" s="35" t="s">
        <v>280</v>
      </c>
      <c r="O15">
        <f>VLOOKUP(N15,'10K-R'!$N$5:$X$69,2,)</f>
        <v>2120</v>
      </c>
      <c r="P15">
        <f>VLOOKUP(N15,'10K-R'!$N$5:$X$69,3,)</f>
        <v>1961</v>
      </c>
      <c r="Q15">
        <f>VLOOKUP(N15,'10K-R'!$N$5:$X$69,4,)</f>
        <v>1939</v>
      </c>
      <c r="R15">
        <f>VLOOKUP(N15,'10K-R'!$N$5:$X$69,5,)</f>
        <v>1833</v>
      </c>
      <c r="S15">
        <f>VLOOKUP(N15,'10K-R'!$N$5:$X$69,6,)</f>
        <v>1801</v>
      </c>
      <c r="T15">
        <f>VLOOKUP(N15,'10K-R'!$N$5:$X$69,7,)</f>
        <v>1941</v>
      </c>
      <c r="U15">
        <f>VLOOKUP(N15,'10K-R'!$N$5:$X$69,8,)</f>
        <v>1944</v>
      </c>
      <c r="V15">
        <f>VLOOKUP(N15,'10K-R'!$N$5:$X$69,9,)</f>
        <v>2304</v>
      </c>
      <c r="W15">
        <f>VLOOKUP(N15,'10K-R'!$N$5:$X$69,10,)</f>
        <v>2290</v>
      </c>
      <c r="X15">
        <f>VLOOKUP(N15,'10K-R'!$N$5:$X$69,11,)</f>
        <v>2281</v>
      </c>
      <c r="Z15" s="35" t="s">
        <v>327</v>
      </c>
      <c r="AA15">
        <f>VLOOKUP(Z15,'10K-R'!$Z$5:$AK$54,2,)</f>
        <v>67</v>
      </c>
      <c r="AB15">
        <f>VLOOKUP(Z15,'10K-R'!$Z$5:$AK$54,3,)</f>
        <v>-229</v>
      </c>
      <c r="AC15">
        <f>VLOOKUP(Z15,'10K-R'!$Z$5:$AK$54,4,)</f>
        <v>127</v>
      </c>
      <c r="AD15">
        <f>VLOOKUP(Z15,'10K-R'!$Z$5:$AK$54,5,)</f>
        <v>-231</v>
      </c>
      <c r="AE15">
        <f>VLOOKUP(Z15,'10K-R'!$Z$5:$AK$54,6,)</f>
        <v>-44</v>
      </c>
      <c r="AF15">
        <f>VLOOKUP(Z15,'10K-R'!$Z$5:$AK$54,7,)</f>
        <v>107</v>
      </c>
      <c r="AG15">
        <f>VLOOKUP(Z15,'10K-R'!$Z$5:$AK$54,8,)</f>
        <v>69</v>
      </c>
      <c r="AH15">
        <f>VLOOKUP(Z15,'10K-R'!$Z$5:$AK$54,9,)</f>
        <v>-61</v>
      </c>
      <c r="AI15">
        <f>VLOOKUP(Z15,'10K-R'!$Z$5:$AK$54,10,)</f>
        <v>59</v>
      </c>
      <c r="AJ15">
        <f>VLOOKUP(Z15,'10K-R'!$Z$5:$AK$54,11,)</f>
        <v>132</v>
      </c>
      <c r="AK15">
        <f>VLOOKUP(Z15,'10K-R'!$Z$5:$AK$54,12,)</f>
        <v>312</v>
      </c>
    </row>
    <row r="16" spans="1:16384">
      <c r="A16" s="86" t="s">
        <v>256</v>
      </c>
      <c r="B16" s="84"/>
      <c r="C16" s="84"/>
      <c r="D16" s="84"/>
      <c r="E16" s="84"/>
      <c r="F16" s="84"/>
      <c r="G16" s="84"/>
      <c r="H16" s="84"/>
      <c r="I16" s="84"/>
      <c r="J16" s="84"/>
      <c r="K16" s="84"/>
      <c r="L16" s="84"/>
      <c r="M16" s="77"/>
      <c r="N16" s="35" t="s">
        <v>281</v>
      </c>
      <c r="O16">
        <f>VLOOKUP(N16,'10K-R'!$N$5:$X$69,2,)</f>
        <v>3200</v>
      </c>
      <c r="P16">
        <f>VLOOKUP(N16,'10K-R'!$N$5:$X$69,3,)</f>
        <v>2678</v>
      </c>
      <c r="Q16">
        <f>VLOOKUP(N16,'10K-R'!$N$5:$X$69,4,)</f>
        <v>2778</v>
      </c>
      <c r="R16">
        <f>VLOOKUP(N16,'10K-R'!$N$5:$X$69,5,)</f>
        <v>2402</v>
      </c>
      <c r="S16">
        <f>VLOOKUP(N16,'10K-R'!$N$5:$X$69,6,)</f>
        <v>2488</v>
      </c>
      <c r="T16">
        <f>VLOOKUP(N16,'10K-R'!$N$5:$X$69,7,)</f>
        <v>2693</v>
      </c>
      <c r="U16">
        <f>VLOOKUP(N16,'10K-R'!$N$5:$X$69,8,)</f>
        <v>2847</v>
      </c>
      <c r="V16">
        <f>VLOOKUP(N16,'10K-R'!$N$5:$X$69,9,)</f>
        <v>3295</v>
      </c>
      <c r="W16">
        <f>VLOOKUP(N16,'10K-R'!$N$5:$X$69,10,)</f>
        <v>3277</v>
      </c>
      <c r="X16">
        <f>VLOOKUP(N16,'10K-R'!$N$5:$X$69,11,)</f>
        <v>3488</v>
      </c>
      <c r="Z16" s="35" t="s">
        <v>328</v>
      </c>
      <c r="AA16">
        <f>VLOOKUP(Z16,'10K-R'!$Z$5:$AK$54,2,)</f>
        <v>296</v>
      </c>
      <c r="AB16">
        <f>VLOOKUP(Z16,'10K-R'!$Z$5:$AK$54,3,)</f>
        <v>362</v>
      </c>
      <c r="AC16">
        <f>VLOOKUP(Z16,'10K-R'!$Z$5:$AK$54,4,)</f>
        <v>133</v>
      </c>
      <c r="AD16">
        <f>VLOOKUP(Z16,'10K-R'!$Z$5:$AK$54,5,)</f>
        <v>260</v>
      </c>
      <c r="AE16">
        <f>VLOOKUP(Z16,'10K-R'!$Z$5:$AK$54,6,)</f>
        <v>29</v>
      </c>
      <c r="AF16">
        <f>VLOOKUP(Z16,'10K-R'!$Z$5:$AK$54,7,)</f>
        <v>-17</v>
      </c>
      <c r="AG16">
        <f>VLOOKUP(Z16,'10K-R'!$Z$5:$AK$54,8,)</f>
        <v>90</v>
      </c>
      <c r="AH16">
        <f>VLOOKUP(Z16,'10K-R'!$Z$5:$AK$54,9,)</f>
        <v>158</v>
      </c>
      <c r="AI16">
        <f>VLOOKUP(Z16,'10K-R'!$Z$5:$AK$54,10,)</f>
        <v>98</v>
      </c>
      <c r="AJ16">
        <f>VLOOKUP(Z16,'10K-R'!$Z$5:$AK$54,11,)</f>
        <v>157</v>
      </c>
      <c r="AK16">
        <f>VLOOKUP(Z16,'10K-R'!$Z$5:$AK$54,12,)</f>
        <v>279</v>
      </c>
    </row>
    <row r="17" spans="1:37">
      <c r="A17" s="84" t="s">
        <v>257</v>
      </c>
      <c r="B17" s="84">
        <f>VLOOKUP($A$17,'10K-R'!$A$6:$L$44,2,)</f>
        <v>-2.42</v>
      </c>
      <c r="C17" s="84">
        <f>VLOOKUP($A$17,'10K-R'!$A$6:$L$44,3,)</f>
        <v>-0.5</v>
      </c>
      <c r="D17" s="84">
        <f>VLOOKUP($A$17,'10K-R'!$A$6:$L$44,4,)</f>
        <v>0.49</v>
      </c>
      <c r="E17" s="84">
        <f>VLOOKUP($A$17,'10K-R'!$A$6:$L$44,5,)</f>
        <v>-0.4</v>
      </c>
      <c r="F17" s="84">
        <f>VLOOKUP($A$17,'10K-R'!$A$6:$L$44,6,)</f>
        <v>0.22</v>
      </c>
      <c r="G17" s="84">
        <f>VLOOKUP(A17,'10K-R'!$A$6:$L$44,7,)</f>
        <v>1.61</v>
      </c>
      <c r="H17" s="84">
        <f>VLOOKUP(A17,'10K-R'!$A$6:$L$44,8,)</f>
        <v>1.28</v>
      </c>
      <c r="I17" s="84">
        <f>VLOOKUP(A17,'10K-R'!$A$6:$L$44,9,)</f>
        <v>0.18</v>
      </c>
      <c r="J17" s="84">
        <f>VLOOKUP(A17,'10K-R'!$A$6:$L$44,10,)</f>
        <v>1.1399999999999999</v>
      </c>
      <c r="K17" s="84">
        <f>VLOOKUP(A17,'10K-R'!$A$6:$L$44,11,)</f>
        <v>2.63</v>
      </c>
      <c r="L17" s="84">
        <f>VLOOKUP($A$17,'10K-R'!$A$6:$L$44,12,)</f>
        <v>4.18</v>
      </c>
      <c r="M17" s="77"/>
      <c r="N17" s="86" t="s">
        <v>282</v>
      </c>
      <c r="Z17" s="35" t="s">
        <v>329</v>
      </c>
      <c r="AA17">
        <f>VLOOKUP(Z17,'10K-R'!$Z$5:$AK$54,2,)</f>
        <v>362</v>
      </c>
      <c r="AB17">
        <f>VLOOKUP(Z17,'10K-R'!$Z$5:$AK$54,3,)</f>
        <v>133</v>
      </c>
      <c r="AC17">
        <f>VLOOKUP(Z17,'10K-R'!$Z$5:$AK$54,4,)</f>
        <v>260</v>
      </c>
      <c r="AD17">
        <f>VLOOKUP(Z17,'10K-R'!$Z$5:$AK$54,5,)</f>
        <v>29</v>
      </c>
      <c r="AE17">
        <f>VLOOKUP(Z17,'10K-R'!$Z$5:$AK$54,6,)</f>
        <v>-15</v>
      </c>
      <c r="AF17">
        <f>VLOOKUP(Z17,'10K-R'!$Z$5:$AK$54,7,)</f>
        <v>90</v>
      </c>
      <c r="AG17">
        <f>VLOOKUP(Z17,'10K-R'!$Z$5:$AK$54,8,)</f>
        <v>158</v>
      </c>
      <c r="AH17">
        <f>VLOOKUP(Z17,'10K-R'!$Z$5:$AK$54,9,)</f>
        <v>98</v>
      </c>
      <c r="AI17">
        <f>VLOOKUP(Z17,'10K-R'!$Z$5:$AK$54,10,)</f>
        <v>157</v>
      </c>
      <c r="AJ17">
        <f>VLOOKUP(Z17,'10K-R'!$Z$5:$AK$54,11,)</f>
        <v>288</v>
      </c>
      <c r="AK17">
        <f>VLOOKUP(Z17,'10K-R'!$Z$5:$AK$54,12,)</f>
        <v>591</v>
      </c>
    </row>
    <row r="18" spans="1:37">
      <c r="A18" s="84" t="s">
        <v>258</v>
      </c>
      <c r="B18" s="84">
        <f>VLOOKUP($A$18,'10K-R'!$A$6:$L$44,2,)</f>
        <v>-2.42</v>
      </c>
      <c r="C18" s="84">
        <f>VLOOKUP($A$18,'10K-R'!$A$6:$L$44,3,)</f>
        <v>-0.5</v>
      </c>
      <c r="D18" s="84">
        <f>VLOOKUP($A$18,'10K-R'!$A$6:$L$44,4,)</f>
        <v>0.49</v>
      </c>
      <c r="E18" s="84">
        <f>VLOOKUP($A$18,'10K-R'!$A$6:$L$44,5,)</f>
        <v>-0.4</v>
      </c>
      <c r="F18" s="84">
        <f>VLOOKUP($A$18,'10K-R'!$A$6:$L$44,6,)</f>
        <v>0.22</v>
      </c>
      <c r="G18" s="84">
        <f>VLOOKUP(A18,'10K-R'!$A$6:$L$44,7,)</f>
        <v>1.61</v>
      </c>
      <c r="H18" s="84">
        <f>VLOOKUP(A18,'10K-R'!$A$6:$L$44,8,)</f>
        <v>1.28</v>
      </c>
      <c r="I18" s="84">
        <f>VLOOKUP(A18,'10K-R'!$A$6:$L$44,9,)</f>
        <v>0.18</v>
      </c>
      <c r="J18" s="84">
        <f>VLOOKUP(A18,'10K-R'!$A$6:$L$44,10,)</f>
        <v>1.1399999999999999</v>
      </c>
      <c r="K18" s="84">
        <f>VLOOKUP(A18,'10K-R'!$A$6:$L$44,11,)</f>
        <v>2.63</v>
      </c>
      <c r="L18" s="84">
        <f>VLOOKUP($A$18,'10K-R'!$A$6:$L$44,12,)</f>
        <v>4.18</v>
      </c>
      <c r="M18" s="77"/>
      <c r="N18" s="86" t="s">
        <v>283</v>
      </c>
      <c r="Z18" s="35" t="s">
        <v>330</v>
      </c>
      <c r="AA18">
        <f>VLOOKUP(Z18,'10K-R'!$Z$5:$AK$54,2,)</f>
        <v>0</v>
      </c>
      <c r="AB18">
        <f>VLOOKUP(Z18,'10K-R'!$Z$5:$AK$54,3,)</f>
        <v>0</v>
      </c>
      <c r="AC18">
        <f>VLOOKUP(Z18,'10K-R'!$Z$5:$AK$54,4,)</f>
        <v>0</v>
      </c>
      <c r="AD18">
        <f>VLOOKUP(Z18,'10K-R'!$Z$5:$AK$54,5,)</f>
        <v>0</v>
      </c>
      <c r="AE18">
        <f>VLOOKUP(Z18,'10K-R'!$Z$5:$AK$54,6,)</f>
        <v>0</v>
      </c>
      <c r="AF18">
        <f>VLOOKUP(Z18,'10K-R'!$Z$5:$AK$54,7,)</f>
        <v>0</v>
      </c>
      <c r="AG18">
        <f>VLOOKUP(Z18,'10K-R'!$Z$5:$AK$54,8,)</f>
        <v>0</v>
      </c>
      <c r="AH18">
        <f>VLOOKUP(Z18,'10K-R'!$Z$5:$AK$54,9,)</f>
        <v>0</v>
      </c>
      <c r="AI18">
        <f>VLOOKUP(Z18,'10K-R'!$Z$5:$AK$54,10,)</f>
        <v>0</v>
      </c>
      <c r="AJ18">
        <f>VLOOKUP(Z18,'10K-R'!$Z$5:$AK$54,11,)</f>
        <v>0</v>
      </c>
      <c r="AK18">
        <f>VLOOKUP(Z18,'10K-R'!$Z$5:$AK$54,12,)</f>
        <v>0</v>
      </c>
    </row>
    <row r="19" spans="1:37">
      <c r="A19" s="86" t="s">
        <v>259</v>
      </c>
      <c r="B19" s="84"/>
      <c r="C19" s="84"/>
      <c r="D19" s="84"/>
      <c r="E19" s="84"/>
      <c r="F19" s="84"/>
      <c r="G19" s="84"/>
      <c r="H19" s="84"/>
      <c r="I19" s="84"/>
      <c r="J19" s="84"/>
      <c r="K19" s="84"/>
      <c r="L19" s="84"/>
      <c r="M19" s="77"/>
      <c r="N19" s="86" t="s">
        <v>284</v>
      </c>
      <c r="Z19" s="35" t="s">
        <v>331</v>
      </c>
      <c r="AA19">
        <f>VLOOKUP(Z19,'10K-R'!$Z$5:$AK$54,2,)</f>
        <v>158</v>
      </c>
      <c r="AB19">
        <f>VLOOKUP(Z19,'10K-R'!$Z$5:$AK$54,3,)</f>
        <v>-69</v>
      </c>
      <c r="AC19">
        <f>VLOOKUP(Z19,'10K-R'!$Z$5:$AK$54,4,)</f>
        <v>343</v>
      </c>
      <c r="AD19">
        <f>VLOOKUP(Z19,'10K-R'!$Z$5:$AK$54,5,)</f>
        <v>163</v>
      </c>
      <c r="AE19">
        <f>VLOOKUP(Z19,'10K-R'!$Z$5:$AK$54,6,)</f>
        <v>131</v>
      </c>
      <c r="AF19">
        <f>VLOOKUP(Z19,'10K-R'!$Z$5:$AK$54,7,)</f>
        <v>490</v>
      </c>
      <c r="AG19">
        <f>VLOOKUP(Z19,'10K-R'!$Z$5:$AK$54,8,)</f>
        <v>392</v>
      </c>
      <c r="AH19">
        <f>VLOOKUP(Z19,'10K-R'!$Z$5:$AK$54,9,)</f>
        <v>255</v>
      </c>
      <c r="AI19">
        <f>VLOOKUP(Z19,'10K-R'!$Z$5:$AK$54,10,)</f>
        <v>584</v>
      </c>
      <c r="AJ19">
        <f>VLOOKUP(Z19,'10K-R'!$Z$5:$AK$54,11,)</f>
        <v>610</v>
      </c>
      <c r="AK19">
        <f>VLOOKUP(Z19,'10K-R'!$Z$5:$AK$54,12,)</f>
        <v>800</v>
      </c>
    </row>
    <row r="20" spans="1:37">
      <c r="A20" s="84" t="s">
        <v>257</v>
      </c>
      <c r="B20" s="84">
        <f>INDEX('10K-R'!$A$7:$L$44,MATCH('10K-S'!$A$19,'10K-R'!$A$5:$A$44,)-1,2)</f>
        <v>143</v>
      </c>
      <c r="C20" s="84">
        <f>INDEX('10K-R'!$A$7:$L$44,MATCH('10K-S'!$A$19,'10K-R'!$A$5:$A$44,)-1,3)</f>
        <v>143</v>
      </c>
      <c r="D20" s="84">
        <f>INDEX('10K-R'!$A$7:$L$44,MATCH('10K-S'!$A$19,'10K-R'!$A$5:$A$44,)-1,4)</f>
        <v>143</v>
      </c>
      <c r="E20" s="84">
        <f>INDEX('10K-R'!$A$7:$L$44,MATCH('10K-S'!$A$19,'10K-R'!$A$5:$A$44,)-1,5)</f>
        <v>143</v>
      </c>
      <c r="F20" s="84">
        <f>INDEX('10K-R'!$A$7:$L$44,MATCH('10K-S'!$A$19,'10K-R'!$A$5:$A$44,)-1,6)</f>
        <v>143</v>
      </c>
      <c r="G20" s="84">
        <f>INDEX('10K-R'!$A$7:$L$44,MATCH('10K-S'!$A$19,'10K-R'!$A$5:$A$44,)-1,7)</f>
        <v>142</v>
      </c>
      <c r="H20" s="84">
        <f>INDEX('10K-R'!$A$7:$L$44,MATCH('10K-S'!$A$19,'10K-R'!$A$5:$A$44,)-1,8)</f>
        <v>137</v>
      </c>
      <c r="I20" s="84">
        <f>INDEX('10K-R'!$A$7:$L$44,MATCH('10K-S'!$A$19,'10K-R'!$A$5:$A$44,)-1,9)</f>
        <v>134</v>
      </c>
      <c r="J20" s="84">
        <f>INDEX('10K-R'!$A$7:$L$44,MATCH('10K-S'!$A$19,'10K-R'!$A$5:$A$44,)-1,10)</f>
        <v>133</v>
      </c>
      <c r="K20" s="84">
        <f>INDEX('10K-R'!$A$7:$L$44,MATCH('10K-S'!$A$19,'10K-R'!$A$5:$A$44,)-1,11)</f>
        <v>131</v>
      </c>
      <c r="L20" s="84">
        <f>INDEX('10K-R'!$A$7:$L$44,MATCH('10K-S'!$A$19,'10K-R'!$A$5:$A$44,)-1,12)</f>
        <v>129</v>
      </c>
      <c r="M20" s="77"/>
      <c r="N20" s="35" t="s">
        <v>285</v>
      </c>
      <c r="O20">
        <f>VLOOKUP(N20,'10K-R'!$N$5:$X$69,2,)</f>
        <v>0</v>
      </c>
      <c r="P20">
        <f>VLOOKUP(N20,'10K-R'!$N$5:$X$69,3,)</f>
        <v>0</v>
      </c>
      <c r="Q20">
        <f>VLOOKUP(N20,'10K-R'!$N$5:$X$69,4,)</f>
        <v>0</v>
      </c>
      <c r="R20">
        <f>VLOOKUP(N20,'10K-R'!$N$5:$X$69,5,)</f>
        <v>0</v>
      </c>
      <c r="S20">
        <f>VLOOKUP(N20,'10K-R'!$N$5:$X$69,6,)</f>
        <v>146</v>
      </c>
      <c r="T20">
        <f>VLOOKUP(N20,'10K-R'!$N$5:$X$69,7,)</f>
        <v>180</v>
      </c>
      <c r="U20">
        <f>VLOOKUP(N20,'10K-R'!$N$5:$X$69,8,)</f>
        <v>171</v>
      </c>
      <c r="V20">
        <f>VLOOKUP(N20,'10K-R'!$N$5:$X$69,9,)</f>
        <v>201</v>
      </c>
      <c r="W20">
        <f>VLOOKUP(N20,'10K-R'!$N$5:$X$69,10,)</f>
        <v>227</v>
      </c>
      <c r="X20">
        <f>VLOOKUP(N20,'10K-R'!$N$5:$X$69,11,)</f>
        <v>289</v>
      </c>
      <c r="Z20" s="35" t="s">
        <v>332</v>
      </c>
      <c r="AA20">
        <f>VLOOKUP(Z20,'10K-R'!$Z$5:$AK$54,2,)</f>
        <v>-80</v>
      </c>
      <c r="AB20">
        <f>VLOOKUP(Z20,'10K-R'!$Z$5:$AK$54,3,)</f>
        <v>-59</v>
      </c>
      <c r="AC20">
        <f>VLOOKUP(Z20,'10K-R'!$Z$5:$AK$54,4,)</f>
        <v>-128</v>
      </c>
      <c r="AD20">
        <f>VLOOKUP(Z20,'10K-R'!$Z$5:$AK$54,5,)</f>
        <v>-312</v>
      </c>
      <c r="AE20">
        <f>VLOOKUP(Z20,'10K-R'!$Z$5:$AK$54,6,)</f>
        <v>-200</v>
      </c>
      <c r="AF20">
        <f>VLOOKUP(Z20,'10K-R'!$Z$5:$AK$54,7,)</f>
        <v>-237</v>
      </c>
      <c r="AG20">
        <f>VLOOKUP(Z20,'10K-R'!$Z$5:$AK$54,8,)</f>
        <v>-234</v>
      </c>
      <c r="AH20">
        <f>VLOOKUP(Z20,'10K-R'!$Z$5:$AK$54,9,)</f>
        <v>-240</v>
      </c>
      <c r="AI20">
        <f>VLOOKUP(Z20,'10K-R'!$Z$5:$AK$54,10,)</f>
        <v>-234</v>
      </c>
      <c r="AJ20">
        <f>VLOOKUP(Z20,'10K-R'!$Z$5:$AK$54,11,)</f>
        <v>-252</v>
      </c>
      <c r="AK20">
        <f>VLOOKUP(Z20,'10K-R'!$Z$5:$AK$54,12,)</f>
        <v>-355</v>
      </c>
    </row>
    <row r="21" spans="1:37">
      <c r="A21" s="84" t="s">
        <v>258</v>
      </c>
      <c r="B21" s="84">
        <f>INDEX('10K-R'!$A$5:$L$44,MATCH('10K-S'!$A$19,'10K-R'!$A$5:$A$44,0)+2,2)</f>
        <v>143</v>
      </c>
      <c r="C21" s="84">
        <f>INDEX('10K-R'!$A$5:$L$44,MATCH('10K-S'!$A$19,'10K-R'!$A$5:$A$44,0)+2,3)</f>
        <v>143</v>
      </c>
      <c r="D21" s="84">
        <f>INDEX('10K-R'!$A$5:$L$44,MATCH('10K-S'!$A$19,'10K-R'!$A$5:$A$44,0)+2,4)</f>
        <v>143</v>
      </c>
      <c r="E21" s="84">
        <f>INDEX('10K-R'!$A$5:$L$44,MATCH('10K-S'!$A$19,'10K-R'!$A$5:$A$44,0)+2,5)</f>
        <v>143</v>
      </c>
      <c r="F21" s="84">
        <f>INDEX('10K-R'!$A$5:$L$44,MATCH('10K-S'!$A$19,'10K-R'!$A$5:$A$44,0)+2,6)</f>
        <v>143</v>
      </c>
      <c r="G21" s="84">
        <f>INDEX('10K-R'!$A$5:$L$44,MATCH('10K-S'!$A$19,'10K-R'!$A$5:$A$44,0)+2,7)</f>
        <v>142</v>
      </c>
      <c r="H21" s="84">
        <f>INDEX('10K-R'!$A$5:$L$44,MATCH('10K-S'!$A$19,'10K-R'!$A$5:$A$44,0)+2,8)</f>
        <v>137</v>
      </c>
      <c r="I21" s="84">
        <f>INDEX('10K-R'!$A$5:$L$44,MATCH('10K-S'!$A$19,'10K-R'!$A$5:$A$44,0)+2,9)</f>
        <v>134</v>
      </c>
      <c r="J21" s="84">
        <f>INDEX('10K-R'!$A$5:$L$44,MATCH('10K-S'!$A$19,'10K-R'!$A$5:$A$44,0)+2,10)</f>
        <v>133</v>
      </c>
      <c r="K21" s="84">
        <f>INDEX('10K-R'!$A$5:$L$44,MATCH('10K-S'!$A$19,'10K-R'!$A$5:$A$44,0)+2,11)</f>
        <v>131</v>
      </c>
      <c r="L21" s="84">
        <f>INDEX('10K-R'!$A$5:$L$44,MATCH('10K-S'!$A$19,'10K-R'!$A$5:$A$44,0)+2,12)</f>
        <v>129</v>
      </c>
      <c r="M21" s="77"/>
      <c r="N21" s="35" t="s">
        <v>286</v>
      </c>
      <c r="O21">
        <f>VLOOKUP(N21,'10K-R'!$N$5:$X$69,2,)</f>
        <v>355</v>
      </c>
      <c r="P21">
        <f>VLOOKUP(N21,'10K-R'!$N$5:$X$69,3,)</f>
        <v>239</v>
      </c>
      <c r="Q21">
        <f>VLOOKUP(N21,'10K-R'!$N$5:$X$69,4,)</f>
        <v>979</v>
      </c>
      <c r="R21">
        <f>VLOOKUP(N21,'10K-R'!$N$5:$X$69,5,)</f>
        <v>322</v>
      </c>
      <c r="S21">
        <f>VLOOKUP(N21,'10K-R'!$N$5:$X$69,6,)</f>
        <v>58</v>
      </c>
      <c r="T21">
        <f>VLOOKUP(N21,'10K-R'!$N$5:$X$69,7,)</f>
        <v>44</v>
      </c>
      <c r="U21">
        <f>VLOOKUP(N21,'10K-R'!$N$5:$X$69,8,)</f>
        <v>52</v>
      </c>
      <c r="V21">
        <f>VLOOKUP(N21,'10K-R'!$N$5:$X$69,9,)</f>
        <v>127</v>
      </c>
      <c r="W21">
        <f>VLOOKUP(N21,'10K-R'!$N$5:$X$69,10,)</f>
        <v>90</v>
      </c>
      <c r="X21">
        <f>VLOOKUP(N21,'10K-R'!$N$5:$X$69,11,)</f>
        <v>50</v>
      </c>
      <c r="Z21" s="35" t="s">
        <v>333</v>
      </c>
      <c r="AA21">
        <f>VLOOKUP(Z21,'10K-R'!$Z$5:$AK$54,2,)</f>
        <v>0</v>
      </c>
      <c r="AB21">
        <f>VLOOKUP(Z21,'10K-R'!$Z$5:$AK$54,3,)</f>
        <v>0</v>
      </c>
      <c r="AC21">
        <f>VLOOKUP(Z21,'10K-R'!$Z$5:$AK$54,4,)</f>
        <v>0</v>
      </c>
      <c r="AD21">
        <f>VLOOKUP(Z21,'10K-R'!$Z$5:$AK$54,5,)</f>
        <v>0</v>
      </c>
      <c r="AE21">
        <f>VLOOKUP(Z21,'10K-R'!$Z$5:$AK$54,6,)</f>
        <v>0</v>
      </c>
      <c r="AF21">
        <f>VLOOKUP(Z21,'10K-R'!$Z$5:$AK$54,7,)</f>
        <v>0</v>
      </c>
      <c r="AG21">
        <f>VLOOKUP(Z21,'10K-R'!$Z$5:$AK$54,8,)</f>
        <v>0</v>
      </c>
      <c r="AH21">
        <f>VLOOKUP(Z21,'10K-R'!$Z$5:$AK$54,9,)</f>
        <v>0</v>
      </c>
      <c r="AI21">
        <f>VLOOKUP(Z21,'10K-R'!$Z$5:$AK$54,10,)</f>
        <v>0</v>
      </c>
      <c r="AJ21">
        <f>VLOOKUP(Z21,'10K-R'!$Z$5:$AK$54,11,)</f>
        <v>0</v>
      </c>
      <c r="AK21">
        <f>VLOOKUP(Z21,'10K-R'!$Z$5:$AK$54,12,)</f>
        <v>0</v>
      </c>
    </row>
    <row r="22" spans="1:37">
      <c r="A22" s="84" t="s">
        <v>13</v>
      </c>
      <c r="B22" s="84">
        <f>VLOOKUP($A$22,'10K-R'!$A$5:$L$44,'10K-S'!B2,)</f>
        <v>-253</v>
      </c>
      <c r="C22" s="84">
        <f>VLOOKUP($A$22,'10K-R'!$A$5:$L$44,'10K-S'!C2,)</f>
        <v>54</v>
      </c>
      <c r="D22" s="84">
        <f>VLOOKUP($A$22,'10K-R'!$A$5:$L$44,'10K-S'!D2,)</f>
        <v>348</v>
      </c>
      <c r="E22" s="84">
        <f>VLOOKUP($A$22,'10K-R'!$A$5:$L$44,'10K-S'!E2,)</f>
        <v>182</v>
      </c>
      <c r="F22" s="84">
        <f>VLOOKUP($A$22,'10K-R'!$A$5:$L$44,'10K-S'!F2,)</f>
        <v>268</v>
      </c>
      <c r="G22" s="84">
        <f>VLOOKUP($A$22,'10K-R'!$A$5:$L$44,'10K-S'!G2,)</f>
        <v>554</v>
      </c>
      <c r="H22" s="84">
        <f>VLOOKUP($A$22,'10K-R'!$A$5:$L$44,'10K-S'!H2,)</f>
        <v>500</v>
      </c>
      <c r="I22" s="84">
        <f>VLOOKUP($A$22,'10K-R'!$A$5:$L$44,'10K-S'!I2,)</f>
        <v>350</v>
      </c>
      <c r="J22" s="84">
        <f>VLOOKUP($A$22,'10K-R'!$A$5:$L$44,'10K-S'!J2,)</f>
        <v>543</v>
      </c>
      <c r="K22" s="84">
        <f>VLOOKUP($A$22,'10K-R'!$A$5:$L$44,'10K-S'!K2,)</f>
        <v>809</v>
      </c>
      <c r="L22" s="84">
        <f>VLOOKUP($A$22,'10K-R'!$A$5:$L$44,'10K-S'!L2,)</f>
        <v>1171</v>
      </c>
      <c r="M22" s="77"/>
      <c r="N22" s="35" t="s">
        <v>287</v>
      </c>
      <c r="O22">
        <f>VLOOKUP(N22,'10K-R'!$N$5:$X$69,2,)</f>
        <v>549</v>
      </c>
      <c r="P22">
        <f>VLOOKUP(N22,'10K-R'!$N$5:$X$69,3,)</f>
        <v>274</v>
      </c>
      <c r="Q22">
        <f>VLOOKUP(N22,'10K-R'!$N$5:$X$69,4,)</f>
        <v>1061</v>
      </c>
      <c r="R22">
        <f>VLOOKUP(N22,'10K-R'!$N$5:$X$69,5,)</f>
        <v>373</v>
      </c>
      <c r="S22">
        <f>VLOOKUP(N22,'10K-R'!$N$5:$X$69,6,)</f>
        <v>521</v>
      </c>
      <c r="T22">
        <f>VLOOKUP(N22,'10K-R'!$N$5:$X$69,7,)</f>
        <v>440</v>
      </c>
      <c r="U22">
        <f>VLOOKUP(N22,'10K-R'!$N$5:$X$69,8,)</f>
        <v>426</v>
      </c>
      <c r="V22">
        <f>VLOOKUP(N22,'10K-R'!$N$5:$X$69,9,)</f>
        <v>635</v>
      </c>
      <c r="W22">
        <f>VLOOKUP(N22,'10K-R'!$N$5:$X$69,10,)</f>
        <v>502</v>
      </c>
      <c r="X22">
        <f>VLOOKUP(N22,'10K-R'!$N$5:$X$69,11,)</f>
        <v>520</v>
      </c>
    </row>
    <row r="23" spans="1:37">
      <c r="A23" s="77"/>
      <c r="B23" s="77"/>
      <c r="C23" s="77"/>
      <c r="D23" s="77"/>
      <c r="E23" s="77"/>
      <c r="F23" s="77"/>
      <c r="G23" s="77"/>
      <c r="H23" s="77"/>
      <c r="I23" s="77"/>
      <c r="J23" s="77"/>
      <c r="K23" s="77"/>
      <c r="L23" s="77"/>
      <c r="N23" s="86" t="s">
        <v>288</v>
      </c>
    </row>
    <row r="24" spans="1:37">
      <c r="A24" s="77"/>
      <c r="B24" s="77"/>
      <c r="C24" s="77"/>
      <c r="D24" s="77"/>
      <c r="E24" s="77"/>
      <c r="F24" s="77"/>
      <c r="G24" s="77"/>
      <c r="H24" s="77"/>
      <c r="I24" s="77"/>
      <c r="J24" s="77"/>
      <c r="K24" s="77"/>
      <c r="L24" s="77"/>
      <c r="N24" t="s">
        <v>298</v>
      </c>
      <c r="O24">
        <f>VLOOKUP(N24,'10K-R'!$N$5:$X$69,2,)</f>
        <v>429</v>
      </c>
      <c r="P24">
        <f>VLOOKUP(N24,'10K-R'!$N$5:$X$69,3,)</f>
        <v>333</v>
      </c>
      <c r="Q24">
        <f>VLOOKUP(N24,'10K-R'!$N$5:$X$69,4,)</f>
        <v>0</v>
      </c>
      <c r="R24">
        <f>VLOOKUP(N24,'10K-R'!$N$5:$X$69,5,)</f>
        <v>188</v>
      </c>
      <c r="S24">
        <f>VLOOKUP(N24,'10K-R'!$N$5:$X$69,6,)</f>
        <v>100</v>
      </c>
      <c r="T24">
        <f>VLOOKUP(N24,'10K-R'!$N$5:$X$69,7,)</f>
        <v>153</v>
      </c>
      <c r="U24">
        <f>VLOOKUP(N24,'10K-R'!$N$5:$X$69,8,)</f>
        <v>229</v>
      </c>
      <c r="V24">
        <f>VLOOKUP(N24,'10K-R'!$N$5:$X$69,9,)</f>
        <v>456</v>
      </c>
      <c r="W24">
        <f>VLOOKUP(N24,'10K-R'!$N$5:$X$69,10,)</f>
        <v>448</v>
      </c>
      <c r="X24">
        <f>VLOOKUP(N24,'10K-R'!$N$5:$X$69,11,)</f>
        <v>385</v>
      </c>
    </row>
    <row r="25" spans="1:37">
      <c r="A25" s="77"/>
      <c r="N25" s="35" t="s">
        <v>289</v>
      </c>
      <c r="O25">
        <f>VLOOKUP(N25,'10K-R'!$N$5:$X$69,2,)</f>
        <v>0</v>
      </c>
      <c r="P25">
        <f>VLOOKUP(N25,'10K-R'!$N$5:$X$69,3,)</f>
        <v>0</v>
      </c>
      <c r="Q25">
        <f>VLOOKUP(N25,'10K-R'!$N$5:$X$69,4,)</f>
        <v>0</v>
      </c>
      <c r="R25">
        <f>VLOOKUP(N25,'10K-R'!$N$5:$X$69,5,)</f>
        <v>377</v>
      </c>
      <c r="S25">
        <f>VLOOKUP(N25,'10K-R'!$N$5:$X$69,6,)</f>
        <v>92</v>
      </c>
      <c r="T25">
        <f>VLOOKUP(N25,'10K-R'!$N$5:$X$69,7,)</f>
        <v>85</v>
      </c>
      <c r="U25">
        <f>VLOOKUP(N25,'10K-R'!$N$5:$X$69,8,)</f>
        <v>80</v>
      </c>
      <c r="V25">
        <f>VLOOKUP(N25,'10K-R'!$N$5:$X$69,9,)</f>
        <v>125</v>
      </c>
      <c r="W25">
        <f>VLOOKUP(N25,'10K-R'!$N$5:$X$69,10,)</f>
        <v>81</v>
      </c>
      <c r="X25">
        <f>VLOOKUP(N25,'10K-R'!$N$5:$X$69,11,)</f>
        <v>87</v>
      </c>
    </row>
    <row r="26" spans="1:37">
      <c r="N26" s="35" t="s">
        <v>290</v>
      </c>
      <c r="O26">
        <f>VLOOKUP(N26,'10K-R'!$N$5:$X$69,2,)</f>
        <v>1157</v>
      </c>
      <c r="P26">
        <f>VLOOKUP(N26,'10K-R'!$N$5:$X$69,3,)</f>
        <v>1017</v>
      </c>
      <c r="Q26">
        <f>VLOOKUP(N26,'10K-R'!$N$5:$X$69,4,)</f>
        <v>270</v>
      </c>
      <c r="R26">
        <f>VLOOKUP(N26,'10K-R'!$N$5:$X$69,5,)</f>
        <v>901</v>
      </c>
      <c r="S26">
        <f>VLOOKUP(N26,'10K-R'!$N$5:$X$69,6,)</f>
        <v>856</v>
      </c>
      <c r="T26">
        <f>VLOOKUP(N26,'10K-R'!$N$5:$X$69,7,)</f>
        <v>878</v>
      </c>
      <c r="U26">
        <f>VLOOKUP(N26,'10K-R'!$N$5:$X$69,8,)</f>
        <v>1034</v>
      </c>
      <c r="V26">
        <f>VLOOKUP(N26,'10K-R'!$N$5:$X$69,9,)</f>
        <v>1329</v>
      </c>
      <c r="W26">
        <f>VLOOKUP(N26,'10K-R'!$N$5:$X$69,10,)</f>
        <v>1291</v>
      </c>
      <c r="X26">
        <f>VLOOKUP(N26,'10K-R'!$N$5:$X$69,11,)</f>
        <v>1237</v>
      </c>
    </row>
    <row r="27" spans="1:37">
      <c r="N27" s="35" t="s">
        <v>291</v>
      </c>
      <c r="O27">
        <f>VLOOKUP(N27,'10K-R'!$N$5:$X$69,2,)</f>
        <v>1706</v>
      </c>
      <c r="P27">
        <f>VLOOKUP(N27,'10K-R'!$N$5:$X$69,3,)</f>
        <v>1291</v>
      </c>
      <c r="Q27">
        <f>VLOOKUP(N27,'10K-R'!$N$5:$X$69,4,)</f>
        <v>1331</v>
      </c>
      <c r="R27">
        <f>VLOOKUP(N27,'10K-R'!$N$5:$X$69,5,)</f>
        <v>1274</v>
      </c>
      <c r="S27">
        <f>VLOOKUP(N27,'10K-R'!$N$5:$X$69,6,)</f>
        <v>1377</v>
      </c>
      <c r="T27">
        <f>VLOOKUP(N27,'10K-R'!$N$5:$X$69,7,)</f>
        <v>1319</v>
      </c>
      <c r="U27">
        <f>VLOOKUP(N27,'10K-R'!$N$5:$X$69,8,)</f>
        <v>1460</v>
      </c>
      <c r="V27">
        <f>VLOOKUP(N27,'10K-R'!$N$5:$X$69,9,)</f>
        <v>1964</v>
      </c>
      <c r="W27">
        <f>VLOOKUP(N27,'10K-R'!$N$5:$X$69,10,)</f>
        <v>1793</v>
      </c>
      <c r="X27">
        <f>VLOOKUP(N27,'10K-R'!$N$5:$X$69,11,)</f>
        <v>1757</v>
      </c>
    </row>
    <row r="28" spans="1:37">
      <c r="N28" s="86" t="s">
        <v>292</v>
      </c>
    </row>
    <row r="29" spans="1:37">
      <c r="N29" s="35" t="s">
        <v>293</v>
      </c>
      <c r="O29">
        <f>_xlfn.IFNA(VLOOKUP($N$29,'10K-R'!$N$5:$X$69,O2,),VLOOKUP("Common Stock",'10K-R'!$N$5:$X$69,O2,))</f>
        <v>0</v>
      </c>
      <c r="P29">
        <f>_xlfn.IFNA(VLOOKUP($N$29,'10K-R'!$N$5:$X$69,P2,),VLOOKUP("Common Stock",'10K-R'!$N$5:$X$69,P2,))</f>
        <v>0</v>
      </c>
      <c r="Q29">
        <f>_xlfn.IFNA(VLOOKUP($N$29,'10K-R'!$N$5:$X$69,Q2,),VLOOKUP("Common Stock",'10K-R'!$N$5:$X$69,Q2,))</f>
        <v>0</v>
      </c>
      <c r="R29">
        <f>_xlfn.IFNA(VLOOKUP($N$29,'10K-R'!$N$5:$X$69,R2,),VLOOKUP("Common Stock",'10K-R'!$N$5:$X$69,R2,))</f>
        <v>0</v>
      </c>
      <c r="S29">
        <f>_xlfn.IFNA(VLOOKUP($N$29,'10K-R'!$N$5:$X$69,S2,),VLOOKUP("Common Stock",'10K-R'!$N$5:$X$69,S2,))</f>
        <v>1126</v>
      </c>
      <c r="T29">
        <f>_xlfn.IFNA(VLOOKUP($N$29,'10K-R'!$N$5:$X$69,T2,),VLOOKUP("Common Stock",'10K-R'!$N$5:$X$69,T2,))</f>
        <v>1104</v>
      </c>
      <c r="U29">
        <f>_xlfn.IFNA(VLOOKUP($N$29,'10K-R'!$N$5:$X$69,U2,),VLOOKUP("Common Stock",'10K-R'!$N$5:$X$69,U2,))</f>
        <v>1068</v>
      </c>
      <c r="V29">
        <f>_xlfn.IFNA(VLOOKUP($N$29,'10K-R'!$N$5:$X$69,V2,),VLOOKUP("Common Stock",'10K-R'!$N$5:$X$69,V2,))</f>
        <v>1048</v>
      </c>
      <c r="W29">
        <f>_xlfn.IFNA(VLOOKUP($N$29,'10K-R'!$N$5:$X$69,W2,),VLOOKUP("Common Stock",'10K-R'!$N$5:$X$69,W2,))</f>
        <v>1048</v>
      </c>
      <c r="X29">
        <f>_xlfn.IFNA(VLOOKUP($N$29,'10K-R'!$N$5:$X$69,X2,),VLOOKUP("Common Stock",'10K-R'!$N$5:$X$69,X2,))</f>
        <v>1015</v>
      </c>
    </row>
    <row r="30" spans="1:37">
      <c r="N30" s="35" t="s">
        <v>294</v>
      </c>
      <c r="O30">
        <f>VLOOKUP(N30,'10K-R'!$N$5:$X$69,2,)</f>
        <v>317</v>
      </c>
      <c r="P30">
        <f>VLOOKUP(N30,'10K-R'!$N$5:$X$69,3,)</f>
        <v>246</v>
      </c>
      <c r="Q30">
        <f>VLOOKUP(N30,'10K-R'!$N$5:$X$69,4,)</f>
        <v>316</v>
      </c>
      <c r="R30">
        <f>VLOOKUP(N30,'10K-R'!$N$5:$X$69,5,)</f>
        <v>-25</v>
      </c>
      <c r="S30">
        <f>VLOOKUP(N30,'10K-R'!$N$5:$X$69,6,)</f>
        <v>-37</v>
      </c>
      <c r="T30">
        <f>VLOOKUP(N30,'10K-R'!$N$5:$X$69,7,)</f>
        <v>234</v>
      </c>
      <c r="U30">
        <f>VLOOKUP(N30,'10K-R'!$N$5:$X$69,8,)</f>
        <v>260</v>
      </c>
      <c r="V30">
        <f>VLOOKUP(N30,'10K-R'!$N$5:$X$69,9,)</f>
        <v>258</v>
      </c>
      <c r="W30">
        <f>VLOOKUP(N30,'10K-R'!$N$5:$X$69,10,)</f>
        <v>352</v>
      </c>
      <c r="X30">
        <f>VLOOKUP(N30,'10K-R'!$N$5:$X$69,11,)</f>
        <v>630</v>
      </c>
    </row>
    <row r="31" spans="1:37">
      <c r="N31" s="35" t="s">
        <v>295</v>
      </c>
      <c r="O31">
        <f>VLOOKUP(N31,'10K-R'!$N$5:$X$69,2,)</f>
        <v>1495</v>
      </c>
      <c r="P31">
        <f>VLOOKUP(N31,'10K-R'!$N$5:$X$69,3,)</f>
        <v>1387</v>
      </c>
      <c r="Q31">
        <f>VLOOKUP(N31,'10K-R'!$N$5:$X$69,4,)</f>
        <v>1447</v>
      </c>
      <c r="R31">
        <f>VLOOKUP(N31,'10K-R'!$N$5:$X$69,5,)</f>
        <v>1127</v>
      </c>
      <c r="S31">
        <f>VLOOKUP(N31,'10K-R'!$N$5:$X$69,6,)</f>
        <v>1111</v>
      </c>
      <c r="T31">
        <f>VLOOKUP(N31,'10K-R'!$N$5:$X$69,7,)</f>
        <v>1374</v>
      </c>
      <c r="U31">
        <f>VLOOKUP(N31,'10K-R'!$N$5:$X$69,8,)</f>
        <v>1387</v>
      </c>
      <c r="V31">
        <f>VLOOKUP(N31,'10K-R'!$N$5:$X$69,9,)</f>
        <v>1331</v>
      </c>
      <c r="W31">
        <f>VLOOKUP(N31,'10K-R'!$N$5:$X$69,10,)</f>
        <v>1484</v>
      </c>
      <c r="X31">
        <f>VLOOKUP(N31,'10K-R'!$N$5:$X$69,11,)</f>
        <v>1731</v>
      </c>
    </row>
    <row r="32" spans="1:37">
      <c r="N32" s="35" t="s">
        <v>296</v>
      </c>
      <c r="O32">
        <f>VLOOKUP(N32,'10K-R'!$N$5:$X$69,2,)</f>
        <v>3200</v>
      </c>
      <c r="P32">
        <f>VLOOKUP(N32,'10K-R'!$N$5:$X$69,3,)</f>
        <v>2678</v>
      </c>
      <c r="Q32">
        <f>VLOOKUP(N32,'10K-R'!$N$5:$X$69,4,)</f>
        <v>2778</v>
      </c>
      <c r="R32">
        <f>VLOOKUP(N32,'10K-R'!$N$5:$X$69,5,)</f>
        <v>2402</v>
      </c>
      <c r="S32">
        <f>VLOOKUP(N32,'10K-R'!$N$5:$X$69,6,)</f>
        <v>2488</v>
      </c>
      <c r="T32">
        <f>VLOOKUP(N32,'10K-R'!$N$5:$X$69,7,)</f>
        <v>2693</v>
      </c>
      <c r="U32">
        <f>VLOOKUP(N32,'10K-R'!$N$5:$X$69,8,)</f>
        <v>2847</v>
      </c>
      <c r="V32">
        <f>VLOOKUP(N32,'10K-R'!$N$5:$X$69,9,)</f>
        <v>3295</v>
      </c>
      <c r="W32">
        <f>VLOOKUP(N32,'10K-R'!$N$5:$X$69,10,)</f>
        <v>3277</v>
      </c>
      <c r="X32">
        <f>VLOOKUP(N32,'10K-R'!$N$5:$X$69,11,)</f>
        <v>3488</v>
      </c>
    </row>
  </sheetData>
  <sheetProtection selectLockedCells="1" selectUnlockedCells="1"/>
  <mergeCells count="3">
    <mergeCell ref="A1:L1"/>
    <mergeCell ref="N1:X1"/>
    <mergeCell ref="Z1:A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INPUT</vt:lpstr>
      <vt:lpstr>GROWTH AND WACC</vt:lpstr>
      <vt:lpstr>BETA</vt:lpstr>
      <vt:lpstr>DCF 1</vt:lpstr>
      <vt:lpstr>DCF 2</vt:lpstr>
      <vt:lpstr>DCF 3</vt:lpstr>
      <vt:lpstr>10K-R</vt:lpstr>
      <vt:lpstr>Prices</vt:lpstr>
      <vt:lpstr>10K-S</vt:lpstr>
      <vt:lpstr>INDUSTRY</vt:lpstr>
      <vt:lpstr>Aux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Hartmann</dc:creator>
  <cp:lastModifiedBy>Michael Hartmann</cp:lastModifiedBy>
  <dcterms:created xsi:type="dcterms:W3CDTF">2018-10-20T14:29:47Z</dcterms:created>
  <dcterms:modified xsi:type="dcterms:W3CDTF">2018-12-02T01:17:04Z</dcterms:modified>
</cp:coreProperties>
</file>