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iewi\Downloads\"/>
    </mc:Choice>
  </mc:AlternateContent>
  <xr:revisionPtr revIDLastSave="0" documentId="13_ncr:1_{901A134B-51D2-400C-9720-08FE0CC020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TERTOW" sheetId="1" r:id="rId1"/>
  </sheets>
  <definedNames>
    <definedName name="A">ITERTOW!$B$11</definedName>
    <definedName name="CD_0">#REF!</definedName>
    <definedName name="CMN">ITERTOW!$B$9</definedName>
    <definedName name="EXP">ITERTOW!$B$19</definedName>
    <definedName name="FR">ITERTOW!$B$16</definedName>
    <definedName name="FT">ITERTOW!$B$17</definedName>
    <definedName name="H">ITERTOW!$B$5</definedName>
    <definedName name="k">#REF!</definedName>
    <definedName name="LT">ITERTOW!$B$14</definedName>
    <definedName name="MC">ITERTOW!$B$4</definedName>
    <definedName name="MMX">ITERTOW!$B$3</definedName>
    <definedName name="NONEXP">ITERTOW!$B$7</definedName>
    <definedName name="RA">ITERTOW!$B$6</definedName>
    <definedName name="S">#REF!</definedName>
    <definedName name="SFACT">ITERTOW!$B$12</definedName>
    <definedName name="solver_adj" localSheetId="0" hidden="1">ITERTOW!$B$9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ITERTOW!$F$23</definedName>
    <definedName name="solver_pre" localSheetId="0" hidden="1">0.00000001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181200</definedName>
    <definedName name="solver_ver" localSheetId="0" hidden="1">3</definedName>
    <definedName name="T">ITERTOW!$B$10</definedName>
    <definedName name="TMX">#REF!</definedName>
    <definedName name="WL">#REF!</definedName>
    <definedName name="WS">#REF!</definedName>
    <definedName name="W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C23" i="1" l="1"/>
  <c r="C27" i="1" s="1"/>
  <c r="C28" i="1" s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7" i="1" l="1"/>
  <c r="C31" i="1"/>
  <c r="C32" i="1" s="1"/>
  <c r="C33" i="1" l="1"/>
  <c r="C35" i="1" s="1"/>
  <c r="C24" i="1" l="1"/>
  <c r="C25" i="1" s="1"/>
  <c r="D23" i="1" s="1"/>
  <c r="C36" i="1"/>
  <c r="D37" i="1" l="1"/>
  <c r="D27" i="1"/>
  <c r="D28" i="1" s="1"/>
  <c r="D31" i="1" l="1"/>
  <c r="D32" i="1" s="1"/>
  <c r="D33" i="1" l="1"/>
  <c r="D35" i="1" s="1"/>
  <c r="D24" i="1" l="1"/>
  <c r="D25" i="1" s="1"/>
  <c r="E23" i="1" s="1"/>
  <c r="D36" i="1"/>
  <c r="E37" i="1" l="1"/>
  <c r="E27" i="1"/>
  <c r="E28" i="1" s="1"/>
  <c r="E31" i="1" l="1"/>
  <c r="E32" i="1" l="1"/>
  <c r="E33" i="1" l="1"/>
  <c r="E35" i="1" s="1"/>
  <c r="E36" i="1" s="1"/>
  <c r="E24" i="1" l="1"/>
  <c r="E25" i="1" s="1"/>
  <c r="F23" i="1" s="1"/>
  <c r="F37" i="1" s="1"/>
  <c r="F27" i="1" l="1"/>
  <c r="F28" i="1" s="1"/>
  <c r="F31" i="1" s="1"/>
  <c r="F32" i="1" s="1"/>
  <c r="F33" i="1" s="1"/>
  <c r="F35" i="1" s="1"/>
  <c r="F24" i="1" l="1"/>
  <c r="F25" i="1" s="1"/>
  <c r="G23" i="1" s="1"/>
  <c r="F36" i="1"/>
  <c r="G27" i="1" l="1"/>
  <c r="G28" i="1" s="1"/>
  <c r="G37" i="1"/>
  <c r="G31" i="1" l="1"/>
  <c r="G32" i="1" l="1"/>
  <c r="G33" i="1" l="1"/>
  <c r="G35" i="1" s="1"/>
  <c r="G24" i="1" s="1"/>
  <c r="G25" i="1" s="1"/>
  <c r="H23" i="1" s="1"/>
  <c r="H27" i="1" s="1"/>
  <c r="H28" i="1" s="1"/>
  <c r="G36" i="1" l="1"/>
  <c r="H37" i="1"/>
  <c r="H31" i="1"/>
  <c r="H32" i="1" l="1"/>
  <c r="H33" i="1" l="1"/>
  <c r="H35" i="1" s="1"/>
  <c r="H24" i="1" s="1"/>
  <c r="H25" i="1" s="1"/>
  <c r="I23" i="1" s="1"/>
  <c r="I27" i="1" s="1"/>
  <c r="I28" i="1" s="1"/>
  <c r="H36" i="1" l="1"/>
  <c r="I37" i="1"/>
  <c r="I31" i="1"/>
  <c r="I32" i="1" l="1"/>
  <c r="I33" i="1" l="1"/>
  <c r="I35" i="1" s="1"/>
  <c r="I24" i="1" s="1"/>
  <c r="I25" i="1" s="1"/>
  <c r="I36" i="1" l="1"/>
</calcChain>
</file>

<file path=xl/sharedStrings.xml><?xml version="1.0" encoding="utf-8"?>
<sst xmlns="http://schemas.openxmlformats.org/spreadsheetml/2006/main" count="34" uniqueCount="34">
  <si>
    <t>Mission Requirements</t>
  </si>
  <si>
    <t>Max. Mach</t>
  </si>
  <si>
    <t>Cruise Mach</t>
  </si>
  <si>
    <t>Cruise Alt. (ft)</t>
  </si>
  <si>
    <t>Engine: TSFC Min.</t>
  </si>
  <si>
    <t>Engine: Thrust (lbs)</t>
  </si>
  <si>
    <t>Aspect Ratio</t>
  </si>
  <si>
    <t>Loiter: Time (min)</t>
  </si>
  <si>
    <t>Loiter: Altitude (ft)</t>
  </si>
  <si>
    <t>Fuel Reserve (%)</t>
  </si>
  <si>
    <t>Trapped Fuel (%)</t>
  </si>
  <si>
    <t>Structure Factor</t>
  </si>
  <si>
    <t>Payload: Non-exp. (lb)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</si>
  <si>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</si>
  <si>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</si>
  <si>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</si>
  <si>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</si>
  <si>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</si>
  <si>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</si>
  <si>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</si>
  <si>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Weight: T-O (estimated)</t>
  </si>
  <si>
    <t>Weight: T-O (final)</t>
  </si>
  <si>
    <t>Surplus Empty Wt. (lbs)</t>
  </si>
  <si>
    <t>1. Start-up &amp; T-O</t>
  </si>
  <si>
    <t>2. Climb &amp; Accel. to Cruise</t>
  </si>
  <si>
    <t>3a. L/D</t>
  </si>
  <si>
    <t>3b. V (f/s)</t>
  </si>
  <si>
    <t>3c. Cruise to destination</t>
  </si>
  <si>
    <t>Total Fuel Wt. (lbs)</t>
  </si>
  <si>
    <t>Available Empty Wt. (lbs)</t>
  </si>
  <si>
    <t>Required Empty Wt. (lbs)</t>
  </si>
  <si>
    <t>Range (nm)</t>
  </si>
  <si>
    <t>4. Loiter</t>
  </si>
  <si>
    <t>5.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</si>
</sst>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896551724137933"/>
          <c:y val="0.12149560431787639"/>
          <c:w val="0.3724137931034483"/>
          <c:h val="0.560748943005583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ITERTOW!$C$23:$I$23</c:f>
              <c:numCache>
                <c:formatCode>#,##0.00</c:formatCode>
                <c:ptCount val="7"/>
                <c:pt idx="0">
                  <c:v>400000</c:v>
                </c:pt>
                <c:pt idx="1">
                  <c:v>342039.73428901553</c:v>
                </c:pt>
                <c:pt idx="2">
                  <c:v>181199.99861428773</c:v>
                </c:pt>
                <c:pt idx="3">
                  <c:v>181199.99861428773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4-4680-8A1A-294D6E9D9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87744"/>
        <c:axId val="198289664"/>
      </c:barChart>
      <c:catAx>
        <c:axId val="1982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 No.</a:t>
                </a:r>
              </a:p>
            </c:rich>
          </c:tx>
          <c:layout>
            <c:manualLayout>
              <c:xMode val="edge"/>
              <c:yMode val="edge"/>
              <c:x val="0.43448275862068964"/>
              <c:y val="0.80841305949971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9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82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T-O Weight</a:t>
                </a:r>
              </a:p>
            </c:rich>
          </c:tx>
          <c:layout>
            <c:manualLayout>
              <c:xMode val="edge"/>
              <c:yMode val="edge"/>
              <c:x val="7.586206896551724E-2"/>
              <c:y val="0.252337024352512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931034482758621"/>
          <c:y val="0.35514099723686943"/>
          <c:w val="0.18965517241379309"/>
          <c:h val="9.34581571675972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114300</xdr:rowOff>
    </xdr:from>
    <xdr:to>
      <xdr:col>7</xdr:col>
      <xdr:colOff>381000</xdr:colOff>
      <xdr:row>17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topLeftCell="A7" zoomScaleNormal="100" workbookViewId="0">
      <selection activeCell="K17" sqref="K17"/>
    </sheetView>
  </sheetViews>
  <sheetFormatPr defaultRowHeight="13.2" x14ac:dyDescent="0.25"/>
  <cols>
    <col min="1" max="1" width="23.5546875" customWidth="1"/>
    <col min="2" max="2" width="19.44140625" customWidth="1"/>
    <col min="3" max="9" width="11.6640625" customWidth="1"/>
  </cols>
  <sheetData>
    <row r="1" spans="1:2" x14ac:dyDescent="0.25">
      <c r="B1" s="4" t="s">
        <v>0</v>
      </c>
    </row>
    <row r="3" spans="1:2" x14ac:dyDescent="0.25">
      <c r="A3" t="s">
        <v>1</v>
      </c>
      <c r="B3" s="7">
        <v>0.82</v>
      </c>
    </row>
    <row r="4" spans="1:2" x14ac:dyDescent="0.25">
      <c r="A4" t="s">
        <v>2</v>
      </c>
      <c r="B4" s="5">
        <v>0.79</v>
      </c>
    </row>
    <row r="5" spans="1:2" x14ac:dyDescent="0.25">
      <c r="A5" t="s">
        <v>3</v>
      </c>
      <c r="B5" s="6">
        <v>36000</v>
      </c>
    </row>
    <row r="6" spans="1:2" x14ac:dyDescent="0.25">
      <c r="A6" t="s">
        <v>31</v>
      </c>
      <c r="B6" s="6">
        <v>3550</v>
      </c>
    </row>
    <row r="7" spans="1:2" x14ac:dyDescent="0.25">
      <c r="A7" t="s">
        <v>12</v>
      </c>
      <c r="B7" s="6">
        <v>48000</v>
      </c>
    </row>
    <row r="9" spans="1:2" x14ac:dyDescent="0.25">
      <c r="A9" t="s">
        <v>4</v>
      </c>
      <c r="B9" s="8">
        <v>0.26359318158370704</v>
      </c>
    </row>
    <row r="10" spans="1:2" x14ac:dyDescent="0.25">
      <c r="A10" t="s">
        <v>5</v>
      </c>
      <c r="B10" s="6">
        <f>2*28000</f>
        <v>56000</v>
      </c>
    </row>
    <row r="11" spans="1:2" x14ac:dyDescent="0.25">
      <c r="A11" t="s">
        <v>6</v>
      </c>
      <c r="B11" s="7">
        <v>10.130000000000001</v>
      </c>
    </row>
    <row r="12" spans="1:2" x14ac:dyDescent="0.25">
      <c r="A12" t="s">
        <v>11</v>
      </c>
      <c r="B12" s="9">
        <f>99360/181200</f>
        <v>0.54834437086092713</v>
      </c>
    </row>
    <row r="14" spans="1:2" x14ac:dyDescent="0.25">
      <c r="A14" t="s">
        <v>7</v>
      </c>
      <c r="B14" s="5">
        <v>45</v>
      </c>
    </row>
    <row r="15" spans="1:2" x14ac:dyDescent="0.25">
      <c r="A15" t="s">
        <v>8</v>
      </c>
      <c r="B15" s="6">
        <v>10000</v>
      </c>
    </row>
    <row r="16" spans="1:2" x14ac:dyDescent="0.25">
      <c r="A16" t="s">
        <v>9</v>
      </c>
      <c r="B16" s="5">
        <v>5</v>
      </c>
    </row>
    <row r="17" spans="1:9" x14ac:dyDescent="0.25">
      <c r="A17" t="s">
        <v>10</v>
      </c>
      <c r="B17" s="5">
        <v>1</v>
      </c>
    </row>
    <row r="21" spans="1:9" x14ac:dyDescent="0.25">
      <c r="B21" s="1"/>
    </row>
    <row r="22" spans="1:9" x14ac:dyDescent="0.25">
      <c r="C22" s="3" t="s">
        <v>13</v>
      </c>
      <c r="D22" s="3" t="s">
        <v>14</v>
      </c>
      <c r="E22" s="3" t="s">
        <v>15</v>
      </c>
      <c r="F22" s="3" t="s">
        <v>16</v>
      </c>
      <c r="G22" s="3" t="s">
        <v>17</v>
      </c>
      <c r="H22" s="3" t="s">
        <v>18</v>
      </c>
      <c r="I22" s="3" t="s">
        <v>19</v>
      </c>
    </row>
    <row r="23" spans="1:9" x14ac:dyDescent="0.25">
      <c r="A23" t="s">
        <v>20</v>
      </c>
      <c r="B23" s="1">
        <v>400000</v>
      </c>
      <c r="C23" s="2">
        <f>B23</f>
        <v>400000</v>
      </c>
      <c r="D23" s="2">
        <f>C23-C25</f>
        <v>342039.73428901553</v>
      </c>
      <c r="E23" s="2">
        <f>D23-D25/((D25-C25)/(D23-C23))</f>
        <v>181199.99861428773</v>
      </c>
      <c r="F23" s="2">
        <f>E23-E25/((E25-D25)/(E23-D23))</f>
        <v>181199.99861428773</v>
      </c>
      <c r="G23" s="2" t="e">
        <f>F23-F25/((F25-E25)/(F23-E23))</f>
        <v>#DIV/0!</v>
      </c>
      <c r="H23" s="2" t="e">
        <f>G23-G25/((G25-F25)/(G23-F23))</f>
        <v>#DIV/0!</v>
      </c>
      <c r="I23" s="2" t="e">
        <f>H23-H25/((H25-G25)/(H23-G23))</f>
        <v>#DIV/0!</v>
      </c>
    </row>
    <row r="24" spans="1:9" x14ac:dyDescent="0.25">
      <c r="A24" t="s">
        <v>21</v>
      </c>
      <c r="C24" s="2">
        <f t="shared" ref="C24:I24" si="0">C35+C37+EXP+NONEXP</f>
        <v>342039.73428901553</v>
      </c>
      <c r="D24" s="2">
        <f t="shared" si="0"/>
        <v>299433.18146656896</v>
      </c>
      <c r="E24" s="2">
        <f t="shared" si="0"/>
        <v>181199.99861428785</v>
      </c>
      <c r="F24" s="2">
        <f t="shared" si="0"/>
        <v>181199.99861428785</v>
      </c>
      <c r="G24" s="2" t="e">
        <f t="shared" si="0"/>
        <v>#DIV/0!</v>
      </c>
      <c r="H24" s="2" t="e">
        <f t="shared" si="0"/>
        <v>#DIV/0!</v>
      </c>
      <c r="I24" s="2" t="e">
        <f t="shared" si="0"/>
        <v>#DIV/0!</v>
      </c>
    </row>
    <row r="25" spans="1:9" x14ac:dyDescent="0.25">
      <c r="A25" t="s">
        <v>22</v>
      </c>
      <c r="C25" s="2">
        <f t="shared" ref="C25:I25" si="1">C23-C24</f>
        <v>57960.265710984473</v>
      </c>
      <c r="D25" s="2">
        <f t="shared" si="1"/>
        <v>42606.552822446567</v>
      </c>
      <c r="E25" s="2">
        <f t="shared" si="1"/>
        <v>0</v>
      </c>
      <c r="F25" s="2">
        <f t="shared" si="1"/>
        <v>0</v>
      </c>
      <c r="G25" s="2" t="e">
        <f t="shared" si="1"/>
        <v>#DIV/0!</v>
      </c>
      <c r="H25" s="2" t="e">
        <f t="shared" si="1"/>
        <v>#DIV/0!</v>
      </c>
      <c r="I25" s="2" t="e">
        <f t="shared" si="1"/>
        <v>#DIV/0!</v>
      </c>
    </row>
    <row r="26" spans="1:9" x14ac:dyDescent="0.25">
      <c r="C26" s="2"/>
      <c r="D26" s="2"/>
      <c r="E26" s="2"/>
      <c r="F26" s="2"/>
      <c r="G26" s="2"/>
      <c r="H26" s="2"/>
      <c r="I26" s="2"/>
    </row>
    <row r="27" spans="1:9" x14ac:dyDescent="0.25">
      <c r="A27" t="s">
        <v>23</v>
      </c>
      <c r="C27" s="2">
        <f t="shared" ref="C27:I27" si="2">C23*0.975</f>
        <v>390000</v>
      </c>
      <c r="D27" s="2">
        <f t="shared" si="2"/>
        <v>333488.74093179015</v>
      </c>
      <c r="E27" s="2">
        <f t="shared" si="2"/>
        <v>176669.99864893054</v>
      </c>
      <c r="F27" s="2">
        <f t="shared" si="2"/>
        <v>176669.99864893054</v>
      </c>
      <c r="G27" s="2" t="e">
        <f t="shared" si="2"/>
        <v>#DIV/0!</v>
      </c>
      <c r="H27" s="2" t="e">
        <f t="shared" si="2"/>
        <v>#DIV/0!</v>
      </c>
      <c r="I27" s="2" t="e">
        <f t="shared" si="2"/>
        <v>#DIV/0!</v>
      </c>
    </row>
    <row r="28" spans="1:9" x14ac:dyDescent="0.25">
      <c r="A28" t="s">
        <v>24</v>
      </c>
      <c r="C28" s="2">
        <f t="shared" ref="C28:I28" si="3">IF(MC&lt;1,(1-0.04*MC)*C27,(0.96-0.03*(MC-1))*C27)</f>
        <v>377676</v>
      </c>
      <c r="D28" s="2">
        <f t="shared" si="3"/>
        <v>322950.49671834562</v>
      </c>
      <c r="E28" s="2">
        <f t="shared" si="3"/>
        <v>171087.22669162435</v>
      </c>
      <c r="F28" s="2">
        <f t="shared" si="3"/>
        <v>171087.22669162435</v>
      </c>
      <c r="G28" s="2" t="e">
        <f t="shared" si="3"/>
        <v>#DIV/0!</v>
      </c>
      <c r="H28" s="2" t="e">
        <f t="shared" si="3"/>
        <v>#DIV/0!</v>
      </c>
      <c r="I28" s="2" t="e">
        <f t="shared" si="3"/>
        <v>#DIV/0!</v>
      </c>
    </row>
    <row r="29" spans="1:9" x14ac:dyDescent="0.25">
      <c r="A29" t="s">
        <v>25</v>
      </c>
      <c r="C29" s="2">
        <f t="shared" ref="C29:I29" si="4">IF(MC&lt;1,10+A,11*(1/MC)^0.5)</f>
        <v>20.130000000000003</v>
      </c>
      <c r="D29" s="2">
        <f t="shared" si="4"/>
        <v>20.130000000000003</v>
      </c>
      <c r="E29" s="2">
        <f t="shared" si="4"/>
        <v>20.130000000000003</v>
      </c>
      <c r="F29" s="2">
        <f t="shared" si="4"/>
        <v>20.130000000000003</v>
      </c>
      <c r="G29" s="2">
        <f t="shared" si="4"/>
        <v>20.130000000000003</v>
      </c>
      <c r="H29" s="2">
        <f t="shared" si="4"/>
        <v>20.130000000000003</v>
      </c>
      <c r="I29" s="2">
        <f t="shared" si="4"/>
        <v>20.130000000000003</v>
      </c>
    </row>
    <row r="30" spans="1:9" x14ac:dyDescent="0.25">
      <c r="A30" t="s">
        <v>26</v>
      </c>
      <c r="C30" s="2">
        <f t="shared" ref="C30:I30" si="5">(1036-0.0034*(H-20000))*MC</f>
        <v>775.46400000000006</v>
      </c>
      <c r="D30" s="2">
        <f t="shared" si="5"/>
        <v>775.46400000000006</v>
      </c>
      <c r="E30" s="2">
        <f t="shared" si="5"/>
        <v>775.46400000000006</v>
      </c>
      <c r="F30" s="2">
        <f t="shared" si="5"/>
        <v>775.46400000000006</v>
      </c>
      <c r="G30" s="2">
        <f t="shared" si="5"/>
        <v>775.46400000000006</v>
      </c>
      <c r="H30" s="2">
        <f t="shared" si="5"/>
        <v>775.46400000000006</v>
      </c>
      <c r="I30" s="2">
        <f t="shared" si="5"/>
        <v>775.46400000000006</v>
      </c>
    </row>
    <row r="31" spans="1:9" x14ac:dyDescent="0.25">
      <c r="A31" t="s">
        <v>27</v>
      </c>
      <c r="C31" s="2">
        <f t="shared" ref="C31:I31" si="6">C28/EXP((RA*CMN*6080)/(C29*C30*3600))</f>
        <v>341311.40597599442</v>
      </c>
      <c r="D31" s="2">
        <f t="shared" si="6"/>
        <v>291855.1565245986</v>
      </c>
      <c r="E31" s="2">
        <f t="shared" si="6"/>
        <v>154614.06572472697</v>
      </c>
      <c r="F31" s="2">
        <f t="shared" si="6"/>
        <v>154614.06572472697</v>
      </c>
      <c r="G31" s="2" t="e">
        <f t="shared" si="6"/>
        <v>#DIV/0!</v>
      </c>
      <c r="H31" s="2" t="e">
        <f t="shared" si="6"/>
        <v>#DIV/0!</v>
      </c>
      <c r="I31" s="2" t="e">
        <f t="shared" si="6"/>
        <v>#DIV/0!</v>
      </c>
    </row>
    <row r="32" spans="1:9" x14ac:dyDescent="0.25">
      <c r="A32" t="s">
        <v>32</v>
      </c>
      <c r="C32" s="2">
        <f t="shared" ref="C32:I32" si="7">C31/(EXP((LT*CMN)/(C29*60)))</f>
        <v>337975.82395293214</v>
      </c>
      <c r="D32" s="2">
        <f t="shared" si="7"/>
        <v>289002.90255242999</v>
      </c>
      <c r="E32" s="2">
        <f t="shared" si="7"/>
        <v>153103.04707983515</v>
      </c>
      <c r="F32" s="2">
        <f t="shared" si="7"/>
        <v>153103.04707983515</v>
      </c>
      <c r="G32" s="2" t="e">
        <f t="shared" si="7"/>
        <v>#DIV/0!</v>
      </c>
      <c r="H32" s="2" t="e">
        <f t="shared" si="7"/>
        <v>#DIV/0!</v>
      </c>
      <c r="I32" s="2" t="e">
        <f t="shared" si="7"/>
        <v>#DIV/0!</v>
      </c>
    </row>
    <row r="33" spans="1:9" x14ac:dyDescent="0.25">
      <c r="A33" t="s">
        <v>33</v>
      </c>
      <c r="C33" s="2">
        <f t="shared" ref="C33:I33" si="8">C32*0.975</f>
        <v>329526.42835410882</v>
      </c>
      <c r="D33" s="2">
        <f t="shared" si="8"/>
        <v>281777.82998861925</v>
      </c>
      <c r="E33" s="2">
        <f t="shared" si="8"/>
        <v>149275.47090283927</v>
      </c>
      <c r="F33" s="2">
        <f t="shared" si="8"/>
        <v>149275.47090283927</v>
      </c>
      <c r="G33" s="2" t="e">
        <f t="shared" si="8"/>
        <v>#DIV/0!</v>
      </c>
      <c r="H33" s="2" t="e">
        <f t="shared" si="8"/>
        <v>#DIV/0!</v>
      </c>
      <c r="I33" s="2" t="e">
        <f t="shared" si="8"/>
        <v>#DIV/0!</v>
      </c>
    </row>
    <row r="34" spans="1:9" x14ac:dyDescent="0.25">
      <c r="C34" s="2"/>
      <c r="D34" s="2"/>
      <c r="E34" s="2"/>
      <c r="F34" s="2"/>
      <c r="G34" s="2"/>
      <c r="H34" s="2"/>
      <c r="I34" s="2"/>
    </row>
    <row r="35" spans="1:9" x14ac:dyDescent="0.25">
      <c r="A35" t="s">
        <v>28</v>
      </c>
      <c r="C35" s="2">
        <f t="shared" ref="C35:I35" si="9">(C23-C33-EXP)*(1+(FR+FT)/100)</f>
        <v>74701.98594464465</v>
      </c>
      <c r="D35" s="2">
        <f t="shared" si="9"/>
        <v>63877.61855842005</v>
      </c>
      <c r="E35" s="2">
        <f t="shared" si="9"/>
        <v>33839.999374135376</v>
      </c>
      <c r="F35" s="2">
        <f t="shared" si="9"/>
        <v>33839.999374135376</v>
      </c>
      <c r="G35" s="2" t="e">
        <f t="shared" si="9"/>
        <v>#DIV/0!</v>
      </c>
      <c r="H35" s="2" t="e">
        <f t="shared" si="9"/>
        <v>#DIV/0!</v>
      </c>
      <c r="I35" s="2" t="e">
        <f t="shared" si="9"/>
        <v>#DIV/0!</v>
      </c>
    </row>
    <row r="36" spans="1:9" x14ac:dyDescent="0.25">
      <c r="A36" t="s">
        <v>29</v>
      </c>
      <c r="C36" s="2">
        <f t="shared" ref="C36:I36" si="10">C23-C35-NONEXP-EXP</f>
        <v>277298.01405535534</v>
      </c>
      <c r="D36" s="2">
        <f t="shared" si="10"/>
        <v>230162.11573059548</v>
      </c>
      <c r="E36" s="2">
        <f t="shared" si="10"/>
        <v>99359.999240152363</v>
      </c>
      <c r="F36" s="2">
        <f t="shared" si="10"/>
        <v>99359.999240152363</v>
      </c>
      <c r="G36" s="2" t="e">
        <f t="shared" si="10"/>
        <v>#DIV/0!</v>
      </c>
      <c r="H36" s="2" t="e">
        <f t="shared" si="10"/>
        <v>#DIV/0!</v>
      </c>
      <c r="I36" s="2" t="e">
        <f t="shared" si="10"/>
        <v>#DIV/0!</v>
      </c>
    </row>
    <row r="37" spans="1:9" x14ac:dyDescent="0.25">
      <c r="A37" t="s">
        <v>30</v>
      </c>
      <c r="C37" s="2">
        <f t="shared" ref="C37:I37" si="11">C23*SFACT</f>
        <v>219337.74834437086</v>
      </c>
      <c r="D37" s="2">
        <f t="shared" si="11"/>
        <v>187555.56290814892</v>
      </c>
      <c r="E37" s="2">
        <f t="shared" si="11"/>
        <v>99359.99924015248</v>
      </c>
      <c r="F37" s="2">
        <f t="shared" si="11"/>
        <v>99359.99924015248</v>
      </c>
      <c r="G37" s="2" t="e">
        <f t="shared" si="11"/>
        <v>#DIV/0!</v>
      </c>
      <c r="H37" s="2" t="e">
        <f t="shared" si="11"/>
        <v>#DIV/0!</v>
      </c>
      <c r="I37" s="2" t="e">
        <f t="shared" si="11"/>
        <v>#DIV/0!</v>
      </c>
    </row>
  </sheetData>
  <phoneticPr fontId="3" type="noConversion"/>
  <printOptions gridLines="1" gridLinesSet="0"/>
  <pageMargins left="0.75" right="0.75" top="1" bottom="1" header="0.5" footer="0.5"/>
  <pageSetup scale="78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ITERTOW</vt:lpstr>
      <vt:lpstr>A</vt:lpstr>
      <vt:lpstr>CMN</vt:lpstr>
      <vt:lpstr>EXP</vt:lpstr>
      <vt:lpstr>FR</vt:lpstr>
      <vt:lpstr>FT</vt:lpstr>
      <vt:lpstr>H</vt:lpstr>
      <vt:lpstr>LT</vt:lpstr>
      <vt:lpstr>MC</vt:lpstr>
      <vt:lpstr>MMX</vt:lpstr>
      <vt:lpstr>NONEXP</vt:lpstr>
      <vt:lpstr>RA</vt:lpstr>
      <vt:lpstr>SFACT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iterative take-off weight</dc:title>
  <dc:creator>TCC</dc:creator>
  <dc:description>from first choice original</dc:description>
  <cp:lastModifiedBy>nathan long</cp:lastModifiedBy>
  <cp:lastPrinted>2016-04-17T01:48:31Z</cp:lastPrinted>
  <dcterms:created xsi:type="dcterms:W3CDTF">2002-08-27T17:50:51Z</dcterms:created>
  <dcterms:modified xsi:type="dcterms:W3CDTF">2023-04-01T20:10:23Z</dcterms:modified>
</cp:coreProperties>
</file>