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Project 2/"/>
    </mc:Choice>
  </mc:AlternateContent>
  <xr:revisionPtr revIDLastSave="178" documentId="13_ncr:1_{D3D46EDC-3D78-41FE-A42C-8DC6647C56F3}" xr6:coauthVersionLast="47" xr6:coauthVersionMax="47" xr10:uidLastSave="{12E2A20A-DF67-4C21-B6C3-14DD6E6E243B}"/>
  <bookViews>
    <workbookView xWindow="-108" yWindow="-108" windowWidth="23256" windowHeight="13176" tabRatio="667" activeTab="4" xr2:uid="{00000000-000D-0000-FFFF-FFFF00000000}"/>
  </bookViews>
  <sheets>
    <sheet name="ITERTOW-BIZ" sheetId="1" r:id="rId1"/>
    <sheet name="WINGLOAD-BIZ" sheetId="2" r:id="rId2"/>
    <sheet name="WING-BIZ" sheetId="3" r:id="rId3"/>
    <sheet name="FUSELAGE-BIZ" sheetId="21" r:id="rId4"/>
    <sheet name="TAIL-BIZ" sheetId="20" r:id="rId5"/>
    <sheet name="ITERATION2-BIZ" sheetId="18" r:id="rId6"/>
    <sheet name="Wing Plan View" sheetId="17" r:id="rId7"/>
    <sheet name="Fuselage Side View" sheetId="22" r:id="rId8"/>
    <sheet name="Vertical Tail Side View" sheetId="23" r:id="rId9"/>
    <sheet name="Horizontal Tail Plan View" sheetId="24" r:id="rId10"/>
  </sheets>
  <definedNames>
    <definedName name="A">'ITERTOW-BIZ'!$B$12</definedName>
    <definedName name="CD_0">'WINGLOAD-BIZ'!$B$22</definedName>
    <definedName name="CMN">'ITERTOW-BIZ'!$B$10</definedName>
    <definedName name="D" localSheetId="3">'FUSELAGE-BIZ'!$B$14</definedName>
    <definedName name="EXP">'ITERTOW-BIZ'!$B$20</definedName>
    <definedName name="FIN" localSheetId="3">'FUSELAGE-BIZ'!$B$15</definedName>
    <definedName name="FQ" localSheetId="3">'FUSELAGE-BIZ'!$E$16</definedName>
    <definedName name="FR">'ITERTOW-BIZ'!$B$17</definedName>
    <definedName name="FT">'ITERTOW-BIZ'!$B$18</definedName>
    <definedName name="H">'ITERTOW-BIZ'!$B$6</definedName>
    <definedName name="HC">'WINGLOAD-BIZ'!$B$24</definedName>
    <definedName name="k">'WINGLOAD-BIZ'!$B$31</definedName>
    <definedName name="LL">'FUSELAGE-BIZ'!$B$16</definedName>
    <definedName name="LT">'ITERTOW-BIZ'!$B$15</definedName>
    <definedName name="M">'TAIL-BIZ'!$B$8</definedName>
    <definedName name="MC">'ITERTOW-BIZ'!$B$5</definedName>
    <definedName name="MMX">'ITERTOW-BIZ'!$B$4</definedName>
    <definedName name="NONEXP">'ITERTOW-BIZ'!$B$8</definedName>
    <definedName name="nu" localSheetId="3">'FUSELAGE-BIZ'!$B$11</definedName>
    <definedName name="q" localSheetId="3">'FUSELAGE-BIZ'!$B$9</definedName>
    <definedName name="RA">'ITERTOW-BIZ'!$B$7</definedName>
    <definedName name="S">'WINGLOAD-BIZ'!$B$9</definedName>
    <definedName name="SFACT">'ITERTOW-BIZ'!$B$13</definedName>
    <definedName name="SHT">'ITERATION2-BIZ'!$H$34</definedName>
    <definedName name="solver_adj" localSheetId="0" hidden="1">'ITERTOW-BIZ'!$B$10</definedName>
    <definedName name="solver_adj" localSheetId="1" hidden="1">'WINGLOAD-BIZ'!$E$24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'ITERTOW-BIZ'!$F$24</definedName>
    <definedName name="solver_opt" localSheetId="1" hidden="1">'WINGLOAD-BIZ'!$E$28</definedName>
    <definedName name="solver_pre" localSheetId="0" hidden="1">0.0000001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55000</definedName>
    <definedName name="solver_val" localSheetId="1" hidden="1">0</definedName>
    <definedName name="solver_ver" localSheetId="0" hidden="1">3</definedName>
    <definedName name="solver_ver" localSheetId="1" hidden="1">3</definedName>
    <definedName name="T">'ITERTOW-BIZ'!$B$11</definedName>
    <definedName name="tcht">'ITERATION2-BIZ'!$H$35</definedName>
    <definedName name="TMX">'WINGLOAD-BIZ'!$B$7</definedName>
    <definedName name="V" localSheetId="3">'FUSELAGE-BIZ'!$B$7</definedName>
    <definedName name="WL">'WINGLOAD-BIZ'!$E$8</definedName>
    <definedName name="WS">'WINGLOAD-BIZ'!$B$11</definedName>
    <definedName name="WTO">'WINGLOAD-BIZ'!$B$8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8" l="1"/>
  <c r="I141" i="18"/>
  <c r="D46" i="18"/>
  <c r="D79" i="18"/>
  <c r="B4" i="1"/>
  <c r="H126" i="18"/>
  <c r="B22" i="2"/>
  <c r="I144" i="18" s="1"/>
  <c r="H141" i="18" l="1"/>
  <c r="D147" i="18"/>
  <c r="I99" i="18" l="1"/>
  <c r="I101" i="18" s="1"/>
  <c r="I103" i="18" s="1"/>
  <c r="I36" i="18"/>
  <c r="I21" i="18"/>
  <c r="I13" i="18"/>
  <c r="I10" i="18"/>
  <c r="I6" i="18"/>
  <c r="I102" i="18" l="1"/>
  <c r="I105" i="18" l="1"/>
  <c r="I121" i="18" s="1"/>
  <c r="D124" i="18"/>
  <c r="D97" i="18"/>
  <c r="D99" i="18" s="1"/>
  <c r="D100" i="18" s="1"/>
  <c r="D143" i="18" s="1"/>
  <c r="D102" i="18" l="1"/>
  <c r="D120" i="18" s="1"/>
  <c r="D44" i="18"/>
  <c r="B10" i="20"/>
  <c r="D84" i="18"/>
  <c r="D72" i="18"/>
  <c r="D56" i="18"/>
  <c r="D61" i="18"/>
  <c r="D37" i="18"/>
  <c r="D43" i="18"/>
  <c r="D22" i="18"/>
  <c r="D28" i="18"/>
  <c r="D11" i="18"/>
  <c r="D63" i="18" s="1"/>
  <c r="D10" i="18"/>
  <c r="D65" i="21" l="1"/>
  <c r="E65" i="21" s="1"/>
  <c r="D64" i="21"/>
  <c r="E64" i="21" s="1"/>
  <c r="D63" i="21"/>
  <c r="E63" i="21" s="1"/>
  <c r="D62" i="21"/>
  <c r="D61" i="21"/>
  <c r="E61" i="21" s="1"/>
  <c r="D60" i="21"/>
  <c r="E60" i="21" s="1"/>
  <c r="D59" i="21"/>
  <c r="E59" i="21" s="1"/>
  <c r="D58" i="21"/>
  <c r="E58" i="21" s="1"/>
  <c r="D57" i="21"/>
  <c r="D56" i="21"/>
  <c r="E56" i="21" s="1"/>
  <c r="D55" i="21"/>
  <c r="E55" i="21" s="1"/>
  <c r="D54" i="21"/>
  <c r="J54" i="21" s="1"/>
  <c r="K54" i="21" s="1"/>
  <c r="D53" i="21"/>
  <c r="E53" i="21" s="1"/>
  <c r="D52" i="2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D43" i="21"/>
  <c r="D42" i="21"/>
  <c r="E42" i="21" s="1"/>
  <c r="D41" i="21"/>
  <c r="E41" i="21" s="1"/>
  <c r="D40" i="21"/>
  <c r="J40" i="21" s="1"/>
  <c r="K40" i="21" s="1"/>
  <c r="D39" i="21"/>
  <c r="J39" i="21" s="1"/>
  <c r="K39" i="21" s="1"/>
  <c r="D38" i="21"/>
  <c r="E38" i="21" s="1"/>
  <c r="D37" i="21"/>
  <c r="E37" i="21" s="1"/>
  <c r="D36" i="21"/>
  <c r="E36" i="21" s="1"/>
  <c r="D35" i="21"/>
  <c r="D34" i="21"/>
  <c r="J34" i="21" s="1"/>
  <c r="K34" i="21" s="1"/>
  <c r="D33" i="21"/>
  <c r="E33" i="21" s="1"/>
  <c r="J51" i="21" l="1"/>
  <c r="K51" i="21" s="1"/>
  <c r="J38" i="21"/>
  <c r="K38" i="21" s="1"/>
  <c r="J55" i="21"/>
  <c r="K55" i="21" s="1"/>
  <c r="J37" i="21"/>
  <c r="K37" i="21" s="1"/>
  <c r="J58" i="21"/>
  <c r="K58" i="21" s="1"/>
  <c r="J63" i="21"/>
  <c r="K63" i="21" s="1"/>
  <c r="J45" i="21"/>
  <c r="K45" i="21" s="1"/>
  <c r="J50" i="21"/>
  <c r="K50" i="21" s="1"/>
  <c r="E54" i="21"/>
  <c r="J60" i="21"/>
  <c r="K60" i="21" s="1"/>
  <c r="J65" i="21"/>
  <c r="K65" i="21" s="1"/>
  <c r="J59" i="21"/>
  <c r="K59" i="21" s="1"/>
  <c r="J64" i="21"/>
  <c r="K64" i="21" s="1"/>
  <c r="J56" i="21"/>
  <c r="K56" i="21" s="1"/>
  <c r="E34" i="21"/>
  <c r="J47" i="21"/>
  <c r="K47" i="21" s="1"/>
  <c r="J36" i="21"/>
  <c r="K36" i="21" s="1"/>
  <c r="J46" i="21"/>
  <c r="K46" i="21" s="1"/>
  <c r="J49" i="21"/>
  <c r="K49" i="21" s="1"/>
  <c r="J33" i="21"/>
  <c r="K33" i="21" s="1"/>
  <c r="E40" i="21"/>
  <c r="J41" i="21"/>
  <c r="K41" i="21" s="1"/>
  <c r="J52" i="21"/>
  <c r="K52" i="21" s="1"/>
  <c r="E52" i="21"/>
  <c r="E39" i="21"/>
  <c r="J57" i="21"/>
  <c r="K57" i="21" s="1"/>
  <c r="E57" i="21"/>
  <c r="J42" i="21"/>
  <c r="K42" i="21" s="1"/>
  <c r="E44" i="21"/>
  <c r="J44" i="21"/>
  <c r="K44" i="21" s="1"/>
  <c r="E35" i="21"/>
  <c r="J35" i="21"/>
  <c r="K35" i="21" s="1"/>
  <c r="E43" i="21"/>
  <c r="J43" i="21"/>
  <c r="K43" i="21" s="1"/>
  <c r="E62" i="21"/>
  <c r="J62" i="21"/>
  <c r="K62" i="21" s="1"/>
  <c r="J48" i="21"/>
  <c r="K48" i="21" s="1"/>
  <c r="J53" i="21"/>
  <c r="K53" i="21" s="1"/>
  <c r="J61" i="21"/>
  <c r="K61" i="21" s="1"/>
  <c r="B8" i="21" l="1"/>
  <c r="B7" i="21"/>
  <c r="B33" i="2"/>
  <c r="B6" i="21"/>
  <c r="K5" i="3"/>
  <c r="F5" i="20"/>
  <c r="B11" i="20"/>
  <c r="B9" i="20"/>
  <c r="B8" i="20"/>
  <c r="B64" i="20" s="1"/>
  <c r="B7" i="20"/>
  <c r="B5" i="21"/>
  <c r="B10" i="21"/>
  <c r="F9" i="20"/>
  <c r="F7" i="20"/>
  <c r="B7" i="3"/>
  <c r="D9" i="18" s="1"/>
  <c r="I147" i="18" s="1"/>
  <c r="B6" i="3"/>
  <c r="D8" i="18" s="1"/>
  <c r="D137" i="18" s="1"/>
  <c r="B5" i="3"/>
  <c r="E25" i="2"/>
  <c r="B25" i="2"/>
  <c r="B32" i="2" s="1"/>
  <c r="B23" i="2"/>
  <c r="B11" i="21" l="1"/>
  <c r="F6" i="20"/>
  <c r="H58" i="20" s="1"/>
  <c r="H59" i="20" s="1"/>
  <c r="B31" i="20"/>
  <c r="H60" i="20"/>
  <c r="H27" i="20"/>
  <c r="B80" i="21"/>
  <c r="F10" i="20"/>
  <c r="B50" i="3"/>
  <c r="A50" i="3" s="1"/>
  <c r="C50" i="3" s="1"/>
  <c r="C49" i="3"/>
  <c r="A49" i="3"/>
  <c r="F32" i="3"/>
  <c r="B30" i="3"/>
  <c r="F23" i="3"/>
  <c r="F22" i="3"/>
  <c r="B20" i="3"/>
  <c r="B25" i="3" s="1"/>
  <c r="B19" i="3"/>
  <c r="F11" i="3"/>
  <c r="K9" i="3"/>
  <c r="K7" i="3"/>
  <c r="K6" i="3"/>
  <c r="H25" i="20" l="1"/>
  <c r="H26" i="20" s="1"/>
  <c r="F8" i="20"/>
  <c r="B43" i="3"/>
  <c r="B5" i="20"/>
  <c r="D64" i="18" s="1"/>
  <c r="K10" i="3"/>
  <c r="B24" i="3"/>
  <c r="B21" i="3"/>
  <c r="K8" i="3"/>
  <c r="B44" i="3"/>
  <c r="G24" i="3" l="1"/>
  <c r="I9" i="18" s="1"/>
  <c r="I7" i="18"/>
  <c r="G22" i="3"/>
  <c r="G20" i="3"/>
  <c r="B23" i="3"/>
  <c r="B6" i="20" s="1"/>
  <c r="B22" i="3"/>
  <c r="G21" i="3"/>
  <c r="D12" i="18" s="1"/>
  <c r="D65" i="18" s="1"/>
  <c r="A42" i="3"/>
  <c r="G23" i="3"/>
  <c r="F27" i="3" l="1"/>
  <c r="F28" i="3" s="1"/>
  <c r="I8" i="18"/>
  <c r="I11" i="18" s="1"/>
  <c r="A43" i="3"/>
  <c r="A44" i="3"/>
  <c r="B26" i="3"/>
  <c r="F33" i="3"/>
  <c r="F29" i="3" l="1"/>
  <c r="F30" i="3" s="1"/>
  <c r="I12" i="18"/>
  <c r="I15" i="18" s="1"/>
  <c r="I114" i="18" s="1"/>
  <c r="D50" i="3"/>
  <c r="B27" i="3"/>
  <c r="F31" i="3" l="1"/>
  <c r="F35" i="3" s="1"/>
  <c r="I137" i="18" s="1"/>
  <c r="E33" i="2"/>
  <c r="E32" i="2"/>
  <c r="E31" i="2"/>
  <c r="B31" i="2"/>
  <c r="E23" i="2"/>
  <c r="E12" i="2"/>
  <c r="B12" i="2"/>
  <c r="E9" i="2"/>
  <c r="E7" i="2"/>
  <c r="E34" i="2" l="1"/>
  <c r="B14" i="3" s="1"/>
  <c r="B34" i="2"/>
  <c r="B13" i="3" s="1"/>
  <c r="E22" i="2"/>
  <c r="B30" i="2"/>
  <c r="B15" i="3" s="1"/>
  <c r="B28" i="3" s="1"/>
  <c r="B29" i="3" s="1"/>
  <c r="E30" i="2"/>
  <c r="B16" i="3" s="1"/>
  <c r="B35" i="2" l="1"/>
  <c r="B31" i="3"/>
  <c r="B35" i="3" s="1"/>
  <c r="E35" i="2"/>
  <c r="E27" i="2"/>
  <c r="B27" i="2"/>
  <c r="C24" i="1"/>
  <c r="C28" i="1" s="1"/>
  <c r="C29" i="1" s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B32" i="3" l="1"/>
  <c r="C38" i="1"/>
  <c r="C32" i="1"/>
  <c r="C33" i="1" s="1"/>
  <c r="C34" i="1" l="1"/>
  <c r="C36" i="1" s="1"/>
  <c r="C25" i="1" l="1"/>
  <c r="C26" i="1" s="1"/>
  <c r="D24" i="1" s="1"/>
  <c r="C37" i="1"/>
  <c r="D38" i="1" l="1"/>
  <c r="D28" i="1"/>
  <c r="D29" i="1" s="1"/>
  <c r="D32" i="1" l="1"/>
  <c r="D33" i="1" s="1"/>
  <c r="D34" i="1" l="1"/>
  <c r="D36" i="1" s="1"/>
  <c r="D25" i="1" l="1"/>
  <c r="D26" i="1" s="1"/>
  <c r="E24" i="1" s="1"/>
  <c r="D37" i="1"/>
  <c r="E38" i="1" l="1"/>
  <c r="E28" i="1"/>
  <c r="E29" i="1" s="1"/>
  <c r="E32" i="1" l="1"/>
  <c r="E33" i="1" l="1"/>
  <c r="E34" i="1" l="1"/>
  <c r="E36" i="1" s="1"/>
  <c r="E37" i="1" s="1"/>
  <c r="E25" i="1" l="1"/>
  <c r="E26" i="1" s="1"/>
  <c r="F24" i="1" s="1"/>
  <c r="F38" i="1" s="1"/>
  <c r="F28" i="1" l="1"/>
  <c r="F29" i="1" l="1"/>
  <c r="H6" i="2"/>
  <c r="F32" i="1" l="1"/>
  <c r="H7" i="2"/>
  <c r="B11" i="3" l="1"/>
  <c r="B26" i="2"/>
  <c r="F33" i="1"/>
  <c r="H8" i="2"/>
  <c r="B12" i="3" l="1"/>
  <c r="E26" i="2"/>
  <c r="B36" i="2"/>
  <c r="H17" i="2" s="1"/>
  <c r="B28" i="2"/>
  <c r="F34" i="1"/>
  <c r="H9" i="2"/>
  <c r="E8" i="2" s="1"/>
  <c r="F36" i="1" l="1"/>
  <c r="H10" i="2"/>
  <c r="E36" i="2"/>
  <c r="H18" i="2" s="1"/>
  <c r="E28" i="2"/>
  <c r="E11" i="2"/>
  <c r="E13" i="2"/>
  <c r="E14" i="2" l="1"/>
  <c r="E15" i="2" s="1"/>
  <c r="H19" i="2"/>
  <c r="H12" i="2"/>
  <c r="F25" i="1"/>
  <c r="F37" i="1"/>
  <c r="D148" i="18" l="1"/>
  <c r="D125" i="18"/>
  <c r="F26" i="1"/>
  <c r="G24" i="1" s="1"/>
  <c r="H5" i="2"/>
  <c r="D129" i="18" s="1"/>
  <c r="D152" i="18" s="1"/>
  <c r="H13" i="2" l="1"/>
  <c r="D73" i="18" s="1"/>
  <c r="D7" i="18"/>
  <c r="B8" i="2"/>
  <c r="G28" i="1"/>
  <c r="G29" i="1" s="1"/>
  <c r="G32" i="1" s="1"/>
  <c r="G33" i="1" s="1"/>
  <c r="G34" i="1" s="1"/>
  <c r="G36" i="1" s="1"/>
  <c r="G38" i="1"/>
  <c r="G25" i="1" l="1"/>
  <c r="G26" i="1" s="1"/>
  <c r="H24" i="1" s="1"/>
  <c r="D77" i="18"/>
  <c r="D118" i="18"/>
  <c r="D144" i="18"/>
  <c r="D141" i="18"/>
  <c r="D142" i="18"/>
  <c r="D121" i="18"/>
  <c r="D107" i="18"/>
  <c r="G37" i="1"/>
  <c r="B11" i="2"/>
  <c r="H16" i="2" s="1"/>
  <c r="B13" i="2"/>
  <c r="H28" i="1"/>
  <c r="H29" i="1" s="1"/>
  <c r="H32" i="1" s="1"/>
  <c r="H33" i="1" s="1"/>
  <c r="H34" i="1" s="1"/>
  <c r="H36" i="1" s="1"/>
  <c r="H37" i="1" s="1"/>
  <c r="H38" i="1"/>
  <c r="D38" i="18"/>
  <c r="D57" i="18"/>
  <c r="D23" i="18"/>
  <c r="D15" i="18"/>
  <c r="D114" i="18" s="1"/>
  <c r="D85" i="18"/>
  <c r="D89" i="18" l="1"/>
  <c r="D119" i="18" s="1"/>
  <c r="B14" i="2"/>
  <c r="B15" i="2" s="1"/>
  <c r="H25" i="1"/>
  <c r="H26" i="1" s="1"/>
  <c r="I24" i="1" s="1"/>
  <c r="I28" i="1" l="1"/>
  <c r="I29" i="1" s="1"/>
  <c r="I32" i="1" s="1"/>
  <c r="I33" i="1" s="1"/>
  <c r="I34" i="1" s="1"/>
  <c r="I36" i="1" s="1"/>
  <c r="I38" i="1"/>
  <c r="I25" i="1" l="1"/>
  <c r="I26" i="1" s="1"/>
  <c r="I37" i="1"/>
  <c r="B9" i="21" l="1"/>
  <c r="B17" i="21" l="1"/>
  <c r="E14" i="21"/>
  <c r="E16" i="21" s="1"/>
  <c r="B16" i="21"/>
  <c r="D58" i="18" l="1"/>
  <c r="B52" i="21"/>
  <c r="B59" i="21"/>
  <c r="B37" i="21"/>
  <c r="B71" i="21"/>
  <c r="B69" i="21"/>
  <c r="B66" i="21"/>
  <c r="D66" i="21" s="1"/>
  <c r="B61" i="21"/>
  <c r="B54" i="21"/>
  <c r="B49" i="21"/>
  <c r="B41" i="21"/>
  <c r="B30" i="21"/>
  <c r="B36" i="21"/>
  <c r="B40" i="21"/>
  <c r="B38" i="21"/>
  <c r="B33" i="21"/>
  <c r="B60" i="21"/>
  <c r="B35" i="21"/>
  <c r="B72" i="21"/>
  <c r="D72" i="21" s="1"/>
  <c r="B67" i="21"/>
  <c r="B57" i="21"/>
  <c r="B55" i="21"/>
  <c r="B50" i="21"/>
  <c r="B28" i="21"/>
  <c r="B75" i="21"/>
  <c r="D75" i="21" s="1"/>
  <c r="B56" i="21"/>
  <c r="B46" i="21"/>
  <c r="B43" i="21"/>
  <c r="B26" i="21"/>
  <c r="B73" i="21"/>
  <c r="D67" i="21"/>
  <c r="B65" i="21"/>
  <c r="B45" i="21"/>
  <c r="B29" i="21"/>
  <c r="D69" i="21"/>
  <c r="B62" i="21"/>
  <c r="B39" i="21"/>
  <c r="B25" i="21"/>
  <c r="B64" i="21"/>
  <c r="B47" i="21"/>
  <c r="B44" i="21"/>
  <c r="B34" i="21"/>
  <c r="B31" i="21"/>
  <c r="B27" i="21"/>
  <c r="B74" i="21"/>
  <c r="D74" i="21" s="1"/>
  <c r="B70" i="21"/>
  <c r="D70" i="21" s="1"/>
  <c r="B68" i="21"/>
  <c r="D68" i="21" s="1"/>
  <c r="B63" i="21"/>
  <c r="B58" i="21"/>
  <c r="B53" i="21"/>
  <c r="B51" i="21"/>
  <c r="B48" i="21"/>
  <c r="B42" i="21"/>
  <c r="B32" i="21"/>
  <c r="D71" i="21"/>
  <c r="B54" i="20"/>
  <c r="B22" i="20"/>
  <c r="B81" i="21"/>
  <c r="B82" i="21" s="1"/>
  <c r="D27" i="21" l="1"/>
  <c r="C27" i="21"/>
  <c r="G27" i="21"/>
  <c r="H27" i="21" s="1"/>
  <c r="C56" i="21"/>
  <c r="F56" i="21"/>
  <c r="G56" i="21"/>
  <c r="H56" i="21" s="1"/>
  <c r="C41" i="21"/>
  <c r="F41" i="21"/>
  <c r="G41" i="21"/>
  <c r="H41" i="21" s="1"/>
  <c r="J67" i="21"/>
  <c r="K67" i="21" s="1"/>
  <c r="E67" i="21"/>
  <c r="F67" i="21" s="1"/>
  <c r="C33" i="21"/>
  <c r="F33" i="21"/>
  <c r="G33" i="21"/>
  <c r="H33" i="21" s="1"/>
  <c r="F63" i="21"/>
  <c r="C63" i="21"/>
  <c r="G63" i="21"/>
  <c r="H63" i="21" s="1"/>
  <c r="J70" i="21"/>
  <c r="K70" i="21" s="1"/>
  <c r="E70" i="21"/>
  <c r="F70" i="21" s="1"/>
  <c r="C57" i="21"/>
  <c r="F57" i="21"/>
  <c r="G57" i="21"/>
  <c r="H57" i="21" s="1"/>
  <c r="C38" i="21"/>
  <c r="F38" i="21"/>
  <c r="G38" i="21"/>
  <c r="H38" i="21" s="1"/>
  <c r="C54" i="21"/>
  <c r="F54" i="21"/>
  <c r="G54" i="21"/>
  <c r="H54" i="21" s="1"/>
  <c r="C37" i="21"/>
  <c r="F37" i="21"/>
  <c r="G37" i="21"/>
  <c r="H37" i="21" s="1"/>
  <c r="C31" i="21"/>
  <c r="D31" i="21"/>
  <c r="G31" i="21"/>
  <c r="H31" i="21" s="1"/>
  <c r="E74" i="21"/>
  <c r="F74" i="21" s="1"/>
  <c r="J74" i="21"/>
  <c r="K74" i="21" s="1"/>
  <c r="J75" i="21"/>
  <c r="K75" i="21" s="1"/>
  <c r="E75" i="21"/>
  <c r="F75" i="21" s="1"/>
  <c r="E69" i="21"/>
  <c r="F69" i="21" s="1"/>
  <c r="J69" i="21"/>
  <c r="K69" i="21" s="1"/>
  <c r="C26" i="21"/>
  <c r="D26" i="21"/>
  <c r="G26" i="21"/>
  <c r="H26" i="21" s="1"/>
  <c r="E66" i="21"/>
  <c r="F66" i="21" s="1"/>
  <c r="J66" i="21"/>
  <c r="K66" i="21" s="1"/>
  <c r="C67" i="21"/>
  <c r="G67" i="21"/>
  <c r="H67" i="21" s="1"/>
  <c r="C40" i="21"/>
  <c r="F40" i="21"/>
  <c r="G40" i="21"/>
  <c r="H40" i="21" s="1"/>
  <c r="C61" i="21"/>
  <c r="F61" i="21"/>
  <c r="G61" i="21"/>
  <c r="H61" i="21" s="1"/>
  <c r="C59" i="21"/>
  <c r="F59" i="21"/>
  <c r="G59" i="21"/>
  <c r="H59" i="21" s="1"/>
  <c r="F53" i="21"/>
  <c r="C53" i="21"/>
  <c r="G53" i="21"/>
  <c r="H53" i="21" s="1"/>
  <c r="C65" i="21"/>
  <c r="F65" i="21"/>
  <c r="G65" i="21"/>
  <c r="H65" i="21" s="1"/>
  <c r="C60" i="21"/>
  <c r="F60" i="21"/>
  <c r="G60" i="21"/>
  <c r="H60" i="21" s="1"/>
  <c r="D32" i="21"/>
  <c r="C32" i="21"/>
  <c r="G32" i="21"/>
  <c r="H32" i="21" s="1"/>
  <c r="E68" i="21"/>
  <c r="F68" i="21" s="1"/>
  <c r="J68" i="21"/>
  <c r="K68" i="21" s="1"/>
  <c r="C49" i="21"/>
  <c r="F49" i="21"/>
  <c r="G49" i="21"/>
  <c r="H49" i="21" s="1"/>
  <c r="C42" i="21"/>
  <c r="F42" i="21"/>
  <c r="G42" i="21"/>
  <c r="H42" i="21" s="1"/>
  <c r="C34" i="21"/>
  <c r="F34" i="21"/>
  <c r="G34" i="21"/>
  <c r="H34" i="21" s="1"/>
  <c r="C62" i="21"/>
  <c r="F62" i="21"/>
  <c r="G62" i="21"/>
  <c r="H62" i="21" s="1"/>
  <c r="C73" i="21"/>
  <c r="G73" i="21"/>
  <c r="H73" i="21" s="1"/>
  <c r="C44" i="21"/>
  <c r="F44" i="21"/>
  <c r="G44" i="21"/>
  <c r="H44" i="21" s="1"/>
  <c r="J72" i="21"/>
  <c r="K72" i="21" s="1"/>
  <c r="E72" i="21"/>
  <c r="F72" i="21" s="1"/>
  <c r="F48" i="21"/>
  <c r="C48" i="21"/>
  <c r="G48" i="21"/>
  <c r="H48" i="21" s="1"/>
  <c r="C70" i="21"/>
  <c r="G70" i="21"/>
  <c r="H70" i="21" s="1"/>
  <c r="C47" i="21"/>
  <c r="F47" i="21"/>
  <c r="G47" i="21"/>
  <c r="H47" i="21" s="1"/>
  <c r="D29" i="21"/>
  <c r="C29" i="21"/>
  <c r="G29" i="21"/>
  <c r="H29" i="21" s="1"/>
  <c r="C43" i="21"/>
  <c r="F43" i="21"/>
  <c r="G43" i="21"/>
  <c r="H43" i="21" s="1"/>
  <c r="C75" i="21"/>
  <c r="G75" i="21"/>
  <c r="H75" i="21" s="1"/>
  <c r="C72" i="21"/>
  <c r="G72" i="21"/>
  <c r="H72" i="21" s="1"/>
  <c r="C36" i="21"/>
  <c r="F36" i="21"/>
  <c r="G36" i="21"/>
  <c r="H36" i="21" s="1"/>
  <c r="C66" i="21"/>
  <c r="G66" i="21"/>
  <c r="H66" i="21" s="1"/>
  <c r="C52" i="21"/>
  <c r="F52" i="21"/>
  <c r="G52" i="21"/>
  <c r="H52" i="21" s="1"/>
  <c r="E71" i="21"/>
  <c r="F71" i="21" s="1"/>
  <c r="J71" i="21"/>
  <c r="K71" i="21" s="1"/>
  <c r="D25" i="21"/>
  <c r="C25" i="21"/>
  <c r="C50" i="21"/>
  <c r="F50" i="21"/>
  <c r="G50" i="21"/>
  <c r="H50" i="21" s="1"/>
  <c r="C71" i="21"/>
  <c r="G71" i="21"/>
  <c r="H71" i="21" s="1"/>
  <c r="C58" i="21"/>
  <c r="F58" i="21"/>
  <c r="G58" i="21"/>
  <c r="H58" i="21" s="1"/>
  <c r="C39" i="21"/>
  <c r="F39" i="21"/>
  <c r="G39" i="21"/>
  <c r="H39" i="21" s="1"/>
  <c r="C55" i="21"/>
  <c r="F55" i="21"/>
  <c r="G55" i="21"/>
  <c r="H55" i="21" s="1"/>
  <c r="B25" i="20"/>
  <c r="B26" i="20" s="1"/>
  <c r="D40" i="18"/>
  <c r="D41" i="18" s="1"/>
  <c r="B58" i="20"/>
  <c r="D25" i="18"/>
  <c r="D26" i="18" s="1"/>
  <c r="C68" i="21"/>
  <c r="G68" i="21"/>
  <c r="H68" i="21" s="1"/>
  <c r="D73" i="21"/>
  <c r="C51" i="21"/>
  <c r="F51" i="21"/>
  <c r="G51" i="21"/>
  <c r="H51" i="21" s="1"/>
  <c r="C74" i="21"/>
  <c r="G74" i="21"/>
  <c r="H74" i="21" s="1"/>
  <c r="C64" i="21"/>
  <c r="F64" i="21"/>
  <c r="G64" i="21"/>
  <c r="H64" i="21" s="1"/>
  <c r="F45" i="21"/>
  <c r="C45" i="21"/>
  <c r="G45" i="21"/>
  <c r="H45" i="21" s="1"/>
  <c r="F46" i="21"/>
  <c r="C46" i="21"/>
  <c r="G46" i="21"/>
  <c r="H46" i="21" s="1"/>
  <c r="C28" i="21"/>
  <c r="D28" i="21"/>
  <c r="G28" i="21"/>
  <c r="H28" i="21" s="1"/>
  <c r="C35" i="21"/>
  <c r="F35" i="21"/>
  <c r="G35" i="21"/>
  <c r="H35" i="21" s="1"/>
  <c r="D30" i="21"/>
  <c r="C30" i="21"/>
  <c r="G30" i="21"/>
  <c r="H30" i="21" s="1"/>
  <c r="C69" i="21"/>
  <c r="G69" i="21"/>
  <c r="H69" i="21" s="1"/>
  <c r="D60" i="18"/>
  <c r="H31" i="20" l="1"/>
  <c r="I58" i="21"/>
  <c r="I52" i="21"/>
  <c r="I43" i="21"/>
  <c r="I47" i="21"/>
  <c r="I48" i="21"/>
  <c r="I34" i="21"/>
  <c r="I49" i="21"/>
  <c r="I37" i="21"/>
  <c r="I38" i="21"/>
  <c r="I55" i="21"/>
  <c r="I45" i="21"/>
  <c r="D24" i="18"/>
  <c r="D138" i="18" s="1"/>
  <c r="I20" i="18"/>
  <c r="I23" i="18" s="1"/>
  <c r="I115" i="18" s="1"/>
  <c r="I57" i="21"/>
  <c r="D39" i="18"/>
  <c r="D139" i="18" s="1"/>
  <c r="I35" i="18"/>
  <c r="I38" i="18" s="1"/>
  <c r="I116" i="18" s="1"/>
  <c r="H64" i="20"/>
  <c r="B59" i="20"/>
  <c r="B75" i="20" s="1"/>
  <c r="I74" i="21"/>
  <c r="I54" i="21"/>
  <c r="E28" i="21"/>
  <c r="F28" i="21" s="1"/>
  <c r="I28" i="21" s="1"/>
  <c r="J28" i="21"/>
  <c r="K28" i="21" s="1"/>
  <c r="E30" i="21"/>
  <c r="F30" i="21" s="1"/>
  <c r="I30" i="21" s="1"/>
  <c r="J30" i="21"/>
  <c r="K30" i="21" s="1"/>
  <c r="I51" i="21"/>
  <c r="J25" i="21"/>
  <c r="K25" i="21" s="1"/>
  <c r="E25" i="21"/>
  <c r="I60" i="21"/>
  <c r="I61" i="21"/>
  <c r="E32" i="21"/>
  <c r="F32" i="21" s="1"/>
  <c r="I32" i="21" s="1"/>
  <c r="J32" i="21"/>
  <c r="K32" i="21" s="1"/>
  <c r="I67" i="21"/>
  <c r="I35" i="21"/>
  <c r="I64" i="21"/>
  <c r="I39" i="21"/>
  <c r="I62" i="21"/>
  <c r="I42" i="21"/>
  <c r="I68" i="21"/>
  <c r="I53" i="21"/>
  <c r="I69" i="21"/>
  <c r="J31" i="21"/>
  <c r="K31" i="21" s="1"/>
  <c r="E31" i="21"/>
  <c r="F31" i="21" s="1"/>
  <c r="I31" i="21" s="1"/>
  <c r="I63" i="21"/>
  <c r="E26" i="21"/>
  <c r="F26" i="21" s="1"/>
  <c r="I26" i="21" s="1"/>
  <c r="J26" i="21"/>
  <c r="K26" i="21" s="1"/>
  <c r="I72" i="21"/>
  <c r="I56" i="21"/>
  <c r="I46" i="21"/>
  <c r="E73" i="21"/>
  <c r="F73" i="21" s="1"/>
  <c r="I73" i="21" s="1"/>
  <c r="J73" i="21"/>
  <c r="K73" i="21" s="1"/>
  <c r="I71" i="21"/>
  <c r="E29" i="21"/>
  <c r="F29" i="21" s="1"/>
  <c r="I29" i="21" s="1"/>
  <c r="J29" i="21"/>
  <c r="K29" i="21" s="1"/>
  <c r="I44" i="21"/>
  <c r="I66" i="21"/>
  <c r="I75" i="21"/>
  <c r="I41" i="21"/>
  <c r="I50" i="21"/>
  <c r="I36" i="21"/>
  <c r="I65" i="21"/>
  <c r="I59" i="21"/>
  <c r="I40" i="21"/>
  <c r="I70" i="21"/>
  <c r="I33" i="21"/>
  <c r="E27" i="21"/>
  <c r="F27" i="21" s="1"/>
  <c r="I27" i="21" s="1"/>
  <c r="J27" i="21"/>
  <c r="K27" i="21" s="1"/>
  <c r="B30" i="20"/>
  <c r="B27" i="20"/>
  <c r="B41" i="20"/>
  <c r="B42" i="20"/>
  <c r="I123" i="18" l="1"/>
  <c r="B60" i="20"/>
  <c r="F62" i="20" s="1"/>
  <c r="A74" i="20" s="1"/>
  <c r="D21" i="18"/>
  <c r="B63" i="20"/>
  <c r="B74" i="20"/>
  <c r="F29" i="20"/>
  <c r="A41" i="20" s="1"/>
  <c r="A40" i="20"/>
  <c r="B29" i="20"/>
  <c r="H28" i="20" s="1"/>
  <c r="B28" i="20"/>
  <c r="F27" i="20"/>
  <c r="D42" i="18" s="1"/>
  <c r="F26" i="20"/>
  <c r="A42" i="20" s="1"/>
  <c r="F28" i="20"/>
  <c r="B62" i="20" l="1"/>
  <c r="H61" i="20" s="1"/>
  <c r="H62" i="20" s="1"/>
  <c r="F61" i="20"/>
  <c r="B65" i="20" s="1"/>
  <c r="B61" i="20"/>
  <c r="A73" i="20"/>
  <c r="F59" i="20"/>
  <c r="A75" i="20" s="1"/>
  <c r="F60" i="20"/>
  <c r="D27" i="18" s="1"/>
  <c r="D30" i="18" s="1"/>
  <c r="D115" i="18" s="1"/>
  <c r="H121" i="18"/>
  <c r="H120" i="18"/>
  <c r="H119" i="18"/>
  <c r="H125" i="18"/>
  <c r="H118" i="18"/>
  <c r="H114" i="18"/>
  <c r="H115" i="18"/>
  <c r="H116" i="18"/>
  <c r="D116" i="18"/>
  <c r="H29" i="20"/>
  <c r="H30" i="20"/>
  <c r="H65" i="20"/>
  <c r="B32" i="20"/>
  <c r="H32" i="20"/>
  <c r="I77" i="21"/>
  <c r="B85" i="21" s="1"/>
  <c r="B89" i="21" s="1"/>
  <c r="I140" i="18" s="1"/>
  <c r="F77" i="21"/>
  <c r="H63" i="20" l="1"/>
  <c r="H67" i="20" s="1"/>
  <c r="I138" i="18" s="1"/>
  <c r="H34" i="20"/>
  <c r="I139" i="18" s="1"/>
  <c r="D59" i="18"/>
  <c r="D140" i="18" s="1"/>
  <c r="I51" i="18"/>
  <c r="I117" i="18" s="1"/>
  <c r="H117" i="18" s="1"/>
  <c r="H123" i="18" s="1"/>
  <c r="D67" i="18"/>
  <c r="D117" i="18" s="1"/>
  <c r="D123" i="18" s="1"/>
  <c r="D146" i="18"/>
  <c r="H137" i="18" l="1"/>
  <c r="B34" i="20"/>
  <c r="B67" i="20"/>
  <c r="C140" i="18"/>
  <c r="D150" i="18"/>
  <c r="D153" i="18" s="1"/>
  <c r="C143" i="18"/>
  <c r="C137" i="18"/>
  <c r="C142" i="18"/>
  <c r="C141" i="18"/>
  <c r="C144" i="18"/>
  <c r="C138" i="18"/>
  <c r="C139" i="18"/>
  <c r="C115" i="18"/>
  <c r="D127" i="18"/>
  <c r="D130" i="18" s="1"/>
  <c r="C121" i="18"/>
  <c r="C119" i="18"/>
  <c r="C114" i="18"/>
  <c r="C117" i="18"/>
  <c r="C120" i="18"/>
  <c r="C116" i="18"/>
  <c r="C118" i="18"/>
  <c r="H142" i="18" l="1"/>
  <c r="H139" i="18"/>
  <c r="H138" i="18"/>
  <c r="H140" i="18"/>
  <c r="C146" i="18"/>
  <c r="C123" i="18"/>
</calcChain>
</file>

<file path=xl/sharedStrings.xml><?xml version="1.0" encoding="utf-8"?>
<sst xmlns="http://schemas.openxmlformats.org/spreadsheetml/2006/main" count="722" uniqueCount="394">
  <si>
    <t>Mission Requirements</t>
  </si>
  <si>
    <t>Max. Mach</t>
  </si>
  <si>
    <t>Cruise Mach</t>
  </si>
  <si>
    <t>Cruise Alt. (ft)</t>
  </si>
  <si>
    <t>Range (nm)</t>
  </si>
  <si>
    <t>Payload: Non-exp. (lb)</t>
  </si>
  <si>
    <t>Engine: TSFC Min.</t>
  </si>
  <si>
    <t>Engine: Thrust (lbs)</t>
  </si>
  <si>
    <t>Aspect Ratio</t>
  </si>
  <si>
    <t>Structure Factor</t>
  </si>
  <si>
    <t>Loiter: Time (min)</t>
  </si>
  <si>
    <t>Loiter: Altitude (ft)</t>
  </si>
  <si>
    <t>Fuel Reserve (%)</t>
  </si>
  <si>
    <t>Trapped Fuel (%)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</si>
  <si>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</si>
  <si>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</si>
  <si>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</si>
  <si>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</si>
  <si>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</si>
  <si>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</si>
  <si>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</si>
  <si>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Weight: T-O (estimated)</t>
  </si>
  <si>
    <t>Weight: T-O (final)</t>
  </si>
  <si>
    <t>Surplus Empty Wt. (lbs)</t>
  </si>
  <si>
    <t>1. Start-up &amp; T-O</t>
  </si>
  <si>
    <t>2. Climb &amp; Accel. to Cruise</t>
  </si>
  <si>
    <t>3a. L/D</t>
  </si>
  <si>
    <t>3b. V (f/s)</t>
  </si>
  <si>
    <t>3c. Cruise to destination</t>
  </si>
  <si>
    <t>4. Loiter</t>
  </si>
  <si>
    <t>5. Land</t>
  </si>
  <si>
    <t>Total Fuel Wt. (lbs)</t>
  </si>
  <si>
    <t>Available Empty Wt. (lbs)</t>
  </si>
  <si>
    <t>Required Empty Wt. (lbs)</t>
  </si>
  <si>
    <t>Wing Loading</t>
  </si>
  <si>
    <t>Take-off</t>
  </si>
  <si>
    <t>Landing</t>
  </si>
  <si>
    <t>Weights</t>
  </si>
  <si>
    <t>H (f)</t>
  </si>
  <si>
    <t>TOGW</t>
  </si>
  <si>
    <t>CL(max)</t>
  </si>
  <si>
    <t>Start-up &amp; Takeoff</t>
  </si>
  <si>
    <t>T(max) (lb)</t>
  </si>
  <si>
    <t>Climb</t>
  </si>
  <si>
    <t>W_TO (lb)</t>
  </si>
  <si>
    <t>W_L (lb)</t>
  </si>
  <si>
    <t>Cruise Out</t>
  </si>
  <si>
    <t>S (f^2)</t>
  </si>
  <si>
    <t>Loiter</t>
  </si>
  <si>
    <t>Land</t>
  </si>
  <si>
    <t>W/S (lb/f^2)</t>
  </si>
  <si>
    <t>SIGMA</t>
  </si>
  <si>
    <t>Fuel Capacity</t>
  </si>
  <si>
    <t>T/W</t>
  </si>
  <si>
    <t>Max Landing Weight</t>
  </si>
  <si>
    <t>TOP</t>
  </si>
  <si>
    <t>LP</t>
  </si>
  <si>
    <t>S_TO (f)</t>
  </si>
  <si>
    <t>S_LND (f)</t>
  </si>
  <si>
    <t>Takeoff</t>
  </si>
  <si>
    <t>CRUISE CLIMB</t>
  </si>
  <si>
    <t>Cruise start</t>
  </si>
  <si>
    <t>Cruise end</t>
  </si>
  <si>
    <t>Cruise Start</t>
  </si>
  <si>
    <t>Cruise End</t>
  </si>
  <si>
    <t>Cfe</t>
  </si>
  <si>
    <r>
      <t>S</t>
    </r>
    <r>
      <rPr>
        <vertAlign val="subscript"/>
        <sz val="10"/>
        <color rgb="FF000000"/>
        <rFont val="Arial"/>
        <family val="2"/>
      </rPr>
      <t>wet</t>
    </r>
    <r>
      <rPr>
        <sz val="10"/>
        <color indexed="8"/>
        <rFont val="Arial"/>
        <family val="2"/>
      </rPr>
      <t>/S</t>
    </r>
    <r>
      <rPr>
        <vertAlign val="subscript"/>
        <sz val="10"/>
        <color rgb="FF000000"/>
        <rFont val="Arial"/>
        <family val="2"/>
      </rPr>
      <t>ref</t>
    </r>
  </si>
  <si>
    <t>CD_0</t>
  </si>
  <si>
    <t>A</t>
  </si>
  <si>
    <t>W (lb)</t>
  </si>
  <si>
    <t>Lift (lb)</t>
  </si>
  <si>
    <t>Delta</t>
  </si>
  <si>
    <t>Cruise CL</t>
  </si>
  <si>
    <t>k</t>
  </si>
  <si>
    <t>V (f/s)</t>
  </si>
  <si>
    <t>rho (lbm/f^3)</t>
  </si>
  <si>
    <t>q (lbf/f^2)</t>
  </si>
  <si>
    <t>W/S_optimum</t>
  </si>
  <si>
    <t>W/S_actual</t>
  </si>
  <si>
    <t>Wing Design</t>
  </si>
  <si>
    <t>Design Parameters</t>
  </si>
  <si>
    <t>Airfoil Data</t>
  </si>
  <si>
    <t xml:space="preserve">  Air Properties</t>
  </si>
  <si>
    <t>M</t>
  </si>
  <si>
    <t>Name</t>
  </si>
  <si>
    <t>NACA 64A204</t>
  </si>
  <si>
    <t>ft</t>
  </si>
  <si>
    <t>S</t>
  </si>
  <si>
    <r>
      <t>ft</t>
    </r>
    <r>
      <rPr>
        <vertAlign val="superscript"/>
        <sz val="8"/>
        <rFont val="Arial"/>
        <family val="2"/>
      </rPr>
      <t>2</t>
    </r>
  </si>
  <si>
    <r>
      <t>Cl</t>
    </r>
    <r>
      <rPr>
        <vertAlign val="subscript"/>
        <sz val="10"/>
        <rFont val="Arial"/>
        <family val="2"/>
      </rPr>
      <t>max</t>
    </r>
  </si>
  <si>
    <t xml:space="preserve"> V </t>
  </si>
  <si>
    <t>f/s</t>
  </si>
  <si>
    <r>
      <t>Cl</t>
    </r>
    <r>
      <rPr>
        <vertAlign val="subscript"/>
        <sz val="10"/>
        <rFont val="Symbol"/>
        <family val="1"/>
        <charset val="2"/>
      </rPr>
      <t>a</t>
    </r>
  </si>
  <si>
    <t>1/deg</t>
  </si>
  <si>
    <r>
      <t>r</t>
    </r>
    <r>
      <rPr>
        <sz val="10"/>
        <rFont val="Arial"/>
        <family val="2"/>
      </rPr>
      <t xml:space="preserve"> </t>
    </r>
  </si>
  <si>
    <t>lbm/f^3</t>
  </si>
  <si>
    <r>
      <t>L</t>
    </r>
    <r>
      <rPr>
        <vertAlign val="subscript"/>
        <sz val="10"/>
        <rFont val="Arial"/>
        <family val="2"/>
      </rPr>
      <t>LE</t>
    </r>
  </si>
  <si>
    <t>deg</t>
  </si>
  <si>
    <t>a.c.</t>
  </si>
  <si>
    <t>c</t>
  </si>
  <si>
    <t xml:space="preserve">q </t>
  </si>
  <si>
    <t>lbf/f^2</t>
  </si>
  <si>
    <t>t/c</t>
  </si>
  <si>
    <r>
      <t>a</t>
    </r>
    <r>
      <rPr>
        <vertAlign val="subscript"/>
        <sz val="10"/>
        <rFont val="Arial"/>
        <family val="2"/>
      </rPr>
      <t>0L</t>
    </r>
  </si>
  <si>
    <r>
      <t>m</t>
    </r>
    <r>
      <rPr>
        <sz val="10"/>
        <rFont val="Arial"/>
        <family val="2"/>
      </rPr>
      <t xml:space="preserve">  </t>
    </r>
  </si>
  <si>
    <t xml:space="preserve">lbm/(f-s) </t>
  </si>
  <si>
    <t>l</t>
  </si>
  <si>
    <r>
      <t>Cd</t>
    </r>
    <r>
      <rPr>
        <sz val="8"/>
        <rFont val="Arial"/>
        <family val="2"/>
      </rPr>
      <t>0</t>
    </r>
  </si>
  <si>
    <r>
      <t xml:space="preserve">n </t>
    </r>
    <r>
      <rPr>
        <sz val="10"/>
        <rFont val="Arial"/>
        <family val="2"/>
      </rPr>
      <t>(cruise)</t>
    </r>
  </si>
  <si>
    <t>f^2/s</t>
  </si>
  <si>
    <t>W c-start</t>
  </si>
  <si>
    <t>lb</t>
  </si>
  <si>
    <r>
      <t>r</t>
    </r>
    <r>
      <rPr>
        <vertAlign val="subscript"/>
        <sz val="10"/>
        <rFont val="Arial"/>
        <family val="2"/>
      </rPr>
      <t>le</t>
    </r>
  </si>
  <si>
    <t xml:space="preserve">W c-end </t>
  </si>
  <si>
    <r>
      <t>Cl</t>
    </r>
    <r>
      <rPr>
        <vertAlign val="subscript"/>
        <sz val="10"/>
        <rFont val="Arial"/>
        <family val="2"/>
      </rPr>
      <t>minD</t>
    </r>
  </si>
  <si>
    <t>0.1 - 0.3</t>
  </si>
  <si>
    <t>q c-start</t>
  </si>
  <si>
    <t>(t/c)max</t>
  </si>
  <si>
    <t>q c-end</t>
  </si>
  <si>
    <t>Cl c-start</t>
  </si>
  <si>
    <t>Cl c-end</t>
  </si>
  <si>
    <t>Calculations</t>
  </si>
  <si>
    <t>Sweep Angles</t>
  </si>
  <si>
    <t>b</t>
  </si>
  <si>
    <t>x/c</t>
  </si>
  <si>
    <r>
      <t>L</t>
    </r>
    <r>
      <rPr>
        <vertAlign val="subscript"/>
        <sz val="10"/>
        <rFont val="Arial"/>
        <family val="2"/>
      </rPr>
      <t xml:space="preserve">x/c </t>
    </r>
    <r>
      <rPr>
        <sz val="10"/>
        <rFont val="Arial"/>
        <family val="2"/>
      </rPr>
      <t>(deg)</t>
    </r>
  </si>
  <si>
    <r>
      <t>M</t>
    </r>
    <r>
      <rPr>
        <vertAlign val="subscript"/>
        <sz val="10"/>
        <rFont val="Arial"/>
        <family val="2"/>
      </rPr>
      <t>eff</t>
    </r>
  </si>
  <si>
    <t>LE</t>
  </si>
  <si>
    <r>
      <t>c</t>
    </r>
    <r>
      <rPr>
        <vertAlign val="subscript"/>
        <sz val="10"/>
        <rFont val="Arial"/>
        <family val="2"/>
      </rPr>
      <t>r</t>
    </r>
  </si>
  <si>
    <t>1/4C</t>
  </si>
  <si>
    <r>
      <t>c</t>
    </r>
    <r>
      <rPr>
        <vertAlign val="subscript"/>
        <sz val="10"/>
        <rFont val="Arial"/>
        <family val="2"/>
      </rPr>
      <t>t</t>
    </r>
  </si>
  <si>
    <t>a.c</t>
  </si>
  <si>
    <t>MAC</t>
  </si>
  <si>
    <r>
      <t>y</t>
    </r>
    <r>
      <rPr>
        <vertAlign val="subscript"/>
        <sz val="10"/>
        <rFont val="Arial"/>
        <family val="2"/>
      </rPr>
      <t>MAC</t>
    </r>
  </si>
  <si>
    <t>TE</t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</si>
  <si>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  <charset val="2"/>
      </rPr>
      <t>a</t>
    </r>
  </si>
  <si>
    <t>Viscous Drag</t>
  </si>
  <si>
    <r>
      <t>C</t>
    </r>
    <r>
      <rPr>
        <vertAlign val="subscript"/>
        <sz val="10"/>
        <rFont val="Arial"/>
        <family val="2"/>
      </rPr>
      <t>Lo</t>
    </r>
  </si>
  <si>
    <t>V_eff</t>
  </si>
  <si>
    <r>
      <t>a</t>
    </r>
    <r>
      <rPr>
        <vertAlign val="subscript"/>
        <sz val="10"/>
        <rFont val="Arial"/>
        <family val="2"/>
      </rPr>
      <t>trim</t>
    </r>
  </si>
  <si>
    <t>q_eff</t>
  </si>
  <si>
    <r>
      <t>C</t>
    </r>
    <r>
      <rPr>
        <vertAlign val="subscript"/>
        <sz val="10"/>
        <rFont val="Arial"/>
        <family val="2"/>
      </rPr>
      <t>Ltrim</t>
    </r>
  </si>
  <si>
    <t>Re_mac</t>
  </si>
  <si>
    <t>sqrt(Re)</t>
  </si>
  <si>
    <r>
      <t>C</t>
    </r>
    <r>
      <rPr>
        <vertAlign val="subscript"/>
        <sz val="10"/>
        <rFont val="Arial"/>
        <family val="2"/>
      </rPr>
      <t>D</t>
    </r>
  </si>
  <si>
    <t>Cf</t>
  </si>
  <si>
    <t>L/D</t>
  </si>
  <si>
    <t>S_wet</t>
  </si>
  <si>
    <t>F</t>
  </si>
  <si>
    <t>Q</t>
  </si>
  <si>
    <t>Total Drag</t>
  </si>
  <si>
    <t>lbf</t>
  </si>
  <si>
    <r>
      <t>C</t>
    </r>
    <r>
      <rPr>
        <vertAlign val="subscript"/>
        <sz val="10"/>
        <rFont val="Arial"/>
        <family val="2"/>
      </rPr>
      <t>D0</t>
    </r>
  </si>
  <si>
    <t>Plotting:</t>
  </si>
  <si>
    <t>Spanwise View</t>
  </si>
  <si>
    <t>x</t>
  </si>
  <si>
    <t>y</t>
  </si>
  <si>
    <t xml:space="preserve">Lift Curves </t>
  </si>
  <si>
    <t>a</t>
  </si>
  <si>
    <t>Cl</t>
  </si>
  <si>
    <t>CL</t>
  </si>
  <si>
    <t>Fuselage Design</t>
  </si>
  <si>
    <t>Flight Regime Data:</t>
  </si>
  <si>
    <r>
      <t>r</t>
    </r>
    <r>
      <rPr>
        <sz val="10"/>
        <rFont val="Arial"/>
        <family val="2"/>
      </rPr>
      <t xml:space="preserve"> (lbm/f^3)</t>
    </r>
  </si>
  <si>
    <r>
      <t>m</t>
    </r>
    <r>
      <rPr>
        <sz val="10"/>
        <rFont val="Arial"/>
        <family val="2"/>
      </rPr>
      <t xml:space="preserve">  (lbm/(f-s)) </t>
    </r>
  </si>
  <si>
    <r>
      <t xml:space="preserve">n </t>
    </r>
    <r>
      <rPr>
        <sz val="10"/>
        <rFont val="Arial"/>
        <family val="2"/>
      </rPr>
      <t>(cruise) (f^2/s)</t>
    </r>
  </si>
  <si>
    <t>Dimension Data:</t>
  </si>
  <si>
    <t>Form Factors:</t>
  </si>
  <si>
    <t>D-max (ft)</t>
  </si>
  <si>
    <t>Fineness L/D</t>
  </si>
  <si>
    <t>L (ft)</t>
  </si>
  <si>
    <t>F*Q</t>
  </si>
  <si>
    <t>lc - nose / L</t>
  </si>
  <si>
    <t>lc - tail / L</t>
  </si>
  <si>
    <t>n</t>
  </si>
  <si>
    <t>Viscous Drag Calculations:</t>
  </si>
  <si>
    <t>Power Series Cylinder</t>
  </si>
  <si>
    <t>x/L</t>
  </si>
  <si>
    <t>x (ft)</t>
  </si>
  <si>
    <t>x-L/2 (ft)</t>
  </si>
  <si>
    <t>D (ft)</t>
  </si>
  <si>
    <t>P (ft)</t>
  </si>
  <si>
    <t>Sw(ft^2)</t>
  </si>
  <si>
    <r>
      <t>Re</t>
    </r>
    <r>
      <rPr>
        <vertAlign val="subscript"/>
        <sz val="10"/>
        <rFont val="Arial"/>
        <family val="2"/>
      </rPr>
      <t>x</t>
    </r>
  </si>
  <si>
    <r>
      <t>C</t>
    </r>
    <r>
      <rPr>
        <vertAlign val="subscript"/>
        <sz val="10"/>
        <rFont val="Arial"/>
        <family val="2"/>
      </rPr>
      <t>F</t>
    </r>
  </si>
  <si>
    <t>Drag (lbf)</t>
  </si>
  <si>
    <t>+y (ft)</t>
  </si>
  <si>
    <t>-y (ft)</t>
  </si>
  <si>
    <t>Totals:</t>
  </si>
  <si>
    <t>Swet</t>
  </si>
  <si>
    <t>Drag (lb)</t>
  </si>
  <si>
    <t>Wave Drag Calculations:</t>
  </si>
  <si>
    <t>A_max</t>
  </si>
  <si>
    <r>
      <t>C</t>
    </r>
    <r>
      <rPr>
        <sz val="9"/>
        <rFont val="Arial"/>
        <family val="2"/>
      </rPr>
      <t>D</t>
    </r>
    <r>
      <rPr>
        <sz val="10"/>
        <rFont val="Arial"/>
        <family val="2"/>
      </rPr>
      <t>W</t>
    </r>
  </si>
  <si>
    <t xml:space="preserve">Total Drag: </t>
  </si>
  <si>
    <t>(lbf)</t>
  </si>
  <si>
    <t>Equiv. CD</t>
  </si>
  <si>
    <t>Tail Design</t>
  </si>
  <si>
    <t xml:space="preserve">   Main Wing Reference</t>
  </si>
  <si>
    <t>m.a.c.</t>
  </si>
  <si>
    <t>Cruise M</t>
  </si>
  <si>
    <t>Vertical Tail</t>
  </si>
  <si>
    <r>
      <t>C</t>
    </r>
    <r>
      <rPr>
        <vertAlign val="subscript"/>
        <sz val="10"/>
        <rFont val="Arial"/>
        <family val="2"/>
      </rPr>
      <t>VT</t>
    </r>
  </si>
  <si>
    <t>NACA 64-004</t>
  </si>
  <si>
    <r>
      <t>l</t>
    </r>
    <r>
      <rPr>
        <vertAlign val="subscript"/>
        <sz val="10"/>
        <rFont val="Arial"/>
        <family val="2"/>
      </rPr>
      <t>VT</t>
    </r>
    <r>
      <rPr>
        <sz val="10"/>
        <rFont val="Arial"/>
        <family val="2"/>
      </rPr>
      <t xml:space="preserve"> / l</t>
    </r>
    <r>
      <rPr>
        <vertAlign val="subscript"/>
        <sz val="10"/>
        <rFont val="Arial"/>
        <family val="2"/>
      </rPr>
      <t>fuse</t>
    </r>
  </si>
  <si>
    <r>
      <t>l-</t>
    </r>
    <r>
      <rPr>
        <sz val="10"/>
        <rFont val="Arial"/>
        <family val="2"/>
      </rPr>
      <t>vt</t>
    </r>
  </si>
  <si>
    <t>AR-vt</t>
  </si>
  <si>
    <t>Cd</t>
  </si>
  <si>
    <r>
      <t>l</t>
    </r>
    <r>
      <rPr>
        <vertAlign val="subscript"/>
        <sz val="10"/>
        <rFont val="Arial"/>
        <family val="2"/>
      </rPr>
      <t>VT</t>
    </r>
  </si>
  <si>
    <r>
      <t>S</t>
    </r>
    <r>
      <rPr>
        <vertAlign val="subscript"/>
        <sz val="10"/>
        <rFont val="Arial"/>
        <family val="2"/>
      </rPr>
      <t>VT</t>
    </r>
  </si>
  <si>
    <r>
      <t>h</t>
    </r>
    <r>
      <rPr>
        <vertAlign val="subscript"/>
        <sz val="10"/>
        <rFont val="Arial"/>
        <family val="2"/>
      </rPr>
      <t>VT</t>
    </r>
  </si>
  <si>
    <t>1/4 chord</t>
  </si>
  <si>
    <t>M_eff</t>
  </si>
  <si>
    <t>MAC-vt</t>
  </si>
  <si>
    <r>
      <t>y</t>
    </r>
    <r>
      <rPr>
        <vertAlign val="subscript"/>
        <sz val="10"/>
        <rFont val="Arial"/>
        <family val="2"/>
      </rPr>
      <t>MAC</t>
    </r>
    <r>
      <rPr>
        <sz val="10"/>
        <rFont val="Arial"/>
        <family val="2"/>
      </rPr>
      <t>-vt</t>
    </r>
  </si>
  <si>
    <t>y (ft)</t>
  </si>
  <si>
    <t>Horizontal Tail</t>
  </si>
  <si>
    <r>
      <t>C</t>
    </r>
    <r>
      <rPr>
        <vertAlign val="subscript"/>
        <sz val="10"/>
        <rFont val="Arial"/>
        <family val="2"/>
      </rPr>
      <t>HT</t>
    </r>
  </si>
  <si>
    <r>
      <t>l</t>
    </r>
    <r>
      <rPr>
        <vertAlign val="subscript"/>
        <sz val="10"/>
        <rFont val="Arial"/>
        <family val="2"/>
      </rPr>
      <t>HT</t>
    </r>
    <r>
      <rPr>
        <sz val="10"/>
        <rFont val="Arial"/>
        <family val="2"/>
      </rPr>
      <t xml:space="preserve"> / l</t>
    </r>
    <r>
      <rPr>
        <vertAlign val="subscript"/>
        <sz val="10"/>
        <rFont val="Arial"/>
        <family val="2"/>
      </rPr>
      <t>fuse</t>
    </r>
  </si>
  <si>
    <r>
      <t>l-</t>
    </r>
    <r>
      <rPr>
        <sz val="10"/>
        <rFont val="Arial"/>
        <family val="2"/>
      </rPr>
      <t>ht</t>
    </r>
  </si>
  <si>
    <t>AR-ht</t>
  </si>
  <si>
    <r>
      <t>l</t>
    </r>
    <r>
      <rPr>
        <vertAlign val="subscript"/>
        <sz val="10"/>
        <rFont val="Arial"/>
        <family val="2"/>
      </rPr>
      <t>HT</t>
    </r>
  </si>
  <si>
    <r>
      <t>S</t>
    </r>
    <r>
      <rPr>
        <vertAlign val="subscript"/>
        <sz val="10"/>
        <rFont val="Arial"/>
        <family val="2"/>
      </rPr>
      <t>HT</t>
    </r>
  </si>
  <si>
    <r>
      <t>b</t>
    </r>
    <r>
      <rPr>
        <vertAlign val="subscript"/>
        <sz val="10"/>
        <rFont val="Arial"/>
        <family val="2"/>
      </rPr>
      <t>HT</t>
    </r>
  </si>
  <si>
    <t>MAC-ht</t>
  </si>
  <si>
    <r>
      <t>y</t>
    </r>
    <r>
      <rPr>
        <vertAlign val="subscript"/>
        <sz val="10"/>
        <rFont val="Arial"/>
        <family val="2"/>
      </rPr>
      <t>MAC</t>
    </r>
    <r>
      <rPr>
        <sz val="10"/>
        <rFont val="Arial"/>
        <family val="2"/>
      </rPr>
      <t>-ht</t>
    </r>
  </si>
  <si>
    <t>Component Weights</t>
  </si>
  <si>
    <t>Component Wetted Areas</t>
  </si>
  <si>
    <t>Wing Weight</t>
  </si>
  <si>
    <t>Wing Wetted Area</t>
  </si>
  <si>
    <r>
      <t>n</t>
    </r>
    <r>
      <rPr>
        <vertAlign val="subscript"/>
        <sz val="10"/>
        <rFont val="Arial"/>
        <family val="2"/>
      </rPr>
      <t>z</t>
    </r>
  </si>
  <si>
    <t>Max Load Factor</t>
  </si>
  <si>
    <r>
      <t xml:space="preserve"> ft</t>
    </r>
    <r>
      <rPr>
        <vertAlign val="superscript"/>
        <sz val="10"/>
        <rFont val="Arial"/>
        <family val="2"/>
      </rPr>
      <t>2</t>
    </r>
  </si>
  <si>
    <t>Wing Area</t>
  </si>
  <si>
    <r>
      <t>W</t>
    </r>
    <r>
      <rPr>
        <vertAlign val="subscript"/>
        <sz val="10"/>
        <rFont val="Arial"/>
        <family val="2"/>
      </rPr>
      <t>TO</t>
    </r>
  </si>
  <si>
    <t xml:space="preserve"> lbs</t>
  </si>
  <si>
    <t>Max Takeoff Gross Weight</t>
  </si>
  <si>
    <t xml:space="preserve"> ft</t>
  </si>
  <si>
    <t>Root Chord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</si>
  <si>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LE</t>
    </r>
  </si>
  <si>
    <t xml:space="preserve"> deg</t>
  </si>
  <si>
    <t>Leading Edge Sweep Angle</t>
  </si>
  <si>
    <t>Wing Aspect Ratio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</si>
  <si>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TE</t>
    </r>
  </si>
  <si>
    <t>Trailing Edge Sweep Angle</t>
  </si>
  <si>
    <t>Wing Thickness-to-Chord Ratio</t>
  </si>
  <si>
    <r>
      <t>D</t>
    </r>
    <r>
      <rPr>
        <vertAlign val="subscript"/>
        <sz val="10"/>
        <rFont val="Arial"/>
        <family val="2"/>
      </rPr>
      <t>fuse</t>
    </r>
  </si>
  <si>
    <t>Fuselage Diameter</t>
  </si>
  <si>
    <t>Wing Taper Ratio</t>
  </si>
  <si>
    <r>
      <t>c</t>
    </r>
    <r>
      <rPr>
        <vertAlign val="subscript"/>
        <sz val="10"/>
        <rFont val="Arial"/>
        <family val="2"/>
      </rPr>
      <t>fuse</t>
    </r>
  </si>
  <si>
    <t>Chord at the Fuselage</t>
  </si>
  <si>
    <r>
      <t>L</t>
    </r>
    <r>
      <rPr>
        <vertAlign val="subscript"/>
        <sz val="10"/>
        <rFont val="Calibri"/>
        <family val="2"/>
        <scheme val="minor"/>
      </rPr>
      <t>c/4</t>
    </r>
  </si>
  <si>
    <t>Wing c/4 Sweep Angle</t>
  </si>
  <si>
    <r>
      <t>S</t>
    </r>
    <r>
      <rPr>
        <vertAlign val="subscript"/>
        <sz val="10"/>
        <rFont val="Arial"/>
        <family val="2"/>
      </rPr>
      <t>exp</t>
    </r>
  </si>
  <si>
    <t>Exposed Wing Area</t>
  </si>
  <si>
    <r>
      <t>S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/S</t>
    </r>
  </si>
  <si>
    <t>Flapped Wing Area Ratio (= 0.60 for transports)</t>
  </si>
  <si>
    <r>
      <t>W</t>
    </r>
    <r>
      <rPr>
        <b/>
        <vertAlign val="subscript"/>
        <sz val="10"/>
        <rFont val="Arial"/>
        <family val="2"/>
      </rPr>
      <t>wing</t>
    </r>
  </si>
  <si>
    <r>
      <t>S</t>
    </r>
    <r>
      <rPr>
        <b/>
        <vertAlign val="subscript"/>
        <sz val="10"/>
        <rFont val="Arial"/>
        <family val="2"/>
      </rPr>
      <t>wet-wing</t>
    </r>
  </si>
  <si>
    <r>
      <t xml:space="preserve"> ft</t>
    </r>
    <r>
      <rPr>
        <b/>
        <vertAlign val="superscript"/>
        <sz val="10"/>
        <rFont val="Arial"/>
        <family val="2"/>
      </rPr>
      <t>2</t>
    </r>
  </si>
  <si>
    <t>Horizontal Tail Weight</t>
  </si>
  <si>
    <t>Horizontal Tail Wetted Area</t>
  </si>
  <si>
    <r>
      <t>F</t>
    </r>
    <r>
      <rPr>
        <vertAlign val="subscript"/>
        <sz val="10"/>
        <rFont val="Arial"/>
        <family val="2"/>
      </rPr>
      <t>w</t>
    </r>
  </si>
  <si>
    <t>Fuselage Width at the HT's Intersection (= 0 for T-Tail)</t>
  </si>
  <si>
    <t>Exposed Horizontal Tail Area</t>
  </si>
  <si>
    <t>Horizontal Tail Span</t>
  </si>
  <si>
    <r>
      <t>(t/c)</t>
    </r>
    <r>
      <rPr>
        <vertAlign val="subscript"/>
        <sz val="10"/>
        <rFont val="Arial"/>
        <family val="2"/>
      </rPr>
      <t>HT</t>
    </r>
  </si>
  <si>
    <t>Horizontal Tail Thickness-to-Chord Ratio</t>
  </si>
  <si>
    <r>
      <t>S</t>
    </r>
    <r>
      <rPr>
        <b/>
        <vertAlign val="subscript"/>
        <sz val="10"/>
        <rFont val="Arial"/>
        <family val="2"/>
      </rPr>
      <t>wet-HT</t>
    </r>
  </si>
  <si>
    <t>Horizontal Tail Surface Area</t>
  </si>
  <si>
    <t>Distance from Wing MAC c/4 to Horizontal Tail MAC c/4</t>
  </si>
  <si>
    <r>
      <t>K</t>
    </r>
    <r>
      <rPr>
        <vertAlign val="subscript"/>
        <sz val="10"/>
        <rFont val="Arial"/>
        <family val="2"/>
      </rPr>
      <t>y</t>
    </r>
  </si>
  <si>
    <t>Pitching Radius of Gyration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</si>
  <si>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HT</t>
    </r>
  </si>
  <si>
    <t>Horizontal Tail c/4 Sweep Angle</t>
  </si>
  <si>
    <r>
      <t>A</t>
    </r>
    <r>
      <rPr>
        <vertAlign val="subscript"/>
        <sz val="10"/>
        <rFont val="Arial"/>
        <family val="2"/>
      </rPr>
      <t>HT</t>
    </r>
  </si>
  <si>
    <t>Horizontal Tail Aspect Ratio</t>
  </si>
  <si>
    <r>
      <t>W</t>
    </r>
    <r>
      <rPr>
        <b/>
        <vertAlign val="subscript"/>
        <sz val="10"/>
        <rFont val="Arial"/>
        <family val="2"/>
      </rPr>
      <t>HT</t>
    </r>
  </si>
  <si>
    <t>Vertical Tail Weight</t>
  </si>
  <si>
    <t>Vertical Tail Wetted Area</t>
  </si>
  <si>
    <r>
      <t>H</t>
    </r>
    <r>
      <rPr>
        <vertAlign val="subscript"/>
        <sz val="10"/>
        <rFont val="Arial"/>
        <family val="2"/>
      </rPr>
      <t>HT</t>
    </r>
    <r>
      <rPr>
        <sz val="10"/>
        <rFont val="Arial"/>
        <family val="2"/>
      </rPr>
      <t>/H</t>
    </r>
    <r>
      <rPr>
        <vertAlign val="subscript"/>
        <sz val="10"/>
        <rFont val="Arial"/>
        <family val="2"/>
      </rPr>
      <t>VT</t>
    </r>
  </si>
  <si>
    <t xml:space="preserve"> = 0 for conventional tail</t>
  </si>
  <si>
    <t>Exposed Vertical Tail Area</t>
  </si>
  <si>
    <t xml:space="preserve"> = 1 for T-Tail</t>
  </si>
  <si>
    <r>
      <t>(t/c)</t>
    </r>
    <r>
      <rPr>
        <vertAlign val="subscript"/>
        <sz val="10"/>
        <rFont val="Arial"/>
        <family val="2"/>
      </rPr>
      <t>VT</t>
    </r>
  </si>
  <si>
    <t>Vertical Tail Thickness-to-Chord Ratio</t>
  </si>
  <si>
    <r>
      <t>S</t>
    </r>
    <r>
      <rPr>
        <b/>
        <vertAlign val="subscript"/>
        <sz val="10"/>
        <rFont val="Arial"/>
        <family val="2"/>
      </rPr>
      <t>wet-VT</t>
    </r>
  </si>
  <si>
    <t>Vertical Tail Surface Area</t>
  </si>
  <si>
    <t>Distance from Wing MAC c/4 to Vertical Tail MAC c/4</t>
  </si>
  <si>
    <r>
      <t>K</t>
    </r>
    <r>
      <rPr>
        <vertAlign val="subscript"/>
        <sz val="10"/>
        <rFont val="Arial"/>
        <family val="2"/>
      </rPr>
      <t>z</t>
    </r>
  </si>
  <si>
    <t>Yawing Radius of Gyration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</si>
  <si>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VT</t>
    </r>
  </si>
  <si>
    <t>Vertical Tail c/4 Sweep Angle</t>
  </si>
  <si>
    <r>
      <t>A</t>
    </r>
    <r>
      <rPr>
        <vertAlign val="subscript"/>
        <sz val="10"/>
        <rFont val="Arial"/>
        <family val="2"/>
      </rPr>
      <t>VT</t>
    </r>
  </si>
  <si>
    <t>Vertical Tail Aspect Ratio</t>
  </si>
  <si>
    <r>
      <t>W</t>
    </r>
    <r>
      <rPr>
        <b/>
        <vertAlign val="subscript"/>
        <sz val="10"/>
        <rFont val="Arial"/>
        <family val="2"/>
      </rPr>
      <t>VT</t>
    </r>
  </si>
  <si>
    <t>Fuselage Weight</t>
  </si>
  <si>
    <t>Fuselage Wetted Area</t>
  </si>
  <si>
    <t>K_door</t>
  </si>
  <si>
    <t xml:space="preserve"> = 1.00 for no cargo door</t>
  </si>
  <si>
    <r>
      <t>S</t>
    </r>
    <r>
      <rPr>
        <b/>
        <vertAlign val="subscript"/>
        <sz val="10"/>
        <rFont val="Arial"/>
        <family val="2"/>
      </rPr>
      <t>wet-fuse</t>
    </r>
  </si>
  <si>
    <t xml:space="preserve"> = 1.06 for one cargo door</t>
  </si>
  <si>
    <t xml:space="preserve"> = 1.12 for two cargo doors</t>
  </si>
  <si>
    <t>K_lg</t>
  </si>
  <si>
    <t xml:space="preserve"> = 1.00 for wing-mounted landing gear</t>
  </si>
  <si>
    <t xml:space="preserve"> = 1.12 for fuselage-mounted landing gear</t>
  </si>
  <si>
    <r>
      <t>L</t>
    </r>
    <r>
      <rPr>
        <vertAlign val="subscript"/>
        <sz val="10"/>
        <rFont val="Arial"/>
        <family val="2"/>
      </rPr>
      <t>fuse</t>
    </r>
  </si>
  <si>
    <t>Fuselage Length</t>
  </si>
  <si>
    <r>
      <t>S</t>
    </r>
    <r>
      <rPr>
        <vertAlign val="subscript"/>
        <sz val="10"/>
        <rFont val="Arial"/>
        <family val="2"/>
      </rPr>
      <t>fuse</t>
    </r>
  </si>
  <si>
    <r>
      <t>K</t>
    </r>
    <r>
      <rPr>
        <vertAlign val="subscript"/>
        <sz val="10"/>
        <rFont val="Arial"/>
        <family val="2"/>
      </rPr>
      <t>ws</t>
    </r>
  </si>
  <si>
    <r>
      <t>b</t>
    </r>
    <r>
      <rPr>
        <vertAlign val="subscript"/>
        <sz val="10"/>
        <rFont val="Arial"/>
        <family val="2"/>
      </rPr>
      <t>wing</t>
    </r>
  </si>
  <si>
    <t>Wing Span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</si>
  <si>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wing c/4</t>
    </r>
  </si>
  <si>
    <t>Wing Sweep at the c/4</t>
  </si>
  <si>
    <r>
      <t>W</t>
    </r>
    <r>
      <rPr>
        <b/>
        <vertAlign val="subscript"/>
        <sz val="10"/>
        <rFont val="Arial"/>
        <family val="2"/>
      </rPr>
      <t>fuse</t>
    </r>
  </si>
  <si>
    <t>Main Landing Gear Weight</t>
  </si>
  <si>
    <r>
      <t>W</t>
    </r>
    <r>
      <rPr>
        <vertAlign val="subscript"/>
        <sz val="10"/>
        <rFont val="Arial"/>
        <family val="2"/>
      </rPr>
      <t>LND</t>
    </r>
  </si>
  <si>
    <t>Max Landing Gross Weight</t>
  </si>
  <si>
    <r>
      <t>L</t>
    </r>
    <r>
      <rPr>
        <vertAlign val="subscript"/>
        <sz val="10"/>
        <rFont val="Arial"/>
        <family val="2"/>
      </rPr>
      <t>MLG</t>
    </r>
  </si>
  <si>
    <t>Main Landing Gear Length</t>
  </si>
  <si>
    <r>
      <t>N</t>
    </r>
    <r>
      <rPr>
        <vertAlign val="subscript"/>
        <sz val="10"/>
        <rFont val="Arial"/>
        <family val="2"/>
      </rPr>
      <t>mw</t>
    </r>
  </si>
  <si>
    <t xml:space="preserve"> wheels</t>
  </si>
  <si>
    <t># of MLG Wheels</t>
  </si>
  <si>
    <r>
      <t>N</t>
    </r>
    <r>
      <rPr>
        <vertAlign val="subscript"/>
        <sz val="10"/>
        <rFont val="Arial"/>
        <family val="2"/>
      </rPr>
      <t>mss</t>
    </r>
  </si>
  <si>
    <t xml:space="preserve"> struts</t>
  </si>
  <si>
    <t># of MLG Struts</t>
  </si>
  <si>
    <r>
      <t>V</t>
    </r>
    <r>
      <rPr>
        <vertAlign val="subscript"/>
        <sz val="10"/>
        <rFont val="Arial"/>
        <family val="2"/>
      </rPr>
      <t>stall</t>
    </r>
  </si>
  <si>
    <t xml:space="preserve"> ft/sec</t>
  </si>
  <si>
    <t>Stall Speed @ Max Landing Weight</t>
  </si>
  <si>
    <r>
      <t>W</t>
    </r>
    <r>
      <rPr>
        <b/>
        <vertAlign val="subscript"/>
        <sz val="10"/>
        <rFont val="Arial"/>
        <family val="2"/>
      </rPr>
      <t>MLG</t>
    </r>
  </si>
  <si>
    <t>Nose Landing Gear Weight</t>
  </si>
  <si>
    <r>
      <t>L</t>
    </r>
    <r>
      <rPr>
        <vertAlign val="subscript"/>
        <sz val="10"/>
        <rFont val="Arial"/>
        <family val="2"/>
      </rPr>
      <t>NLG</t>
    </r>
  </si>
  <si>
    <t>Nose Landing Gear Length</t>
  </si>
  <si>
    <r>
      <t>N</t>
    </r>
    <r>
      <rPr>
        <vertAlign val="subscript"/>
        <sz val="10"/>
        <rFont val="Arial"/>
        <family val="2"/>
      </rPr>
      <t>nw</t>
    </r>
  </si>
  <si>
    <t># of NLG Wheels</t>
  </si>
  <si>
    <r>
      <t>W</t>
    </r>
    <r>
      <rPr>
        <b/>
        <vertAlign val="subscript"/>
        <sz val="10"/>
        <rFont val="Arial"/>
        <family val="2"/>
      </rPr>
      <t>NLG</t>
    </r>
  </si>
  <si>
    <t>Propulsion System Weight</t>
  </si>
  <si>
    <t>Engine Wetted Area</t>
  </si>
  <si>
    <r>
      <t>T</t>
    </r>
    <r>
      <rPr>
        <vertAlign val="subscript"/>
        <sz val="10"/>
        <rFont val="Arial"/>
        <family val="2"/>
      </rPr>
      <t>ref</t>
    </r>
  </si>
  <si>
    <t>Reference Engine Thrust (Tay 611-8)</t>
  </si>
  <si>
    <r>
      <t>W</t>
    </r>
    <r>
      <rPr>
        <vertAlign val="subscript"/>
        <sz val="10"/>
        <rFont val="Arial"/>
        <family val="2"/>
      </rPr>
      <t>ref</t>
    </r>
  </si>
  <si>
    <t>Reference Engine Weight (Tay 611-8)</t>
  </si>
  <si>
    <r>
      <t>L</t>
    </r>
    <r>
      <rPr>
        <vertAlign val="subscript"/>
        <sz val="10"/>
        <rFont val="Arial"/>
        <family val="2"/>
      </rPr>
      <t>ref</t>
    </r>
  </si>
  <si>
    <t xml:space="preserve"> in</t>
  </si>
  <si>
    <t>Reference Engine Length (Tay 611-8)</t>
  </si>
  <si>
    <r>
      <t>T</t>
    </r>
    <r>
      <rPr>
        <vertAlign val="subscript"/>
        <sz val="10"/>
        <rFont val="Arial"/>
        <family val="2"/>
      </rPr>
      <t>total</t>
    </r>
  </si>
  <si>
    <t>Design Total Thrust (T/W * TOGW)</t>
  </si>
  <si>
    <r>
      <t>D</t>
    </r>
    <r>
      <rPr>
        <vertAlign val="subscript"/>
        <sz val="10"/>
        <rFont val="Arial"/>
        <family val="2"/>
      </rPr>
      <t>ref</t>
    </r>
  </si>
  <si>
    <t>Reference Engine Diameter (Tay 611-8)</t>
  </si>
  <si>
    <r>
      <t>N</t>
    </r>
    <r>
      <rPr>
        <vertAlign val="subscript"/>
        <sz val="10"/>
        <rFont val="Arial"/>
        <family val="2"/>
      </rPr>
      <t>eng</t>
    </r>
  </si>
  <si>
    <t>Number of Engines</t>
  </si>
  <si>
    <r>
      <t>T</t>
    </r>
    <r>
      <rPr>
        <vertAlign val="subscript"/>
        <sz val="10"/>
        <rFont val="Arial"/>
        <family val="2"/>
      </rPr>
      <t>design</t>
    </r>
  </si>
  <si>
    <t>Design Thrust per Engine</t>
  </si>
  <si>
    <r>
      <t>W</t>
    </r>
    <r>
      <rPr>
        <vertAlign val="subscript"/>
        <sz val="10"/>
        <rFont val="Arial"/>
        <family val="2"/>
      </rPr>
      <t>eng</t>
    </r>
  </si>
  <si>
    <t>Design Engine Weight</t>
  </si>
  <si>
    <r>
      <t>W</t>
    </r>
    <r>
      <rPr>
        <b/>
        <vertAlign val="subscript"/>
        <sz val="10"/>
        <rFont val="Arial"/>
        <family val="2"/>
      </rPr>
      <t>prop</t>
    </r>
  </si>
  <si>
    <r>
      <t>L</t>
    </r>
    <r>
      <rPr>
        <vertAlign val="subscript"/>
        <sz val="10"/>
        <rFont val="Arial"/>
        <family val="2"/>
      </rPr>
      <t>design</t>
    </r>
  </si>
  <si>
    <t>Design Engine Length</t>
  </si>
  <si>
    <r>
      <t>D</t>
    </r>
    <r>
      <rPr>
        <vertAlign val="subscript"/>
        <sz val="10"/>
        <rFont val="Arial"/>
        <family val="2"/>
      </rPr>
      <t>design</t>
    </r>
  </si>
  <si>
    <t>Design Engine Diameter</t>
  </si>
  <si>
    <t>Equipment Systems Weight</t>
  </si>
  <si>
    <r>
      <t>S</t>
    </r>
    <r>
      <rPr>
        <b/>
        <vertAlign val="subscript"/>
        <sz val="10"/>
        <rFont val="Arial"/>
        <family val="2"/>
      </rPr>
      <t>wet-eng</t>
    </r>
  </si>
  <si>
    <r>
      <t>W</t>
    </r>
    <r>
      <rPr>
        <b/>
        <vertAlign val="subscript"/>
        <sz val="10"/>
        <rFont val="Arial"/>
        <family val="2"/>
      </rPr>
      <t>equip</t>
    </r>
  </si>
  <si>
    <t>Statistical Group Weights Method</t>
  </si>
  <si>
    <t>Aircraft Wetted Area</t>
  </si>
  <si>
    <t>Aircraft Component</t>
  </si>
  <si>
    <t>%OW</t>
  </si>
  <si>
    <t>Weight (lb)</t>
  </si>
  <si>
    <r>
      <t>%S</t>
    </r>
    <r>
      <rPr>
        <b/>
        <vertAlign val="subscript"/>
        <sz val="10"/>
        <rFont val="Arial"/>
        <family val="2"/>
      </rPr>
      <t>wet</t>
    </r>
  </si>
  <si>
    <r>
      <t>S</t>
    </r>
    <r>
      <rPr>
        <b/>
        <vertAlign val="subscript"/>
        <sz val="10"/>
        <rFont val="Arial"/>
        <family val="2"/>
      </rPr>
      <t>wet</t>
    </r>
  </si>
  <si>
    <t>Wing</t>
  </si>
  <si>
    <t>Fuselage</t>
  </si>
  <si>
    <t>Main Gear</t>
  </si>
  <si>
    <t>Nose Gear</t>
  </si>
  <si>
    <t>Propulsion System</t>
  </si>
  <si>
    <t>Equipment Systems</t>
  </si>
  <si>
    <t>Operating Weight</t>
  </si>
  <si>
    <t>Total Wetted Area</t>
  </si>
  <si>
    <t>Payload</t>
  </si>
  <si>
    <r>
      <t>S</t>
    </r>
    <r>
      <rPr>
        <b/>
        <vertAlign val="subscript"/>
        <sz val="10"/>
        <rFont val="Arial"/>
        <family val="2"/>
      </rPr>
      <t>wet</t>
    </r>
    <r>
      <rPr>
        <b/>
        <sz val="10"/>
        <rFont val="Arial"/>
        <family val="2"/>
      </rPr>
      <t>/S</t>
    </r>
    <r>
      <rPr>
        <b/>
        <vertAlign val="subscript"/>
        <sz val="10"/>
        <rFont val="Arial"/>
        <family val="2"/>
      </rPr>
      <t>ref</t>
    </r>
  </si>
  <si>
    <r>
      <t>Initial S</t>
    </r>
    <r>
      <rPr>
        <b/>
        <vertAlign val="subscript"/>
        <sz val="10"/>
        <rFont val="Arial"/>
        <family val="2"/>
      </rPr>
      <t>wet</t>
    </r>
    <r>
      <rPr>
        <b/>
        <sz val="10"/>
        <rFont val="Arial"/>
        <family val="2"/>
      </rPr>
      <t>/S</t>
    </r>
    <r>
      <rPr>
        <b/>
        <vertAlign val="subscript"/>
        <sz val="10"/>
        <rFont val="Arial"/>
        <family val="2"/>
      </rPr>
      <t>ref</t>
    </r>
  </si>
  <si>
    <t>Takeoff Gross Weight</t>
  </si>
  <si>
    <t>Initial Weight</t>
  </si>
  <si>
    <t>Weight Change</t>
  </si>
  <si>
    <t>(+ for Increased Weight; - for Decreased Weight)</t>
  </si>
  <si>
    <t>Approximate Group Weights Method</t>
  </si>
  <si>
    <t>Aircraft Drag Polar</t>
  </si>
  <si>
    <r>
      <t>%C</t>
    </r>
    <r>
      <rPr>
        <b/>
        <vertAlign val="subscript"/>
        <sz val="10"/>
        <rFont val="Arial"/>
        <family val="2"/>
      </rPr>
      <t>D0</t>
    </r>
  </si>
  <si>
    <r>
      <t>C</t>
    </r>
    <r>
      <rPr>
        <b/>
        <vertAlign val="subscript"/>
        <sz val="10"/>
        <rFont val="Arial"/>
        <family val="2"/>
      </rPr>
      <t>D0</t>
    </r>
  </si>
  <si>
    <r>
      <t>Total C</t>
    </r>
    <r>
      <rPr>
        <b/>
        <vertAlign val="subscript"/>
        <sz val="10"/>
        <rFont val="Arial"/>
        <family val="2"/>
      </rPr>
      <t>D0</t>
    </r>
  </si>
  <si>
    <r>
      <t>Initial C</t>
    </r>
    <r>
      <rPr>
        <b/>
        <vertAlign val="subscript"/>
        <sz val="10"/>
        <rFont val="Arial"/>
        <family val="2"/>
      </rPr>
      <t>D0</t>
    </r>
  </si>
  <si>
    <t>e</t>
  </si>
  <si>
    <t>K</t>
  </si>
  <si>
    <t>Propulsion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</si>
</sst>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#,##0.0000"/>
    <numFmt numFmtId="167" formatCode="0.0000000"/>
    <numFmt numFmtId="168" formatCode="0.0"/>
    <numFmt numFmtId="169" formatCode="0.0E+00"/>
    <numFmt numFmtId="170" formatCode="#,##0.0"/>
  </numFmts>
  <fonts count="22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perscript"/>
      <sz val="8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vertAlign val="subscript"/>
      <sz val="10"/>
      <name val="Calibri"/>
      <family val="2"/>
      <scheme val="minor"/>
    </font>
    <font>
      <vertAlign val="superscript"/>
      <sz val="10"/>
      <name val="Arial"/>
      <family val="2"/>
    </font>
    <font>
      <sz val="10"/>
      <name val="Aria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bscript"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9" fontId="15" fillId="0" borderId="0" applyFon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Font="1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2" fontId="0" fillId="0" borderId="0" xfId="0" applyNumberFormat="1"/>
    <xf numFmtId="164" fontId="5" fillId="2" borderId="0" xfId="0" applyNumberFormat="1" applyFont="1" applyFill="1"/>
    <xf numFmtId="166" fontId="5" fillId="0" borderId="0" xfId="0" applyNumberFormat="1" applyFont="1"/>
    <xf numFmtId="167" fontId="5" fillId="0" borderId="0" xfId="0" applyNumberFormat="1" applyFont="1"/>
    <xf numFmtId="2" fontId="6" fillId="0" borderId="0" xfId="0" applyNumberFormat="1" applyFont="1"/>
    <xf numFmtId="2" fontId="0" fillId="0" borderId="4" xfId="0" applyNumberFormat="1" applyBorder="1"/>
    <xf numFmtId="2" fontId="8" fillId="0" borderId="4" xfId="0" applyNumberFormat="1" applyFont="1" applyBorder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4" fontId="0" fillId="0" borderId="4" xfId="0" applyNumberFormat="1" applyBorder="1"/>
    <xf numFmtId="0" fontId="12" fillId="0" borderId="1" xfId="0" applyFont="1" applyBorder="1"/>
    <xf numFmtId="0" fontId="0" fillId="0" borderId="4" xfId="0" applyBorder="1"/>
    <xf numFmtId="2" fontId="12" fillId="0" borderId="4" xfId="0" applyNumberFormat="1" applyFont="1" applyBorder="1"/>
    <xf numFmtId="168" fontId="1" fillId="2" borderId="4" xfId="0" applyNumberFormat="1" applyFont="1" applyFill="1" applyBorder="1"/>
    <xf numFmtId="2" fontId="1" fillId="0" borderId="4" xfId="0" applyNumberFormat="1" applyFont="1" applyBorder="1"/>
    <xf numFmtId="0" fontId="12" fillId="0" borderId="4" xfId="0" applyFont="1" applyBorder="1"/>
    <xf numFmtId="165" fontId="1" fillId="2" borderId="4" xfId="0" applyNumberFormat="1" applyFont="1" applyFill="1" applyBorder="1"/>
    <xf numFmtId="0" fontId="1" fillId="0" borderId="4" xfId="0" applyFont="1" applyBorder="1" applyAlignment="1">
      <alignment horizontal="right"/>
    </xf>
    <xf numFmtId="0" fontId="8" fillId="0" borderId="0" xfId="0" applyFont="1" applyAlignment="1">
      <alignment horizontal="right"/>
    </xf>
    <xf numFmtId="4" fontId="1" fillId="0" borderId="4" xfId="0" applyNumberFormat="1" applyFont="1" applyBorder="1"/>
    <xf numFmtId="168" fontId="0" fillId="0" borderId="4" xfId="0" applyNumberFormat="1" applyBorder="1"/>
    <xf numFmtId="168" fontId="6" fillId="0" borderId="4" xfId="0" applyNumberFormat="1" applyFont="1" applyBorder="1"/>
    <xf numFmtId="165" fontId="6" fillId="0" borderId="4" xfId="0" applyNumberFormat="1" applyFont="1" applyBorder="1"/>
    <xf numFmtId="164" fontId="0" fillId="0" borderId="4" xfId="0" applyNumberFormat="1" applyBorder="1"/>
    <xf numFmtId="11" fontId="0" fillId="0" borderId="4" xfId="0" applyNumberFormat="1" applyBorder="1"/>
    <xf numFmtId="164" fontId="6" fillId="0" borderId="4" xfId="0" applyNumberFormat="1" applyFont="1" applyBorder="1"/>
    <xf numFmtId="1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68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12" fillId="0" borderId="6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1" fillId="0" borderId="4" xfId="0" applyNumberFormat="1" applyFont="1" applyBorder="1"/>
    <xf numFmtId="166" fontId="1" fillId="0" borderId="4" xfId="0" applyNumberFormat="1" applyFont="1" applyBorder="1"/>
    <xf numFmtId="3" fontId="0" fillId="0" borderId="4" xfId="0" applyNumberFormat="1" applyBorder="1"/>
    <xf numFmtId="2" fontId="6" fillId="0" borderId="0" xfId="1" applyNumberFormat="1" applyFont="1"/>
    <xf numFmtId="2" fontId="7" fillId="0" borderId="0" xfId="1" applyNumberFormat="1"/>
    <xf numFmtId="0" fontId="7" fillId="0" borderId="0" xfId="1"/>
    <xf numFmtId="2" fontId="7" fillId="0" borderId="4" xfId="1" applyNumberFormat="1" applyBorder="1"/>
    <xf numFmtId="168" fontId="7" fillId="2" borderId="4" xfId="1" applyNumberFormat="1" applyFill="1" applyBorder="1"/>
    <xf numFmtId="0" fontId="7" fillId="0" borderId="1" xfId="1" applyBorder="1"/>
    <xf numFmtId="0" fontId="7" fillId="0" borderId="3" xfId="1" applyBorder="1"/>
    <xf numFmtId="4" fontId="7" fillId="0" borderId="4" xfId="1" applyNumberFormat="1" applyBorder="1"/>
    <xf numFmtId="1" fontId="7" fillId="2" borderId="4" xfId="1" applyNumberFormat="1" applyFill="1" applyBorder="1"/>
    <xf numFmtId="0" fontId="12" fillId="0" borderId="1" xfId="1" applyFont="1" applyBorder="1"/>
    <xf numFmtId="0" fontId="7" fillId="0" borderId="4" xfId="1" applyBorder="1"/>
    <xf numFmtId="2" fontId="7" fillId="2" borderId="4" xfId="1" applyNumberFormat="1" applyFill="1" applyBorder="1"/>
    <xf numFmtId="2" fontId="12" fillId="0" borderId="4" xfId="1" applyNumberFormat="1" applyFont="1" applyBorder="1"/>
    <xf numFmtId="165" fontId="7" fillId="2" borderId="4" xfId="1" applyNumberFormat="1" applyFill="1" applyBorder="1"/>
    <xf numFmtId="2" fontId="2" fillId="0" borderId="0" xfId="1" applyNumberFormat="1" applyFont="1"/>
    <xf numFmtId="2" fontId="8" fillId="0" borderId="0" xfId="1" applyNumberFormat="1" applyFont="1"/>
    <xf numFmtId="0" fontId="12" fillId="0" borderId="4" xfId="1" applyFont="1" applyBorder="1"/>
    <xf numFmtId="0" fontId="6" fillId="0" borderId="0" xfId="1" applyFont="1"/>
    <xf numFmtId="168" fontId="7" fillId="0" borderId="4" xfId="1" applyNumberFormat="1" applyBorder="1"/>
    <xf numFmtId="11" fontId="7" fillId="0" borderId="4" xfId="1" applyNumberFormat="1" applyBorder="1"/>
    <xf numFmtId="165" fontId="6" fillId="0" borderId="4" xfId="1" applyNumberFormat="1" applyFont="1" applyBorder="1"/>
    <xf numFmtId="165" fontId="6" fillId="0" borderId="0" xfId="1" applyNumberFormat="1" applyFont="1"/>
    <xf numFmtId="0" fontId="8" fillId="0" borderId="4" xfId="1" applyFont="1" applyBorder="1"/>
    <xf numFmtId="2" fontId="7" fillId="0" borderId="15" xfId="1" applyNumberFormat="1" applyBorder="1"/>
    <xf numFmtId="165" fontId="6" fillId="0" borderId="5" xfId="1" applyNumberFormat="1" applyFont="1" applyBorder="1"/>
    <xf numFmtId="0" fontId="7" fillId="0" borderId="16" xfId="1" applyBorder="1"/>
    <xf numFmtId="0" fontId="7" fillId="0" borderId="4" xfId="1" applyBorder="1" applyAlignment="1">
      <alignment horizontal="right"/>
    </xf>
    <xf numFmtId="0" fontId="7" fillId="0" borderId="6" xfId="1" applyBorder="1" applyAlignment="1">
      <alignment horizontal="right"/>
    </xf>
    <xf numFmtId="2" fontId="7" fillId="0" borderId="7" xfId="1" applyNumberFormat="1" applyBorder="1"/>
    <xf numFmtId="2" fontId="7" fillId="0" borderId="8" xfId="1" applyNumberFormat="1" applyBorder="1"/>
    <xf numFmtId="2" fontId="7" fillId="0" borderId="9" xfId="1" applyNumberFormat="1" applyBorder="1"/>
    <xf numFmtId="2" fontId="7" fillId="0" borderId="10" xfId="1" applyNumberFormat="1" applyBorder="1"/>
    <xf numFmtId="0" fontId="8" fillId="0" borderId="0" xfId="1" applyFont="1"/>
    <xf numFmtId="11" fontId="7" fillId="0" borderId="0" xfId="1" applyNumberFormat="1"/>
    <xf numFmtId="2" fontId="7" fillId="0" borderId="3" xfId="1" applyNumberFormat="1" applyBorder="1"/>
    <xf numFmtId="0" fontId="13" fillId="0" borderId="0" xfId="1" applyFont="1"/>
    <xf numFmtId="3" fontId="7" fillId="0" borderId="0" xfId="1" applyNumberFormat="1"/>
    <xf numFmtId="4" fontId="7" fillId="0" borderId="0" xfId="1" applyNumberFormat="1"/>
    <xf numFmtId="0" fontId="12" fillId="0" borderId="0" xfId="1" applyFont="1"/>
    <xf numFmtId="2" fontId="7" fillId="2" borderId="0" xfId="1" applyNumberFormat="1" applyFill="1"/>
    <xf numFmtId="1" fontId="7" fillId="0" borderId="0" xfId="1" applyNumberFormat="1"/>
    <xf numFmtId="1" fontId="2" fillId="0" borderId="0" xfId="1" applyNumberFormat="1" applyFont="1"/>
    <xf numFmtId="1" fontId="8" fillId="0" borderId="0" xfId="1" applyNumberFormat="1" applyFont="1"/>
    <xf numFmtId="2" fontId="7" fillId="0" borderId="0" xfId="1" applyNumberFormat="1" applyAlignment="1">
      <alignment horizontal="right"/>
    </xf>
    <xf numFmtId="0" fontId="7" fillId="0" borderId="0" xfId="1" applyAlignment="1">
      <alignment horizontal="right"/>
    </xf>
    <xf numFmtId="0" fontId="7" fillId="0" borderId="0" xfId="1" quotePrefix="1" applyAlignment="1">
      <alignment horizontal="right"/>
    </xf>
    <xf numFmtId="164" fontId="7" fillId="0" borderId="0" xfId="1" applyNumberFormat="1"/>
    <xf numFmtId="168" fontId="7" fillId="0" borderId="0" xfId="1" applyNumberFormat="1"/>
    <xf numFmtId="169" fontId="7" fillId="0" borderId="0" xfId="1" applyNumberFormat="1"/>
    <xf numFmtId="168" fontId="6" fillId="0" borderId="0" xfId="1" applyNumberFormat="1" applyFont="1" applyAlignment="1">
      <alignment horizontal="right"/>
    </xf>
    <xf numFmtId="168" fontId="6" fillId="0" borderId="0" xfId="1" applyNumberFormat="1" applyFont="1"/>
    <xf numFmtId="1" fontId="6" fillId="0" borderId="0" xfId="1" applyNumberFormat="1" applyFont="1"/>
    <xf numFmtId="0" fontId="6" fillId="0" borderId="0" xfId="1" applyFont="1" applyAlignment="1">
      <alignment horizontal="right"/>
    </xf>
    <xf numFmtId="1" fontId="6" fillId="0" borderId="4" xfId="1" applyNumberFormat="1" applyFont="1" applyBorder="1"/>
    <xf numFmtId="164" fontId="6" fillId="0" borderId="0" xfId="1" applyNumberFormat="1" applyFont="1"/>
    <xf numFmtId="170" fontId="7" fillId="0" borderId="0" xfId="1" applyNumberFormat="1"/>
    <xf numFmtId="170" fontId="5" fillId="2" borderId="0" xfId="0" applyNumberFormat="1" applyFont="1" applyFill="1"/>
    <xf numFmtId="170" fontId="7" fillId="0" borderId="4" xfId="1" applyNumberFormat="1" applyBorder="1"/>
    <xf numFmtId="164" fontId="7" fillId="0" borderId="4" xfId="1" applyNumberFormat="1" applyBorder="1"/>
    <xf numFmtId="165" fontId="7" fillId="0" borderId="4" xfId="1" applyNumberFormat="1" applyBorder="1"/>
    <xf numFmtId="3" fontId="7" fillId="0" borderId="4" xfId="1" applyNumberFormat="1" applyBorder="1"/>
    <xf numFmtId="0" fontId="13" fillId="0" borderId="0" xfId="0" applyFont="1"/>
    <xf numFmtId="2" fontId="7" fillId="5" borderId="0" xfId="1" applyNumberFormat="1" applyFill="1"/>
    <xf numFmtId="2" fontId="1" fillId="2" borderId="0" xfId="0" applyNumberFormat="1" applyFont="1" applyFill="1"/>
    <xf numFmtId="2" fontId="0" fillId="0" borderId="0" xfId="0" applyNumberFormat="1" applyAlignment="1">
      <alignment horizontal="righ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2" fontId="1" fillId="0" borderId="7" xfId="0" applyNumberFormat="1" applyFont="1" applyBorder="1"/>
    <xf numFmtId="2" fontId="0" fillId="0" borderId="7" xfId="0" applyNumberFormat="1" applyBorder="1"/>
    <xf numFmtId="2" fontId="1" fillId="0" borderId="4" xfId="1" applyNumberFormat="1" applyFont="1" applyBorder="1"/>
    <xf numFmtId="2" fontId="5" fillId="2" borderId="0" xfId="0" applyNumberFormat="1" applyFont="1" applyFill="1"/>
    <xf numFmtId="2" fontId="1" fillId="2" borderId="4" xfId="0" applyNumberFormat="1" applyFont="1" applyFill="1" applyBorder="1"/>
    <xf numFmtId="168" fontId="0" fillId="2" borderId="0" xfId="0" applyNumberFormat="1" applyFill="1"/>
    <xf numFmtId="0" fontId="12" fillId="0" borderId="0" xfId="0" applyFont="1"/>
    <xf numFmtId="0" fontId="18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1" fillId="2" borderId="0" xfId="0" quotePrefix="1" applyFont="1" applyFill="1"/>
    <xf numFmtId="0" fontId="6" fillId="0" borderId="1" xfId="0" applyFont="1" applyBorder="1"/>
    <xf numFmtId="0" fontId="6" fillId="0" borderId="3" xfId="0" applyFont="1" applyBorder="1"/>
    <xf numFmtId="170" fontId="0" fillId="0" borderId="0" xfId="0" applyNumberFormat="1"/>
    <xf numFmtId="4" fontId="6" fillId="0" borderId="2" xfId="0" applyNumberFormat="1" applyFont="1" applyBorder="1"/>
    <xf numFmtId="0" fontId="6" fillId="0" borderId="0" xfId="0" applyFont="1" applyAlignment="1">
      <alignment horizontal="center"/>
    </xf>
    <xf numFmtId="10" fontId="1" fillId="0" borderId="0" xfId="2" applyNumberFormat="1" applyFont="1"/>
    <xf numFmtId="3" fontId="1" fillId="0" borderId="0" xfId="0" applyNumberFormat="1" applyFont="1"/>
    <xf numFmtId="168" fontId="6" fillId="0" borderId="2" xfId="0" applyNumberFormat="1" applyFont="1" applyBorder="1"/>
    <xf numFmtId="0" fontId="6" fillId="0" borderId="3" xfId="0" applyFont="1" applyBorder="1" applyAlignment="1">
      <alignment horizontal="left" vertical="top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70" fontId="6" fillId="0" borderId="2" xfId="0" applyNumberFormat="1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0" fontId="1" fillId="0" borderId="0" xfId="2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0" fontId="0" fillId="0" borderId="0" xfId="2" applyNumberFormat="1" applyFont="1" applyAlignment="1">
      <alignment vertical="center"/>
    </xf>
    <xf numFmtId="0" fontId="4" fillId="0" borderId="0" xfId="0" applyFont="1" applyAlignment="1">
      <alignment vertical="center"/>
    </xf>
    <xf numFmtId="170" fontId="1" fillId="0" borderId="0" xfId="0" applyNumberFormat="1" applyFont="1"/>
    <xf numFmtId="164" fontId="6" fillId="0" borderId="4" xfId="1" applyNumberFormat="1" applyFont="1" applyBorder="1"/>
    <xf numFmtId="0" fontId="6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1" fillId="0" borderId="4" xfId="0" applyNumberFormat="1" applyFont="1" applyBorder="1"/>
    <xf numFmtId="170" fontId="1" fillId="0" borderId="4" xfId="0" applyNumberFormat="1" applyFont="1" applyBorder="1"/>
    <xf numFmtId="2" fontId="1" fillId="0" borderId="0" xfId="0" applyNumberFormat="1" applyFont="1"/>
    <xf numFmtId="4" fontId="8" fillId="0" borderId="0" xfId="0" applyNumberFormat="1" applyFont="1"/>
    <xf numFmtId="2" fontId="6" fillId="0" borderId="4" xfId="0" applyNumberFormat="1" applyFont="1" applyBorder="1"/>
    <xf numFmtId="0" fontId="8" fillId="0" borderId="4" xfId="0" applyFont="1" applyBorder="1"/>
    <xf numFmtId="168" fontId="6" fillId="0" borderId="5" xfId="0" applyNumberFormat="1" applyFont="1" applyBorder="1"/>
    <xf numFmtId="0" fontId="13" fillId="4" borderId="17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2" fontId="13" fillId="4" borderId="17" xfId="0" applyNumberFormat="1" applyFont="1" applyFill="1" applyBorder="1" applyAlignment="1">
      <alignment horizontal="center"/>
    </xf>
    <xf numFmtId="2" fontId="13" fillId="4" borderId="16" xfId="0" applyNumberFormat="1" applyFont="1" applyFill="1" applyBorder="1" applyAlignment="1">
      <alignment horizontal="center"/>
    </xf>
    <xf numFmtId="0" fontId="13" fillId="4" borderId="17" xfId="1" applyFont="1" applyFill="1" applyBorder="1" applyAlignment="1">
      <alignment horizontal="center"/>
    </xf>
    <xf numFmtId="0" fontId="13" fillId="4" borderId="18" xfId="1" applyFont="1" applyFill="1" applyBorder="1" applyAlignment="1">
      <alignment horizontal="center"/>
    </xf>
    <xf numFmtId="0" fontId="13" fillId="4" borderId="16" xfId="1" applyFont="1" applyFill="1" applyBorder="1" applyAlignment="1">
      <alignment horizontal="center"/>
    </xf>
    <xf numFmtId="2" fontId="6" fillId="3" borderId="17" xfId="1" applyNumberFormat="1" applyFont="1" applyFill="1" applyBorder="1" applyAlignment="1">
      <alignment horizontal="center"/>
    </xf>
    <xf numFmtId="2" fontId="6" fillId="3" borderId="16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896551724137933"/>
          <c:y val="0.12149560431787639"/>
          <c:w val="0.3724137931034483"/>
          <c:h val="0.560748943005583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'ITERTOW-BIZ'!$C$24:$I$24</c:f>
              <c:numCache>
                <c:formatCode>#,##0.00</c:formatCode>
                <c:ptCount val="7"/>
                <c:pt idx="0">
                  <c:v>50000</c:v>
                </c:pt>
                <c:pt idx="1">
                  <c:v>50466.666596141862</c:v>
                </c:pt>
                <c:pt idx="2">
                  <c:v>59999.99818650489</c:v>
                </c:pt>
                <c:pt idx="3">
                  <c:v>59999.99818650489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B64-9520-44BED9D5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02912"/>
        <c:axId val="83704832"/>
      </c:barChart>
      <c:catAx>
        <c:axId val="837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 No.</a:t>
                </a:r>
              </a:p>
            </c:rich>
          </c:tx>
          <c:layout>
            <c:manualLayout>
              <c:xMode val="edge"/>
              <c:yMode val="edge"/>
              <c:x val="0.43448275862068964"/>
              <c:y val="0.80841305949971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04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370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T-O Weight</a:t>
                </a:r>
              </a:p>
            </c:rich>
          </c:tx>
          <c:layout>
            <c:manualLayout>
              <c:xMode val="edge"/>
              <c:yMode val="edge"/>
              <c:x val="7.586206896551724E-2"/>
              <c:y val="0.252337024352512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0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931034482758621"/>
          <c:y val="0.35514099723686943"/>
          <c:w val="0.18965517241379309"/>
          <c:h val="9.34581571675972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Lift versus alpha</a:t>
            </a:r>
          </a:p>
        </c:rich>
      </c:tx>
      <c:layout>
        <c:manualLayout>
          <c:xMode val="edge"/>
          <c:yMode val="edge"/>
          <c:x val="0.33436532507739936"/>
          <c:y val="4.2056074766355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03405572755415E-2"/>
          <c:y val="0.26635574792765204"/>
          <c:w val="0.6099071207430341"/>
          <c:h val="0.537384403713684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-1.33</c:v>
              </c:pt>
              <c:pt idx="1">
                <c:v>8.0336363636363632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DAD-4163-AAD2-6299118DEF8F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-1.33</c:v>
              </c:pt>
              <c:pt idx="1">
                <c:v>8.0336363636363632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0.97383448857974109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AD-4163-AAD2-6299118D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3744"/>
        <c:axId val="40545664"/>
      </c:scatterChart>
      <c:valAx>
        <c:axId val="40543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45664"/>
        <c:crosses val="autoZero"/>
        <c:crossBetween val="midCat"/>
      </c:valAx>
      <c:valAx>
        <c:axId val="4054566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43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993808049535603"/>
          <c:y val="0.45794490641940783"/>
          <c:w val="0.2321981424148607"/>
          <c:h val="0.182243481247087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05912778817949E-2"/>
          <c:y val="0.21501104441152774"/>
          <c:w val="0.63018984041465287"/>
          <c:h val="0.52811673293313588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'FUSELAGE-BIZ'!$B$25:$B$75</c:f>
              <c:numCache>
                <c:formatCode>0.00</c:formatCode>
                <c:ptCount val="51"/>
                <c:pt idx="0">
                  <c:v>0</c:v>
                </c:pt>
                <c:pt idx="1">
                  <c:v>1.6992000000000003</c:v>
                </c:pt>
                <c:pt idx="2">
                  <c:v>3.3984000000000005</c:v>
                </c:pt>
                <c:pt idx="3">
                  <c:v>5.0975999999999999</c:v>
                </c:pt>
                <c:pt idx="4">
                  <c:v>6.7968000000000011</c:v>
                </c:pt>
                <c:pt idx="5">
                  <c:v>8.4960000000000004</c:v>
                </c:pt>
                <c:pt idx="6">
                  <c:v>10.1952</c:v>
                </c:pt>
                <c:pt idx="7">
                  <c:v>11.894400000000003</c:v>
                </c:pt>
                <c:pt idx="8">
                  <c:v>13.593600000000002</c:v>
                </c:pt>
                <c:pt idx="9">
                  <c:v>15.292800000000002</c:v>
                </c:pt>
                <c:pt idx="10">
                  <c:v>16.992000000000001</c:v>
                </c:pt>
                <c:pt idx="11">
                  <c:v>18.691200000000002</c:v>
                </c:pt>
                <c:pt idx="12">
                  <c:v>20.3904</c:v>
                </c:pt>
                <c:pt idx="13">
                  <c:v>22.089600000000004</c:v>
                </c:pt>
                <c:pt idx="14">
                  <c:v>23.788800000000005</c:v>
                </c:pt>
                <c:pt idx="15">
                  <c:v>25.488000000000003</c:v>
                </c:pt>
                <c:pt idx="16">
                  <c:v>27.187200000000004</c:v>
                </c:pt>
                <c:pt idx="17">
                  <c:v>28.886400000000005</c:v>
                </c:pt>
                <c:pt idx="18">
                  <c:v>30.585600000000003</c:v>
                </c:pt>
                <c:pt idx="19">
                  <c:v>32.284800000000004</c:v>
                </c:pt>
                <c:pt idx="20">
                  <c:v>33.984000000000002</c:v>
                </c:pt>
                <c:pt idx="21">
                  <c:v>35.683199999999999</c:v>
                </c:pt>
                <c:pt idx="22">
                  <c:v>37.382400000000004</c:v>
                </c:pt>
                <c:pt idx="23">
                  <c:v>39.081600000000009</c:v>
                </c:pt>
                <c:pt idx="24">
                  <c:v>40.780799999999999</c:v>
                </c:pt>
                <c:pt idx="25">
                  <c:v>42.480000000000004</c:v>
                </c:pt>
                <c:pt idx="26">
                  <c:v>44.179200000000009</c:v>
                </c:pt>
                <c:pt idx="27">
                  <c:v>45.878400000000006</c:v>
                </c:pt>
                <c:pt idx="28">
                  <c:v>47.577600000000011</c:v>
                </c:pt>
                <c:pt idx="29">
                  <c:v>49.276800000000001</c:v>
                </c:pt>
                <c:pt idx="30">
                  <c:v>50.976000000000006</c:v>
                </c:pt>
                <c:pt idx="31">
                  <c:v>52.675200000000004</c:v>
                </c:pt>
                <c:pt idx="32">
                  <c:v>54.374400000000009</c:v>
                </c:pt>
                <c:pt idx="33">
                  <c:v>56.073600000000006</c:v>
                </c:pt>
                <c:pt idx="34">
                  <c:v>57.772800000000011</c:v>
                </c:pt>
                <c:pt idx="35">
                  <c:v>59.472000000000001</c:v>
                </c:pt>
                <c:pt idx="36">
                  <c:v>61.171200000000006</c:v>
                </c:pt>
                <c:pt idx="37">
                  <c:v>62.870400000000004</c:v>
                </c:pt>
                <c:pt idx="38">
                  <c:v>64.569600000000008</c:v>
                </c:pt>
                <c:pt idx="39">
                  <c:v>66.268800000000013</c:v>
                </c:pt>
                <c:pt idx="40">
                  <c:v>67.968000000000004</c:v>
                </c:pt>
                <c:pt idx="41">
                  <c:v>69.667200000000008</c:v>
                </c:pt>
                <c:pt idx="42">
                  <c:v>71.366399999999999</c:v>
                </c:pt>
                <c:pt idx="43">
                  <c:v>73.065600000000003</c:v>
                </c:pt>
                <c:pt idx="44">
                  <c:v>74.764800000000008</c:v>
                </c:pt>
                <c:pt idx="45">
                  <c:v>76.464000000000013</c:v>
                </c:pt>
                <c:pt idx="46">
                  <c:v>78.163200000000018</c:v>
                </c:pt>
                <c:pt idx="47">
                  <c:v>79.862400000000008</c:v>
                </c:pt>
                <c:pt idx="48">
                  <c:v>81.561599999999999</c:v>
                </c:pt>
                <c:pt idx="49">
                  <c:v>83.260800000000003</c:v>
                </c:pt>
                <c:pt idx="50">
                  <c:v>84.960000000000008</c:v>
                </c:pt>
              </c:numCache>
            </c:numRef>
          </c:xVal>
          <c:yVal>
            <c:numRef>
              <c:f>'FUSELAGE-BIZ'!$K$25:$K$75</c:f>
              <c:numCache>
                <c:formatCode>0.0000</c:formatCode>
                <c:ptCount val="51"/>
                <c:pt idx="0">
                  <c:v>0</c:v>
                </c:pt>
                <c:pt idx="1">
                  <c:v>-0.64978152671643286</c:v>
                </c:pt>
                <c:pt idx="2">
                  <c:v>-1.1313353482048123</c:v>
                </c:pt>
                <c:pt idx="3">
                  <c:v>-1.5648199126778886</c:v>
                </c:pt>
                <c:pt idx="4">
                  <c:v>-1.9697692493130321</c:v>
                </c:pt>
                <c:pt idx="5">
                  <c:v>-2.3547421819875782</c:v>
                </c:pt>
                <c:pt idx="6">
                  <c:v>-2.724509712877456</c:v>
                </c:pt>
                <c:pt idx="7">
                  <c:v>-3.0820933768035679</c:v>
                </c:pt>
                <c:pt idx="8">
                  <c:v>-3.4295674591056877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-3.3089980278244373</c:v>
                </c:pt>
                <c:pt idx="42">
                  <c:v>-3.0114419114628683</c:v>
                </c:pt>
                <c:pt idx="43">
                  <c:v>-2.7063311279401643</c:v>
                </c:pt>
                <c:pt idx="44">
                  <c:v>-2.392343301416306</c:v>
                </c:pt>
                <c:pt idx="45">
                  <c:v>-2.0676570389946622</c:v>
                </c:pt>
                <c:pt idx="46">
                  <c:v>-1.7296191849332589</c:v>
                </c:pt>
                <c:pt idx="47">
                  <c:v>-1.3740404074625432</c:v>
                </c:pt>
                <c:pt idx="48">
                  <c:v>-0.99340535625207682</c:v>
                </c:pt>
                <c:pt idx="49">
                  <c:v>-0.57056154928600211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B-406B-975A-1E0987EE3123}"/>
            </c:ext>
          </c:extLst>
        </c:ser>
        <c:ser>
          <c:idx val="0"/>
          <c:order val="1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'FUSELAGE-BIZ'!$B$25:$B$75</c:f>
              <c:numCache>
                <c:formatCode>0.00</c:formatCode>
                <c:ptCount val="51"/>
                <c:pt idx="0">
                  <c:v>0</c:v>
                </c:pt>
                <c:pt idx="1">
                  <c:v>1.6992000000000003</c:v>
                </c:pt>
                <c:pt idx="2">
                  <c:v>3.3984000000000005</c:v>
                </c:pt>
                <c:pt idx="3">
                  <c:v>5.0975999999999999</c:v>
                </c:pt>
                <c:pt idx="4">
                  <c:v>6.7968000000000011</c:v>
                </c:pt>
                <c:pt idx="5">
                  <c:v>8.4960000000000004</c:v>
                </c:pt>
                <c:pt idx="6">
                  <c:v>10.1952</c:v>
                </c:pt>
                <c:pt idx="7">
                  <c:v>11.894400000000003</c:v>
                </c:pt>
                <c:pt idx="8">
                  <c:v>13.593600000000002</c:v>
                </c:pt>
                <c:pt idx="9">
                  <c:v>15.292800000000002</c:v>
                </c:pt>
                <c:pt idx="10">
                  <c:v>16.992000000000001</c:v>
                </c:pt>
                <c:pt idx="11">
                  <c:v>18.691200000000002</c:v>
                </c:pt>
                <c:pt idx="12">
                  <c:v>20.3904</c:v>
                </c:pt>
                <c:pt idx="13">
                  <c:v>22.089600000000004</c:v>
                </c:pt>
                <c:pt idx="14">
                  <c:v>23.788800000000005</c:v>
                </c:pt>
                <c:pt idx="15">
                  <c:v>25.488000000000003</c:v>
                </c:pt>
                <c:pt idx="16">
                  <c:v>27.187200000000004</c:v>
                </c:pt>
                <c:pt idx="17">
                  <c:v>28.886400000000005</c:v>
                </c:pt>
                <c:pt idx="18">
                  <c:v>30.585600000000003</c:v>
                </c:pt>
                <c:pt idx="19">
                  <c:v>32.284800000000004</c:v>
                </c:pt>
                <c:pt idx="20">
                  <c:v>33.984000000000002</c:v>
                </c:pt>
                <c:pt idx="21">
                  <c:v>35.683199999999999</c:v>
                </c:pt>
                <c:pt idx="22">
                  <c:v>37.382400000000004</c:v>
                </c:pt>
                <c:pt idx="23">
                  <c:v>39.081600000000009</c:v>
                </c:pt>
                <c:pt idx="24">
                  <c:v>40.780799999999999</c:v>
                </c:pt>
                <c:pt idx="25">
                  <c:v>42.480000000000004</c:v>
                </c:pt>
                <c:pt idx="26">
                  <c:v>44.179200000000009</c:v>
                </c:pt>
                <c:pt idx="27">
                  <c:v>45.878400000000006</c:v>
                </c:pt>
                <c:pt idx="28">
                  <c:v>47.577600000000011</c:v>
                </c:pt>
                <c:pt idx="29">
                  <c:v>49.276800000000001</c:v>
                </c:pt>
                <c:pt idx="30">
                  <c:v>50.976000000000006</c:v>
                </c:pt>
                <c:pt idx="31">
                  <c:v>52.675200000000004</c:v>
                </c:pt>
                <c:pt idx="32">
                  <c:v>54.374400000000009</c:v>
                </c:pt>
                <c:pt idx="33">
                  <c:v>56.073600000000006</c:v>
                </c:pt>
                <c:pt idx="34">
                  <c:v>57.772800000000011</c:v>
                </c:pt>
                <c:pt idx="35">
                  <c:v>59.472000000000001</c:v>
                </c:pt>
                <c:pt idx="36">
                  <c:v>61.171200000000006</c:v>
                </c:pt>
                <c:pt idx="37">
                  <c:v>62.870400000000004</c:v>
                </c:pt>
                <c:pt idx="38">
                  <c:v>64.569600000000008</c:v>
                </c:pt>
                <c:pt idx="39">
                  <c:v>66.268800000000013</c:v>
                </c:pt>
                <c:pt idx="40">
                  <c:v>67.968000000000004</c:v>
                </c:pt>
                <c:pt idx="41">
                  <c:v>69.667200000000008</c:v>
                </c:pt>
                <c:pt idx="42">
                  <c:v>71.366399999999999</c:v>
                </c:pt>
                <c:pt idx="43">
                  <c:v>73.065600000000003</c:v>
                </c:pt>
                <c:pt idx="44">
                  <c:v>74.764800000000008</c:v>
                </c:pt>
                <c:pt idx="45">
                  <c:v>76.464000000000013</c:v>
                </c:pt>
                <c:pt idx="46">
                  <c:v>78.163200000000018</c:v>
                </c:pt>
                <c:pt idx="47">
                  <c:v>79.862400000000008</c:v>
                </c:pt>
                <c:pt idx="48">
                  <c:v>81.561599999999999</c:v>
                </c:pt>
                <c:pt idx="49">
                  <c:v>83.260800000000003</c:v>
                </c:pt>
                <c:pt idx="50">
                  <c:v>84.960000000000008</c:v>
                </c:pt>
              </c:numCache>
            </c:numRef>
          </c:xVal>
          <c:yVal>
            <c:numRef>
              <c:f>'FUSELAGE-BIZ'!$J$25:$J$75</c:f>
              <c:numCache>
                <c:formatCode>0.0000</c:formatCode>
                <c:ptCount val="51"/>
                <c:pt idx="0">
                  <c:v>0</c:v>
                </c:pt>
                <c:pt idx="1">
                  <c:v>0.64978152671643286</c:v>
                </c:pt>
                <c:pt idx="2">
                  <c:v>1.1313353482048123</c:v>
                </c:pt>
                <c:pt idx="3">
                  <c:v>1.5648199126778886</c:v>
                </c:pt>
                <c:pt idx="4">
                  <c:v>1.9697692493130321</c:v>
                </c:pt>
                <c:pt idx="5">
                  <c:v>2.3547421819875782</c:v>
                </c:pt>
                <c:pt idx="6">
                  <c:v>2.724509712877456</c:v>
                </c:pt>
                <c:pt idx="7">
                  <c:v>3.0820933768035679</c:v>
                </c:pt>
                <c:pt idx="8">
                  <c:v>3.4295674591056877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3.3089980278244373</c:v>
                </c:pt>
                <c:pt idx="42">
                  <c:v>3.0114419114628683</c:v>
                </c:pt>
                <c:pt idx="43">
                  <c:v>2.7063311279401643</c:v>
                </c:pt>
                <c:pt idx="44">
                  <c:v>2.392343301416306</c:v>
                </c:pt>
                <c:pt idx="45">
                  <c:v>2.0676570389946622</c:v>
                </c:pt>
                <c:pt idx="46">
                  <c:v>1.7296191849332589</c:v>
                </c:pt>
                <c:pt idx="47">
                  <c:v>1.3740404074625432</c:v>
                </c:pt>
                <c:pt idx="48">
                  <c:v>0.99340535625207682</c:v>
                </c:pt>
                <c:pt idx="49">
                  <c:v>0.57056154928600211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B-406B-975A-1E0987EE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49968"/>
        <c:axId val="1"/>
      </c:scatterChart>
      <c:valAx>
        <c:axId val="571749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in val="-10"/>
        </c:scaling>
        <c:delete val="0"/>
        <c:axPos val="l"/>
        <c:numFmt formatCode="0.0000" sourceLinked="1"/>
        <c:majorTickMark val="cross"/>
        <c:minorTickMark val="none"/>
        <c:tickLblPos val="none"/>
        <c:spPr>
          <a:ln w="3175">
            <a:noFill/>
            <a:prstDash val="solid"/>
          </a:ln>
        </c:spPr>
        <c:crossAx val="571749968"/>
        <c:crosses val="autoZero"/>
        <c:crossBetween val="midCat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/>
              <a:t>Wing Plan View</a:t>
            </a:r>
          </a:p>
        </c:rich>
      </c:tx>
      <c:layout>
        <c:manualLayout>
          <c:xMode val="edge"/>
          <c:yMode val="edge"/>
          <c:x val="0.41510323201718541"/>
          <c:y val="2.8274084972371542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02749716425977"/>
          <c:y val="0.15625"/>
          <c:w val="0.79726124128487119"/>
          <c:h val="0.74170955485967593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'WING-BIZ'!$B$41:$B$45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40.879701564468398</c:v>
                </c:pt>
                <c:pt idx="3">
                  <c:v>40.879701564468398</c:v>
                </c:pt>
                <c:pt idx="4">
                  <c:v>0</c:v>
                </c:pt>
              </c:numCache>
            </c:numRef>
          </c:xVal>
          <c:yVal>
            <c:numRef>
              <c:f>'WING-BIZ'!$A$41:$A$45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15.191267768290004</c:v>
                </c:pt>
                <c:pt idx="2" formatCode="General">
                  <c:v>21.056975868815936</c:v>
                </c:pt>
                <c:pt idx="3" formatCode="General">
                  <c:v>15.284294116865734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8-4ADA-96B9-BF8B86B9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7936"/>
        <c:axId val="40606720"/>
      </c:scatterChart>
      <c:valAx>
        <c:axId val="40567936"/>
        <c:scaling>
          <c:orientation val="minMax"/>
          <c:max val="6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y - spanwise (ft)</a:t>
                </a:r>
              </a:p>
            </c:rich>
          </c:tx>
          <c:layout>
            <c:manualLayout>
              <c:xMode val="edge"/>
              <c:yMode val="edge"/>
              <c:x val="0.44857442488742977"/>
              <c:y val="0.914647407212340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06720"/>
        <c:crosses val="autoZero"/>
        <c:crossBetween val="midCat"/>
        <c:minorUnit val="5"/>
      </c:valAx>
      <c:valAx>
        <c:axId val="40606720"/>
        <c:scaling>
          <c:orientation val="maxMin"/>
          <c:max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x - chordwise (ft)</a:t>
                </a:r>
              </a:p>
            </c:rich>
          </c:tx>
          <c:layout>
            <c:manualLayout>
              <c:xMode val="edge"/>
              <c:yMode val="edge"/>
              <c:x val="4.4722108992543454E-2"/>
              <c:y val="0.39370661486370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dash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67936"/>
        <c:crosses val="autoZero"/>
        <c:crossBetween val="midCat"/>
        <c:majorUnit val="10"/>
        <c:minorUnit val="5"/>
      </c:valAx>
      <c:spPr>
        <a:noFill/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05912778817949E-2"/>
          <c:y val="0.21501104441152774"/>
          <c:w val="0.87224365661422498"/>
          <c:h val="0.19276322277897082"/>
        </c:manualLayout>
      </c:layout>
      <c:scatterChart>
        <c:scatterStyle val="lineMarker"/>
        <c:varyColors val="0"/>
        <c:ser>
          <c:idx val="2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'FUSELAGE-BIZ'!$B$25:$B$75</c:f>
              <c:numCache>
                <c:formatCode>0.00</c:formatCode>
                <c:ptCount val="51"/>
                <c:pt idx="0">
                  <c:v>0</c:v>
                </c:pt>
                <c:pt idx="1">
                  <c:v>1.6992000000000003</c:v>
                </c:pt>
                <c:pt idx="2">
                  <c:v>3.3984000000000005</c:v>
                </c:pt>
                <c:pt idx="3">
                  <c:v>5.0975999999999999</c:v>
                </c:pt>
                <c:pt idx="4">
                  <c:v>6.7968000000000011</c:v>
                </c:pt>
                <c:pt idx="5">
                  <c:v>8.4960000000000004</c:v>
                </c:pt>
                <c:pt idx="6">
                  <c:v>10.1952</c:v>
                </c:pt>
                <c:pt idx="7">
                  <c:v>11.894400000000003</c:v>
                </c:pt>
                <c:pt idx="8">
                  <c:v>13.593600000000002</c:v>
                </c:pt>
                <c:pt idx="9">
                  <c:v>15.292800000000002</c:v>
                </c:pt>
                <c:pt idx="10">
                  <c:v>16.992000000000001</c:v>
                </c:pt>
                <c:pt idx="11">
                  <c:v>18.691200000000002</c:v>
                </c:pt>
                <c:pt idx="12">
                  <c:v>20.3904</c:v>
                </c:pt>
                <c:pt idx="13">
                  <c:v>22.089600000000004</c:v>
                </c:pt>
                <c:pt idx="14">
                  <c:v>23.788800000000005</c:v>
                </c:pt>
                <c:pt idx="15">
                  <c:v>25.488000000000003</c:v>
                </c:pt>
                <c:pt idx="16">
                  <c:v>27.187200000000004</c:v>
                </c:pt>
                <c:pt idx="17">
                  <c:v>28.886400000000005</c:v>
                </c:pt>
                <c:pt idx="18">
                  <c:v>30.585600000000003</c:v>
                </c:pt>
                <c:pt idx="19">
                  <c:v>32.284800000000004</c:v>
                </c:pt>
                <c:pt idx="20">
                  <c:v>33.984000000000002</c:v>
                </c:pt>
                <c:pt idx="21">
                  <c:v>35.683199999999999</c:v>
                </c:pt>
                <c:pt idx="22">
                  <c:v>37.382400000000004</c:v>
                </c:pt>
                <c:pt idx="23">
                  <c:v>39.081600000000009</c:v>
                </c:pt>
                <c:pt idx="24">
                  <c:v>40.780799999999999</c:v>
                </c:pt>
                <c:pt idx="25">
                  <c:v>42.480000000000004</c:v>
                </c:pt>
                <c:pt idx="26">
                  <c:v>44.179200000000009</c:v>
                </c:pt>
                <c:pt idx="27">
                  <c:v>45.878400000000006</c:v>
                </c:pt>
                <c:pt idx="28">
                  <c:v>47.577600000000011</c:v>
                </c:pt>
                <c:pt idx="29">
                  <c:v>49.276800000000001</c:v>
                </c:pt>
                <c:pt idx="30">
                  <c:v>50.976000000000006</c:v>
                </c:pt>
                <c:pt idx="31">
                  <c:v>52.675200000000004</c:v>
                </c:pt>
                <c:pt idx="32">
                  <c:v>54.374400000000009</c:v>
                </c:pt>
                <c:pt idx="33">
                  <c:v>56.073600000000006</c:v>
                </c:pt>
                <c:pt idx="34">
                  <c:v>57.772800000000011</c:v>
                </c:pt>
                <c:pt idx="35">
                  <c:v>59.472000000000001</c:v>
                </c:pt>
                <c:pt idx="36">
                  <c:v>61.171200000000006</c:v>
                </c:pt>
                <c:pt idx="37">
                  <c:v>62.870400000000004</c:v>
                </c:pt>
                <c:pt idx="38">
                  <c:v>64.569600000000008</c:v>
                </c:pt>
                <c:pt idx="39">
                  <c:v>66.268800000000013</c:v>
                </c:pt>
                <c:pt idx="40">
                  <c:v>67.968000000000004</c:v>
                </c:pt>
                <c:pt idx="41">
                  <c:v>69.667200000000008</c:v>
                </c:pt>
                <c:pt idx="42">
                  <c:v>71.366399999999999</c:v>
                </c:pt>
                <c:pt idx="43">
                  <c:v>73.065600000000003</c:v>
                </c:pt>
                <c:pt idx="44">
                  <c:v>74.764800000000008</c:v>
                </c:pt>
                <c:pt idx="45">
                  <c:v>76.464000000000013</c:v>
                </c:pt>
                <c:pt idx="46">
                  <c:v>78.163200000000018</c:v>
                </c:pt>
                <c:pt idx="47">
                  <c:v>79.862400000000008</c:v>
                </c:pt>
                <c:pt idx="48">
                  <c:v>81.561599999999999</c:v>
                </c:pt>
                <c:pt idx="49">
                  <c:v>83.260800000000003</c:v>
                </c:pt>
                <c:pt idx="50">
                  <c:v>84.960000000000008</c:v>
                </c:pt>
              </c:numCache>
            </c:numRef>
          </c:xVal>
          <c:yVal>
            <c:numRef>
              <c:f>'FUSELAGE-BIZ'!$K$25:$K$75</c:f>
              <c:numCache>
                <c:formatCode>0.0000</c:formatCode>
                <c:ptCount val="51"/>
                <c:pt idx="0">
                  <c:v>0</c:v>
                </c:pt>
                <c:pt idx="1">
                  <c:v>-0.64978152671643286</c:v>
                </c:pt>
                <c:pt idx="2">
                  <c:v>-1.1313353482048123</c:v>
                </c:pt>
                <c:pt idx="3">
                  <c:v>-1.5648199126778886</c:v>
                </c:pt>
                <c:pt idx="4">
                  <c:v>-1.9697692493130321</c:v>
                </c:pt>
                <c:pt idx="5">
                  <c:v>-2.3547421819875782</c:v>
                </c:pt>
                <c:pt idx="6">
                  <c:v>-2.724509712877456</c:v>
                </c:pt>
                <c:pt idx="7">
                  <c:v>-3.0820933768035679</c:v>
                </c:pt>
                <c:pt idx="8">
                  <c:v>-3.4295674591056877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-3.3089980278244373</c:v>
                </c:pt>
                <c:pt idx="42">
                  <c:v>-3.0114419114628683</c:v>
                </c:pt>
                <c:pt idx="43">
                  <c:v>-2.7063311279401643</c:v>
                </c:pt>
                <c:pt idx="44">
                  <c:v>-2.392343301416306</c:v>
                </c:pt>
                <c:pt idx="45">
                  <c:v>-2.0676570389946622</c:v>
                </c:pt>
                <c:pt idx="46">
                  <c:v>-1.7296191849332589</c:v>
                </c:pt>
                <c:pt idx="47">
                  <c:v>-1.3740404074625432</c:v>
                </c:pt>
                <c:pt idx="48">
                  <c:v>-0.99340535625207682</c:v>
                </c:pt>
                <c:pt idx="49">
                  <c:v>-0.57056154928600211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A-42D4-BCB4-CF4A6434B159}"/>
            </c:ext>
          </c:extLst>
        </c:ser>
        <c:ser>
          <c:idx val="3"/>
          <c:order val="1"/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'FUSELAGE-BIZ'!$B$25:$B$75</c:f>
              <c:numCache>
                <c:formatCode>0.00</c:formatCode>
                <c:ptCount val="51"/>
                <c:pt idx="0">
                  <c:v>0</c:v>
                </c:pt>
                <c:pt idx="1">
                  <c:v>1.6992000000000003</c:v>
                </c:pt>
                <c:pt idx="2">
                  <c:v>3.3984000000000005</c:v>
                </c:pt>
                <c:pt idx="3">
                  <c:v>5.0975999999999999</c:v>
                </c:pt>
                <c:pt idx="4">
                  <c:v>6.7968000000000011</c:v>
                </c:pt>
                <c:pt idx="5">
                  <c:v>8.4960000000000004</c:v>
                </c:pt>
                <c:pt idx="6">
                  <c:v>10.1952</c:v>
                </c:pt>
                <c:pt idx="7">
                  <c:v>11.894400000000003</c:v>
                </c:pt>
                <c:pt idx="8">
                  <c:v>13.593600000000002</c:v>
                </c:pt>
                <c:pt idx="9">
                  <c:v>15.292800000000002</c:v>
                </c:pt>
                <c:pt idx="10">
                  <c:v>16.992000000000001</c:v>
                </c:pt>
                <c:pt idx="11">
                  <c:v>18.691200000000002</c:v>
                </c:pt>
                <c:pt idx="12">
                  <c:v>20.3904</c:v>
                </c:pt>
                <c:pt idx="13">
                  <c:v>22.089600000000004</c:v>
                </c:pt>
                <c:pt idx="14">
                  <c:v>23.788800000000005</c:v>
                </c:pt>
                <c:pt idx="15">
                  <c:v>25.488000000000003</c:v>
                </c:pt>
                <c:pt idx="16">
                  <c:v>27.187200000000004</c:v>
                </c:pt>
                <c:pt idx="17">
                  <c:v>28.886400000000005</c:v>
                </c:pt>
                <c:pt idx="18">
                  <c:v>30.585600000000003</c:v>
                </c:pt>
                <c:pt idx="19">
                  <c:v>32.284800000000004</c:v>
                </c:pt>
                <c:pt idx="20">
                  <c:v>33.984000000000002</c:v>
                </c:pt>
                <c:pt idx="21">
                  <c:v>35.683199999999999</c:v>
                </c:pt>
                <c:pt idx="22">
                  <c:v>37.382400000000004</c:v>
                </c:pt>
                <c:pt idx="23">
                  <c:v>39.081600000000009</c:v>
                </c:pt>
                <c:pt idx="24">
                  <c:v>40.780799999999999</c:v>
                </c:pt>
                <c:pt idx="25">
                  <c:v>42.480000000000004</c:v>
                </c:pt>
                <c:pt idx="26">
                  <c:v>44.179200000000009</c:v>
                </c:pt>
                <c:pt idx="27">
                  <c:v>45.878400000000006</c:v>
                </c:pt>
                <c:pt idx="28">
                  <c:v>47.577600000000011</c:v>
                </c:pt>
                <c:pt idx="29">
                  <c:v>49.276800000000001</c:v>
                </c:pt>
                <c:pt idx="30">
                  <c:v>50.976000000000006</c:v>
                </c:pt>
                <c:pt idx="31">
                  <c:v>52.675200000000004</c:v>
                </c:pt>
                <c:pt idx="32">
                  <c:v>54.374400000000009</c:v>
                </c:pt>
                <c:pt idx="33">
                  <c:v>56.073600000000006</c:v>
                </c:pt>
                <c:pt idx="34">
                  <c:v>57.772800000000011</c:v>
                </c:pt>
                <c:pt idx="35">
                  <c:v>59.472000000000001</c:v>
                </c:pt>
                <c:pt idx="36">
                  <c:v>61.171200000000006</c:v>
                </c:pt>
                <c:pt idx="37">
                  <c:v>62.870400000000004</c:v>
                </c:pt>
                <c:pt idx="38">
                  <c:v>64.569600000000008</c:v>
                </c:pt>
                <c:pt idx="39">
                  <c:v>66.268800000000013</c:v>
                </c:pt>
                <c:pt idx="40">
                  <c:v>67.968000000000004</c:v>
                </c:pt>
                <c:pt idx="41">
                  <c:v>69.667200000000008</c:v>
                </c:pt>
                <c:pt idx="42">
                  <c:v>71.366399999999999</c:v>
                </c:pt>
                <c:pt idx="43">
                  <c:v>73.065600000000003</c:v>
                </c:pt>
                <c:pt idx="44">
                  <c:v>74.764800000000008</c:v>
                </c:pt>
                <c:pt idx="45">
                  <c:v>76.464000000000013</c:v>
                </c:pt>
                <c:pt idx="46">
                  <c:v>78.163200000000018</c:v>
                </c:pt>
                <c:pt idx="47">
                  <c:v>79.862400000000008</c:v>
                </c:pt>
                <c:pt idx="48">
                  <c:v>81.561599999999999</c:v>
                </c:pt>
                <c:pt idx="49">
                  <c:v>83.260800000000003</c:v>
                </c:pt>
                <c:pt idx="50">
                  <c:v>84.960000000000008</c:v>
                </c:pt>
              </c:numCache>
            </c:numRef>
          </c:xVal>
          <c:yVal>
            <c:numRef>
              <c:f>'FUSELAGE-BIZ'!$J$25:$J$75</c:f>
              <c:numCache>
                <c:formatCode>0.0000</c:formatCode>
                <c:ptCount val="51"/>
                <c:pt idx="0">
                  <c:v>0</c:v>
                </c:pt>
                <c:pt idx="1">
                  <c:v>0.64978152671643286</c:v>
                </c:pt>
                <c:pt idx="2">
                  <c:v>1.1313353482048123</c:v>
                </c:pt>
                <c:pt idx="3">
                  <c:v>1.5648199126778886</c:v>
                </c:pt>
                <c:pt idx="4">
                  <c:v>1.9697692493130321</c:v>
                </c:pt>
                <c:pt idx="5">
                  <c:v>2.3547421819875782</c:v>
                </c:pt>
                <c:pt idx="6">
                  <c:v>2.724509712877456</c:v>
                </c:pt>
                <c:pt idx="7">
                  <c:v>3.0820933768035679</c:v>
                </c:pt>
                <c:pt idx="8">
                  <c:v>3.4295674591056877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3.3089980278244373</c:v>
                </c:pt>
                <c:pt idx="42">
                  <c:v>3.0114419114628683</c:v>
                </c:pt>
                <c:pt idx="43">
                  <c:v>2.7063311279401643</c:v>
                </c:pt>
                <c:pt idx="44">
                  <c:v>2.392343301416306</c:v>
                </c:pt>
                <c:pt idx="45">
                  <c:v>2.0676570389946622</c:v>
                </c:pt>
                <c:pt idx="46">
                  <c:v>1.7296191849332589</c:v>
                </c:pt>
                <c:pt idx="47">
                  <c:v>1.3740404074625432</c:v>
                </c:pt>
                <c:pt idx="48">
                  <c:v>0.99340535625207682</c:v>
                </c:pt>
                <c:pt idx="49">
                  <c:v>0.57056154928600211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A-42D4-BCB4-CF4A6434B159}"/>
            </c:ext>
          </c:extLst>
        </c:ser>
        <c:ser>
          <c:idx val="1"/>
          <c:order val="2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'FUSELAGE-BIZ'!$B$25:$B$75</c:f>
              <c:numCache>
                <c:formatCode>0.00</c:formatCode>
                <c:ptCount val="51"/>
                <c:pt idx="0">
                  <c:v>0</c:v>
                </c:pt>
                <c:pt idx="1">
                  <c:v>1.6992000000000003</c:v>
                </c:pt>
                <c:pt idx="2">
                  <c:v>3.3984000000000005</c:v>
                </c:pt>
                <c:pt idx="3">
                  <c:v>5.0975999999999999</c:v>
                </c:pt>
                <c:pt idx="4">
                  <c:v>6.7968000000000011</c:v>
                </c:pt>
                <c:pt idx="5">
                  <c:v>8.4960000000000004</c:v>
                </c:pt>
                <c:pt idx="6">
                  <c:v>10.1952</c:v>
                </c:pt>
                <c:pt idx="7">
                  <c:v>11.894400000000003</c:v>
                </c:pt>
                <c:pt idx="8">
                  <c:v>13.593600000000002</c:v>
                </c:pt>
                <c:pt idx="9">
                  <c:v>15.292800000000002</c:v>
                </c:pt>
                <c:pt idx="10">
                  <c:v>16.992000000000001</c:v>
                </c:pt>
                <c:pt idx="11">
                  <c:v>18.691200000000002</c:v>
                </c:pt>
                <c:pt idx="12">
                  <c:v>20.3904</c:v>
                </c:pt>
                <c:pt idx="13">
                  <c:v>22.089600000000004</c:v>
                </c:pt>
                <c:pt idx="14">
                  <c:v>23.788800000000005</c:v>
                </c:pt>
                <c:pt idx="15">
                  <c:v>25.488000000000003</c:v>
                </c:pt>
                <c:pt idx="16">
                  <c:v>27.187200000000004</c:v>
                </c:pt>
                <c:pt idx="17">
                  <c:v>28.886400000000005</c:v>
                </c:pt>
                <c:pt idx="18">
                  <c:v>30.585600000000003</c:v>
                </c:pt>
                <c:pt idx="19">
                  <c:v>32.284800000000004</c:v>
                </c:pt>
                <c:pt idx="20">
                  <c:v>33.984000000000002</c:v>
                </c:pt>
                <c:pt idx="21">
                  <c:v>35.683199999999999</c:v>
                </c:pt>
                <c:pt idx="22">
                  <c:v>37.382400000000004</c:v>
                </c:pt>
                <c:pt idx="23">
                  <c:v>39.081600000000009</c:v>
                </c:pt>
                <c:pt idx="24">
                  <c:v>40.780799999999999</c:v>
                </c:pt>
                <c:pt idx="25">
                  <c:v>42.480000000000004</c:v>
                </c:pt>
                <c:pt idx="26">
                  <c:v>44.179200000000009</c:v>
                </c:pt>
                <c:pt idx="27">
                  <c:v>45.878400000000006</c:v>
                </c:pt>
                <c:pt idx="28">
                  <c:v>47.577600000000011</c:v>
                </c:pt>
                <c:pt idx="29">
                  <c:v>49.276800000000001</c:v>
                </c:pt>
                <c:pt idx="30">
                  <c:v>50.976000000000006</c:v>
                </c:pt>
                <c:pt idx="31">
                  <c:v>52.675200000000004</c:v>
                </c:pt>
                <c:pt idx="32">
                  <c:v>54.374400000000009</c:v>
                </c:pt>
                <c:pt idx="33">
                  <c:v>56.073600000000006</c:v>
                </c:pt>
                <c:pt idx="34">
                  <c:v>57.772800000000011</c:v>
                </c:pt>
                <c:pt idx="35">
                  <c:v>59.472000000000001</c:v>
                </c:pt>
                <c:pt idx="36">
                  <c:v>61.171200000000006</c:v>
                </c:pt>
                <c:pt idx="37">
                  <c:v>62.870400000000004</c:v>
                </c:pt>
                <c:pt idx="38">
                  <c:v>64.569600000000008</c:v>
                </c:pt>
                <c:pt idx="39">
                  <c:v>66.268800000000013</c:v>
                </c:pt>
                <c:pt idx="40">
                  <c:v>67.968000000000004</c:v>
                </c:pt>
                <c:pt idx="41">
                  <c:v>69.667200000000008</c:v>
                </c:pt>
                <c:pt idx="42">
                  <c:v>71.366399999999999</c:v>
                </c:pt>
                <c:pt idx="43">
                  <c:v>73.065600000000003</c:v>
                </c:pt>
                <c:pt idx="44">
                  <c:v>74.764800000000008</c:v>
                </c:pt>
                <c:pt idx="45">
                  <c:v>76.464000000000013</c:v>
                </c:pt>
                <c:pt idx="46">
                  <c:v>78.163200000000018</c:v>
                </c:pt>
                <c:pt idx="47">
                  <c:v>79.862400000000008</c:v>
                </c:pt>
                <c:pt idx="48">
                  <c:v>81.561599999999999</c:v>
                </c:pt>
                <c:pt idx="49">
                  <c:v>83.260800000000003</c:v>
                </c:pt>
                <c:pt idx="50">
                  <c:v>84.960000000000008</c:v>
                </c:pt>
              </c:numCache>
            </c:numRef>
          </c:xVal>
          <c:yVal>
            <c:numRef>
              <c:f>'FUSELAGE-BIZ'!$K$25:$K$75</c:f>
              <c:numCache>
                <c:formatCode>0.0000</c:formatCode>
                <c:ptCount val="51"/>
                <c:pt idx="0">
                  <c:v>0</c:v>
                </c:pt>
                <c:pt idx="1">
                  <c:v>-0.64978152671643286</c:v>
                </c:pt>
                <c:pt idx="2">
                  <c:v>-1.1313353482048123</c:v>
                </c:pt>
                <c:pt idx="3">
                  <c:v>-1.5648199126778886</c:v>
                </c:pt>
                <c:pt idx="4">
                  <c:v>-1.9697692493130321</c:v>
                </c:pt>
                <c:pt idx="5">
                  <c:v>-2.3547421819875782</c:v>
                </c:pt>
                <c:pt idx="6">
                  <c:v>-2.724509712877456</c:v>
                </c:pt>
                <c:pt idx="7">
                  <c:v>-3.0820933768035679</c:v>
                </c:pt>
                <c:pt idx="8">
                  <c:v>-3.4295674591056877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-3.3089980278244373</c:v>
                </c:pt>
                <c:pt idx="42">
                  <c:v>-3.0114419114628683</c:v>
                </c:pt>
                <c:pt idx="43">
                  <c:v>-2.7063311279401643</c:v>
                </c:pt>
                <c:pt idx="44">
                  <c:v>-2.392343301416306</c:v>
                </c:pt>
                <c:pt idx="45">
                  <c:v>-2.0676570389946622</c:v>
                </c:pt>
                <c:pt idx="46">
                  <c:v>-1.7296191849332589</c:v>
                </c:pt>
                <c:pt idx="47">
                  <c:v>-1.3740404074625432</c:v>
                </c:pt>
                <c:pt idx="48">
                  <c:v>-0.99340535625207682</c:v>
                </c:pt>
                <c:pt idx="49">
                  <c:v>-0.57056154928600211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A-42D4-BCB4-CF4A6434B159}"/>
            </c:ext>
          </c:extLst>
        </c:ser>
        <c:ser>
          <c:idx val="0"/>
          <c:order val="3"/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'FUSELAGE-BIZ'!$B$25:$B$75</c:f>
              <c:numCache>
                <c:formatCode>0.00</c:formatCode>
                <c:ptCount val="51"/>
                <c:pt idx="0">
                  <c:v>0</c:v>
                </c:pt>
                <c:pt idx="1">
                  <c:v>1.6992000000000003</c:v>
                </c:pt>
                <c:pt idx="2">
                  <c:v>3.3984000000000005</c:v>
                </c:pt>
                <c:pt idx="3">
                  <c:v>5.0975999999999999</c:v>
                </c:pt>
                <c:pt idx="4">
                  <c:v>6.7968000000000011</c:v>
                </c:pt>
                <c:pt idx="5">
                  <c:v>8.4960000000000004</c:v>
                </c:pt>
                <c:pt idx="6">
                  <c:v>10.1952</c:v>
                </c:pt>
                <c:pt idx="7">
                  <c:v>11.894400000000003</c:v>
                </c:pt>
                <c:pt idx="8">
                  <c:v>13.593600000000002</c:v>
                </c:pt>
                <c:pt idx="9">
                  <c:v>15.292800000000002</c:v>
                </c:pt>
                <c:pt idx="10">
                  <c:v>16.992000000000001</c:v>
                </c:pt>
                <c:pt idx="11">
                  <c:v>18.691200000000002</c:v>
                </c:pt>
                <c:pt idx="12">
                  <c:v>20.3904</c:v>
                </c:pt>
                <c:pt idx="13">
                  <c:v>22.089600000000004</c:v>
                </c:pt>
                <c:pt idx="14">
                  <c:v>23.788800000000005</c:v>
                </c:pt>
                <c:pt idx="15">
                  <c:v>25.488000000000003</c:v>
                </c:pt>
                <c:pt idx="16">
                  <c:v>27.187200000000004</c:v>
                </c:pt>
                <c:pt idx="17">
                  <c:v>28.886400000000005</c:v>
                </c:pt>
                <c:pt idx="18">
                  <c:v>30.585600000000003</c:v>
                </c:pt>
                <c:pt idx="19">
                  <c:v>32.284800000000004</c:v>
                </c:pt>
                <c:pt idx="20">
                  <c:v>33.984000000000002</c:v>
                </c:pt>
                <c:pt idx="21">
                  <c:v>35.683199999999999</c:v>
                </c:pt>
                <c:pt idx="22">
                  <c:v>37.382400000000004</c:v>
                </c:pt>
                <c:pt idx="23">
                  <c:v>39.081600000000009</c:v>
                </c:pt>
                <c:pt idx="24">
                  <c:v>40.780799999999999</c:v>
                </c:pt>
                <c:pt idx="25">
                  <c:v>42.480000000000004</c:v>
                </c:pt>
                <c:pt idx="26">
                  <c:v>44.179200000000009</c:v>
                </c:pt>
                <c:pt idx="27">
                  <c:v>45.878400000000006</c:v>
                </c:pt>
                <c:pt idx="28">
                  <c:v>47.577600000000011</c:v>
                </c:pt>
                <c:pt idx="29">
                  <c:v>49.276800000000001</c:v>
                </c:pt>
                <c:pt idx="30">
                  <c:v>50.976000000000006</c:v>
                </c:pt>
                <c:pt idx="31">
                  <c:v>52.675200000000004</c:v>
                </c:pt>
                <c:pt idx="32">
                  <c:v>54.374400000000009</c:v>
                </c:pt>
                <c:pt idx="33">
                  <c:v>56.073600000000006</c:v>
                </c:pt>
                <c:pt idx="34">
                  <c:v>57.772800000000011</c:v>
                </c:pt>
                <c:pt idx="35">
                  <c:v>59.472000000000001</c:v>
                </c:pt>
                <c:pt idx="36">
                  <c:v>61.171200000000006</c:v>
                </c:pt>
                <c:pt idx="37">
                  <c:v>62.870400000000004</c:v>
                </c:pt>
                <c:pt idx="38">
                  <c:v>64.569600000000008</c:v>
                </c:pt>
                <c:pt idx="39">
                  <c:v>66.268800000000013</c:v>
                </c:pt>
                <c:pt idx="40">
                  <c:v>67.968000000000004</c:v>
                </c:pt>
                <c:pt idx="41">
                  <c:v>69.667200000000008</c:v>
                </c:pt>
                <c:pt idx="42">
                  <c:v>71.366399999999999</c:v>
                </c:pt>
                <c:pt idx="43">
                  <c:v>73.065600000000003</c:v>
                </c:pt>
                <c:pt idx="44">
                  <c:v>74.764800000000008</c:v>
                </c:pt>
                <c:pt idx="45">
                  <c:v>76.464000000000013</c:v>
                </c:pt>
                <c:pt idx="46">
                  <c:v>78.163200000000018</c:v>
                </c:pt>
                <c:pt idx="47">
                  <c:v>79.862400000000008</c:v>
                </c:pt>
                <c:pt idx="48">
                  <c:v>81.561599999999999</c:v>
                </c:pt>
                <c:pt idx="49">
                  <c:v>83.260800000000003</c:v>
                </c:pt>
                <c:pt idx="50">
                  <c:v>84.960000000000008</c:v>
                </c:pt>
              </c:numCache>
            </c:numRef>
          </c:xVal>
          <c:yVal>
            <c:numRef>
              <c:f>'FUSELAGE-BIZ'!$J$25:$J$75</c:f>
              <c:numCache>
                <c:formatCode>0.0000</c:formatCode>
                <c:ptCount val="51"/>
                <c:pt idx="0">
                  <c:v>0</c:v>
                </c:pt>
                <c:pt idx="1">
                  <c:v>0.64978152671643286</c:v>
                </c:pt>
                <c:pt idx="2">
                  <c:v>1.1313353482048123</c:v>
                </c:pt>
                <c:pt idx="3">
                  <c:v>1.5648199126778886</c:v>
                </c:pt>
                <c:pt idx="4">
                  <c:v>1.9697692493130321</c:v>
                </c:pt>
                <c:pt idx="5">
                  <c:v>2.3547421819875782</c:v>
                </c:pt>
                <c:pt idx="6">
                  <c:v>2.724509712877456</c:v>
                </c:pt>
                <c:pt idx="7">
                  <c:v>3.0820933768035679</c:v>
                </c:pt>
                <c:pt idx="8">
                  <c:v>3.4295674591056877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3.3089980278244373</c:v>
                </c:pt>
                <c:pt idx="42">
                  <c:v>3.0114419114628683</c:v>
                </c:pt>
                <c:pt idx="43">
                  <c:v>2.7063311279401643</c:v>
                </c:pt>
                <c:pt idx="44">
                  <c:v>2.392343301416306</c:v>
                </c:pt>
                <c:pt idx="45">
                  <c:v>2.0676570389946622</c:v>
                </c:pt>
                <c:pt idx="46">
                  <c:v>1.7296191849332589</c:v>
                </c:pt>
                <c:pt idx="47">
                  <c:v>1.3740404074625432</c:v>
                </c:pt>
                <c:pt idx="48">
                  <c:v>0.99340535625207682</c:v>
                </c:pt>
                <c:pt idx="49">
                  <c:v>0.57056154928600211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A-42D4-BCB4-CF4A6434B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68008"/>
        <c:axId val="1"/>
      </c:scatterChart>
      <c:valAx>
        <c:axId val="57176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9737044462697788"/>
              <c:y val="0.43014745884037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3.3360913564448973E-2"/>
              <c:y val="0.2971041119860017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17680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57169891720931E-2"/>
          <c:y val="0.14207726091434486"/>
          <c:w val="0.50479975323044879"/>
          <c:h val="0.6775992443607217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'TAIL-BIZ'!$A$39:$A$43</c:f>
              <c:numCache>
                <c:formatCode>0.00</c:formatCode>
                <c:ptCount val="5"/>
                <c:pt idx="0">
                  <c:v>0</c:v>
                </c:pt>
                <c:pt idx="1">
                  <c:v>13.365095857760357</c:v>
                </c:pt>
                <c:pt idx="2">
                  <c:v>16.896516687426502</c:v>
                </c:pt>
                <c:pt idx="3">
                  <c:v>6.2044400012182166</c:v>
                </c:pt>
                <c:pt idx="4">
                  <c:v>0</c:v>
                </c:pt>
              </c:numCache>
            </c:numRef>
          </c:xVal>
          <c:yVal>
            <c:numRef>
              <c:f>'TAIL-BIZ'!$B$39:$B$43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11.427156958385105</c:v>
                </c:pt>
                <c:pt idx="3">
                  <c:v>11.427156958385105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9-445B-A6C4-01589AD6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3912"/>
        <c:axId val="1"/>
      </c:scatterChart>
      <c:valAx>
        <c:axId val="571773912"/>
        <c:scaling>
          <c:orientation val="minMax"/>
          <c:min val="0"/>
        </c:scaling>
        <c:delete val="0"/>
        <c:axPos val="b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ax val="25"/>
          <c:min val="0"/>
        </c:scaling>
        <c:delete val="0"/>
        <c:axPos val="l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17739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17274037905016"/>
          <c:y val="0.19736842105263158"/>
          <c:w val="0.28831779224863208"/>
          <c:h val="0.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'TAIL-BIZ'!$A$72:$A$76</c:f>
              <c:numCache>
                <c:formatCode>0.00</c:formatCode>
                <c:ptCount val="5"/>
                <c:pt idx="0">
                  <c:v>0</c:v>
                </c:pt>
                <c:pt idx="1">
                  <c:v>10.068845329640057</c:v>
                </c:pt>
                <c:pt idx="2">
                  <c:v>11.494740052240674</c:v>
                </c:pt>
                <c:pt idx="3">
                  <c:v>6.9637596539026489</c:v>
                </c:pt>
                <c:pt idx="4">
                  <c:v>0</c:v>
                </c:pt>
              </c:numCache>
            </c:numRef>
          </c:xVal>
          <c:yVal>
            <c:numRef>
              <c:f>'TAIL-BIZ'!$B$72:$B$76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14.599825727978082</c:v>
                </c:pt>
                <c:pt idx="3">
                  <c:v>14.599825727978082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3-4E34-97D8-F7FF89CC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72600"/>
        <c:axId val="1"/>
      </c:scatterChart>
      <c:valAx>
        <c:axId val="571772600"/>
        <c:scaling>
          <c:orientation val="minMax"/>
        </c:scaling>
        <c:delete val="0"/>
        <c:axPos val="b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"/>
        </c:scaling>
        <c:delete val="0"/>
        <c:axPos val="l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1772600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5</xdr:row>
      <xdr:rowOff>114300</xdr:rowOff>
    </xdr:from>
    <xdr:to>
      <xdr:col>7</xdr:col>
      <xdr:colOff>381000</xdr:colOff>
      <xdr:row>18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35</xdr:row>
      <xdr:rowOff>28575</xdr:rowOff>
    </xdr:from>
    <xdr:to>
      <xdr:col>14</xdr:col>
      <xdr:colOff>66675</xdr:colOff>
      <xdr:row>47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3</xdr:row>
      <xdr:rowOff>152400</xdr:rowOff>
    </xdr:from>
    <xdr:to>
      <xdr:col>21</xdr:col>
      <xdr:colOff>454025</xdr:colOff>
      <xdr:row>15</xdr:row>
      <xdr:rowOff>133350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26D930A-F8B9-463A-B7A3-DEB6567A0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C2201-37F9-46FE-BA1D-75DC00130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49161-2997-4434-9254-C02AF9D00C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790C4-AE6E-4D9A-B742-0FB7A735B5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opLeftCell="A14" zoomScaleNormal="100" workbookViewId="0">
      <selection activeCell="F36" sqref="F36"/>
    </sheetView>
  </sheetViews>
  <sheetFormatPr defaultRowHeight="13.2"/>
  <cols>
    <col min="1" max="1" width="23.5546875" customWidth="1"/>
    <col min="2" max="2" width="19.44140625" customWidth="1"/>
    <col min="3" max="3" width="10" customWidth="1"/>
    <col min="4" max="4" width="11.21875" customWidth="1"/>
    <col min="5" max="5" width="11.44140625" customWidth="1"/>
    <col min="6" max="6" width="11" customWidth="1"/>
    <col min="7" max="7" width="10.44140625" customWidth="1"/>
  </cols>
  <sheetData>
    <row r="1" spans="1:3" ht="13.8" thickBot="1"/>
    <row r="2" spans="1:3" ht="16.2" thickBot="1">
      <c r="B2" s="178" t="s">
        <v>0</v>
      </c>
      <c r="C2" s="179"/>
    </row>
    <row r="4" spans="1:3">
      <c r="A4" t="s">
        <v>1</v>
      </c>
      <c r="B4" s="7">
        <f>B5+0.05</f>
        <v>0.8</v>
      </c>
    </row>
    <row r="5" spans="1:3">
      <c r="A5" t="s">
        <v>2</v>
      </c>
      <c r="B5" s="7">
        <v>0.75</v>
      </c>
    </row>
    <row r="6" spans="1:3">
      <c r="A6" t="s">
        <v>3</v>
      </c>
      <c r="B6" s="5">
        <v>36000</v>
      </c>
    </row>
    <row r="7" spans="1:3">
      <c r="A7" t="s">
        <v>4</v>
      </c>
      <c r="B7" s="5">
        <v>4500</v>
      </c>
    </row>
    <row r="8" spans="1:3">
      <c r="A8" t="s">
        <v>5</v>
      </c>
      <c r="B8" s="5">
        <v>2800</v>
      </c>
    </row>
    <row r="10" spans="1:3">
      <c r="A10" t="s">
        <v>6</v>
      </c>
      <c r="B10" s="6">
        <v>0.61508211999999995</v>
      </c>
    </row>
    <row r="11" spans="1:3">
      <c r="A11" t="s">
        <v>7</v>
      </c>
      <c r="B11" s="5">
        <v>21900</v>
      </c>
    </row>
    <row r="12" spans="1:3">
      <c r="A12" t="s">
        <v>8</v>
      </c>
      <c r="B12" s="7">
        <v>7.8</v>
      </c>
    </row>
    <row r="13" spans="1:3">
      <c r="A13" t="s">
        <v>9</v>
      </c>
      <c r="B13" s="6">
        <v>0.56000000000000005</v>
      </c>
    </row>
    <row r="15" spans="1:3">
      <c r="A15" t="s">
        <v>10</v>
      </c>
      <c r="B15" s="4">
        <v>45</v>
      </c>
    </row>
    <row r="16" spans="1:3">
      <c r="A16" t="s">
        <v>11</v>
      </c>
      <c r="B16" s="5">
        <v>10000</v>
      </c>
    </row>
    <row r="17" spans="1:9">
      <c r="A17" t="s">
        <v>12</v>
      </c>
      <c r="B17" s="4">
        <v>5</v>
      </c>
    </row>
    <row r="18" spans="1:9">
      <c r="A18" t="s">
        <v>13</v>
      </c>
      <c r="B18" s="4">
        <v>1</v>
      </c>
    </row>
    <row r="22" spans="1:9">
      <c r="B22" s="1"/>
    </row>
    <row r="23" spans="1:9">
      <c r="C23" s="3" t="s">
        <v>14</v>
      </c>
      <c r="D23" s="3" t="s">
        <v>15</v>
      </c>
      <c r="E23" s="3" t="s">
        <v>16</v>
      </c>
      <c r="F23" s="3" t="s">
        <v>17</v>
      </c>
      <c r="G23" s="3" t="s">
        <v>18</v>
      </c>
      <c r="H23" s="3" t="s">
        <v>19</v>
      </c>
      <c r="I23" s="3" t="s">
        <v>20</v>
      </c>
    </row>
    <row r="24" spans="1:9">
      <c r="A24" t="s">
        <v>21</v>
      </c>
      <c r="B24" s="1">
        <v>50000</v>
      </c>
      <c r="C24" s="2">
        <f>B24</f>
        <v>50000</v>
      </c>
      <c r="D24" s="2">
        <f>C24-C26</f>
        <v>50466.666596141862</v>
      </c>
      <c r="E24" s="2">
        <f>D24-D26/((D26-C26)/(D24-C24))</f>
        <v>59999.99818650489</v>
      </c>
      <c r="F24" s="2">
        <f>E24-E26/((E26-D26)/(E24-D24))</f>
        <v>59999.99818650489</v>
      </c>
      <c r="G24" s="2" t="e">
        <f>F24-F26/((F26-E26)/(F24-E24))</f>
        <v>#DIV/0!</v>
      </c>
      <c r="H24" s="2" t="e">
        <f>G24-G26/((G26-F26)/(G24-F24))</f>
        <v>#DIV/0!</v>
      </c>
      <c r="I24" s="2" t="e">
        <f>H24-H26/((H26-G26)/(H24-G24))</f>
        <v>#DIV/0!</v>
      </c>
    </row>
    <row r="25" spans="1:9">
      <c r="A25" t="s">
        <v>22</v>
      </c>
      <c r="C25" s="2">
        <f t="shared" ref="C25:I25" si="0">C36+C38+EXP+NONEXP</f>
        <v>50466.666596141862</v>
      </c>
      <c r="D25" s="2">
        <f t="shared" si="0"/>
        <v>50911.555417138872</v>
      </c>
      <c r="E25" s="2">
        <f t="shared" si="0"/>
        <v>59999.998186504905</v>
      </c>
      <c r="F25" s="2">
        <f t="shared" si="0"/>
        <v>59999.998186504905</v>
      </c>
      <c r="G25" s="2" t="e">
        <f t="shared" si="0"/>
        <v>#DIV/0!</v>
      </c>
      <c r="H25" s="2" t="e">
        <f t="shared" si="0"/>
        <v>#DIV/0!</v>
      </c>
      <c r="I25" s="2" t="e">
        <f t="shared" si="0"/>
        <v>#DIV/0!</v>
      </c>
    </row>
    <row r="26" spans="1:9">
      <c r="A26" t="s">
        <v>23</v>
      </c>
      <c r="C26" s="2">
        <f t="shared" ref="C26:I26" si="1">C24-C25</f>
        <v>-466.6665961418621</v>
      </c>
      <c r="D26" s="2">
        <f t="shared" si="1"/>
        <v>-444.88882099701004</v>
      </c>
      <c r="E26" s="2">
        <f t="shared" si="1"/>
        <v>0</v>
      </c>
      <c r="F26" s="2">
        <f t="shared" si="1"/>
        <v>0</v>
      </c>
      <c r="G26" s="2" t="e">
        <f t="shared" si="1"/>
        <v>#DIV/0!</v>
      </c>
      <c r="H26" s="2" t="e">
        <f t="shared" si="1"/>
        <v>#DIV/0!</v>
      </c>
      <c r="I26" s="2" t="e">
        <f t="shared" si="1"/>
        <v>#DIV/0!</v>
      </c>
    </row>
    <row r="27" spans="1:9">
      <c r="C27" s="2"/>
      <c r="D27" s="2"/>
      <c r="E27" s="2"/>
      <c r="F27" s="2"/>
      <c r="G27" s="2"/>
      <c r="H27" s="2"/>
      <c r="I27" s="2"/>
    </row>
    <row r="28" spans="1:9">
      <c r="A28" t="s">
        <v>24</v>
      </c>
      <c r="C28" s="2">
        <f t="shared" ref="C28:I28" si="2">C24*0.975</f>
        <v>48750</v>
      </c>
      <c r="D28" s="2">
        <f t="shared" si="2"/>
        <v>49204.999931238315</v>
      </c>
      <c r="E28" s="2">
        <f t="shared" si="2"/>
        <v>58499.99823184227</v>
      </c>
      <c r="F28" s="2">
        <f t="shared" si="2"/>
        <v>58499.99823184227</v>
      </c>
      <c r="G28" s="2" t="e">
        <f t="shared" si="2"/>
        <v>#DIV/0!</v>
      </c>
      <c r="H28" s="2" t="e">
        <f t="shared" si="2"/>
        <v>#DIV/0!</v>
      </c>
      <c r="I28" s="2" t="e">
        <f t="shared" si="2"/>
        <v>#DIV/0!</v>
      </c>
    </row>
    <row r="29" spans="1:9">
      <c r="A29" t="s">
        <v>25</v>
      </c>
      <c r="C29" s="2">
        <f t="shared" ref="C29:I29" si="3">IF(MC&lt;1,(1-0.04*MC)*C28,(0.96-0.03*(MC-1))*C28)</f>
        <v>47287.5</v>
      </c>
      <c r="D29" s="2">
        <f t="shared" si="3"/>
        <v>47728.849933301164</v>
      </c>
      <c r="E29" s="2">
        <f t="shared" si="3"/>
        <v>56744.998284886999</v>
      </c>
      <c r="F29" s="2">
        <f t="shared" si="3"/>
        <v>56744.998284886999</v>
      </c>
      <c r="G29" s="2" t="e">
        <f t="shared" si="3"/>
        <v>#DIV/0!</v>
      </c>
      <c r="H29" s="2" t="e">
        <f t="shared" si="3"/>
        <v>#DIV/0!</v>
      </c>
      <c r="I29" s="2" t="e">
        <f t="shared" si="3"/>
        <v>#DIV/0!</v>
      </c>
    </row>
    <row r="30" spans="1:9">
      <c r="A30" t="s">
        <v>26</v>
      </c>
      <c r="C30" s="2">
        <f t="shared" ref="C30:I30" si="4">IF(MC&lt;1,10+A,11*(1/MC)^0.5)</f>
        <v>17.8</v>
      </c>
      <c r="D30" s="2">
        <f t="shared" si="4"/>
        <v>17.8</v>
      </c>
      <c r="E30" s="2">
        <f t="shared" si="4"/>
        <v>17.8</v>
      </c>
      <c r="F30" s="2">
        <f t="shared" si="4"/>
        <v>17.8</v>
      </c>
      <c r="G30" s="2">
        <f t="shared" si="4"/>
        <v>17.8</v>
      </c>
      <c r="H30" s="2">
        <f t="shared" si="4"/>
        <v>17.8</v>
      </c>
      <c r="I30" s="2">
        <f t="shared" si="4"/>
        <v>17.8</v>
      </c>
    </row>
    <row r="31" spans="1:9">
      <c r="A31" t="s">
        <v>27</v>
      </c>
      <c r="C31" s="2">
        <f t="shared" ref="C31:I31" si="5">(1036-0.0034*(H-20000))*MC</f>
        <v>736.2</v>
      </c>
      <c r="D31" s="2">
        <f t="shared" si="5"/>
        <v>736.2</v>
      </c>
      <c r="E31" s="2">
        <f t="shared" si="5"/>
        <v>736.2</v>
      </c>
      <c r="F31" s="2">
        <f t="shared" si="5"/>
        <v>736.2</v>
      </c>
      <c r="G31" s="2">
        <f t="shared" si="5"/>
        <v>736.2</v>
      </c>
      <c r="H31" s="2">
        <f t="shared" si="5"/>
        <v>736.2</v>
      </c>
      <c r="I31" s="2">
        <f t="shared" si="5"/>
        <v>736.2</v>
      </c>
    </row>
    <row r="32" spans="1:9">
      <c r="A32" t="s">
        <v>28</v>
      </c>
      <c r="C32" s="2">
        <f t="shared" ref="C32:I32" si="6">C29/EXP((RA*CMN*6080)/(C30*C31*3600))</f>
        <v>33099.665637858176</v>
      </c>
      <c r="D32" s="2">
        <f t="shared" si="6"/>
        <v>33408.595803791235</v>
      </c>
      <c r="E32" s="2">
        <f t="shared" si="6"/>
        <v>39719.597564908174</v>
      </c>
      <c r="F32" s="2">
        <f t="shared" si="6"/>
        <v>39719.597564908174</v>
      </c>
      <c r="G32" s="2" t="e">
        <f t="shared" si="6"/>
        <v>#DIV/0!</v>
      </c>
      <c r="H32" s="2" t="e">
        <f t="shared" si="6"/>
        <v>#DIV/0!</v>
      </c>
      <c r="I32" s="2" t="e">
        <f t="shared" si="6"/>
        <v>#DIV/0!</v>
      </c>
    </row>
    <row r="33" spans="1:9">
      <c r="A33" t="s">
        <v>29</v>
      </c>
      <c r="C33" s="2">
        <f t="shared" ref="C33:I33" si="7">C32/(EXP((LT*CMN)/(C30*60)))</f>
        <v>32252.862509780498</v>
      </c>
      <c r="D33" s="2">
        <f t="shared" si="7"/>
        <v>32553.88918104591</v>
      </c>
      <c r="E33" s="2">
        <f t="shared" si="7"/>
        <v>38703.433841928425</v>
      </c>
      <c r="F33" s="2">
        <f t="shared" si="7"/>
        <v>38703.433841928425</v>
      </c>
      <c r="G33" s="2" t="e">
        <f t="shared" si="7"/>
        <v>#DIV/0!</v>
      </c>
      <c r="H33" s="2" t="e">
        <f t="shared" si="7"/>
        <v>#DIV/0!</v>
      </c>
      <c r="I33" s="2" t="e">
        <f t="shared" si="7"/>
        <v>#DIV/0!</v>
      </c>
    </row>
    <row r="34" spans="1:9">
      <c r="A34" t="s">
        <v>30</v>
      </c>
      <c r="C34" s="2">
        <f t="shared" ref="C34:I34" si="8">C33*0.975</f>
        <v>31446.540947035985</v>
      </c>
      <c r="D34" s="2">
        <f t="shared" si="8"/>
        <v>31740.041951519761</v>
      </c>
      <c r="E34" s="2">
        <f t="shared" si="8"/>
        <v>37735.847995880213</v>
      </c>
      <c r="F34" s="2">
        <f t="shared" si="8"/>
        <v>37735.847995880213</v>
      </c>
      <c r="G34" s="2" t="e">
        <f t="shared" si="8"/>
        <v>#DIV/0!</v>
      </c>
      <c r="H34" s="2" t="e">
        <f t="shared" si="8"/>
        <v>#DIV/0!</v>
      </c>
      <c r="I34" s="2" t="e">
        <f t="shared" si="8"/>
        <v>#DIV/0!</v>
      </c>
    </row>
    <row r="35" spans="1:9">
      <c r="C35" s="2"/>
      <c r="D35" s="2"/>
      <c r="E35" s="2"/>
      <c r="F35" s="2"/>
      <c r="G35" s="2"/>
      <c r="H35" s="2"/>
      <c r="I35" s="2"/>
    </row>
    <row r="36" spans="1:9">
      <c r="A36" t="s">
        <v>31</v>
      </c>
      <c r="C36" s="2">
        <f t="shared" ref="C36:I36" si="9">(C24-C34-EXP)*(1+(FR+FT)/100)</f>
        <v>19666.666596141858</v>
      </c>
      <c r="D36" s="2">
        <f t="shared" si="9"/>
        <v>19850.222123299427</v>
      </c>
      <c r="E36" s="2">
        <f t="shared" si="9"/>
        <v>23599.999202062161</v>
      </c>
      <c r="F36" s="2">
        <f t="shared" si="9"/>
        <v>23599.999202062161</v>
      </c>
      <c r="G36" s="2" t="e">
        <f t="shared" si="9"/>
        <v>#DIV/0!</v>
      </c>
      <c r="H36" s="2" t="e">
        <f t="shared" si="9"/>
        <v>#DIV/0!</v>
      </c>
      <c r="I36" s="2" t="e">
        <f t="shared" si="9"/>
        <v>#DIV/0!</v>
      </c>
    </row>
    <row r="37" spans="1:9">
      <c r="A37" t="s">
        <v>32</v>
      </c>
      <c r="C37" s="2">
        <f t="shared" ref="C37:I37" si="10">C24-C36-NONEXP-EXP</f>
        <v>27533.333403858142</v>
      </c>
      <c r="D37" s="2">
        <f t="shared" si="10"/>
        <v>27816.444472842435</v>
      </c>
      <c r="E37" s="2">
        <f t="shared" si="10"/>
        <v>33599.998984442733</v>
      </c>
      <c r="F37" s="2">
        <f t="shared" si="10"/>
        <v>33599.998984442733</v>
      </c>
      <c r="G37" s="2" t="e">
        <f t="shared" si="10"/>
        <v>#DIV/0!</v>
      </c>
      <c r="H37" s="2" t="e">
        <f t="shared" si="10"/>
        <v>#DIV/0!</v>
      </c>
      <c r="I37" s="2" t="e">
        <f t="shared" si="10"/>
        <v>#DIV/0!</v>
      </c>
    </row>
    <row r="38" spans="1:9">
      <c r="A38" t="s">
        <v>33</v>
      </c>
      <c r="C38" s="2">
        <f t="shared" ref="C38:I38" si="11">C24*SFACT</f>
        <v>28000.000000000004</v>
      </c>
      <c r="D38" s="2">
        <f t="shared" si="11"/>
        <v>28261.333293839445</v>
      </c>
      <c r="E38" s="2">
        <f t="shared" si="11"/>
        <v>33599.99898444274</v>
      </c>
      <c r="F38" s="2">
        <f t="shared" si="11"/>
        <v>33599.99898444274</v>
      </c>
      <c r="G38" s="2" t="e">
        <f t="shared" si="11"/>
        <v>#DIV/0!</v>
      </c>
      <c r="H38" s="2" t="e">
        <f t="shared" si="11"/>
        <v>#DIV/0!</v>
      </c>
      <c r="I38" s="2" t="e">
        <f t="shared" si="11"/>
        <v>#DIV/0!</v>
      </c>
    </row>
  </sheetData>
  <mergeCells count="1">
    <mergeCell ref="B2:C2"/>
  </mergeCells>
  <phoneticPr fontId="3" type="noConversion"/>
  <printOptions gridLines="1" gridLinesSet="0"/>
  <pageMargins left="0.75" right="0.75" top="1" bottom="1" header="0.5" footer="0.5"/>
  <pageSetup scale="78"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" workbookViewId="0">
      <selection activeCell="B13" sqref="B13"/>
    </sheetView>
  </sheetViews>
  <sheetFormatPr defaultRowHeight="13.2"/>
  <cols>
    <col min="1" max="1" width="15.77734375" customWidth="1"/>
    <col min="2" max="2" width="10.77734375" customWidth="1"/>
    <col min="3" max="3" width="8.77734375" customWidth="1"/>
    <col min="4" max="4" width="15.77734375" customWidth="1"/>
    <col min="5" max="5" width="10.77734375" customWidth="1"/>
    <col min="6" max="6" width="8.77734375" customWidth="1"/>
    <col min="7" max="7" width="18.77734375" customWidth="1"/>
    <col min="8" max="8" width="10.77734375" customWidth="1"/>
  </cols>
  <sheetData>
    <row r="1" spans="1:8" ht="13.8" thickBot="1"/>
    <row r="2" spans="1:8" ht="16.2" thickBot="1">
      <c r="B2" s="178" t="s">
        <v>34</v>
      </c>
      <c r="C2" s="179"/>
    </row>
    <row r="3" spans="1:8" ht="15.6">
      <c r="B3" s="121"/>
    </row>
    <row r="4" spans="1:8">
      <c r="A4" s="8" t="s">
        <v>35</v>
      </c>
      <c r="B4" s="9"/>
      <c r="C4" s="9"/>
      <c r="D4" s="8" t="s">
        <v>36</v>
      </c>
      <c r="E4" s="9"/>
      <c r="G4" s="10" t="s">
        <v>37</v>
      </c>
    </row>
    <row r="5" spans="1:8">
      <c r="A5" s="9" t="s">
        <v>38</v>
      </c>
      <c r="B5" s="11">
        <v>0</v>
      </c>
      <c r="C5" s="9"/>
      <c r="D5" s="9" t="s">
        <v>38</v>
      </c>
      <c r="E5" s="11">
        <v>0</v>
      </c>
      <c r="G5" s="27" t="s">
        <v>39</v>
      </c>
      <c r="H5" s="1">
        <f>'ITERTOW-BIZ'!F25</f>
        <v>59999.998186504905</v>
      </c>
    </row>
    <row r="6" spans="1:8">
      <c r="A6" s="9" t="s">
        <v>40</v>
      </c>
      <c r="B6" s="11">
        <v>2.08</v>
      </c>
      <c r="C6" s="9"/>
      <c r="D6" s="9" t="s">
        <v>40</v>
      </c>
      <c r="E6" s="132">
        <v>2.4</v>
      </c>
      <c r="G6" s="27" t="s">
        <v>41</v>
      </c>
      <c r="H6" s="1">
        <f>'ITERTOW-BIZ'!F28</f>
        <v>58499.99823184227</v>
      </c>
    </row>
    <row r="7" spans="1:8">
      <c r="A7" s="9" t="s">
        <v>42</v>
      </c>
      <c r="B7" s="12">
        <v>21900</v>
      </c>
      <c r="C7" s="9"/>
      <c r="D7" s="9" t="s">
        <v>42</v>
      </c>
      <c r="E7" s="13">
        <f>TMX</f>
        <v>21900</v>
      </c>
      <c r="G7" s="27" t="s">
        <v>43</v>
      </c>
      <c r="H7" s="1">
        <f>'ITERTOW-BIZ'!F29</f>
        <v>56744.998284886999</v>
      </c>
    </row>
    <row r="8" spans="1:8">
      <c r="A8" s="9" t="s">
        <v>44</v>
      </c>
      <c r="B8" s="13">
        <f>H5</f>
        <v>59999.998186504905</v>
      </c>
      <c r="C8" s="9"/>
      <c r="D8" s="9" t="s">
        <v>45</v>
      </c>
      <c r="E8" s="13">
        <f>H9</f>
        <v>38703.433841928425</v>
      </c>
      <c r="G8" s="27" t="s">
        <v>46</v>
      </c>
      <c r="H8" s="1">
        <f>'ITERTOW-BIZ'!F32</f>
        <v>39719.597564908174</v>
      </c>
    </row>
    <row r="9" spans="1:8">
      <c r="A9" s="9" t="s">
        <v>47</v>
      </c>
      <c r="B9" s="116">
        <v>857</v>
      </c>
      <c r="C9" s="9"/>
      <c r="D9" s="9" t="s">
        <v>47</v>
      </c>
      <c r="E9" s="9">
        <f>S</f>
        <v>857</v>
      </c>
      <c r="G9" s="27" t="s">
        <v>48</v>
      </c>
      <c r="H9" s="1">
        <f>'ITERTOW-BIZ'!F33</f>
        <v>38703.433841928425</v>
      </c>
    </row>
    <row r="10" spans="1:8">
      <c r="A10" s="9"/>
      <c r="B10" s="9"/>
      <c r="C10" s="9"/>
      <c r="G10" s="27" t="s">
        <v>49</v>
      </c>
      <c r="H10" s="1">
        <f>'ITERTOW-BIZ'!F34</f>
        <v>37735.847995880213</v>
      </c>
    </row>
    <row r="11" spans="1:8">
      <c r="A11" s="9" t="s">
        <v>50</v>
      </c>
      <c r="B11" s="14">
        <f>B8/B9</f>
        <v>70.011666495338275</v>
      </c>
      <c r="C11" s="9"/>
      <c r="D11" s="9" t="s">
        <v>50</v>
      </c>
      <c r="E11" s="14">
        <f>WL/S</f>
        <v>45.161533071095015</v>
      </c>
    </row>
    <row r="12" spans="1:8">
      <c r="A12" s="9" t="s">
        <v>51</v>
      </c>
      <c r="B12" s="15">
        <f>1-0.00002615*B5</f>
        <v>1</v>
      </c>
      <c r="C12" s="9"/>
      <c r="D12" s="9" t="s">
        <v>51</v>
      </c>
      <c r="E12" s="15">
        <f>1-0.00002615*E5</f>
        <v>1</v>
      </c>
      <c r="G12" s="27" t="s">
        <v>52</v>
      </c>
      <c r="H12" s="1">
        <f>'ITERTOW-BIZ'!F36</f>
        <v>23599.999202062161</v>
      </c>
    </row>
    <row r="13" spans="1:8">
      <c r="A13" s="9" t="s">
        <v>53</v>
      </c>
      <c r="B13" s="15">
        <f>B7/WTO</f>
        <v>0.36500001103209551</v>
      </c>
      <c r="C13" s="9"/>
      <c r="D13" s="9" t="s">
        <v>53</v>
      </c>
      <c r="E13" s="16">
        <f>E7/WL</f>
        <v>0.56584126590533079</v>
      </c>
      <c r="G13" s="27" t="s">
        <v>54</v>
      </c>
      <c r="H13" s="1">
        <f>H5-(H12/2)</f>
        <v>48199.998585473826</v>
      </c>
    </row>
    <row r="14" spans="1:8">
      <c r="A14" s="9" t="s">
        <v>55</v>
      </c>
      <c r="B14" s="14">
        <f>WS/(B6*B13*B12)</f>
        <v>92.21768226981213</v>
      </c>
      <c r="C14" s="9"/>
      <c r="D14" s="9" t="s">
        <v>56</v>
      </c>
      <c r="E14" s="14">
        <f>E11/(E12*E6)</f>
        <v>18.817305446289591</v>
      </c>
    </row>
    <row r="15" spans="1:8">
      <c r="A15" s="9" t="s">
        <v>57</v>
      </c>
      <c r="B15" s="13">
        <f>20.9*B14+87*SQRT(B14*B13)</f>
        <v>2432.0954511924688</v>
      </c>
      <c r="C15" s="9"/>
      <c r="D15" s="9" t="s">
        <v>58</v>
      </c>
      <c r="E15" s="13">
        <f>118*E14+400</f>
        <v>2620.4420426621718</v>
      </c>
      <c r="G15" s="10" t="s">
        <v>34</v>
      </c>
    </row>
    <row r="16" spans="1:8">
      <c r="A16" s="9"/>
      <c r="B16" s="13"/>
      <c r="C16" s="9"/>
      <c r="D16" s="9"/>
      <c r="E16" s="13"/>
      <c r="G16" t="s">
        <v>59</v>
      </c>
      <c r="H16" s="17">
        <f>WS</f>
        <v>70.011666495338275</v>
      </c>
    </row>
    <row r="17" spans="1:8">
      <c r="A17" s="180" t="s">
        <v>60</v>
      </c>
      <c r="B17" s="181"/>
      <c r="C17" s="181"/>
      <c r="D17" s="181"/>
      <c r="E17" s="182"/>
      <c r="G17" t="s">
        <v>61</v>
      </c>
      <c r="H17" s="17">
        <f>B36</f>
        <v>66.213533587966154</v>
      </c>
    </row>
    <row r="18" spans="1:8">
      <c r="A18" s="8" t="s">
        <v>46</v>
      </c>
      <c r="B18" s="9"/>
      <c r="C18" s="9"/>
      <c r="D18" s="9"/>
      <c r="E18" s="9"/>
      <c r="G18" t="s">
        <v>62</v>
      </c>
      <c r="H18" s="17">
        <f>E36</f>
        <v>46.347255034898687</v>
      </c>
    </row>
    <row r="19" spans="1:8">
      <c r="A19" s="8" t="s">
        <v>63</v>
      </c>
      <c r="B19" s="9"/>
      <c r="C19" s="9"/>
      <c r="D19" s="8" t="s">
        <v>64</v>
      </c>
      <c r="E19" s="9"/>
      <c r="G19" t="s">
        <v>36</v>
      </c>
      <c r="H19" s="17">
        <f>E11</f>
        <v>45.161533071095015</v>
      </c>
    </row>
    <row r="20" spans="1:8">
      <c r="A20" s="9" t="s">
        <v>65</v>
      </c>
      <c r="B20" s="18">
        <v>3.0000000000000001E-3</v>
      </c>
      <c r="C20" s="9"/>
      <c r="D20" s="8"/>
      <c r="E20" s="9"/>
      <c r="H20" s="17"/>
    </row>
    <row r="21" spans="1:8" ht="15.6">
      <c r="A21" s="9" t="s">
        <v>66</v>
      </c>
      <c r="B21" s="132">
        <v>5.2</v>
      </c>
      <c r="C21" s="9"/>
      <c r="D21" s="8"/>
      <c r="E21" s="9"/>
      <c r="H21" s="17"/>
    </row>
    <row r="22" spans="1:8">
      <c r="A22" s="9" t="s">
        <v>67</v>
      </c>
      <c r="B22" s="15">
        <f>B20*B21</f>
        <v>1.5600000000000001E-2</v>
      </c>
      <c r="C22" s="9"/>
      <c r="D22" s="9" t="s">
        <v>67</v>
      </c>
      <c r="E22" s="9">
        <f>CD_0</f>
        <v>1.5600000000000001E-2</v>
      </c>
    </row>
    <row r="23" spans="1:8">
      <c r="A23" s="9" t="s">
        <v>68</v>
      </c>
      <c r="B23" s="14">
        <f>A</f>
        <v>7.8</v>
      </c>
      <c r="C23" s="9"/>
      <c r="D23" s="9" t="s">
        <v>68</v>
      </c>
      <c r="E23" s="14">
        <f>A</f>
        <v>7.8</v>
      </c>
    </row>
    <row r="24" spans="1:8">
      <c r="A24" s="9" t="s">
        <v>38</v>
      </c>
      <c r="B24" s="5">
        <v>34907.800000000003</v>
      </c>
      <c r="C24" s="9"/>
      <c r="D24" s="9" t="s">
        <v>38</v>
      </c>
      <c r="E24" s="5">
        <v>42341.5</v>
      </c>
    </row>
    <row r="25" spans="1:8">
      <c r="A25" s="9" t="s">
        <v>2</v>
      </c>
      <c r="B25" s="15">
        <f>MC</f>
        <v>0.75</v>
      </c>
      <c r="C25" s="9"/>
      <c r="D25" s="9" t="s">
        <v>2</v>
      </c>
      <c r="E25" s="15">
        <f>MC</f>
        <v>0.75</v>
      </c>
    </row>
    <row r="26" spans="1:8">
      <c r="A26" s="9" t="s">
        <v>69</v>
      </c>
      <c r="B26" s="13">
        <f>H7</f>
        <v>56744.998284886999</v>
      </c>
      <c r="C26" s="9"/>
      <c r="D26" s="9" t="s">
        <v>69</v>
      </c>
      <c r="E26" s="13">
        <f>H8</f>
        <v>39719.597564908174</v>
      </c>
    </row>
    <row r="27" spans="1:8">
      <c r="A27" s="9" t="s">
        <v>70</v>
      </c>
      <c r="B27" s="13">
        <f>B30*B34*S</f>
        <v>56744.96585079778</v>
      </c>
      <c r="C27" s="9"/>
      <c r="D27" s="9" t="s">
        <v>70</v>
      </c>
      <c r="E27" s="13">
        <f>E30*E34*S</f>
        <v>39719.846658803013</v>
      </c>
    </row>
    <row r="28" spans="1:8">
      <c r="A28" s="9" t="s">
        <v>71</v>
      </c>
      <c r="B28" s="1">
        <f>B26-B27</f>
        <v>3.2434089218440931E-2</v>
      </c>
      <c r="C28" s="9"/>
      <c r="D28" s="9" t="s">
        <v>71</v>
      </c>
      <c r="E28" s="1">
        <f>E26-E27</f>
        <v>-0.24909389483946143</v>
      </c>
    </row>
    <row r="29" spans="1:8">
      <c r="A29" s="9"/>
      <c r="B29" s="13"/>
      <c r="C29" s="9"/>
      <c r="D29" s="9"/>
      <c r="E29" s="13"/>
    </row>
    <row r="30" spans="1:8">
      <c r="A30" s="9" t="s">
        <v>72</v>
      </c>
      <c r="B30" s="19">
        <f>SQRT(CD_0/(3*k))</f>
        <v>0.31927793287930439</v>
      </c>
      <c r="C30" s="9"/>
      <c r="D30" s="9" t="s">
        <v>72</v>
      </c>
      <c r="E30" s="19">
        <f>SQRT(CD_0/(3*k))</f>
        <v>0.31927793287930439</v>
      </c>
    </row>
    <row r="31" spans="1:8">
      <c r="A31" s="9" t="s">
        <v>73</v>
      </c>
      <c r="B31" s="15">
        <f>1/(PI()*A*0.8)</f>
        <v>5.1011199708940809E-2</v>
      </c>
      <c r="C31" s="9"/>
      <c r="D31" s="9" t="s">
        <v>73</v>
      </c>
      <c r="E31" s="15">
        <f>1/(PI()*A*0.8)</f>
        <v>5.1011199708940809E-2</v>
      </c>
    </row>
    <row r="32" spans="1:8">
      <c r="A32" s="9" t="s">
        <v>74</v>
      </c>
      <c r="B32" s="14">
        <f>(1036-0.0034*(HC-20000))*B25</f>
        <v>738.98511000000008</v>
      </c>
      <c r="C32" s="9"/>
      <c r="D32" s="9" t="s">
        <v>74</v>
      </c>
      <c r="E32" s="14">
        <f>(1036-0.0034*(E24-20000))*E25</f>
        <v>720.02917500000001</v>
      </c>
    </row>
    <row r="33" spans="1:5">
      <c r="A33" s="9" t="s">
        <v>75</v>
      </c>
      <c r="B33" s="20">
        <f>IF(B24&lt;10000,(1-0.00002615*B24)*0.076474,IF(B24&gt;40000,(-0.0000091*B24+0.6211)*0.076474,(-0.00001681*B24+0.9066)*0.076474))</f>
        <v>2.4456376176067988E-2</v>
      </c>
      <c r="C33" s="9"/>
      <c r="D33" s="9" t="s">
        <v>75</v>
      </c>
      <c r="E33" s="20">
        <f>IF(E24&lt;10000,(1-0.00002615*E24)*0.076474,IF(E24&gt;40000,(-0.0000091*E24+0.6211)*0.076474,(-0.00001681*E24+0.9066)*0.076474))</f>
        <v>1.8031984173900003E-2</v>
      </c>
    </row>
    <row r="34" spans="1:5">
      <c r="A34" s="9" t="s">
        <v>76</v>
      </c>
      <c r="B34" s="14">
        <f>0.5*B33*(B32^2)/32.2</f>
        <v>207.38513039333102</v>
      </c>
      <c r="C34" s="9"/>
      <c r="D34" s="9" t="s">
        <v>76</v>
      </c>
      <c r="E34" s="14">
        <f>0.5*E33*(E32^2)/32.2</f>
        <v>145.163636192816</v>
      </c>
    </row>
    <row r="35" spans="1:5">
      <c r="A35" s="9" t="s">
        <v>50</v>
      </c>
      <c r="B35" s="14">
        <f>SQRT(CD_0/(3*k))*B34</f>
        <v>66.213495741887726</v>
      </c>
      <c r="C35" s="9"/>
      <c r="D35" s="9" t="s">
        <v>77</v>
      </c>
      <c r="E35" s="14">
        <f>SQRT(CD_0/(3*k))*E34</f>
        <v>46.347545692885667</v>
      </c>
    </row>
    <row r="36" spans="1:5">
      <c r="A36" s="9" t="s">
        <v>78</v>
      </c>
      <c r="B36" s="14">
        <f>B26/S</f>
        <v>66.213533587966154</v>
      </c>
      <c r="C36" s="9"/>
      <c r="D36" s="9" t="s">
        <v>78</v>
      </c>
      <c r="E36" s="14">
        <f>E26/S</f>
        <v>46.347255034898687</v>
      </c>
    </row>
  </sheetData>
  <mergeCells count="2">
    <mergeCell ref="A17:E17"/>
    <mergeCell ref="B2:C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opLeftCell="A20" workbookViewId="0">
      <selection activeCell="B11" sqref="B11"/>
    </sheetView>
  </sheetViews>
  <sheetFormatPr defaultRowHeight="13.2"/>
  <sheetData>
    <row r="1" spans="1:12" ht="13.8" thickBot="1"/>
    <row r="2" spans="1:12" ht="16.2" thickBot="1">
      <c r="A2" s="17"/>
      <c r="B2" s="17"/>
      <c r="C2" s="17"/>
      <c r="D2" s="183" t="s">
        <v>79</v>
      </c>
      <c r="E2" s="184"/>
      <c r="F2" s="17"/>
      <c r="G2" s="17"/>
    </row>
    <row r="3" spans="1:12">
      <c r="A3" s="17"/>
      <c r="B3" s="17"/>
      <c r="C3" s="17"/>
      <c r="D3" s="17"/>
      <c r="E3" s="17"/>
      <c r="F3" s="17"/>
      <c r="G3" s="17"/>
    </row>
    <row r="4" spans="1:12">
      <c r="A4" s="21" t="s">
        <v>80</v>
      </c>
      <c r="B4" s="17"/>
      <c r="C4" s="17"/>
      <c r="D4" s="17"/>
      <c r="E4" s="21" t="s">
        <v>81</v>
      </c>
      <c r="F4" s="17"/>
      <c r="G4" s="17"/>
      <c r="H4" s="17"/>
      <c r="J4" s="21" t="s">
        <v>82</v>
      </c>
      <c r="L4" s="17"/>
    </row>
    <row r="5" spans="1:12">
      <c r="A5" s="33" t="s">
        <v>83</v>
      </c>
      <c r="B5" s="171">
        <f>MC</f>
        <v>0.75</v>
      </c>
      <c r="C5" s="22"/>
      <c r="D5" s="17"/>
      <c r="E5" s="33" t="s">
        <v>84</v>
      </c>
      <c r="F5" s="23" t="s">
        <v>85</v>
      </c>
      <c r="G5" s="22"/>
      <c r="H5" s="17"/>
      <c r="J5" s="24" t="s">
        <v>3</v>
      </c>
      <c r="K5" s="59">
        <f>HC</f>
        <v>34907.800000000003</v>
      </c>
      <c r="L5" s="25" t="s">
        <v>86</v>
      </c>
    </row>
    <row r="6" spans="1:12" ht="15.6">
      <c r="A6" s="22" t="s">
        <v>87</v>
      </c>
      <c r="B6" s="172">
        <f>S</f>
        <v>857</v>
      </c>
      <c r="C6" s="33" t="s">
        <v>88</v>
      </c>
      <c r="D6" s="17"/>
      <c r="E6" s="26" t="s">
        <v>89</v>
      </c>
      <c r="F6" s="26">
        <v>1.03</v>
      </c>
      <c r="G6" s="26"/>
      <c r="H6" s="27"/>
      <c r="J6" s="24" t="s">
        <v>90</v>
      </c>
      <c r="K6" s="28">
        <f>(1036-0.0034*(H-20000))*B5</f>
        <v>736.2</v>
      </c>
      <c r="L6" s="25" t="s">
        <v>91</v>
      </c>
    </row>
    <row r="7" spans="1:12" ht="14.4">
      <c r="A7" s="22" t="s">
        <v>68</v>
      </c>
      <c r="B7" s="33">
        <f>A</f>
        <v>7.8</v>
      </c>
      <c r="C7" s="22"/>
      <c r="D7" s="17"/>
      <c r="E7" s="26" t="s">
        <v>92</v>
      </c>
      <c r="F7" s="26">
        <v>0.11</v>
      </c>
      <c r="G7" s="26" t="s">
        <v>93</v>
      </c>
      <c r="H7" s="27"/>
      <c r="J7" s="29" t="s">
        <v>94</v>
      </c>
      <c r="K7" s="30">
        <f>IF(H&lt;10000,(1-0.00002615*H)*0.076474,IF(H&gt;40000,(-0.0000091*H+0.6211)*0.076474,(-0.00001681*H+0.9066)*0.076474))</f>
        <v>2.3052322559999994E-2</v>
      </c>
      <c r="L7" s="30" t="s">
        <v>95</v>
      </c>
    </row>
    <row r="8" spans="1:12" ht="15.6">
      <c r="A8" s="31" t="s">
        <v>96</v>
      </c>
      <c r="B8" s="32">
        <v>20.5</v>
      </c>
      <c r="C8" s="22" t="s">
        <v>97</v>
      </c>
      <c r="D8" s="17"/>
      <c r="E8" s="26" t="s">
        <v>98</v>
      </c>
      <c r="F8" s="26">
        <v>0.253</v>
      </c>
      <c r="G8" s="26" t="s">
        <v>99</v>
      </c>
      <c r="H8" s="27"/>
      <c r="J8" s="24" t="s">
        <v>100</v>
      </c>
      <c r="K8" s="30">
        <f>0.5*K7*(K6^2)/32.2</f>
        <v>194.00836098317274</v>
      </c>
      <c r="L8" s="30" t="s">
        <v>101</v>
      </c>
    </row>
    <row r="9" spans="1:12" ht="15.6">
      <c r="A9" s="22" t="s">
        <v>102</v>
      </c>
      <c r="B9" s="133">
        <v>0.12</v>
      </c>
      <c r="C9" s="22"/>
      <c r="D9" s="17"/>
      <c r="E9" s="34" t="s">
        <v>103</v>
      </c>
      <c r="F9" s="26">
        <v>-1.33</v>
      </c>
      <c r="G9" s="26" t="s">
        <v>97</v>
      </c>
      <c r="H9" s="27"/>
      <c r="J9" s="29" t="s">
        <v>104</v>
      </c>
      <c r="K9" s="30">
        <f>0.0000107</f>
        <v>1.0699999999999999E-5</v>
      </c>
      <c r="L9" s="30" t="s">
        <v>105</v>
      </c>
    </row>
    <row r="10" spans="1:12">
      <c r="A10" s="31" t="s">
        <v>106</v>
      </c>
      <c r="B10" s="35">
        <v>0.38</v>
      </c>
      <c r="C10" s="22"/>
      <c r="D10" s="17"/>
      <c r="E10" s="26" t="s">
        <v>107</v>
      </c>
      <c r="F10" s="26">
        <v>4.0000000000000001E-3</v>
      </c>
      <c r="G10" s="26"/>
      <c r="H10" s="27"/>
      <c r="J10" s="29" t="s">
        <v>108</v>
      </c>
      <c r="K10" s="30">
        <f>K9/K7</f>
        <v>4.6416147319430887E-4</v>
      </c>
      <c r="L10" s="26" t="s">
        <v>109</v>
      </c>
    </row>
    <row r="11" spans="1:12" ht="15.6">
      <c r="A11" s="22" t="s">
        <v>110</v>
      </c>
      <c r="B11" s="57">
        <f>'WINGLOAD-BIZ'!H7</f>
        <v>56744.998284886999</v>
      </c>
      <c r="C11" s="22" t="s">
        <v>111</v>
      </c>
      <c r="D11" s="17"/>
      <c r="E11" s="26" t="s">
        <v>112</v>
      </c>
      <c r="F11" s="26">
        <f>0.24/100</f>
        <v>2.3999999999999998E-3</v>
      </c>
      <c r="G11" s="26" t="s">
        <v>99</v>
      </c>
    </row>
    <row r="12" spans="1:12" ht="15.6">
      <c r="A12" s="33" t="s">
        <v>113</v>
      </c>
      <c r="B12" s="57">
        <f>'WINGLOAD-BIZ'!H8</f>
        <v>39719.597564908174</v>
      </c>
      <c r="C12" s="22" t="s">
        <v>111</v>
      </c>
      <c r="D12" s="17"/>
      <c r="E12" s="26" t="s">
        <v>114</v>
      </c>
      <c r="F12" s="36" t="s">
        <v>115</v>
      </c>
      <c r="G12" s="26"/>
    </row>
    <row r="13" spans="1:12">
      <c r="A13" s="22" t="s">
        <v>116</v>
      </c>
      <c r="B13" s="38">
        <f>'WINGLOAD-BIZ'!B34</f>
        <v>207.38513039333102</v>
      </c>
      <c r="C13" s="22" t="s">
        <v>101</v>
      </c>
      <c r="D13" s="17"/>
      <c r="E13" s="22" t="s">
        <v>117</v>
      </c>
      <c r="F13" s="22">
        <v>0.4</v>
      </c>
      <c r="G13" s="26" t="s">
        <v>99</v>
      </c>
    </row>
    <row r="14" spans="1:12">
      <c r="A14" s="33" t="s">
        <v>118</v>
      </c>
      <c r="B14" s="38">
        <f>'WINGLOAD-BIZ'!E34</f>
        <v>145.163636192816</v>
      </c>
      <c r="C14" s="22" t="s">
        <v>101</v>
      </c>
      <c r="D14" s="17"/>
      <c r="E14" s="27"/>
      <c r="F14" s="37"/>
      <c r="G14" s="27"/>
    </row>
    <row r="15" spans="1:12">
      <c r="A15" s="33" t="s">
        <v>119</v>
      </c>
      <c r="B15" s="58">
        <f>'WINGLOAD-BIZ'!B30</f>
        <v>0.31927793287930439</v>
      </c>
      <c r="C15" s="22"/>
      <c r="D15" s="17"/>
      <c r="E15" s="27"/>
      <c r="F15" s="37"/>
      <c r="G15" s="27"/>
    </row>
    <row r="16" spans="1:12">
      <c r="A16" s="33" t="s">
        <v>120</v>
      </c>
      <c r="B16" s="58">
        <f>'WINGLOAD-BIZ'!E30</f>
        <v>0.31927793287930439</v>
      </c>
      <c r="C16" s="38"/>
      <c r="D16" s="17"/>
      <c r="E16" s="27"/>
      <c r="F16" s="37"/>
      <c r="G16" s="27"/>
    </row>
    <row r="17" spans="1:7">
      <c r="A17" s="173"/>
      <c r="B17" s="174"/>
      <c r="C17" s="17"/>
      <c r="D17" s="17"/>
      <c r="E17" s="27"/>
      <c r="F17" s="37"/>
      <c r="G17" s="27"/>
    </row>
    <row r="18" spans="1:7">
      <c r="A18" s="21" t="s">
        <v>121</v>
      </c>
      <c r="B18" s="17"/>
      <c r="C18" s="17"/>
      <c r="D18" s="17"/>
      <c r="E18" s="21" t="s">
        <v>122</v>
      </c>
      <c r="F18" s="17"/>
      <c r="G18" s="17"/>
    </row>
    <row r="19" spans="1:7" ht="15.6">
      <c r="A19" s="22" t="s">
        <v>123</v>
      </c>
      <c r="B19" s="39">
        <f>SQRT(B6*B7)</f>
        <v>81.759403128936796</v>
      </c>
      <c r="C19" s="22" t="s">
        <v>86</v>
      </c>
      <c r="D19" s="17"/>
      <c r="E19" s="22"/>
      <c r="F19" s="22" t="s">
        <v>124</v>
      </c>
      <c r="G19" s="31" t="s">
        <v>125</v>
      </c>
    </row>
    <row r="20" spans="1:7" ht="15.6">
      <c r="A20" s="22" t="s">
        <v>126</v>
      </c>
      <c r="B20" s="22">
        <f>B5*COS(B8*PI()/180)</f>
        <v>0.70250414193629829</v>
      </c>
      <c r="C20" s="22"/>
      <c r="D20" s="17"/>
      <c r="E20" s="22" t="s">
        <v>127</v>
      </c>
      <c r="F20" s="22">
        <v>0</v>
      </c>
      <c r="G20" s="39">
        <f>180*ATAN(TAN($B$8*PI()/180)-F20*(2*$B$21*(1-$B$10)/$B$19))/PI()</f>
        <v>20.5</v>
      </c>
    </row>
    <row r="21" spans="1:7" ht="15.6">
      <c r="A21" s="22" t="s">
        <v>128</v>
      </c>
      <c r="B21" s="39">
        <f>2*B19/(B7*(1+B10))</f>
        <v>15.191267768290004</v>
      </c>
      <c r="C21" s="22" t="s">
        <v>86</v>
      </c>
      <c r="D21" s="17"/>
      <c r="E21" s="22" t="s">
        <v>129</v>
      </c>
      <c r="F21" s="22">
        <v>0.25</v>
      </c>
      <c r="G21" s="39">
        <f>180*ATAN(TAN($B$8*PI()/180)-F21*(2*$B$21*(1-$B$10)/$B$19))/PI()</f>
        <v>17.551395989834123</v>
      </c>
    </row>
    <row r="22" spans="1:7" ht="15.6">
      <c r="A22" s="22" t="s">
        <v>130</v>
      </c>
      <c r="B22" s="39">
        <f>B21*B10</f>
        <v>5.7726817519502012</v>
      </c>
      <c r="C22" s="22" t="s">
        <v>86</v>
      </c>
      <c r="D22" s="17"/>
      <c r="E22" s="22" t="s">
        <v>131</v>
      </c>
      <c r="F22" s="22">
        <f>F8</f>
        <v>0.253</v>
      </c>
      <c r="G22" s="39">
        <f>180*ATAN(TAN($B$8*PI()/180)-F22*(2*$B$21*(1-$B$10)/$B$19))/PI()</f>
        <v>17.515387816289397</v>
      </c>
    </row>
    <row r="23" spans="1:7">
      <c r="A23" s="33" t="s">
        <v>132</v>
      </c>
      <c r="B23" s="40">
        <f>(2*B21/3)*(1+B10+B10^2)/(1+B10)</f>
        <v>11.187231200957143</v>
      </c>
      <c r="C23" s="22" t="s">
        <v>86</v>
      </c>
      <c r="D23" s="17"/>
      <c r="E23" s="22" t="s">
        <v>117</v>
      </c>
      <c r="F23" s="22">
        <f>F13</f>
        <v>0.4</v>
      </c>
      <c r="G23" s="39">
        <f>180*ATAN(TAN($B$8*PI()/180)-F23*(2*$B$21*(1-$B$10)/$B$19))/PI()</f>
        <v>15.733888703465659</v>
      </c>
    </row>
    <row r="24" spans="1:7" ht="15.6">
      <c r="A24" s="33" t="s">
        <v>133</v>
      </c>
      <c r="B24" s="22">
        <f>B19/6*(1+2*B10)/(1+B10)</f>
        <v>17.378810326923762</v>
      </c>
      <c r="C24" s="33" t="s">
        <v>86</v>
      </c>
      <c r="D24" s="17"/>
      <c r="E24" s="22" t="s">
        <v>134</v>
      </c>
      <c r="F24" s="22">
        <v>1</v>
      </c>
      <c r="G24" s="39">
        <f>180*ATAN(TAN($B$8*PI()/180)-F24*(2*$B$21*(1-$B$10)/$B$19))/PI()</f>
        <v>8.1654688681191594</v>
      </c>
    </row>
    <row r="25" spans="1:7">
      <c r="A25" s="31" t="s">
        <v>123</v>
      </c>
      <c r="B25" s="22">
        <f>IF(B20&lt;1,SQRT(1-B20^2))</f>
        <v>0.71167965445300274</v>
      </c>
      <c r="C25" s="22"/>
      <c r="D25" s="17"/>
      <c r="E25" s="17"/>
      <c r="F25" s="17"/>
      <c r="G25" s="17"/>
    </row>
    <row r="26" spans="1:7" ht="15.6">
      <c r="A26" s="26" t="s">
        <v>135</v>
      </c>
      <c r="B26" s="41">
        <f>(PI()/180)*2*PI()*B7/(2+SQRT(4+B7^2*B25^2*(1+((TAN(G23*PI()/180))^2)/B25^2)))</f>
        <v>0.10310191139599137</v>
      </c>
      <c r="C26" s="22" t="s">
        <v>93</v>
      </c>
      <c r="D26" s="17"/>
      <c r="E26" s="10" t="s">
        <v>136</v>
      </c>
    </row>
    <row r="27" spans="1:7" ht="15.6">
      <c r="A27" s="22" t="s">
        <v>137</v>
      </c>
      <c r="B27" s="22">
        <f>-B26*F9</f>
        <v>0.13712554215666853</v>
      </c>
      <c r="C27" s="22"/>
      <c r="D27" s="17"/>
      <c r="E27" s="30" t="s">
        <v>138</v>
      </c>
      <c r="F27" s="30">
        <f>K6*COS(PI()*G20/180)</f>
        <v>689.57806572467041</v>
      </c>
      <c r="G27" s="30" t="s">
        <v>91</v>
      </c>
    </row>
    <row r="28" spans="1:7" ht="15.6">
      <c r="A28" s="34" t="s">
        <v>139</v>
      </c>
      <c r="B28" s="40">
        <f>(B15-B27)/B26</f>
        <v>1.766721763508625</v>
      </c>
      <c r="C28" s="22" t="s">
        <v>97</v>
      </c>
      <c r="D28" s="17"/>
      <c r="E28" s="30" t="s">
        <v>140</v>
      </c>
      <c r="F28" s="30">
        <f>0.5*K7*(F27^2)/32.2</f>
        <v>170.21416483024552</v>
      </c>
      <c r="G28" s="30" t="s">
        <v>101</v>
      </c>
    </row>
    <row r="29" spans="1:7" ht="15.6">
      <c r="A29" s="33" t="s">
        <v>141</v>
      </c>
      <c r="B29" s="42">
        <f>B27+B26*B28</f>
        <v>0.31927793287930439</v>
      </c>
      <c r="C29" s="22"/>
      <c r="D29" s="17"/>
      <c r="E29" s="30" t="s">
        <v>142</v>
      </c>
      <c r="F29" s="43">
        <f>F27*B23/K10</f>
        <v>16620227.437836597</v>
      </c>
      <c r="G29" s="30"/>
    </row>
    <row r="30" spans="1:7">
      <c r="A30" s="22" t="s">
        <v>73</v>
      </c>
      <c r="B30">
        <f>1/(PI()*B7*0.8)</f>
        <v>5.1011199708940809E-2</v>
      </c>
      <c r="C30" s="22"/>
      <c r="D30" s="17"/>
      <c r="E30" s="30" t="s">
        <v>143</v>
      </c>
      <c r="F30" s="30">
        <f>SQRT(F29)</f>
        <v>4076.7913164444162</v>
      </c>
      <c r="G30" s="30"/>
    </row>
    <row r="31" spans="1:7" ht="15.6">
      <c r="A31" s="22" t="s">
        <v>144</v>
      </c>
      <c r="B31" s="44">
        <f>F35+B30*B29^2</f>
        <v>1.3373876278830965E-2</v>
      </c>
      <c r="C31" s="22"/>
      <c r="D31" s="17"/>
      <c r="E31" s="30" t="s">
        <v>145</v>
      </c>
      <c r="F31" s="45">
        <f>IF(F29&lt;1000000,1.328/SQRT(F29), 0.455/( (LOG(F29)^2.58)*(1+0.144*B20^2)^0.65))</f>
        <v>2.6515883229514719E-3</v>
      </c>
      <c r="G31" s="30"/>
    </row>
    <row r="32" spans="1:7">
      <c r="A32" s="22" t="s">
        <v>146</v>
      </c>
      <c r="B32" s="175">
        <f>B29/B31</f>
        <v>23.87325306610456</v>
      </c>
      <c r="C32" s="22"/>
      <c r="E32" s="30" t="s">
        <v>147</v>
      </c>
      <c r="F32" s="39">
        <f>IF(B9&lt;=0.05,2.003*B6, (1.977+0.52*B9)*B6)</f>
        <v>1747.7658000000001</v>
      </c>
      <c r="G32" s="33" t="s">
        <v>88</v>
      </c>
    </row>
    <row r="33" spans="1:7">
      <c r="E33" s="176" t="s">
        <v>148</v>
      </c>
      <c r="F33" s="30">
        <f>(1+(0.6/F23)*B9+100*B9^4)*(1.34*(B5^0.18)*(COS(G23*PI()/180))^0.28)</f>
        <v>1.5115396612250815</v>
      </c>
      <c r="G33" s="30"/>
    </row>
    <row r="34" spans="1:7" ht="13.8" thickBot="1">
      <c r="E34" s="176" t="s">
        <v>149</v>
      </c>
      <c r="F34" s="30">
        <v>1</v>
      </c>
      <c r="G34" s="30"/>
    </row>
    <row r="35" spans="1:7" ht="16.8" thickTop="1" thickBot="1">
      <c r="A35" s="30" t="s">
        <v>150</v>
      </c>
      <c r="B35" s="177">
        <f>B31*K8*B6</f>
        <v>2223.6097510385034</v>
      </c>
      <c r="C35" s="30" t="s">
        <v>151</v>
      </c>
      <c r="E35" s="22" t="s">
        <v>152</v>
      </c>
      <c r="F35" s="44">
        <f>F31*F32*F33*F34/B6</f>
        <v>8.1738762788309671E-3</v>
      </c>
      <c r="G35" s="30"/>
    </row>
    <row r="36" spans="1:7" ht="13.8" thickTop="1"/>
    <row r="37" spans="1:7">
      <c r="A37" s="10" t="s">
        <v>153</v>
      </c>
    </row>
    <row r="39" spans="1:7">
      <c r="A39" s="10" t="s">
        <v>154</v>
      </c>
    </row>
    <row r="40" spans="1:7">
      <c r="A40" s="30" t="s">
        <v>155</v>
      </c>
      <c r="B40" s="46" t="s">
        <v>156</v>
      </c>
    </row>
    <row r="41" spans="1:7">
      <c r="A41" s="47">
        <v>0</v>
      </c>
      <c r="B41" s="48">
        <v>0</v>
      </c>
    </row>
    <row r="42" spans="1:7">
      <c r="A42" s="49">
        <f>B21</f>
        <v>15.191267768290004</v>
      </c>
      <c r="B42" s="48">
        <v>0</v>
      </c>
    </row>
    <row r="43" spans="1:7">
      <c r="A43" s="47">
        <f>B21+(B19/2)*TAN(PI()*G24/180)</f>
        <v>21.056975868815936</v>
      </c>
      <c r="B43" s="48">
        <f>B19/2</f>
        <v>40.879701564468398</v>
      </c>
    </row>
    <row r="44" spans="1:7">
      <c r="A44" s="47">
        <f>B19/2*TAN(PI()*G20/180)</f>
        <v>15.284294116865734</v>
      </c>
      <c r="B44" s="48">
        <f>B19/2</f>
        <v>40.879701564468398</v>
      </c>
    </row>
    <row r="45" spans="1:7">
      <c r="A45" s="50">
        <v>0</v>
      </c>
      <c r="B45" s="51">
        <v>0</v>
      </c>
    </row>
    <row r="47" spans="1:7">
      <c r="A47" s="10" t="s">
        <v>157</v>
      </c>
    </row>
    <row r="48" spans="1:7">
      <c r="A48" s="34" t="s">
        <v>158</v>
      </c>
      <c r="B48" s="25" t="s">
        <v>159</v>
      </c>
      <c r="C48" s="52" t="s">
        <v>158</v>
      </c>
      <c r="D48" s="25" t="s">
        <v>160</v>
      </c>
    </row>
    <row r="49" spans="1:4">
      <c r="A49" s="47">
        <f>F9</f>
        <v>-1.33</v>
      </c>
      <c r="B49" s="53">
        <v>0</v>
      </c>
      <c r="C49" s="54">
        <f>F9</f>
        <v>-1.33</v>
      </c>
      <c r="D49" s="55">
        <v>0</v>
      </c>
    </row>
    <row r="50" spans="1:4">
      <c r="A50" s="50">
        <f>B50/F7 +F9</f>
        <v>8.0336363636363632</v>
      </c>
      <c r="B50" s="56">
        <f>F6</f>
        <v>1.03</v>
      </c>
      <c r="C50" s="51">
        <f>A50</f>
        <v>8.0336363636363632</v>
      </c>
      <c r="D50" s="56">
        <f>B26*(A50-F9)</f>
        <v>0.96540880670791918</v>
      </c>
    </row>
  </sheetData>
  <mergeCells count="1">
    <mergeCell ref="D2:E2"/>
  </mergeCells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9"/>
  <sheetViews>
    <sheetView zoomScaleNormal="100" workbookViewId="0">
      <selection activeCell="O25" sqref="O25"/>
    </sheetView>
  </sheetViews>
  <sheetFormatPr defaultRowHeight="13.2"/>
  <cols>
    <col min="1" max="1" width="13.21875" style="62" customWidth="1"/>
    <col min="2" max="3" width="9.21875" style="62"/>
    <col min="4" max="4" width="9.21875" style="62" customWidth="1"/>
    <col min="5" max="9" width="9.21875" style="62"/>
    <col min="10" max="10" width="9.21875" style="62" customWidth="1"/>
    <col min="11" max="256" width="9.21875" style="62"/>
    <col min="257" max="257" width="13.21875" style="62" customWidth="1"/>
    <col min="258" max="512" width="9.21875" style="62"/>
    <col min="513" max="513" width="13.21875" style="62" customWidth="1"/>
    <col min="514" max="768" width="9.21875" style="62"/>
    <col min="769" max="769" width="13.21875" style="62" customWidth="1"/>
    <col min="770" max="1024" width="9.21875" style="62"/>
    <col min="1025" max="1025" width="13.21875" style="62" customWidth="1"/>
    <col min="1026" max="1280" width="9.21875" style="62"/>
    <col min="1281" max="1281" width="13.21875" style="62" customWidth="1"/>
    <col min="1282" max="1536" width="9.21875" style="62"/>
    <col min="1537" max="1537" width="13.21875" style="62" customWidth="1"/>
    <col min="1538" max="1792" width="9.21875" style="62"/>
    <col min="1793" max="1793" width="13.21875" style="62" customWidth="1"/>
    <col min="1794" max="2048" width="9.21875" style="62"/>
    <col min="2049" max="2049" width="13.21875" style="62" customWidth="1"/>
    <col min="2050" max="2304" width="9.21875" style="62"/>
    <col min="2305" max="2305" width="13.21875" style="62" customWidth="1"/>
    <col min="2306" max="2560" width="9.21875" style="62"/>
    <col min="2561" max="2561" width="13.21875" style="62" customWidth="1"/>
    <col min="2562" max="2816" width="9.21875" style="62"/>
    <col min="2817" max="2817" width="13.21875" style="62" customWidth="1"/>
    <col min="2818" max="3072" width="9.21875" style="62"/>
    <col min="3073" max="3073" width="13.21875" style="62" customWidth="1"/>
    <col min="3074" max="3328" width="9.21875" style="62"/>
    <col min="3329" max="3329" width="13.21875" style="62" customWidth="1"/>
    <col min="3330" max="3584" width="9.21875" style="62"/>
    <col min="3585" max="3585" width="13.21875" style="62" customWidth="1"/>
    <col min="3586" max="3840" width="9.21875" style="62"/>
    <col min="3841" max="3841" width="13.21875" style="62" customWidth="1"/>
    <col min="3842" max="4096" width="9.21875" style="62"/>
    <col min="4097" max="4097" width="13.21875" style="62" customWidth="1"/>
    <col min="4098" max="4352" width="9.21875" style="62"/>
    <col min="4353" max="4353" width="13.21875" style="62" customWidth="1"/>
    <col min="4354" max="4608" width="9.21875" style="62"/>
    <col min="4609" max="4609" width="13.21875" style="62" customWidth="1"/>
    <col min="4610" max="4864" width="9.21875" style="62"/>
    <col min="4865" max="4865" width="13.21875" style="62" customWidth="1"/>
    <col min="4866" max="5120" width="9.21875" style="62"/>
    <col min="5121" max="5121" width="13.21875" style="62" customWidth="1"/>
    <col min="5122" max="5376" width="9.21875" style="62"/>
    <col min="5377" max="5377" width="13.21875" style="62" customWidth="1"/>
    <col min="5378" max="5632" width="9.21875" style="62"/>
    <col min="5633" max="5633" width="13.21875" style="62" customWidth="1"/>
    <col min="5634" max="5888" width="9.21875" style="62"/>
    <col min="5889" max="5889" width="13.21875" style="62" customWidth="1"/>
    <col min="5890" max="6144" width="9.21875" style="62"/>
    <col min="6145" max="6145" width="13.21875" style="62" customWidth="1"/>
    <col min="6146" max="6400" width="9.21875" style="62"/>
    <col min="6401" max="6401" width="13.21875" style="62" customWidth="1"/>
    <col min="6402" max="6656" width="9.21875" style="62"/>
    <col min="6657" max="6657" width="13.21875" style="62" customWidth="1"/>
    <col min="6658" max="6912" width="9.21875" style="62"/>
    <col min="6913" max="6913" width="13.21875" style="62" customWidth="1"/>
    <col min="6914" max="7168" width="9.21875" style="62"/>
    <col min="7169" max="7169" width="13.21875" style="62" customWidth="1"/>
    <col min="7170" max="7424" width="9.21875" style="62"/>
    <col min="7425" max="7425" width="13.21875" style="62" customWidth="1"/>
    <col min="7426" max="7680" width="9.21875" style="62"/>
    <col min="7681" max="7681" width="13.21875" style="62" customWidth="1"/>
    <col min="7682" max="7936" width="9.21875" style="62"/>
    <col min="7937" max="7937" width="13.21875" style="62" customWidth="1"/>
    <col min="7938" max="8192" width="9.21875" style="62"/>
    <col min="8193" max="8193" width="13.21875" style="62" customWidth="1"/>
    <col min="8194" max="8448" width="9.21875" style="62"/>
    <col min="8449" max="8449" width="13.21875" style="62" customWidth="1"/>
    <col min="8450" max="8704" width="9.21875" style="62"/>
    <col min="8705" max="8705" width="13.21875" style="62" customWidth="1"/>
    <col min="8706" max="8960" width="9.21875" style="62"/>
    <col min="8961" max="8961" width="13.21875" style="62" customWidth="1"/>
    <col min="8962" max="9216" width="9.21875" style="62"/>
    <col min="9217" max="9217" width="13.21875" style="62" customWidth="1"/>
    <col min="9218" max="9472" width="9.21875" style="62"/>
    <col min="9473" max="9473" width="13.21875" style="62" customWidth="1"/>
    <col min="9474" max="9728" width="9.21875" style="62"/>
    <col min="9729" max="9729" width="13.21875" style="62" customWidth="1"/>
    <col min="9730" max="9984" width="9.21875" style="62"/>
    <col min="9985" max="9985" width="13.21875" style="62" customWidth="1"/>
    <col min="9986" max="10240" width="9.21875" style="62"/>
    <col min="10241" max="10241" width="13.21875" style="62" customWidth="1"/>
    <col min="10242" max="10496" width="9.21875" style="62"/>
    <col min="10497" max="10497" width="13.21875" style="62" customWidth="1"/>
    <col min="10498" max="10752" width="9.21875" style="62"/>
    <col min="10753" max="10753" width="13.21875" style="62" customWidth="1"/>
    <col min="10754" max="11008" width="9.21875" style="62"/>
    <col min="11009" max="11009" width="13.21875" style="62" customWidth="1"/>
    <col min="11010" max="11264" width="9.21875" style="62"/>
    <col min="11265" max="11265" width="13.21875" style="62" customWidth="1"/>
    <col min="11266" max="11520" width="9.21875" style="62"/>
    <col min="11521" max="11521" width="13.21875" style="62" customWidth="1"/>
    <col min="11522" max="11776" width="9.21875" style="62"/>
    <col min="11777" max="11777" width="13.21875" style="62" customWidth="1"/>
    <col min="11778" max="12032" width="9.21875" style="62"/>
    <col min="12033" max="12033" width="13.21875" style="62" customWidth="1"/>
    <col min="12034" max="12288" width="9.21875" style="62"/>
    <col min="12289" max="12289" width="13.21875" style="62" customWidth="1"/>
    <col min="12290" max="12544" width="9.21875" style="62"/>
    <col min="12545" max="12545" width="13.21875" style="62" customWidth="1"/>
    <col min="12546" max="12800" width="9.21875" style="62"/>
    <col min="12801" max="12801" width="13.21875" style="62" customWidth="1"/>
    <col min="12802" max="13056" width="9.21875" style="62"/>
    <col min="13057" max="13057" width="13.21875" style="62" customWidth="1"/>
    <col min="13058" max="13312" width="9.21875" style="62"/>
    <col min="13313" max="13313" width="13.21875" style="62" customWidth="1"/>
    <col min="13314" max="13568" width="9.21875" style="62"/>
    <col min="13569" max="13569" width="13.21875" style="62" customWidth="1"/>
    <col min="13570" max="13824" width="9.21875" style="62"/>
    <col min="13825" max="13825" width="13.21875" style="62" customWidth="1"/>
    <col min="13826" max="14080" width="9.21875" style="62"/>
    <col min="14081" max="14081" width="13.21875" style="62" customWidth="1"/>
    <col min="14082" max="14336" width="9.21875" style="62"/>
    <col min="14337" max="14337" width="13.21875" style="62" customWidth="1"/>
    <col min="14338" max="14592" width="9.21875" style="62"/>
    <col min="14593" max="14593" width="13.21875" style="62" customWidth="1"/>
    <col min="14594" max="14848" width="9.21875" style="62"/>
    <col min="14849" max="14849" width="13.21875" style="62" customWidth="1"/>
    <col min="14850" max="15104" width="9.21875" style="62"/>
    <col min="15105" max="15105" width="13.21875" style="62" customWidth="1"/>
    <col min="15106" max="15360" width="9.21875" style="62"/>
    <col min="15361" max="15361" width="13.21875" style="62" customWidth="1"/>
    <col min="15362" max="15616" width="9.21875" style="62"/>
    <col min="15617" max="15617" width="13.21875" style="62" customWidth="1"/>
    <col min="15618" max="15872" width="9.21875" style="62"/>
    <col min="15873" max="15873" width="13.21875" style="62" customWidth="1"/>
    <col min="15874" max="16128" width="9.21875" style="62"/>
    <col min="16129" max="16129" width="13.21875" style="62" customWidth="1"/>
    <col min="16130" max="16384" width="9.21875" style="62"/>
  </cols>
  <sheetData>
    <row r="1" spans="1:7" ht="13.8" thickBot="1"/>
    <row r="2" spans="1:7" ht="16.2" thickBot="1">
      <c r="D2" s="185" t="s">
        <v>161</v>
      </c>
      <c r="E2" s="186"/>
      <c r="F2" s="187"/>
    </row>
    <row r="3" spans="1:7">
      <c r="A3" s="77"/>
    </row>
    <row r="4" spans="1:7">
      <c r="A4" s="77" t="s">
        <v>162</v>
      </c>
    </row>
    <row r="5" spans="1:7">
      <c r="A5" s="62" t="s">
        <v>2</v>
      </c>
      <c r="B5" s="106">
        <f>MC</f>
        <v>0.75</v>
      </c>
    </row>
    <row r="6" spans="1:7">
      <c r="A6" s="62" t="s">
        <v>3</v>
      </c>
      <c r="B6" s="96">
        <f>HC</f>
        <v>34907.800000000003</v>
      </c>
      <c r="C6" s="96"/>
    </row>
    <row r="7" spans="1:7">
      <c r="A7" s="62" t="s">
        <v>74</v>
      </c>
      <c r="B7" s="97">
        <f>(1036-0.0034*(HC-20000))*MC</f>
        <v>738.98511000000008</v>
      </c>
      <c r="C7" s="97"/>
    </row>
    <row r="8" spans="1:7">
      <c r="A8" s="98" t="s">
        <v>163</v>
      </c>
      <c r="B8" s="62">
        <f>IF(HC&lt;10000,(1-0.00002615*HC)*0.076474,IF(HC&gt;40000,(-0.0000091*HC+0.6211)*0.076474,(-0.00001681*HC+0.9066)*0.076474))</f>
        <v>2.4456376176067988E-2</v>
      </c>
    </row>
    <row r="9" spans="1:7">
      <c r="A9" s="62" t="s">
        <v>76</v>
      </c>
      <c r="B9" s="62">
        <f>0.5*B8*(B7^2)/32.2</f>
        <v>207.38513039333102</v>
      </c>
    </row>
    <row r="10" spans="1:7">
      <c r="A10" s="98" t="s">
        <v>164</v>
      </c>
      <c r="B10" s="62">
        <f>0.0000107</f>
        <v>1.0699999999999999E-5</v>
      </c>
    </row>
    <row r="11" spans="1:7">
      <c r="A11" s="98" t="s">
        <v>165</v>
      </c>
      <c r="B11" s="62">
        <f>B10/B8</f>
        <v>4.3751371515419292E-4</v>
      </c>
    </row>
    <row r="12" spans="1:7">
      <c r="A12" s="98"/>
    </row>
    <row r="13" spans="1:7">
      <c r="A13" s="77" t="s">
        <v>166</v>
      </c>
      <c r="D13" s="77" t="s">
        <v>167</v>
      </c>
    </row>
    <row r="14" spans="1:7">
      <c r="A14" s="62" t="s">
        <v>168</v>
      </c>
      <c r="B14" s="99">
        <v>7.2</v>
      </c>
      <c r="D14" s="92" t="s">
        <v>148</v>
      </c>
      <c r="E14" s="62">
        <f>1+(60/B15^3) + B15/400</f>
        <v>1.0660178523607575</v>
      </c>
    </row>
    <row r="15" spans="1:7">
      <c r="A15" s="62" t="s">
        <v>169</v>
      </c>
      <c r="B15" s="99">
        <v>11.8</v>
      </c>
      <c r="C15" s="100"/>
      <c r="D15" s="92" t="s">
        <v>149</v>
      </c>
      <c r="E15" s="62">
        <v>1</v>
      </c>
      <c r="G15" s="101"/>
    </row>
    <row r="16" spans="1:7">
      <c r="A16" s="62" t="s">
        <v>170</v>
      </c>
      <c r="B16" s="122">
        <f>FIN*D</f>
        <v>84.960000000000008</v>
      </c>
      <c r="C16" s="100"/>
      <c r="D16" s="92" t="s">
        <v>171</v>
      </c>
      <c r="E16" s="62">
        <f>E14*E15</f>
        <v>1.0660178523607575</v>
      </c>
      <c r="G16" s="101"/>
    </row>
    <row r="17" spans="1:11">
      <c r="A17" s="62" t="s">
        <v>47</v>
      </c>
      <c r="B17" s="115">
        <f>S</f>
        <v>857</v>
      </c>
      <c r="C17" s="102"/>
      <c r="G17" s="101"/>
    </row>
    <row r="18" spans="1:11">
      <c r="A18" t="s">
        <v>172</v>
      </c>
      <c r="B18" s="123">
        <v>0.17</v>
      </c>
      <c r="C18" s="102"/>
      <c r="G18" s="101"/>
    </row>
    <row r="19" spans="1:11">
      <c r="A19" t="s">
        <v>173</v>
      </c>
      <c r="B19" s="123">
        <v>0.2</v>
      </c>
      <c r="C19" s="102"/>
      <c r="G19" s="101"/>
    </row>
    <row r="20" spans="1:11">
      <c r="A20" t="s">
        <v>174</v>
      </c>
      <c r="B20" s="123">
        <v>0.8</v>
      </c>
      <c r="C20" s="102"/>
      <c r="E20" s="103"/>
      <c r="F20" s="103"/>
    </row>
    <row r="21" spans="1:11">
      <c r="B21" s="102"/>
      <c r="C21" s="102"/>
      <c r="G21" s="101"/>
    </row>
    <row r="23" spans="1:11">
      <c r="A23" s="77" t="s">
        <v>175</v>
      </c>
      <c r="D23" s="92" t="s">
        <v>176</v>
      </c>
    </row>
    <row r="24" spans="1:11" ht="15.6">
      <c r="A24" s="104" t="s">
        <v>177</v>
      </c>
      <c r="B24" s="104" t="s">
        <v>178</v>
      </c>
      <c r="C24" s="104" t="s">
        <v>179</v>
      </c>
      <c r="D24" s="104" t="s">
        <v>180</v>
      </c>
      <c r="E24" s="104" t="s">
        <v>181</v>
      </c>
      <c r="F24" s="104" t="s">
        <v>182</v>
      </c>
      <c r="G24" s="104" t="s">
        <v>183</v>
      </c>
      <c r="H24" s="104" t="s">
        <v>184</v>
      </c>
      <c r="I24" s="104" t="s">
        <v>185</v>
      </c>
      <c r="J24" s="105" t="s">
        <v>186</v>
      </c>
      <c r="K24" s="105" t="s">
        <v>187</v>
      </c>
    </row>
    <row r="25" spans="1:11">
      <c r="A25" s="124">
        <v>0</v>
      </c>
      <c r="B25" s="124">
        <f t="shared" ref="B25:B45" si="0">A25*LL</f>
        <v>0</v>
      </c>
      <c r="C25" s="124">
        <f t="shared" ref="C25:C56" si="1">B25-LL/2</f>
        <v>-42.480000000000004</v>
      </c>
      <c r="D25" s="125">
        <f t="shared" ref="D25:D50" si="2">IF(A25&lt;$B$18,(D*(B25/(LL*$B$18))^$B$20),D)</f>
        <v>0</v>
      </c>
      <c r="E25" s="126">
        <f t="shared" ref="E25:E75" si="3">PI()*D25</f>
        <v>0</v>
      </c>
      <c r="F25" s="126"/>
      <c r="G25" s="127"/>
      <c r="H25" s="45"/>
      <c r="I25" s="128"/>
      <c r="J25" s="125">
        <f>D25/2</f>
        <v>0</v>
      </c>
      <c r="K25" s="125">
        <f>-J25</f>
        <v>0</v>
      </c>
    </row>
    <row r="26" spans="1:11">
      <c r="A26" s="124">
        <v>0.02</v>
      </c>
      <c r="B26" s="124">
        <f t="shared" si="0"/>
        <v>1.6992000000000003</v>
      </c>
      <c r="C26" s="124">
        <f t="shared" si="1"/>
        <v>-40.780800000000006</v>
      </c>
      <c r="D26" s="125">
        <f t="shared" si="2"/>
        <v>1.2995630534328657</v>
      </c>
      <c r="E26" s="126">
        <f t="shared" si="3"/>
        <v>4.082697741541411</v>
      </c>
      <c r="F26" s="126">
        <f t="shared" ref="F26:F75" si="4">E26*(B26-B25)</f>
        <v>6.9373200024271666</v>
      </c>
      <c r="G26" s="127">
        <f t="shared" ref="G26:G35" si="5">V*B26/nu</f>
        <v>2870043.7390161809</v>
      </c>
      <c r="H26" s="45">
        <f t="shared" ref="H26:H35" si="6">IF(G26&lt;1000000,1.328/SQRT(G26), 0.455/( (LOG(G26)^2.58)*(1+0.144*MC^2)^0.65))</f>
        <v>3.5155323094804478E-3</v>
      </c>
      <c r="I26" s="128">
        <f t="shared" ref="I26:I35" si="7">F26*H26*q*FQ</f>
        <v>5.391689992196536</v>
      </c>
      <c r="J26" s="125">
        <f t="shared" ref="J26:J75" si="8">D26/2</f>
        <v>0.64978152671643286</v>
      </c>
      <c r="K26" s="125">
        <f t="shared" ref="K26:K75" si="9">-J26</f>
        <v>-0.64978152671643286</v>
      </c>
    </row>
    <row r="27" spans="1:11">
      <c r="A27" s="124">
        <v>0.04</v>
      </c>
      <c r="B27" s="124">
        <f t="shared" si="0"/>
        <v>3.3984000000000005</v>
      </c>
      <c r="C27" s="124">
        <f t="shared" si="1"/>
        <v>-39.081600000000002</v>
      </c>
      <c r="D27" s="125">
        <f t="shared" si="2"/>
        <v>2.2626706964096246</v>
      </c>
      <c r="E27" s="126">
        <f t="shared" si="3"/>
        <v>7.1083896373333779</v>
      </c>
      <c r="F27" s="126">
        <f t="shared" si="4"/>
        <v>12.078575671756878</v>
      </c>
      <c r="G27" s="127">
        <f t="shared" si="5"/>
        <v>5740087.4780323617</v>
      </c>
      <c r="H27" s="45">
        <f t="shared" si="6"/>
        <v>3.12565825663108E-3</v>
      </c>
      <c r="I27" s="128">
        <f t="shared" si="7"/>
        <v>8.3464022046116888</v>
      </c>
      <c r="J27" s="125">
        <f t="shared" si="8"/>
        <v>1.1313353482048123</v>
      </c>
      <c r="K27" s="125">
        <f t="shared" si="9"/>
        <v>-1.1313353482048123</v>
      </c>
    </row>
    <row r="28" spans="1:11">
      <c r="A28" s="124">
        <v>0.06</v>
      </c>
      <c r="B28" s="124">
        <f t="shared" si="0"/>
        <v>5.0975999999999999</v>
      </c>
      <c r="C28" s="124">
        <f t="shared" si="1"/>
        <v>-37.382400000000004</v>
      </c>
      <c r="D28" s="125">
        <f t="shared" si="2"/>
        <v>3.1296398253557771</v>
      </c>
      <c r="E28" s="126">
        <f t="shared" si="3"/>
        <v>9.8320534837197524</v>
      </c>
      <c r="F28" s="126">
        <f t="shared" si="4"/>
        <v>16.706625279536595</v>
      </c>
      <c r="G28" s="127">
        <f t="shared" si="5"/>
        <v>8610131.2170485426</v>
      </c>
      <c r="H28" s="45">
        <f t="shared" si="6"/>
        <v>2.9249822590498133E-3</v>
      </c>
      <c r="I28" s="128">
        <f t="shared" si="7"/>
        <v>10.803240884927085</v>
      </c>
      <c r="J28" s="125">
        <f t="shared" si="8"/>
        <v>1.5648199126778886</v>
      </c>
      <c r="K28" s="125">
        <f t="shared" si="9"/>
        <v>-1.5648199126778886</v>
      </c>
    </row>
    <row r="29" spans="1:11">
      <c r="A29" s="124">
        <v>0.08</v>
      </c>
      <c r="B29" s="124">
        <f t="shared" si="0"/>
        <v>6.7968000000000011</v>
      </c>
      <c r="C29" s="124">
        <f t="shared" si="1"/>
        <v>-35.683199999999999</v>
      </c>
      <c r="D29" s="125">
        <f t="shared" si="2"/>
        <v>3.9395384986260642</v>
      </c>
      <c r="E29" s="126">
        <f t="shared" si="3"/>
        <v>12.376425205817807</v>
      </c>
      <c r="F29" s="126">
        <f t="shared" si="4"/>
        <v>21.030021709725631</v>
      </c>
      <c r="G29" s="127">
        <f t="shared" si="5"/>
        <v>11480174.956064723</v>
      </c>
      <c r="H29" s="45">
        <f t="shared" si="6"/>
        <v>2.7932945840660455E-3</v>
      </c>
      <c r="I29" s="128">
        <f t="shared" si="7"/>
        <v>12.986692343943856</v>
      </c>
      <c r="J29" s="125">
        <f t="shared" si="8"/>
        <v>1.9697692493130321</v>
      </c>
      <c r="K29" s="125">
        <f t="shared" si="9"/>
        <v>-1.9697692493130321</v>
      </c>
    </row>
    <row r="30" spans="1:11">
      <c r="A30" s="124">
        <v>0.1</v>
      </c>
      <c r="B30" s="124">
        <f t="shared" si="0"/>
        <v>8.4960000000000004</v>
      </c>
      <c r="C30" s="124">
        <f t="shared" si="1"/>
        <v>-33.984000000000002</v>
      </c>
      <c r="D30" s="125">
        <f t="shared" si="2"/>
        <v>4.7094843639751565</v>
      </c>
      <c r="E30" s="126">
        <f t="shared" si="3"/>
        <v>14.795281480060352</v>
      </c>
      <c r="F30" s="126">
        <f t="shared" si="4"/>
        <v>25.14014229091854</v>
      </c>
      <c r="G30" s="127">
        <f t="shared" si="5"/>
        <v>14350218.695080904</v>
      </c>
      <c r="H30" s="45">
        <f t="shared" si="6"/>
        <v>2.696750830501549E-3</v>
      </c>
      <c r="I30" s="128">
        <f t="shared" si="7"/>
        <v>14.988240199426057</v>
      </c>
      <c r="J30" s="125">
        <f t="shared" si="8"/>
        <v>2.3547421819875782</v>
      </c>
      <c r="K30" s="125">
        <f t="shared" si="9"/>
        <v>-2.3547421819875782</v>
      </c>
    </row>
    <row r="31" spans="1:11">
      <c r="A31" s="124">
        <v>0.12</v>
      </c>
      <c r="B31" s="124">
        <f t="shared" si="0"/>
        <v>10.1952</v>
      </c>
      <c r="C31" s="124">
        <f t="shared" si="1"/>
        <v>-32.284800000000004</v>
      </c>
      <c r="D31" s="125">
        <f t="shared" si="2"/>
        <v>5.449019425754912</v>
      </c>
      <c r="E31" s="126">
        <f t="shared" si="3"/>
        <v>17.118599397219704</v>
      </c>
      <c r="F31" s="126">
        <f t="shared" si="4"/>
        <v>29.08792409575571</v>
      </c>
      <c r="G31" s="127">
        <f t="shared" si="5"/>
        <v>17220262.434097085</v>
      </c>
      <c r="H31" s="45">
        <f t="shared" si="6"/>
        <v>2.6212730222596103E-3</v>
      </c>
      <c r="I31" s="128">
        <f t="shared" si="7"/>
        <v>16.856487309657261</v>
      </c>
      <c r="J31" s="125">
        <f t="shared" si="8"/>
        <v>2.724509712877456</v>
      </c>
      <c r="K31" s="125">
        <f t="shared" si="9"/>
        <v>-2.724509712877456</v>
      </c>
    </row>
    <row r="32" spans="1:11">
      <c r="A32" s="124">
        <v>0.14000000000000001</v>
      </c>
      <c r="B32" s="124">
        <f t="shared" si="0"/>
        <v>11.894400000000003</v>
      </c>
      <c r="C32" s="124">
        <f t="shared" si="1"/>
        <v>-30.585599999999999</v>
      </c>
      <c r="D32" s="125">
        <f t="shared" si="2"/>
        <v>6.1641867536071357</v>
      </c>
      <c r="E32" s="126">
        <f t="shared" si="3"/>
        <v>19.365363820487694</v>
      </c>
      <c r="F32" s="126">
        <f t="shared" si="4"/>
        <v>32.905626203772748</v>
      </c>
      <c r="G32" s="127">
        <f t="shared" si="5"/>
        <v>20090306.173113268</v>
      </c>
      <c r="H32" s="45">
        <f t="shared" si="6"/>
        <v>2.5597255459504078E-3</v>
      </c>
      <c r="I32" s="128">
        <f t="shared" si="7"/>
        <v>18.62111381208997</v>
      </c>
      <c r="J32" s="125">
        <f t="shared" si="8"/>
        <v>3.0820933768035679</v>
      </c>
      <c r="K32" s="125">
        <f t="shared" si="9"/>
        <v>-3.0820933768035679</v>
      </c>
    </row>
    <row r="33" spans="1:11">
      <c r="A33" s="124">
        <v>0.16</v>
      </c>
      <c r="B33" s="124">
        <f t="shared" si="0"/>
        <v>13.593600000000002</v>
      </c>
      <c r="C33" s="124">
        <f t="shared" si="1"/>
        <v>-28.886400000000002</v>
      </c>
      <c r="D33" s="125">
        <f t="shared" si="2"/>
        <v>6.8591349182113754</v>
      </c>
      <c r="E33" s="126">
        <f t="shared" si="3"/>
        <v>21.548607869034083</v>
      </c>
      <c r="F33" s="126">
        <f t="shared" si="4"/>
        <v>36.615394491062702</v>
      </c>
      <c r="G33" s="127">
        <f t="shared" si="5"/>
        <v>22960349.912129447</v>
      </c>
      <c r="H33" s="45">
        <f t="shared" si="6"/>
        <v>2.5080199004613984E-3</v>
      </c>
      <c r="I33" s="128">
        <f t="shared" si="7"/>
        <v>20.301904829492806</v>
      </c>
      <c r="J33" s="125">
        <f t="shared" si="8"/>
        <v>3.4295674591056877</v>
      </c>
      <c r="K33" s="125">
        <f t="shared" si="9"/>
        <v>-3.4295674591056877</v>
      </c>
    </row>
    <row r="34" spans="1:11">
      <c r="A34" s="124">
        <v>0.18</v>
      </c>
      <c r="B34" s="124">
        <f t="shared" si="0"/>
        <v>15.292800000000002</v>
      </c>
      <c r="C34" s="124">
        <f t="shared" si="1"/>
        <v>-27.187200000000004</v>
      </c>
      <c r="D34" s="125">
        <f t="shared" si="2"/>
        <v>7.2</v>
      </c>
      <c r="E34" s="126">
        <f t="shared" si="3"/>
        <v>22.61946710584651</v>
      </c>
      <c r="F34" s="126">
        <f t="shared" si="4"/>
        <v>38.434998506254374</v>
      </c>
      <c r="G34" s="127">
        <f t="shared" si="5"/>
        <v>25830393.65114563</v>
      </c>
      <c r="H34" s="45">
        <f t="shared" si="6"/>
        <v>2.4636075657328079E-3</v>
      </c>
      <c r="I34" s="128">
        <f t="shared" si="7"/>
        <v>20.93343457886909</v>
      </c>
      <c r="J34" s="125">
        <f t="shared" si="8"/>
        <v>3.6</v>
      </c>
      <c r="K34" s="125">
        <f t="shared" si="9"/>
        <v>-3.6</v>
      </c>
    </row>
    <row r="35" spans="1:11">
      <c r="A35" s="124">
        <v>0.2</v>
      </c>
      <c r="B35" s="124">
        <f t="shared" si="0"/>
        <v>16.992000000000001</v>
      </c>
      <c r="C35" s="124">
        <f t="shared" si="1"/>
        <v>-25.488000000000003</v>
      </c>
      <c r="D35" s="125">
        <f t="shared" si="2"/>
        <v>7.2</v>
      </c>
      <c r="E35" s="126">
        <f t="shared" si="3"/>
        <v>22.61946710584651</v>
      </c>
      <c r="F35" s="126">
        <f t="shared" si="4"/>
        <v>38.434998506254374</v>
      </c>
      <c r="G35" s="127">
        <f t="shared" si="5"/>
        <v>28700437.390161809</v>
      </c>
      <c r="H35" s="45">
        <f t="shared" si="6"/>
        <v>2.424798792708697E-3</v>
      </c>
      <c r="I35" s="128">
        <f t="shared" si="7"/>
        <v>20.603673896816325</v>
      </c>
      <c r="J35" s="125">
        <f t="shared" si="8"/>
        <v>3.6</v>
      </c>
      <c r="K35" s="125">
        <f t="shared" si="9"/>
        <v>-3.6</v>
      </c>
    </row>
    <row r="36" spans="1:11">
      <c r="A36" s="124">
        <v>0.22</v>
      </c>
      <c r="B36" s="124">
        <f t="shared" si="0"/>
        <v>18.691200000000002</v>
      </c>
      <c r="C36" s="124">
        <f t="shared" si="1"/>
        <v>-23.788800000000002</v>
      </c>
      <c r="D36" s="125">
        <f t="shared" si="2"/>
        <v>7.2</v>
      </c>
      <c r="E36" s="126">
        <f t="shared" si="3"/>
        <v>22.61946710584651</v>
      </c>
      <c r="F36" s="126">
        <f t="shared" si="4"/>
        <v>38.434998506254416</v>
      </c>
      <c r="G36" s="127">
        <f t="shared" ref="G36:G45" si="10">V*B36/nu</f>
        <v>31570481.129177991</v>
      </c>
      <c r="H36" s="45">
        <f t="shared" ref="H36:H45" si="11">IF(G36&lt;1000000,1.328/SQRT(G36), 0.455/( (LOG(G36)^2.58)*(1+0.144*MC^2)^0.65))</f>
        <v>2.3904189768359022E-3</v>
      </c>
      <c r="I36" s="128">
        <f t="shared" ref="I36:I45" si="12">F36*H36*q*FQ</f>
        <v>20.311546353283397</v>
      </c>
      <c r="J36" s="125">
        <f t="shared" si="8"/>
        <v>3.6</v>
      </c>
      <c r="K36" s="125">
        <f t="shared" si="9"/>
        <v>-3.6</v>
      </c>
    </row>
    <row r="37" spans="1:11">
      <c r="A37" s="124">
        <v>0.24</v>
      </c>
      <c r="B37" s="124">
        <f t="shared" si="0"/>
        <v>20.3904</v>
      </c>
      <c r="C37" s="124">
        <f t="shared" si="1"/>
        <v>-22.089600000000004</v>
      </c>
      <c r="D37" s="125">
        <f t="shared" si="2"/>
        <v>7.2</v>
      </c>
      <c r="E37" s="126">
        <f t="shared" si="3"/>
        <v>22.61946710584651</v>
      </c>
      <c r="F37" s="126">
        <f t="shared" si="4"/>
        <v>38.434998506254338</v>
      </c>
      <c r="G37" s="127">
        <f t="shared" si="10"/>
        <v>34440524.86819417</v>
      </c>
      <c r="H37" s="45">
        <f t="shared" si="11"/>
        <v>2.3596204708652923E-3</v>
      </c>
      <c r="I37" s="128">
        <f t="shared" si="12"/>
        <v>20.049849434167552</v>
      </c>
      <c r="J37" s="125">
        <f t="shared" si="8"/>
        <v>3.6</v>
      </c>
      <c r="K37" s="125">
        <f t="shared" si="9"/>
        <v>-3.6</v>
      </c>
    </row>
    <row r="38" spans="1:11">
      <c r="A38" s="124">
        <v>0.26</v>
      </c>
      <c r="B38" s="124">
        <f t="shared" si="0"/>
        <v>22.089600000000004</v>
      </c>
      <c r="C38" s="124">
        <f t="shared" si="1"/>
        <v>-20.3904</v>
      </c>
      <c r="D38" s="125">
        <f t="shared" si="2"/>
        <v>7.2</v>
      </c>
      <c r="E38" s="126">
        <f t="shared" si="3"/>
        <v>22.61946710584651</v>
      </c>
      <c r="F38" s="126">
        <f t="shared" si="4"/>
        <v>38.434998506254495</v>
      </c>
      <c r="G38" s="127">
        <f t="shared" si="10"/>
        <v>37310568.60721036</v>
      </c>
      <c r="H38" s="45">
        <f t="shared" si="11"/>
        <v>2.3317727028683726E-3</v>
      </c>
      <c r="I38" s="128">
        <f t="shared" si="12"/>
        <v>19.813225128560077</v>
      </c>
      <c r="J38" s="125">
        <f t="shared" si="8"/>
        <v>3.6</v>
      </c>
      <c r="K38" s="125">
        <f t="shared" si="9"/>
        <v>-3.6</v>
      </c>
    </row>
    <row r="39" spans="1:11">
      <c r="A39" s="124">
        <v>0.28000000000000003</v>
      </c>
      <c r="B39" s="124">
        <f t="shared" si="0"/>
        <v>23.788800000000005</v>
      </c>
      <c r="C39" s="124">
        <f t="shared" si="1"/>
        <v>-18.691199999999998</v>
      </c>
      <c r="D39" s="125">
        <f t="shared" si="2"/>
        <v>7.2</v>
      </c>
      <c r="E39" s="126">
        <f t="shared" si="3"/>
        <v>22.61946710584651</v>
      </c>
      <c r="F39" s="126">
        <f t="shared" si="4"/>
        <v>38.434998506254416</v>
      </c>
      <c r="G39" s="127">
        <f t="shared" si="10"/>
        <v>40180612.346226536</v>
      </c>
      <c r="H39" s="45">
        <f t="shared" si="11"/>
        <v>2.3063946267046199E-3</v>
      </c>
      <c r="I39" s="128">
        <f t="shared" si="12"/>
        <v>19.597585955949583</v>
      </c>
      <c r="J39" s="125">
        <f t="shared" si="8"/>
        <v>3.6</v>
      </c>
      <c r="K39" s="125">
        <f t="shared" si="9"/>
        <v>-3.6</v>
      </c>
    </row>
    <row r="40" spans="1:11">
      <c r="A40" s="124">
        <v>0.3</v>
      </c>
      <c r="B40" s="124">
        <f t="shared" si="0"/>
        <v>25.488000000000003</v>
      </c>
      <c r="C40" s="124">
        <f t="shared" si="1"/>
        <v>-16.992000000000001</v>
      </c>
      <c r="D40" s="125">
        <f t="shared" si="2"/>
        <v>7.2</v>
      </c>
      <c r="E40" s="126">
        <f t="shared" si="3"/>
        <v>22.61946710584651</v>
      </c>
      <c r="F40" s="126">
        <f t="shared" si="4"/>
        <v>38.434998506254338</v>
      </c>
      <c r="G40" s="127">
        <f t="shared" si="10"/>
        <v>43050656.085242718</v>
      </c>
      <c r="H40" s="45">
        <f t="shared" si="11"/>
        <v>2.2831114007994132E-3</v>
      </c>
      <c r="I40" s="128">
        <f t="shared" si="12"/>
        <v>19.399746862966118</v>
      </c>
      <c r="J40" s="125">
        <f t="shared" si="8"/>
        <v>3.6</v>
      </c>
      <c r="K40" s="125">
        <f t="shared" si="9"/>
        <v>-3.6</v>
      </c>
    </row>
    <row r="41" spans="1:11">
      <c r="A41" s="124">
        <v>0.32</v>
      </c>
      <c r="B41" s="124">
        <f t="shared" si="0"/>
        <v>27.187200000000004</v>
      </c>
      <c r="C41" s="124">
        <f t="shared" si="1"/>
        <v>-15.2928</v>
      </c>
      <c r="D41" s="125">
        <f t="shared" si="2"/>
        <v>7.2</v>
      </c>
      <c r="E41" s="126">
        <f t="shared" si="3"/>
        <v>22.61946710584651</v>
      </c>
      <c r="F41" s="126">
        <f t="shared" si="4"/>
        <v>38.434998506254416</v>
      </c>
      <c r="G41" s="127">
        <f t="shared" si="10"/>
        <v>45920699.824258894</v>
      </c>
      <c r="H41" s="45">
        <f t="shared" si="11"/>
        <v>2.2616256026317854E-3</v>
      </c>
      <c r="I41" s="128">
        <f t="shared" si="12"/>
        <v>19.21718063100095</v>
      </c>
      <c r="J41" s="125">
        <f t="shared" si="8"/>
        <v>3.6</v>
      </c>
      <c r="K41" s="125">
        <f t="shared" si="9"/>
        <v>-3.6</v>
      </c>
    </row>
    <row r="42" spans="1:11">
      <c r="A42" s="124">
        <v>0.34</v>
      </c>
      <c r="B42" s="124">
        <f t="shared" si="0"/>
        <v>28.886400000000005</v>
      </c>
      <c r="C42" s="124">
        <f t="shared" si="1"/>
        <v>-13.593599999999999</v>
      </c>
      <c r="D42" s="125">
        <f t="shared" si="2"/>
        <v>7.2</v>
      </c>
      <c r="E42" s="126">
        <f t="shared" si="3"/>
        <v>22.61946710584651</v>
      </c>
      <c r="F42" s="126">
        <f t="shared" si="4"/>
        <v>38.434998506254416</v>
      </c>
      <c r="G42" s="127">
        <f t="shared" si="10"/>
        <v>48790743.563275084</v>
      </c>
      <c r="H42" s="45">
        <f t="shared" si="11"/>
        <v>2.2416975164446414E-3</v>
      </c>
      <c r="I42" s="128">
        <f t="shared" si="12"/>
        <v>19.047850379591143</v>
      </c>
      <c r="J42" s="125">
        <f t="shared" si="8"/>
        <v>3.6</v>
      </c>
      <c r="K42" s="125">
        <f t="shared" si="9"/>
        <v>-3.6</v>
      </c>
    </row>
    <row r="43" spans="1:11">
      <c r="A43" s="124">
        <v>0.36</v>
      </c>
      <c r="B43" s="124">
        <f t="shared" si="0"/>
        <v>30.585600000000003</v>
      </c>
      <c r="C43" s="124">
        <f t="shared" si="1"/>
        <v>-11.894400000000001</v>
      </c>
      <c r="D43" s="125">
        <f t="shared" si="2"/>
        <v>7.2</v>
      </c>
      <c r="E43" s="126">
        <f t="shared" si="3"/>
        <v>22.61946710584651</v>
      </c>
      <c r="F43" s="126">
        <f t="shared" si="4"/>
        <v>38.434998506254338</v>
      </c>
      <c r="G43" s="127">
        <f t="shared" si="10"/>
        <v>51660787.302291259</v>
      </c>
      <c r="H43" s="45">
        <f t="shared" si="11"/>
        <v>2.2231312793410127E-3</v>
      </c>
      <c r="I43" s="128">
        <f t="shared" si="12"/>
        <v>18.890091848893874</v>
      </c>
      <c r="J43" s="125">
        <f t="shared" si="8"/>
        <v>3.6</v>
      </c>
      <c r="K43" s="125">
        <f t="shared" si="9"/>
        <v>-3.6</v>
      </c>
    </row>
    <row r="44" spans="1:11">
      <c r="A44" s="124">
        <v>0.38</v>
      </c>
      <c r="B44" s="124">
        <f t="shared" si="0"/>
        <v>32.284800000000004</v>
      </c>
      <c r="C44" s="124">
        <f t="shared" si="1"/>
        <v>-10.1952</v>
      </c>
      <c r="D44" s="125">
        <f t="shared" si="2"/>
        <v>7.2</v>
      </c>
      <c r="E44" s="126">
        <f t="shared" si="3"/>
        <v>22.61946710584651</v>
      </c>
      <c r="F44" s="126">
        <f t="shared" si="4"/>
        <v>38.434998506254416</v>
      </c>
      <c r="G44" s="127">
        <f t="shared" si="10"/>
        <v>54530831.041307442</v>
      </c>
      <c r="H44" s="45">
        <f t="shared" si="11"/>
        <v>2.2057649222082579E-3</v>
      </c>
      <c r="I44" s="128">
        <f t="shared" si="12"/>
        <v>18.74252877676815</v>
      </c>
      <c r="J44" s="125">
        <f t="shared" si="8"/>
        <v>3.6</v>
      </c>
      <c r="K44" s="125">
        <f t="shared" si="9"/>
        <v>-3.6</v>
      </c>
    </row>
    <row r="45" spans="1:11">
      <c r="A45" s="124">
        <v>0.4</v>
      </c>
      <c r="B45" s="124">
        <f t="shared" si="0"/>
        <v>33.984000000000002</v>
      </c>
      <c r="C45" s="124">
        <f t="shared" si="1"/>
        <v>-8.4960000000000022</v>
      </c>
      <c r="D45" s="125">
        <f t="shared" si="2"/>
        <v>7.2</v>
      </c>
      <c r="E45" s="126">
        <f t="shared" si="3"/>
        <v>22.61946710584651</v>
      </c>
      <c r="F45" s="126">
        <f t="shared" si="4"/>
        <v>38.434998506254338</v>
      </c>
      <c r="G45" s="127">
        <f t="shared" si="10"/>
        <v>57400874.780323617</v>
      </c>
      <c r="H45" s="45">
        <f t="shared" si="11"/>
        <v>2.1894630669695688E-3</v>
      </c>
      <c r="I45" s="128">
        <f t="shared" si="12"/>
        <v>18.604010846842947</v>
      </c>
      <c r="J45" s="125">
        <f t="shared" si="8"/>
        <v>3.6</v>
      </c>
      <c r="K45" s="125">
        <f t="shared" si="9"/>
        <v>-3.6</v>
      </c>
    </row>
    <row r="46" spans="1:11">
      <c r="A46" s="124">
        <v>0.42</v>
      </c>
      <c r="B46" s="124">
        <f t="shared" ref="B46:B75" si="13">A46*LL</f>
        <v>35.683199999999999</v>
      </c>
      <c r="C46" s="124">
        <f t="shared" si="1"/>
        <v>-6.7968000000000046</v>
      </c>
      <c r="D46" s="125">
        <f t="shared" si="2"/>
        <v>7.2</v>
      </c>
      <c r="E46" s="126">
        <f t="shared" si="3"/>
        <v>22.61946710584651</v>
      </c>
      <c r="F46" s="126">
        <f t="shared" si="4"/>
        <v>38.434998506254338</v>
      </c>
      <c r="G46" s="127">
        <f t="shared" ref="G46:G75" si="14">V*B46/nu</f>
        <v>60270918.5193398</v>
      </c>
      <c r="H46" s="45">
        <f t="shared" ref="H46:H75" si="15">IF(G46&lt;1000000,1.328/SQRT(G46), 0.455/( (LOG(G46)^2.58)*(1+0.144*MC^2)^0.65))</f>
        <v>2.1741114766792389E-3</v>
      </c>
      <c r="I46" s="128">
        <f t="shared" ref="I46:I75" si="16">F46*H46*q*FQ</f>
        <v>18.473567380320858</v>
      </c>
      <c r="J46" s="125">
        <f t="shared" si="8"/>
        <v>3.6</v>
      </c>
      <c r="K46" s="125">
        <f t="shared" si="9"/>
        <v>-3.6</v>
      </c>
    </row>
    <row r="47" spans="1:11">
      <c r="A47" s="124">
        <v>0.44</v>
      </c>
      <c r="B47" s="124">
        <f t="shared" si="13"/>
        <v>37.382400000000004</v>
      </c>
      <c r="C47" s="124">
        <f t="shared" si="1"/>
        <v>-5.0975999999999999</v>
      </c>
      <c r="D47" s="125">
        <f t="shared" si="2"/>
        <v>7.2</v>
      </c>
      <c r="E47" s="126">
        <f t="shared" si="3"/>
        <v>22.61946710584651</v>
      </c>
      <c r="F47" s="126">
        <f t="shared" si="4"/>
        <v>38.434998506254495</v>
      </c>
      <c r="G47" s="127">
        <f t="shared" si="14"/>
        <v>63140962.258355983</v>
      </c>
      <c r="H47" s="45">
        <f t="shared" si="15"/>
        <v>2.1596129240730589E-3</v>
      </c>
      <c r="I47" s="128">
        <f t="shared" si="16"/>
        <v>18.350372230780355</v>
      </c>
      <c r="J47" s="125">
        <f t="shared" si="8"/>
        <v>3.6</v>
      </c>
      <c r="K47" s="125">
        <f t="shared" si="9"/>
        <v>-3.6</v>
      </c>
    </row>
    <row r="48" spans="1:11">
      <c r="A48" s="124">
        <v>0.46</v>
      </c>
      <c r="B48" s="124">
        <f t="shared" si="13"/>
        <v>39.081600000000009</v>
      </c>
      <c r="C48" s="124">
        <f t="shared" si="1"/>
        <v>-3.3983999999999952</v>
      </c>
      <c r="D48" s="125">
        <f t="shared" si="2"/>
        <v>7.2</v>
      </c>
      <c r="E48" s="126">
        <f t="shared" si="3"/>
        <v>22.61946710584651</v>
      </c>
      <c r="F48" s="126">
        <f t="shared" si="4"/>
        <v>38.434998506254495</v>
      </c>
      <c r="G48" s="127">
        <f t="shared" si="14"/>
        <v>66011005.997372173</v>
      </c>
      <c r="H48" s="45">
        <f t="shared" si="15"/>
        <v>2.1458840152052635E-3</v>
      </c>
      <c r="I48" s="128">
        <f t="shared" si="16"/>
        <v>18.233716794411063</v>
      </c>
      <c r="J48" s="125">
        <f t="shared" si="8"/>
        <v>3.6</v>
      </c>
      <c r="K48" s="125">
        <f t="shared" si="9"/>
        <v>-3.6</v>
      </c>
    </row>
    <row r="49" spans="1:11">
      <c r="A49" s="124">
        <v>0.48</v>
      </c>
      <c r="B49" s="124">
        <f t="shared" si="13"/>
        <v>40.780799999999999</v>
      </c>
      <c r="C49" s="124">
        <f t="shared" si="1"/>
        <v>-1.6992000000000047</v>
      </c>
      <c r="D49" s="125">
        <f t="shared" si="2"/>
        <v>7.2</v>
      </c>
      <c r="E49" s="126">
        <f t="shared" si="3"/>
        <v>22.61946710584651</v>
      </c>
      <c r="F49" s="126">
        <f t="shared" si="4"/>
        <v>38.434998506254175</v>
      </c>
      <c r="G49" s="127">
        <f t="shared" si="14"/>
        <v>68881049.736388341</v>
      </c>
      <c r="H49" s="45">
        <f t="shared" si="15"/>
        <v>2.1328527161448567E-3</v>
      </c>
      <c r="I49" s="128">
        <f t="shared" si="16"/>
        <v>18.122988994191008</v>
      </c>
      <c r="J49" s="125">
        <f t="shared" si="8"/>
        <v>3.6</v>
      </c>
      <c r="K49" s="125">
        <f t="shared" si="9"/>
        <v>-3.6</v>
      </c>
    </row>
    <row r="50" spans="1:11">
      <c r="A50" s="124">
        <v>0.5</v>
      </c>
      <c r="B50" s="124">
        <f t="shared" si="13"/>
        <v>42.480000000000004</v>
      </c>
      <c r="C50" s="124">
        <f t="shared" si="1"/>
        <v>0</v>
      </c>
      <c r="D50" s="125">
        <f t="shared" si="2"/>
        <v>7.2</v>
      </c>
      <c r="E50" s="126">
        <f t="shared" si="3"/>
        <v>22.61946710584651</v>
      </c>
      <c r="F50" s="126">
        <f t="shared" si="4"/>
        <v>38.434998506254495</v>
      </c>
      <c r="G50" s="127">
        <f t="shared" si="14"/>
        <v>71751093.475404531</v>
      </c>
      <c r="H50" s="45">
        <f t="shared" si="15"/>
        <v>2.1204564047782272E-3</v>
      </c>
      <c r="I50" s="128">
        <f t="shared" si="16"/>
        <v>18.017656725926489</v>
      </c>
      <c r="J50" s="125">
        <f t="shared" si="8"/>
        <v>3.6</v>
      </c>
      <c r="K50" s="125">
        <f t="shared" si="9"/>
        <v>-3.6</v>
      </c>
    </row>
    <row r="51" spans="1:11">
      <c r="A51" s="124">
        <v>0.52</v>
      </c>
      <c r="B51" s="124">
        <f t="shared" si="13"/>
        <v>44.179200000000009</v>
      </c>
      <c r="C51" s="124">
        <f t="shared" si="1"/>
        <v>1.6992000000000047</v>
      </c>
      <c r="D51" s="125">
        <f t="shared" ref="D51:D75" si="17">IF(A51&gt;(1-$B$19),(D*((LL-B51)/(LL*$B$19))^$B$20),D)</f>
        <v>7.2</v>
      </c>
      <c r="E51" s="126">
        <f t="shared" si="3"/>
        <v>22.61946710584651</v>
      </c>
      <c r="F51" s="126">
        <f t="shared" si="4"/>
        <v>38.434998506254495</v>
      </c>
      <c r="G51" s="127">
        <f t="shared" si="14"/>
        <v>74621137.214420721</v>
      </c>
      <c r="H51" s="45">
        <f t="shared" si="15"/>
        <v>2.1086403200171809E-3</v>
      </c>
      <c r="I51" s="128">
        <f t="shared" si="16"/>
        <v>17.917254681069906</v>
      </c>
      <c r="J51" s="125">
        <f t="shared" si="8"/>
        <v>3.6</v>
      </c>
      <c r="K51" s="125">
        <f t="shared" si="9"/>
        <v>-3.6</v>
      </c>
    </row>
    <row r="52" spans="1:11">
      <c r="A52" s="124">
        <v>0.54</v>
      </c>
      <c r="B52" s="124">
        <f t="shared" si="13"/>
        <v>45.878400000000006</v>
      </c>
      <c r="C52" s="124">
        <f t="shared" si="1"/>
        <v>3.3984000000000023</v>
      </c>
      <c r="D52" s="125">
        <f t="shared" si="17"/>
        <v>7.2</v>
      </c>
      <c r="E52" s="126">
        <f t="shared" si="3"/>
        <v>22.61946710584651</v>
      </c>
      <c r="F52" s="126">
        <f t="shared" si="4"/>
        <v>38.434998506254338</v>
      </c>
      <c r="G52" s="127">
        <f t="shared" si="14"/>
        <v>77491180.953436881</v>
      </c>
      <c r="H52" s="45">
        <f t="shared" si="15"/>
        <v>2.097356315412809E-3</v>
      </c>
      <c r="I52" s="128">
        <f t="shared" si="16"/>
        <v>17.821373756096694</v>
      </c>
      <c r="J52" s="125">
        <f t="shared" si="8"/>
        <v>3.6</v>
      </c>
      <c r="K52" s="125">
        <f t="shared" si="9"/>
        <v>-3.6</v>
      </c>
    </row>
    <row r="53" spans="1:11">
      <c r="A53" s="124">
        <v>0.56000000000000005</v>
      </c>
      <c r="B53" s="124">
        <f t="shared" si="13"/>
        <v>47.577600000000011</v>
      </c>
      <c r="C53" s="124">
        <f t="shared" si="1"/>
        <v>5.097600000000007</v>
      </c>
      <c r="D53" s="125">
        <f t="shared" si="17"/>
        <v>7.2</v>
      </c>
      <c r="E53" s="126">
        <f t="shared" si="3"/>
        <v>22.61946710584651</v>
      </c>
      <c r="F53" s="126">
        <f t="shared" si="4"/>
        <v>38.434998506254495</v>
      </c>
      <c r="G53" s="127">
        <f t="shared" si="14"/>
        <v>80361224.692453071</v>
      </c>
      <c r="H53" s="45">
        <f t="shared" si="15"/>
        <v>2.0865618485285601E-3</v>
      </c>
      <c r="I53" s="128">
        <f t="shared" si="16"/>
        <v>17.7296524651419</v>
      </c>
      <c r="J53" s="125">
        <f t="shared" si="8"/>
        <v>3.6</v>
      </c>
      <c r="K53" s="125">
        <f t="shared" si="9"/>
        <v>-3.6</v>
      </c>
    </row>
    <row r="54" spans="1:11">
      <c r="A54" s="124">
        <v>0.57999999999999996</v>
      </c>
      <c r="B54" s="124">
        <f t="shared" si="13"/>
        <v>49.276800000000001</v>
      </c>
      <c r="C54" s="124">
        <f t="shared" si="1"/>
        <v>6.7967999999999975</v>
      </c>
      <c r="D54" s="125">
        <f t="shared" si="17"/>
        <v>7.2</v>
      </c>
      <c r="E54" s="126">
        <f t="shared" si="3"/>
        <v>22.61946710584651</v>
      </c>
      <c r="F54" s="126">
        <f t="shared" si="4"/>
        <v>38.434998506254175</v>
      </c>
      <c r="G54" s="127">
        <f t="shared" si="14"/>
        <v>83231268.431469247</v>
      </c>
      <c r="H54" s="45">
        <f t="shared" si="15"/>
        <v>2.0762191547712642E-3</v>
      </c>
      <c r="I54" s="128">
        <f t="shared" si="16"/>
        <v>17.641769919987599</v>
      </c>
      <c r="J54" s="125">
        <f t="shared" si="8"/>
        <v>3.6</v>
      </c>
      <c r="K54" s="125">
        <f t="shared" si="9"/>
        <v>-3.6</v>
      </c>
    </row>
    <row r="55" spans="1:11">
      <c r="A55" s="124">
        <v>0.6</v>
      </c>
      <c r="B55" s="124">
        <f t="shared" si="13"/>
        <v>50.976000000000006</v>
      </c>
      <c r="C55" s="124">
        <f t="shared" si="1"/>
        <v>8.4960000000000022</v>
      </c>
      <c r="D55" s="125">
        <f t="shared" si="17"/>
        <v>7.2</v>
      </c>
      <c r="E55" s="126">
        <f t="shared" si="3"/>
        <v>22.61946710584651</v>
      </c>
      <c r="F55" s="126">
        <f t="shared" si="4"/>
        <v>38.434998506254495</v>
      </c>
      <c r="G55" s="127">
        <f t="shared" si="14"/>
        <v>86101312.170485437</v>
      </c>
      <c r="H55" s="45">
        <f t="shared" si="15"/>
        <v>2.0662945669022376E-3</v>
      </c>
      <c r="I55" s="128">
        <f t="shared" si="16"/>
        <v>17.557440047905736</v>
      </c>
      <c r="J55" s="125">
        <f t="shared" si="8"/>
        <v>3.6</v>
      </c>
      <c r="K55" s="125">
        <f t="shared" si="9"/>
        <v>-3.6</v>
      </c>
    </row>
    <row r="56" spans="1:11">
      <c r="A56" s="124">
        <v>0.62</v>
      </c>
      <c r="B56" s="124">
        <f t="shared" si="13"/>
        <v>52.675200000000004</v>
      </c>
      <c r="C56" s="124">
        <f t="shared" si="1"/>
        <v>10.1952</v>
      </c>
      <c r="D56" s="125">
        <f t="shared" si="17"/>
        <v>7.2</v>
      </c>
      <c r="E56" s="126">
        <f t="shared" si="3"/>
        <v>22.61946710584651</v>
      </c>
      <c r="F56" s="126">
        <f t="shared" si="4"/>
        <v>38.434998506254338</v>
      </c>
      <c r="G56" s="127">
        <f t="shared" si="14"/>
        <v>88971355.909501612</v>
      </c>
      <c r="H56" s="45">
        <f t="shared" si="15"/>
        <v>2.056757950606513E-3</v>
      </c>
      <c r="I56" s="128">
        <f t="shared" si="16"/>
        <v>17.476406795651084</v>
      </c>
      <c r="J56" s="125">
        <f t="shared" si="8"/>
        <v>3.6</v>
      </c>
      <c r="K56" s="125">
        <f t="shared" si="9"/>
        <v>-3.6</v>
      </c>
    </row>
    <row r="57" spans="1:11">
      <c r="A57" s="124">
        <v>0.64</v>
      </c>
      <c r="B57" s="124">
        <f t="shared" si="13"/>
        <v>54.374400000000009</v>
      </c>
      <c r="C57" s="124">
        <f t="shared" ref="C57:C75" si="18">B57-LL/2</f>
        <v>11.894400000000005</v>
      </c>
      <c r="D57" s="125">
        <f t="shared" si="17"/>
        <v>7.2</v>
      </c>
      <c r="E57" s="126">
        <f t="shared" si="3"/>
        <v>22.61946710584651</v>
      </c>
      <c r="F57" s="126">
        <f t="shared" si="4"/>
        <v>38.434998506254495</v>
      </c>
      <c r="G57" s="127">
        <f t="shared" si="14"/>
        <v>91841399.648517787</v>
      </c>
      <c r="H57" s="45">
        <f t="shared" si="15"/>
        <v>2.0475822332705223E-3</v>
      </c>
      <c r="I57" s="128">
        <f t="shared" si="16"/>
        <v>17.398440125456251</v>
      </c>
      <c r="J57" s="125">
        <f t="shared" si="8"/>
        <v>3.6</v>
      </c>
      <c r="K57" s="125">
        <f t="shared" si="9"/>
        <v>-3.6</v>
      </c>
    </row>
    <row r="58" spans="1:11">
      <c r="A58" s="124">
        <v>0.66</v>
      </c>
      <c r="B58" s="124">
        <f t="shared" si="13"/>
        <v>56.073600000000006</v>
      </c>
      <c r="C58" s="124">
        <f t="shared" si="18"/>
        <v>13.593600000000002</v>
      </c>
      <c r="D58" s="125">
        <f t="shared" si="17"/>
        <v>7.2</v>
      </c>
      <c r="E58" s="126">
        <f t="shared" si="3"/>
        <v>22.61946710584651</v>
      </c>
      <c r="F58" s="126">
        <f t="shared" si="4"/>
        <v>38.434998506254338</v>
      </c>
      <c r="G58" s="127">
        <f t="shared" si="14"/>
        <v>94711443.387533978</v>
      </c>
      <c r="H58" s="45">
        <f t="shared" si="15"/>
        <v>2.038743008181632E-3</v>
      </c>
      <c r="I58" s="128">
        <f t="shared" si="16"/>
        <v>17.323332651887785</v>
      </c>
      <c r="J58" s="125">
        <f t="shared" si="8"/>
        <v>3.6</v>
      </c>
      <c r="K58" s="125">
        <f t="shared" si="9"/>
        <v>-3.6</v>
      </c>
    </row>
    <row r="59" spans="1:11">
      <c r="A59" s="124">
        <v>0.68</v>
      </c>
      <c r="B59" s="124">
        <f t="shared" si="13"/>
        <v>57.772800000000011</v>
      </c>
      <c r="C59" s="124">
        <f t="shared" si="18"/>
        <v>15.292800000000007</v>
      </c>
      <c r="D59" s="125">
        <f t="shared" si="17"/>
        <v>7.2</v>
      </c>
      <c r="E59" s="126">
        <f t="shared" si="3"/>
        <v>22.61946710584651</v>
      </c>
      <c r="F59" s="126">
        <f t="shared" si="4"/>
        <v>38.434998506254495</v>
      </c>
      <c r="G59" s="127">
        <f t="shared" si="14"/>
        <v>97581487.126550168</v>
      </c>
      <c r="H59" s="45">
        <f t="shared" si="15"/>
        <v>2.030218200186739E-3</v>
      </c>
      <c r="I59" s="128">
        <f t="shared" si="16"/>
        <v>17.250896800926572</v>
      </c>
      <c r="J59" s="125">
        <f t="shared" si="8"/>
        <v>3.6</v>
      </c>
      <c r="K59" s="125">
        <f t="shared" si="9"/>
        <v>-3.6</v>
      </c>
    </row>
    <row r="60" spans="1:11">
      <c r="A60" s="124">
        <v>0.7</v>
      </c>
      <c r="B60" s="124">
        <f t="shared" si="13"/>
        <v>59.472000000000001</v>
      </c>
      <c r="C60" s="124">
        <f t="shared" si="18"/>
        <v>16.991999999999997</v>
      </c>
      <c r="D60" s="125">
        <f t="shared" si="17"/>
        <v>7.2</v>
      </c>
      <c r="E60" s="126">
        <f t="shared" si="3"/>
        <v>22.61946710584651</v>
      </c>
      <c r="F60" s="126">
        <f t="shared" si="4"/>
        <v>38.434998506254175</v>
      </c>
      <c r="G60" s="127">
        <f t="shared" si="14"/>
        <v>100451530.86556633</v>
      </c>
      <c r="H60" s="45">
        <f t="shared" si="15"/>
        <v>2.0219877817617593E-3</v>
      </c>
      <c r="I60" s="128">
        <f t="shared" si="16"/>
        <v>17.180962397390534</v>
      </c>
      <c r="J60" s="125">
        <f t="shared" si="8"/>
        <v>3.6</v>
      </c>
      <c r="K60" s="125">
        <f t="shared" si="9"/>
        <v>-3.6</v>
      </c>
    </row>
    <row r="61" spans="1:11">
      <c r="A61" s="124">
        <v>0.72</v>
      </c>
      <c r="B61" s="124">
        <f t="shared" si="13"/>
        <v>61.171200000000006</v>
      </c>
      <c r="C61" s="124">
        <f t="shared" si="18"/>
        <v>18.691200000000002</v>
      </c>
      <c r="D61" s="125">
        <f t="shared" si="17"/>
        <v>7.2</v>
      </c>
      <c r="E61" s="126">
        <f t="shared" si="3"/>
        <v>22.61946710584651</v>
      </c>
      <c r="F61" s="126">
        <f t="shared" si="4"/>
        <v>38.434998506254495</v>
      </c>
      <c r="G61" s="127">
        <f t="shared" si="14"/>
        <v>103321574.60458252</v>
      </c>
      <c r="H61" s="45">
        <f t="shared" si="15"/>
        <v>2.0140335306851015E-3</v>
      </c>
      <c r="I61" s="128">
        <f t="shared" si="16"/>
        <v>17.113374605871783</v>
      </c>
      <c r="J61" s="125">
        <f t="shared" si="8"/>
        <v>3.6</v>
      </c>
      <c r="K61" s="125">
        <f t="shared" si="9"/>
        <v>-3.6</v>
      </c>
    </row>
    <row r="62" spans="1:11">
      <c r="A62" s="124">
        <v>0.74</v>
      </c>
      <c r="B62" s="124">
        <f t="shared" si="13"/>
        <v>62.870400000000004</v>
      </c>
      <c r="C62" s="124">
        <f t="shared" si="18"/>
        <v>20.3904</v>
      </c>
      <c r="D62" s="125">
        <f t="shared" si="17"/>
        <v>7.2</v>
      </c>
      <c r="E62" s="126">
        <f t="shared" si="3"/>
        <v>22.61946710584651</v>
      </c>
      <c r="F62" s="126">
        <f t="shared" si="4"/>
        <v>38.434998506254338</v>
      </c>
      <c r="G62" s="127">
        <f t="shared" si="14"/>
        <v>106191618.34359871</v>
      </c>
      <c r="H62" s="45">
        <f t="shared" si="15"/>
        <v>2.006338822246042E-3</v>
      </c>
      <c r="I62" s="128">
        <f t="shared" si="16"/>
        <v>17.04799216511573</v>
      </c>
      <c r="J62" s="125">
        <f t="shared" si="8"/>
        <v>3.6</v>
      </c>
      <c r="K62" s="125">
        <f t="shared" si="9"/>
        <v>-3.6</v>
      </c>
    </row>
    <row r="63" spans="1:11">
      <c r="A63" s="124">
        <v>0.76</v>
      </c>
      <c r="B63" s="124">
        <f t="shared" si="13"/>
        <v>64.569600000000008</v>
      </c>
      <c r="C63" s="124">
        <f t="shared" si="18"/>
        <v>22.089600000000004</v>
      </c>
      <c r="D63" s="125">
        <f t="shared" si="17"/>
        <v>7.2</v>
      </c>
      <c r="E63" s="126">
        <f t="shared" si="3"/>
        <v>22.61946710584651</v>
      </c>
      <c r="F63" s="126">
        <f t="shared" si="4"/>
        <v>38.434998506254495</v>
      </c>
      <c r="G63" s="127">
        <f t="shared" si="14"/>
        <v>109061662.08261488</v>
      </c>
      <c r="H63" s="45">
        <f t="shared" si="15"/>
        <v>1.9988884502763768E-3</v>
      </c>
      <c r="I63" s="128">
        <f t="shared" si="16"/>
        <v>16.984685867317175</v>
      </c>
      <c r="J63" s="125">
        <f t="shared" si="8"/>
        <v>3.6</v>
      </c>
      <c r="K63" s="125">
        <f t="shared" si="9"/>
        <v>-3.6</v>
      </c>
    </row>
    <row r="64" spans="1:11">
      <c r="A64" s="124">
        <v>0.78</v>
      </c>
      <c r="B64" s="124">
        <f t="shared" si="13"/>
        <v>66.268800000000013</v>
      </c>
      <c r="C64" s="124">
        <f t="shared" si="18"/>
        <v>23.788800000000009</v>
      </c>
      <c r="D64" s="125">
        <f t="shared" si="17"/>
        <v>7.2</v>
      </c>
      <c r="E64" s="126">
        <f t="shared" si="3"/>
        <v>22.61946710584651</v>
      </c>
      <c r="F64" s="126">
        <f t="shared" si="4"/>
        <v>38.434998506254495</v>
      </c>
      <c r="G64" s="127">
        <f t="shared" si="14"/>
        <v>111931705.82163107</v>
      </c>
      <c r="H64" s="45">
        <f t="shared" si="15"/>
        <v>1.9916684723623066E-3</v>
      </c>
      <c r="I64" s="128">
        <f t="shared" si="16"/>
        <v>16.92333724287418</v>
      </c>
      <c r="J64" s="125">
        <f t="shared" si="8"/>
        <v>3.6</v>
      </c>
      <c r="K64" s="125">
        <f t="shared" si="9"/>
        <v>-3.6</v>
      </c>
    </row>
    <row r="65" spans="1:11">
      <c r="A65" s="124">
        <v>0.8</v>
      </c>
      <c r="B65" s="124">
        <f t="shared" si="13"/>
        <v>67.968000000000004</v>
      </c>
      <c r="C65" s="124">
        <f t="shared" si="18"/>
        <v>25.488</v>
      </c>
      <c r="D65" s="125">
        <f t="shared" si="17"/>
        <v>7.2</v>
      </c>
      <c r="E65" s="126">
        <f t="shared" si="3"/>
        <v>22.61946710584651</v>
      </c>
      <c r="F65" s="126">
        <f t="shared" si="4"/>
        <v>38.434998506254175</v>
      </c>
      <c r="G65" s="127">
        <f t="shared" si="14"/>
        <v>114801749.56064723</v>
      </c>
      <c r="H65" s="45">
        <f t="shared" si="15"/>
        <v>1.9846660754399541E-3</v>
      </c>
      <c r="I65" s="128">
        <f t="shared" si="16"/>
        <v>16.863837418345067</v>
      </c>
      <c r="J65" s="125">
        <f t="shared" si="8"/>
        <v>3.6</v>
      </c>
      <c r="K65" s="125">
        <f t="shared" si="9"/>
        <v>-3.6</v>
      </c>
    </row>
    <row r="66" spans="1:11">
      <c r="A66" s="124">
        <v>0.82</v>
      </c>
      <c r="B66" s="124">
        <f t="shared" si="13"/>
        <v>69.667200000000008</v>
      </c>
      <c r="C66" s="124">
        <f t="shared" si="18"/>
        <v>27.187200000000004</v>
      </c>
      <c r="D66" s="125">
        <f t="shared" si="17"/>
        <v>6.6179960556488746</v>
      </c>
      <c r="E66" s="126">
        <f t="shared" si="3"/>
        <v>20.791047789912732</v>
      </c>
      <c r="F66" s="126">
        <f t="shared" si="4"/>
        <v>35.32814840461981</v>
      </c>
      <c r="G66" s="127">
        <f t="shared" si="14"/>
        <v>117671793.29966342</v>
      </c>
      <c r="H66" s="45">
        <f t="shared" si="15"/>
        <v>1.9778694586531031E-3</v>
      </c>
      <c r="I66" s="128">
        <f t="shared" si="16"/>
        <v>15.447584952809017</v>
      </c>
      <c r="J66" s="125">
        <f t="shared" si="8"/>
        <v>3.3089980278244373</v>
      </c>
      <c r="K66" s="125">
        <f t="shared" si="9"/>
        <v>-3.3089980278244373</v>
      </c>
    </row>
    <row r="67" spans="1:11">
      <c r="A67" s="124">
        <v>0.84</v>
      </c>
      <c r="B67" s="124">
        <f t="shared" si="13"/>
        <v>71.366399999999999</v>
      </c>
      <c r="C67" s="124">
        <f t="shared" si="18"/>
        <v>28.886399999999995</v>
      </c>
      <c r="D67" s="125">
        <f t="shared" si="17"/>
        <v>6.0228838229257367</v>
      </c>
      <c r="E67" s="126">
        <f t="shared" si="3"/>
        <v>18.921447571528304</v>
      </c>
      <c r="F67" s="126">
        <f t="shared" si="4"/>
        <v>32.151323713540712</v>
      </c>
      <c r="G67" s="127">
        <f t="shared" si="14"/>
        <v>120541837.0386796</v>
      </c>
      <c r="H67" s="45">
        <f t="shared" si="15"/>
        <v>1.9712677308934279E-3</v>
      </c>
      <c r="I67" s="128">
        <f t="shared" si="16"/>
        <v>14.011562316034114</v>
      </c>
      <c r="J67" s="125">
        <f t="shared" si="8"/>
        <v>3.0114419114628683</v>
      </c>
      <c r="K67" s="125">
        <f t="shared" si="9"/>
        <v>-3.0114419114628683</v>
      </c>
    </row>
    <row r="68" spans="1:11">
      <c r="A68" s="124">
        <v>0.86</v>
      </c>
      <c r="B68" s="124">
        <f t="shared" si="13"/>
        <v>73.065600000000003</v>
      </c>
      <c r="C68" s="124">
        <f t="shared" si="18"/>
        <v>30.585599999999999</v>
      </c>
      <c r="D68" s="125">
        <f t="shared" si="17"/>
        <v>5.4126622558803286</v>
      </c>
      <c r="E68" s="126">
        <f t="shared" si="3"/>
        <v>17.004379979436397</v>
      </c>
      <c r="F68" s="126">
        <f t="shared" si="4"/>
        <v>28.893842461058405</v>
      </c>
      <c r="G68" s="127">
        <f t="shared" si="14"/>
        <v>123411880.77769579</v>
      </c>
      <c r="H68" s="45">
        <f t="shared" si="15"/>
        <v>1.9648508208806588E-3</v>
      </c>
      <c r="I68" s="128">
        <f t="shared" si="16"/>
        <v>12.550960853675555</v>
      </c>
      <c r="J68" s="125">
        <f t="shared" si="8"/>
        <v>2.7063311279401643</v>
      </c>
      <c r="K68" s="125">
        <f t="shared" si="9"/>
        <v>-2.7063311279401643</v>
      </c>
    </row>
    <row r="69" spans="1:11">
      <c r="A69" s="124">
        <v>0.88</v>
      </c>
      <c r="B69" s="124">
        <f t="shared" si="13"/>
        <v>74.764800000000008</v>
      </c>
      <c r="C69" s="124">
        <f t="shared" si="18"/>
        <v>32.284800000000004</v>
      </c>
      <c r="D69" s="125">
        <f t="shared" si="17"/>
        <v>4.784686602832612</v>
      </c>
      <c r="E69" s="126">
        <f t="shared" si="3"/>
        <v>15.031536281188439</v>
      </c>
      <c r="F69" s="126">
        <f t="shared" si="4"/>
        <v>25.541586448995467</v>
      </c>
      <c r="G69" s="127">
        <f t="shared" si="14"/>
        <v>126281924.51671197</v>
      </c>
      <c r="H69" s="45">
        <f t="shared" si="15"/>
        <v>1.9586093979948199E-3</v>
      </c>
      <c r="I69" s="128">
        <f t="shared" si="16"/>
        <v>11.059558615712959</v>
      </c>
      <c r="J69" s="125">
        <f t="shared" si="8"/>
        <v>2.392343301416306</v>
      </c>
      <c r="K69" s="125">
        <f t="shared" si="9"/>
        <v>-2.392343301416306</v>
      </c>
    </row>
    <row r="70" spans="1:11">
      <c r="A70" s="124">
        <v>0.9</v>
      </c>
      <c r="B70" s="124">
        <f t="shared" si="13"/>
        <v>76.464000000000013</v>
      </c>
      <c r="C70" s="124">
        <f t="shared" si="18"/>
        <v>33.984000000000009</v>
      </c>
      <c r="D70" s="125">
        <f t="shared" si="17"/>
        <v>4.1353140779893245</v>
      </c>
      <c r="E70" s="126">
        <f t="shared" si="3"/>
        <v>12.991472327697711</v>
      </c>
      <c r="F70" s="126">
        <f t="shared" si="4"/>
        <v>22.075109779224011</v>
      </c>
      <c r="G70" s="127">
        <f t="shared" si="14"/>
        <v>129151968.25572816</v>
      </c>
      <c r="H70" s="45">
        <f t="shared" si="15"/>
        <v>1.9525348023620554E-3</v>
      </c>
      <c r="I70" s="128">
        <f t="shared" si="16"/>
        <v>9.5289214604338621</v>
      </c>
      <c r="J70" s="125">
        <f t="shared" si="8"/>
        <v>2.0676570389946622</v>
      </c>
      <c r="K70" s="125">
        <f t="shared" si="9"/>
        <v>-2.0676570389946622</v>
      </c>
    </row>
    <row r="71" spans="1:11">
      <c r="A71" s="124">
        <v>0.92</v>
      </c>
      <c r="B71" s="124">
        <f t="shared" si="13"/>
        <v>78.163200000000018</v>
      </c>
      <c r="C71" s="124">
        <f t="shared" si="18"/>
        <v>35.683200000000014</v>
      </c>
      <c r="D71" s="125">
        <f t="shared" si="17"/>
        <v>3.4592383698665179</v>
      </c>
      <c r="E71" s="126">
        <f t="shared" si="3"/>
        <v>10.867517849788584</v>
      </c>
      <c r="F71" s="126">
        <f t="shared" si="4"/>
        <v>18.466086330360813</v>
      </c>
      <c r="G71" s="127">
        <f t="shared" si="14"/>
        <v>132022011.99474435</v>
      </c>
      <c r="H71" s="45">
        <f t="shared" si="15"/>
        <v>1.9466189829327458E-3</v>
      </c>
      <c r="I71" s="128">
        <f t="shared" si="16"/>
        <v>7.9469029190663871</v>
      </c>
      <c r="J71" s="125">
        <f t="shared" si="8"/>
        <v>1.7296191849332589</v>
      </c>
      <c r="K71" s="125">
        <f t="shared" si="9"/>
        <v>-1.7296191849332589</v>
      </c>
    </row>
    <row r="72" spans="1:11">
      <c r="A72" s="124">
        <v>0.94</v>
      </c>
      <c r="B72" s="124">
        <f t="shared" si="13"/>
        <v>79.862400000000008</v>
      </c>
      <c r="C72" s="124">
        <f t="shared" si="18"/>
        <v>37.382400000000004</v>
      </c>
      <c r="D72" s="125">
        <f t="shared" si="17"/>
        <v>2.7480808149250864</v>
      </c>
      <c r="E72" s="126">
        <f t="shared" si="3"/>
        <v>8.6333504996397039</v>
      </c>
      <c r="F72" s="126">
        <f t="shared" si="4"/>
        <v>14.669789168987704</v>
      </c>
      <c r="G72" s="127">
        <f t="shared" si="14"/>
        <v>134892055.73376051</v>
      </c>
      <c r="H72" s="45">
        <f t="shared" si="15"/>
        <v>1.9408544424859831E-3</v>
      </c>
      <c r="I72" s="128">
        <f t="shared" si="16"/>
        <v>6.2944665525650692</v>
      </c>
      <c r="J72" s="125">
        <f t="shared" si="8"/>
        <v>1.3740404074625432</v>
      </c>
      <c r="K72" s="125">
        <f t="shared" si="9"/>
        <v>-1.3740404074625432</v>
      </c>
    </row>
    <row r="73" spans="1:11">
      <c r="A73" s="124">
        <v>0.96</v>
      </c>
      <c r="B73" s="124">
        <f t="shared" si="13"/>
        <v>81.561599999999999</v>
      </c>
      <c r="C73" s="124">
        <f t="shared" si="18"/>
        <v>39.081599999999995</v>
      </c>
      <c r="D73" s="125">
        <f t="shared" si="17"/>
        <v>1.9868107125041536</v>
      </c>
      <c r="E73" s="126">
        <f t="shared" si="3"/>
        <v>6.241749938476552</v>
      </c>
      <c r="F73" s="126">
        <f t="shared" si="4"/>
        <v>10.605981495459298</v>
      </c>
      <c r="G73" s="127">
        <f t="shared" si="14"/>
        <v>137762099.47277668</v>
      </c>
      <c r="H73" s="45">
        <f t="shared" si="15"/>
        <v>1.9352341886560381E-3</v>
      </c>
      <c r="I73" s="128">
        <f t="shared" si="16"/>
        <v>4.5376028793636056</v>
      </c>
      <c r="J73" s="125">
        <f t="shared" si="8"/>
        <v>0.99340535625207682</v>
      </c>
      <c r="K73" s="125">
        <f t="shared" si="9"/>
        <v>-0.99340535625207682</v>
      </c>
    </row>
    <row r="74" spans="1:11">
      <c r="A74" s="124">
        <v>0.98</v>
      </c>
      <c r="B74" s="124">
        <f t="shared" si="13"/>
        <v>83.260800000000003</v>
      </c>
      <c r="C74" s="124">
        <f t="shared" si="18"/>
        <v>40.780799999999999</v>
      </c>
      <c r="D74" s="125">
        <f t="shared" si="17"/>
        <v>1.1411230985720042</v>
      </c>
      <c r="E74" s="126">
        <f t="shared" si="3"/>
        <v>3.5849439433154298</v>
      </c>
      <c r="F74" s="126">
        <f t="shared" si="4"/>
        <v>6.0915367484815954</v>
      </c>
      <c r="G74" s="127">
        <f t="shared" si="14"/>
        <v>140632143.21179286</v>
      </c>
      <c r="H74" s="45">
        <f t="shared" si="15"/>
        <v>1.9297516902108136E-3</v>
      </c>
      <c r="I74" s="128">
        <f t="shared" si="16"/>
        <v>2.5987852332181207</v>
      </c>
      <c r="J74" s="125">
        <f t="shared" si="8"/>
        <v>0.57056154928600211</v>
      </c>
      <c r="K74" s="125">
        <f t="shared" si="9"/>
        <v>-0.57056154928600211</v>
      </c>
    </row>
    <row r="75" spans="1:11">
      <c r="A75" s="124">
        <v>1</v>
      </c>
      <c r="B75" s="124">
        <f t="shared" si="13"/>
        <v>84.960000000000008</v>
      </c>
      <c r="C75" s="124">
        <f t="shared" si="18"/>
        <v>42.480000000000004</v>
      </c>
      <c r="D75" s="125">
        <f t="shared" si="17"/>
        <v>0</v>
      </c>
      <c r="E75" s="126">
        <f t="shared" si="3"/>
        <v>0</v>
      </c>
      <c r="F75" s="126">
        <f t="shared" si="4"/>
        <v>0</v>
      </c>
      <c r="G75" s="127">
        <f t="shared" si="14"/>
        <v>143502186.95080906</v>
      </c>
      <c r="H75" s="45">
        <f t="shared" si="15"/>
        <v>1.9244008379242629E-3</v>
      </c>
      <c r="I75" s="128">
        <f t="shared" si="16"/>
        <v>0</v>
      </c>
      <c r="J75" s="125">
        <f t="shared" si="8"/>
        <v>0</v>
      </c>
      <c r="K75" s="125">
        <f t="shared" si="9"/>
        <v>0</v>
      </c>
    </row>
    <row r="76" spans="1:11">
      <c r="A76" s="103"/>
      <c r="B76" s="103"/>
      <c r="C76" s="103"/>
      <c r="D76" s="106"/>
      <c r="E76" s="107"/>
      <c r="F76" s="107"/>
      <c r="G76" s="108"/>
      <c r="H76" s="93"/>
      <c r="I76" s="100"/>
      <c r="K76" s="106"/>
    </row>
    <row r="77" spans="1:11">
      <c r="A77" s="109" t="s">
        <v>188</v>
      </c>
      <c r="E77" s="107"/>
      <c r="F77" s="110">
        <f>SUM(F26:F75)</f>
        <v>1604.2449864958244</v>
      </c>
      <c r="G77" s="108"/>
      <c r="H77" s="93"/>
      <c r="I77" s="111">
        <f>SUM(I26:I75)</f>
        <v>778.91190111960054</v>
      </c>
    </row>
    <row r="78" spans="1:11">
      <c r="F78" s="112" t="s">
        <v>189</v>
      </c>
      <c r="I78" s="112" t="s">
        <v>190</v>
      </c>
    </row>
    <row r="79" spans="1:11">
      <c r="A79" s="77" t="s">
        <v>191</v>
      </c>
      <c r="K79" s="77"/>
    </row>
    <row r="80" spans="1:11">
      <c r="A80" s="62" t="s">
        <v>192</v>
      </c>
      <c r="B80" s="62">
        <f>PI()*D^2/4</f>
        <v>40.715040790523723</v>
      </c>
      <c r="K80" s="77"/>
    </row>
    <row r="81" spans="1:11">
      <c r="A81" s="62" t="s">
        <v>193</v>
      </c>
      <c r="B81" s="62">
        <f>4*B80/(PI()*(LL/2)^2)</f>
        <v>2.8727377190462512E-2</v>
      </c>
      <c r="J81" s="77"/>
      <c r="K81" s="81"/>
    </row>
    <row r="82" spans="1:11">
      <c r="A82" s="62" t="s">
        <v>185</v>
      </c>
      <c r="B82" s="77">
        <f>q*B80*B81</f>
        <v>242.56518366310127</v>
      </c>
    </row>
    <row r="85" spans="1:11">
      <c r="A85" s="77" t="s">
        <v>194</v>
      </c>
      <c r="B85" s="113">
        <f>B82+I77</f>
        <v>1021.4770847827018</v>
      </c>
    </row>
    <row r="86" spans="1:11">
      <c r="A86" s="77" t="s">
        <v>195</v>
      </c>
    </row>
    <row r="89" spans="1:11">
      <c r="A89" s="77" t="s">
        <v>196</v>
      </c>
      <c r="B89" s="114">
        <f>B85/(q*S)</f>
        <v>5.7473837057285641E-3</v>
      </c>
    </row>
  </sheetData>
  <mergeCells count="1">
    <mergeCell ref="D2:F2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tabSelected="1" topLeftCell="A46" zoomScaleNormal="100" workbookViewId="0">
      <selection activeCell="B17" sqref="B17"/>
    </sheetView>
  </sheetViews>
  <sheetFormatPr defaultRowHeight="13.2"/>
  <cols>
    <col min="1" max="1" width="10.5546875" style="62" bestFit="1" customWidth="1"/>
    <col min="2" max="256" width="9.21875" style="62"/>
    <col min="257" max="257" width="10.5546875" style="62" bestFit="1" customWidth="1"/>
    <col min="258" max="512" width="9.21875" style="62"/>
    <col min="513" max="513" width="10.5546875" style="62" bestFit="1" customWidth="1"/>
    <col min="514" max="768" width="9.21875" style="62"/>
    <col min="769" max="769" width="10.5546875" style="62" bestFit="1" customWidth="1"/>
    <col min="770" max="1024" width="9.21875" style="62"/>
    <col min="1025" max="1025" width="10.5546875" style="62" bestFit="1" customWidth="1"/>
    <col min="1026" max="1280" width="9.21875" style="62"/>
    <col min="1281" max="1281" width="10.5546875" style="62" bestFit="1" customWidth="1"/>
    <col min="1282" max="1536" width="9.21875" style="62"/>
    <col min="1537" max="1537" width="10.5546875" style="62" bestFit="1" customWidth="1"/>
    <col min="1538" max="1792" width="9.21875" style="62"/>
    <col min="1793" max="1793" width="10.5546875" style="62" bestFit="1" customWidth="1"/>
    <col min="1794" max="2048" width="9.21875" style="62"/>
    <col min="2049" max="2049" width="10.5546875" style="62" bestFit="1" customWidth="1"/>
    <col min="2050" max="2304" width="9.21875" style="62"/>
    <col min="2305" max="2305" width="10.5546875" style="62" bestFit="1" customWidth="1"/>
    <col min="2306" max="2560" width="9.21875" style="62"/>
    <col min="2561" max="2561" width="10.5546875" style="62" bestFit="1" customWidth="1"/>
    <col min="2562" max="2816" width="9.21875" style="62"/>
    <col min="2817" max="2817" width="10.5546875" style="62" bestFit="1" customWidth="1"/>
    <col min="2818" max="3072" width="9.21875" style="62"/>
    <col min="3073" max="3073" width="10.5546875" style="62" bestFit="1" customWidth="1"/>
    <col min="3074" max="3328" width="9.21875" style="62"/>
    <col min="3329" max="3329" width="10.5546875" style="62" bestFit="1" customWidth="1"/>
    <col min="3330" max="3584" width="9.21875" style="62"/>
    <col min="3585" max="3585" width="10.5546875" style="62" bestFit="1" customWidth="1"/>
    <col min="3586" max="3840" width="9.21875" style="62"/>
    <col min="3841" max="3841" width="10.5546875" style="62" bestFit="1" customWidth="1"/>
    <col min="3842" max="4096" width="9.21875" style="62"/>
    <col min="4097" max="4097" width="10.5546875" style="62" bestFit="1" customWidth="1"/>
    <col min="4098" max="4352" width="9.21875" style="62"/>
    <col min="4353" max="4353" width="10.5546875" style="62" bestFit="1" customWidth="1"/>
    <col min="4354" max="4608" width="9.21875" style="62"/>
    <col min="4609" max="4609" width="10.5546875" style="62" bestFit="1" customWidth="1"/>
    <col min="4610" max="4864" width="9.21875" style="62"/>
    <col min="4865" max="4865" width="10.5546875" style="62" bestFit="1" customWidth="1"/>
    <col min="4866" max="5120" width="9.21875" style="62"/>
    <col min="5121" max="5121" width="10.5546875" style="62" bestFit="1" customWidth="1"/>
    <col min="5122" max="5376" width="9.21875" style="62"/>
    <col min="5377" max="5377" width="10.5546875" style="62" bestFit="1" customWidth="1"/>
    <col min="5378" max="5632" width="9.21875" style="62"/>
    <col min="5633" max="5633" width="10.5546875" style="62" bestFit="1" customWidth="1"/>
    <col min="5634" max="5888" width="9.21875" style="62"/>
    <col min="5889" max="5889" width="10.5546875" style="62" bestFit="1" customWidth="1"/>
    <col min="5890" max="6144" width="9.21875" style="62"/>
    <col min="6145" max="6145" width="10.5546875" style="62" bestFit="1" customWidth="1"/>
    <col min="6146" max="6400" width="9.21875" style="62"/>
    <col min="6401" max="6401" width="10.5546875" style="62" bestFit="1" customWidth="1"/>
    <col min="6402" max="6656" width="9.21875" style="62"/>
    <col min="6657" max="6657" width="10.5546875" style="62" bestFit="1" customWidth="1"/>
    <col min="6658" max="6912" width="9.21875" style="62"/>
    <col min="6913" max="6913" width="10.5546875" style="62" bestFit="1" customWidth="1"/>
    <col min="6914" max="7168" width="9.21875" style="62"/>
    <col min="7169" max="7169" width="10.5546875" style="62" bestFit="1" customWidth="1"/>
    <col min="7170" max="7424" width="9.21875" style="62"/>
    <col min="7425" max="7425" width="10.5546875" style="62" bestFit="1" customWidth="1"/>
    <col min="7426" max="7680" width="9.21875" style="62"/>
    <col min="7681" max="7681" width="10.5546875" style="62" bestFit="1" customWidth="1"/>
    <col min="7682" max="7936" width="9.21875" style="62"/>
    <col min="7937" max="7937" width="10.5546875" style="62" bestFit="1" customWidth="1"/>
    <col min="7938" max="8192" width="9.21875" style="62"/>
    <col min="8193" max="8193" width="10.5546875" style="62" bestFit="1" customWidth="1"/>
    <col min="8194" max="8448" width="9.21875" style="62"/>
    <col min="8449" max="8449" width="10.5546875" style="62" bestFit="1" customWidth="1"/>
    <col min="8450" max="8704" width="9.21875" style="62"/>
    <col min="8705" max="8705" width="10.5546875" style="62" bestFit="1" customWidth="1"/>
    <col min="8706" max="8960" width="9.21875" style="62"/>
    <col min="8961" max="8961" width="10.5546875" style="62" bestFit="1" customWidth="1"/>
    <col min="8962" max="9216" width="9.21875" style="62"/>
    <col min="9217" max="9217" width="10.5546875" style="62" bestFit="1" customWidth="1"/>
    <col min="9218" max="9472" width="9.21875" style="62"/>
    <col min="9473" max="9473" width="10.5546875" style="62" bestFit="1" customWidth="1"/>
    <col min="9474" max="9728" width="9.21875" style="62"/>
    <col min="9729" max="9729" width="10.5546875" style="62" bestFit="1" customWidth="1"/>
    <col min="9730" max="9984" width="9.21875" style="62"/>
    <col min="9985" max="9985" width="10.5546875" style="62" bestFit="1" customWidth="1"/>
    <col min="9986" max="10240" width="9.21875" style="62"/>
    <col min="10241" max="10241" width="10.5546875" style="62" bestFit="1" customWidth="1"/>
    <col min="10242" max="10496" width="9.21875" style="62"/>
    <col min="10497" max="10497" width="10.5546875" style="62" bestFit="1" customWidth="1"/>
    <col min="10498" max="10752" width="9.21875" style="62"/>
    <col min="10753" max="10753" width="10.5546875" style="62" bestFit="1" customWidth="1"/>
    <col min="10754" max="11008" width="9.21875" style="62"/>
    <col min="11009" max="11009" width="10.5546875" style="62" bestFit="1" customWidth="1"/>
    <col min="11010" max="11264" width="9.21875" style="62"/>
    <col min="11265" max="11265" width="10.5546875" style="62" bestFit="1" customWidth="1"/>
    <col min="11266" max="11520" width="9.21875" style="62"/>
    <col min="11521" max="11521" width="10.5546875" style="62" bestFit="1" customWidth="1"/>
    <col min="11522" max="11776" width="9.21875" style="62"/>
    <col min="11777" max="11777" width="10.5546875" style="62" bestFit="1" customWidth="1"/>
    <col min="11778" max="12032" width="9.21875" style="62"/>
    <col min="12033" max="12033" width="10.5546875" style="62" bestFit="1" customWidth="1"/>
    <col min="12034" max="12288" width="9.21875" style="62"/>
    <col min="12289" max="12289" width="10.5546875" style="62" bestFit="1" customWidth="1"/>
    <col min="12290" max="12544" width="9.21875" style="62"/>
    <col min="12545" max="12545" width="10.5546875" style="62" bestFit="1" customWidth="1"/>
    <col min="12546" max="12800" width="9.21875" style="62"/>
    <col min="12801" max="12801" width="10.5546875" style="62" bestFit="1" customWidth="1"/>
    <col min="12802" max="13056" width="9.21875" style="62"/>
    <col min="13057" max="13057" width="10.5546875" style="62" bestFit="1" customWidth="1"/>
    <col min="13058" max="13312" width="9.21875" style="62"/>
    <col min="13313" max="13313" width="10.5546875" style="62" bestFit="1" customWidth="1"/>
    <col min="13314" max="13568" width="9.21875" style="62"/>
    <col min="13569" max="13569" width="10.5546875" style="62" bestFit="1" customWidth="1"/>
    <col min="13570" max="13824" width="9.21875" style="62"/>
    <col min="13825" max="13825" width="10.5546875" style="62" bestFit="1" customWidth="1"/>
    <col min="13826" max="14080" width="9.21875" style="62"/>
    <col min="14081" max="14081" width="10.5546875" style="62" bestFit="1" customWidth="1"/>
    <col min="14082" max="14336" width="9.21875" style="62"/>
    <col min="14337" max="14337" width="10.5546875" style="62" bestFit="1" customWidth="1"/>
    <col min="14338" max="14592" width="9.21875" style="62"/>
    <col min="14593" max="14593" width="10.5546875" style="62" bestFit="1" customWidth="1"/>
    <col min="14594" max="14848" width="9.21875" style="62"/>
    <col min="14849" max="14849" width="10.5546875" style="62" bestFit="1" customWidth="1"/>
    <col min="14850" max="15104" width="9.21875" style="62"/>
    <col min="15105" max="15105" width="10.5546875" style="62" bestFit="1" customWidth="1"/>
    <col min="15106" max="15360" width="9.21875" style="62"/>
    <col min="15361" max="15361" width="10.5546875" style="62" bestFit="1" customWidth="1"/>
    <col min="15362" max="15616" width="9.21875" style="62"/>
    <col min="15617" max="15617" width="10.5546875" style="62" bestFit="1" customWidth="1"/>
    <col min="15618" max="15872" width="9.21875" style="62"/>
    <col min="15873" max="15873" width="10.5546875" style="62" bestFit="1" customWidth="1"/>
    <col min="15874" max="16128" width="9.21875" style="62"/>
    <col min="16129" max="16129" width="10.5546875" style="62" bestFit="1" customWidth="1"/>
    <col min="16130" max="16384" width="9.21875" style="62"/>
  </cols>
  <sheetData>
    <row r="1" spans="1:7" ht="13.8" thickBot="1"/>
    <row r="2" spans="1:7" ht="16.2" thickBot="1">
      <c r="C2" s="185" t="s">
        <v>197</v>
      </c>
      <c r="D2" s="187"/>
    </row>
    <row r="3" spans="1:7" ht="15.6">
      <c r="C3" s="95"/>
    </row>
    <row r="4" spans="1:7">
      <c r="A4" s="60" t="s">
        <v>198</v>
      </c>
      <c r="B4" s="61"/>
      <c r="C4" s="61"/>
      <c r="D4" s="61"/>
      <c r="E4" s="60" t="s">
        <v>82</v>
      </c>
      <c r="F4" s="61"/>
    </row>
    <row r="5" spans="1:7">
      <c r="A5" s="63" t="s">
        <v>123</v>
      </c>
      <c r="B5" s="78">
        <f>'WING-BIZ'!B19</f>
        <v>81.759403128936796</v>
      </c>
      <c r="C5" s="63" t="s">
        <v>86</v>
      </c>
      <c r="E5" s="65" t="s">
        <v>3</v>
      </c>
      <c r="F5" s="120">
        <f>'WINGLOAD-BIZ'!B24</f>
        <v>34907.800000000003</v>
      </c>
      <c r="G5" s="66" t="s">
        <v>86</v>
      </c>
    </row>
    <row r="6" spans="1:7">
      <c r="A6" s="63" t="s">
        <v>199</v>
      </c>
      <c r="B6" s="78">
        <f>'WING-BIZ'!B23</f>
        <v>11.187231200957143</v>
      </c>
      <c r="C6" s="63" t="s">
        <v>86</v>
      </c>
      <c r="E6" s="65" t="s">
        <v>90</v>
      </c>
      <c r="F6" s="67">
        <f>(1036-0.0034*(HC-20000))*B8</f>
        <v>738.98511000000008</v>
      </c>
      <c r="G6" s="66" t="s">
        <v>91</v>
      </c>
    </row>
    <row r="7" spans="1:7">
      <c r="A7" s="63" t="s">
        <v>87</v>
      </c>
      <c r="B7" s="117">
        <f>S</f>
        <v>857</v>
      </c>
      <c r="C7" s="63" t="s">
        <v>88</v>
      </c>
      <c r="E7" s="69" t="s">
        <v>94</v>
      </c>
      <c r="F7" s="70">
        <f>IF(HC&lt;10000,(1-0.00002615*HC)*0.076474,IF(HC&gt;40000,(-0.0000091*HC+0.6211)*0.076474,(-0.00001681*HC+0.9066)*0.076474))</f>
        <v>2.4456376176067988E-2</v>
      </c>
      <c r="G7" s="70" t="s">
        <v>95</v>
      </c>
    </row>
    <row r="8" spans="1:7">
      <c r="A8" s="63" t="s">
        <v>200</v>
      </c>
      <c r="B8" s="118">
        <f>MC</f>
        <v>0.75</v>
      </c>
      <c r="C8" s="63"/>
      <c r="E8" s="65" t="s">
        <v>100</v>
      </c>
      <c r="F8" s="70">
        <f>0.5*F7*(F6^2)/32.2</f>
        <v>207.38513039333102</v>
      </c>
      <c r="G8" s="70" t="s">
        <v>101</v>
      </c>
    </row>
    <row r="9" spans="1:7" ht="15.6">
      <c r="A9" s="72" t="s">
        <v>96</v>
      </c>
      <c r="B9" s="63">
        <f>'WING-BIZ'!B8</f>
        <v>20.5</v>
      </c>
      <c r="C9" s="63" t="s">
        <v>97</v>
      </c>
      <c r="E9" s="69" t="s">
        <v>104</v>
      </c>
      <c r="F9" s="70">
        <f>0.0000107</f>
        <v>1.0699999999999999E-5</v>
      </c>
      <c r="G9" s="70" t="s">
        <v>105</v>
      </c>
    </row>
    <row r="10" spans="1:7">
      <c r="A10" s="63" t="s">
        <v>102</v>
      </c>
      <c r="B10" s="63">
        <f>'WING-BIZ'!B9</f>
        <v>0.12</v>
      </c>
      <c r="C10" s="63"/>
      <c r="E10" s="69" t="s">
        <v>108</v>
      </c>
      <c r="F10" s="70">
        <f>F9/F7</f>
        <v>4.3751371515419292E-4</v>
      </c>
      <c r="G10" s="70" t="s">
        <v>109</v>
      </c>
    </row>
    <row r="11" spans="1:7">
      <c r="A11" s="72" t="s">
        <v>106</v>
      </c>
      <c r="B11" s="119">
        <f>'WING-BIZ'!B10</f>
        <v>0.38</v>
      </c>
      <c r="C11" s="63"/>
      <c r="E11" s="61"/>
    </row>
    <row r="12" spans="1:7">
      <c r="A12"/>
      <c r="B12"/>
      <c r="C12"/>
      <c r="E12" s="61"/>
    </row>
    <row r="13" spans="1:7" ht="13.8" thickBot="1">
      <c r="A13" s="61"/>
      <c r="B13" s="74"/>
      <c r="C13" s="61"/>
      <c r="D13" s="61"/>
      <c r="E13" s="61"/>
      <c r="F13" s="61"/>
    </row>
    <row r="14" spans="1:7" ht="13.8" thickBot="1">
      <c r="A14" s="188" t="s">
        <v>201</v>
      </c>
      <c r="B14" s="189"/>
      <c r="C14" s="75"/>
      <c r="D14" s="75"/>
      <c r="E14" s="75"/>
      <c r="F14" s="75"/>
    </row>
    <row r="15" spans="1:7">
      <c r="A15" s="60" t="s">
        <v>80</v>
      </c>
      <c r="B15" s="61"/>
      <c r="C15" s="61"/>
      <c r="D15" s="60" t="s">
        <v>81</v>
      </c>
      <c r="E15" s="61"/>
      <c r="F15" s="61"/>
    </row>
    <row r="16" spans="1:7" ht="15.6">
      <c r="A16" s="63" t="s">
        <v>202</v>
      </c>
      <c r="B16" s="73">
        <v>7.4999999999999997E-2</v>
      </c>
      <c r="C16" s="63"/>
      <c r="D16" s="63" t="s">
        <v>84</v>
      </c>
      <c r="E16" s="63" t="s">
        <v>203</v>
      </c>
      <c r="F16" s="63"/>
    </row>
    <row r="17" spans="1:9" ht="15.6">
      <c r="A17" s="63" t="s">
        <v>204</v>
      </c>
      <c r="B17" s="71">
        <v>0.45</v>
      </c>
      <c r="C17" s="63"/>
      <c r="D17" s="70" t="s">
        <v>89</v>
      </c>
      <c r="E17" s="70">
        <v>0.8</v>
      </c>
      <c r="F17" s="70"/>
    </row>
    <row r="18" spans="1:9" ht="15.6">
      <c r="A18" s="72" t="s">
        <v>96</v>
      </c>
      <c r="B18" s="68">
        <v>28.5</v>
      </c>
      <c r="C18" s="63" t="s">
        <v>97</v>
      </c>
      <c r="D18" s="70" t="s">
        <v>92</v>
      </c>
      <c r="E18" s="70">
        <v>0.111</v>
      </c>
      <c r="F18" s="70" t="s">
        <v>93</v>
      </c>
    </row>
    <row r="19" spans="1:9">
      <c r="A19" s="63" t="s">
        <v>102</v>
      </c>
      <c r="B19" s="63">
        <v>0.12</v>
      </c>
      <c r="C19" s="63"/>
      <c r="D19" s="70" t="s">
        <v>98</v>
      </c>
      <c r="E19" s="70">
        <v>0.25800000000000001</v>
      </c>
      <c r="F19" s="70" t="s">
        <v>99</v>
      </c>
    </row>
    <row r="20" spans="1:9" ht="15.6">
      <c r="A20" s="72" t="s">
        <v>205</v>
      </c>
      <c r="B20" s="71">
        <v>0.8</v>
      </c>
      <c r="C20" s="63"/>
      <c r="D20" s="76" t="s">
        <v>103</v>
      </c>
      <c r="E20" s="70">
        <v>0</v>
      </c>
      <c r="F20" s="70" t="s">
        <v>97</v>
      </c>
    </row>
    <row r="21" spans="1:9">
      <c r="A21" s="63" t="s">
        <v>206</v>
      </c>
      <c r="B21" s="71">
        <v>0.95</v>
      </c>
      <c r="C21" s="63"/>
      <c r="D21" s="70" t="s">
        <v>207</v>
      </c>
      <c r="E21" s="70">
        <v>4.0000000000000001E-3</v>
      </c>
      <c r="F21" s="70"/>
    </row>
    <row r="22" spans="1:9" ht="15.6">
      <c r="A22" s="63" t="s">
        <v>208</v>
      </c>
      <c r="B22" s="63">
        <f>B17*LL</f>
        <v>38.232000000000006</v>
      </c>
      <c r="C22" s="63" t="s">
        <v>86</v>
      </c>
    </row>
    <row r="23" spans="1:9">
      <c r="A23" s="61"/>
      <c r="B23" s="61"/>
      <c r="C23" s="61"/>
    </row>
    <row r="24" spans="1:9">
      <c r="A24" s="60" t="s">
        <v>121</v>
      </c>
      <c r="B24" s="61"/>
      <c r="C24" s="61"/>
      <c r="D24" s="60" t="s">
        <v>122</v>
      </c>
      <c r="E24" s="61"/>
      <c r="F24" s="61"/>
      <c r="G24" s="77" t="s">
        <v>136</v>
      </c>
    </row>
    <row r="25" spans="1:9" ht="15.6">
      <c r="A25" s="63" t="s">
        <v>209</v>
      </c>
      <c r="B25" s="78">
        <f>(B16*B5*B7)/B22</f>
        <v>137.45254331744118</v>
      </c>
      <c r="C25" s="63" t="s">
        <v>88</v>
      </c>
      <c r="D25" s="63"/>
      <c r="E25" s="63" t="s">
        <v>124</v>
      </c>
      <c r="F25" s="72" t="s">
        <v>125</v>
      </c>
      <c r="G25" s="70" t="s">
        <v>138</v>
      </c>
      <c r="H25" s="70">
        <f>F6*COS(PI()*B18/180)</f>
        <v>649.43276067038494</v>
      </c>
      <c r="I25" s="70" t="s">
        <v>91</v>
      </c>
    </row>
    <row r="26" spans="1:9" ht="15.6">
      <c r="A26" s="63" t="s">
        <v>210</v>
      </c>
      <c r="B26" s="63">
        <f>SQRT(B21*B25)</f>
        <v>11.427156958385105</v>
      </c>
      <c r="C26" s="63" t="s">
        <v>86</v>
      </c>
      <c r="D26" s="63" t="s">
        <v>127</v>
      </c>
      <c r="E26" s="63">
        <v>0</v>
      </c>
      <c r="F26" s="78">
        <f>180*ATAN(TAN($B$18*PI()/180)-E26*($B$27*(1-$B$20)/$B$26))/PI()</f>
        <v>28.5</v>
      </c>
      <c r="G26" s="70" t="s">
        <v>140</v>
      </c>
      <c r="H26" s="70">
        <f>0.5*F7*(H25^2)/32.2</f>
        <v>160.16758384361017</v>
      </c>
      <c r="I26" s="70" t="s">
        <v>101</v>
      </c>
    </row>
    <row r="27" spans="1:9" ht="15.6">
      <c r="A27" s="63" t="s">
        <v>128</v>
      </c>
      <c r="B27" s="63">
        <f>2*B26/(B21*(1+B20))</f>
        <v>13.365095857760357</v>
      </c>
      <c r="C27" s="63" t="s">
        <v>86</v>
      </c>
      <c r="D27" s="63" t="s">
        <v>211</v>
      </c>
      <c r="E27" s="63">
        <v>0.25</v>
      </c>
      <c r="F27" s="78">
        <f>180*ATAN(TAN($B$18*PI()/180)-E27*($B$27*(1-$B$20)/$B$26))/PI()</f>
        <v>25.849082313505036</v>
      </c>
      <c r="G27" s="62" t="s">
        <v>212</v>
      </c>
      <c r="H27" s="70">
        <f>B8*COS(B18*PI()/180)</f>
        <v>0.65911283449647406</v>
      </c>
      <c r="I27" s="70"/>
    </row>
    <row r="28" spans="1:9" ht="15.6">
      <c r="A28" s="63" t="s">
        <v>130</v>
      </c>
      <c r="B28" s="63">
        <f>B20*B27</f>
        <v>10.692076686208287</v>
      </c>
      <c r="C28" s="63" t="s">
        <v>86</v>
      </c>
      <c r="D28" s="63" t="s">
        <v>117</v>
      </c>
      <c r="E28" s="63">
        <v>0.35</v>
      </c>
      <c r="F28" s="78">
        <f>180*ATAN(TAN($B$18*PI()/180)-E28*($B$27*(1-$B$20)/$B$26))/PI()</f>
        <v>24.753687539360239</v>
      </c>
      <c r="G28" s="70" t="s">
        <v>142</v>
      </c>
      <c r="H28" s="70">
        <f>B29*H25/F10</f>
        <v>17928364.003475238</v>
      </c>
      <c r="I28" s="70"/>
    </row>
    <row r="29" spans="1:9">
      <c r="A29" s="63" t="s">
        <v>213</v>
      </c>
      <c r="B29" s="63">
        <f>(2*B27/3)*(1+B20+B20^2)/(1+B20)</f>
        <v>12.078086627013063</v>
      </c>
      <c r="C29" s="63" t="s">
        <v>86</v>
      </c>
      <c r="D29" s="63" t="s">
        <v>134</v>
      </c>
      <c r="E29" s="63">
        <v>1</v>
      </c>
      <c r="F29" s="78">
        <f>180*ATAN(TAN($B$18*PI()/180)-E29*($B$27*(1-$B$20)/$B$26))/PI()</f>
        <v>17.173114030455658</v>
      </c>
      <c r="G29" s="70" t="s">
        <v>143</v>
      </c>
      <c r="H29" s="70">
        <f>SQRT(H28)</f>
        <v>4234.1898875080269</v>
      </c>
      <c r="I29" s="70"/>
    </row>
    <row r="30" spans="1:9" ht="15.6">
      <c r="A30" s="129" t="s">
        <v>214</v>
      </c>
      <c r="B30" s="17">
        <f>B26/3*(1+2*B20)/(1+B20)</f>
        <v>5.5019644614446799</v>
      </c>
      <c r="C30" s="130" t="s">
        <v>86</v>
      </c>
      <c r="D30" s="61"/>
      <c r="E30" s="61"/>
      <c r="F30" s="61"/>
      <c r="G30" s="70" t="s">
        <v>145</v>
      </c>
      <c r="H30" s="79">
        <f>IF(H28&lt;1000000,1.328/SQRT(H28), 0.455/( (LOG(H28)^2.58)*(1+0.144*H27^2)^0.65))</f>
        <v>2.6342869472203707E-3</v>
      </c>
      <c r="I30" s="70"/>
    </row>
    <row r="31" spans="1:9">
      <c r="A31" s="72" t="s">
        <v>123</v>
      </c>
      <c r="B31" s="63">
        <f>IF(B8&lt;1,SQRT(1-B8^2),SQRT(B8^2-1))</f>
        <v>0.66143782776614768</v>
      </c>
      <c r="C31" s="63"/>
      <c r="D31" s="61"/>
      <c r="E31" s="61"/>
      <c r="F31" s="61"/>
      <c r="G31" s="70" t="s">
        <v>147</v>
      </c>
      <c r="H31" s="78">
        <f>IF(B19&lt;=0.05,2.003*B25, (1.977+0.52*B19)*B25)</f>
        <v>280.32071684158956</v>
      </c>
      <c r="I31" s="63" t="s">
        <v>88</v>
      </c>
    </row>
    <row r="32" spans="1:9" ht="15.6">
      <c r="A32" s="70" t="s">
        <v>135</v>
      </c>
      <c r="B32" s="80">
        <f>(PI()/180)*2*PI()*B21/(2+SQRT(4+B21^2*B31^2*(1+((TAN(F28*PI()/180))^2)/B31^2)))</f>
        <v>2.5153952481959927E-2</v>
      </c>
      <c r="C32" s="63" t="s">
        <v>93</v>
      </c>
      <c r="D32" s="61"/>
      <c r="E32" s="61"/>
      <c r="F32" s="61"/>
      <c r="G32" s="82" t="s">
        <v>148</v>
      </c>
      <c r="H32" s="70">
        <f>1.1*(1+(0.6/E28)*B19+100*B19^4)*(1.34*(B8^0.18)*(COS(F28*PI()/180))^0.28)</f>
        <v>1.6708523036863436</v>
      </c>
      <c r="I32" s="70"/>
    </row>
    <row r="33" spans="1:9" ht="13.8" thickBot="1">
      <c r="D33" s="61"/>
      <c r="G33" s="82" t="s">
        <v>149</v>
      </c>
      <c r="H33" s="70">
        <v>1.05</v>
      </c>
      <c r="I33" s="70"/>
    </row>
    <row r="34" spans="1:9" ht="16.8" thickTop="1" thickBot="1">
      <c r="A34" s="83" t="s">
        <v>150</v>
      </c>
      <c r="B34" s="84">
        <f>H34*B25*F8</f>
        <v>43.091856818597456</v>
      </c>
      <c r="C34" s="85" t="s">
        <v>151</v>
      </c>
      <c r="D34" s="61"/>
      <c r="E34" s="61"/>
      <c r="F34" s="61"/>
      <c r="G34" s="63" t="s">
        <v>152</v>
      </c>
      <c r="H34" s="165">
        <f>H30*H31*H32*H33/S</f>
        <v>1.5116972184806424E-3</v>
      </c>
      <c r="I34" s="70"/>
    </row>
    <row r="35" spans="1:9">
      <c r="D35" s="61"/>
    </row>
    <row r="36" spans="1:9">
      <c r="A36" s="61"/>
      <c r="B36" s="81"/>
      <c r="C36" s="61"/>
      <c r="D36" s="61"/>
      <c r="E36" s="61"/>
      <c r="F36" s="61"/>
    </row>
    <row r="37" spans="1:9">
      <c r="A37" s="77" t="s">
        <v>154</v>
      </c>
      <c r="C37" s="61"/>
      <c r="D37" s="61"/>
      <c r="E37" s="61"/>
      <c r="F37" s="61"/>
    </row>
    <row r="38" spans="1:9">
      <c r="A38" s="86" t="s">
        <v>178</v>
      </c>
      <c r="B38" s="87" t="s">
        <v>215</v>
      </c>
      <c r="C38" s="61"/>
      <c r="D38" s="61"/>
      <c r="E38" s="61"/>
      <c r="F38" s="61"/>
    </row>
    <row r="39" spans="1:9">
      <c r="A39" s="88">
        <v>0</v>
      </c>
      <c r="B39" s="89">
        <v>0</v>
      </c>
      <c r="C39" s="61"/>
      <c r="D39" s="61"/>
      <c r="E39" s="61"/>
      <c r="F39" s="61"/>
    </row>
    <row r="40" spans="1:9">
      <c r="A40" s="88">
        <f>B27</f>
        <v>13.365095857760357</v>
      </c>
      <c r="B40" s="89">
        <v>0</v>
      </c>
      <c r="C40" s="61"/>
      <c r="D40" s="61"/>
      <c r="E40" s="61"/>
      <c r="F40" s="61"/>
    </row>
    <row r="41" spans="1:9">
      <c r="A41" s="88">
        <f>B27+B26*TAN(PI()*F29/180)</f>
        <v>16.896516687426502</v>
      </c>
      <c r="B41" s="89">
        <f>B26</f>
        <v>11.427156958385105</v>
      </c>
      <c r="C41" s="61"/>
      <c r="D41" s="61"/>
      <c r="E41" s="61"/>
      <c r="F41" s="61"/>
    </row>
    <row r="42" spans="1:9">
      <c r="A42" s="88">
        <f>B26*TAN(PI()*F26/180)</f>
        <v>6.2044400012182166</v>
      </c>
      <c r="B42" s="89">
        <f>B26</f>
        <v>11.427156958385105</v>
      </c>
      <c r="C42" s="61"/>
      <c r="D42" s="61"/>
      <c r="E42" s="61"/>
      <c r="F42" s="61"/>
    </row>
    <row r="43" spans="1:9">
      <c r="A43" s="90">
        <v>0</v>
      </c>
      <c r="B43" s="91">
        <v>0</v>
      </c>
      <c r="C43" s="61"/>
      <c r="D43" s="61"/>
      <c r="E43" s="61"/>
      <c r="F43" s="61"/>
    </row>
    <row r="44" spans="1:9">
      <c r="C44" s="61"/>
      <c r="D44" s="61"/>
      <c r="E44" s="61"/>
      <c r="F44" s="61"/>
    </row>
    <row r="45" spans="1:9" ht="13.8" thickBot="1">
      <c r="A45" s="61"/>
      <c r="B45" s="81"/>
      <c r="C45" s="61"/>
      <c r="D45" s="61"/>
      <c r="E45" s="61"/>
      <c r="F45" s="61"/>
    </row>
    <row r="46" spans="1:9" ht="13.8" thickBot="1">
      <c r="A46" s="188" t="s">
        <v>216</v>
      </c>
      <c r="B46" s="189"/>
      <c r="C46" s="61"/>
      <c r="D46" s="61"/>
      <c r="E46" s="61"/>
      <c r="F46" s="61"/>
    </row>
    <row r="47" spans="1:9">
      <c r="A47" s="60" t="s">
        <v>80</v>
      </c>
      <c r="B47" s="61"/>
      <c r="C47" s="61"/>
      <c r="D47" s="60" t="s">
        <v>81</v>
      </c>
      <c r="E47" s="61"/>
      <c r="F47" s="61"/>
    </row>
    <row r="48" spans="1:9" ht="15.6">
      <c r="A48" s="63" t="s">
        <v>217</v>
      </c>
      <c r="B48" s="71">
        <v>0.85</v>
      </c>
      <c r="C48" s="63"/>
      <c r="D48" s="63" t="s">
        <v>84</v>
      </c>
      <c r="E48" s="63" t="s">
        <v>203</v>
      </c>
      <c r="F48" s="63"/>
    </row>
    <row r="49" spans="1:9" ht="15.6">
      <c r="A49" s="63" t="s">
        <v>218</v>
      </c>
      <c r="B49" s="64">
        <v>0.45</v>
      </c>
      <c r="C49" s="63"/>
      <c r="D49" s="70" t="s">
        <v>89</v>
      </c>
      <c r="E49" s="70">
        <v>0.8</v>
      </c>
      <c r="F49" s="70"/>
    </row>
    <row r="50" spans="1:9" ht="15.6">
      <c r="A50" s="72" t="s">
        <v>96</v>
      </c>
      <c r="B50" s="64">
        <v>25.5</v>
      </c>
      <c r="C50" s="63" t="s">
        <v>97</v>
      </c>
      <c r="D50" s="70" t="s">
        <v>92</v>
      </c>
      <c r="E50" s="70">
        <v>0.111</v>
      </c>
      <c r="F50" s="70" t="s">
        <v>93</v>
      </c>
    </row>
    <row r="51" spans="1:9">
      <c r="A51" s="63" t="s">
        <v>102</v>
      </c>
      <c r="B51" s="71">
        <v>0.12</v>
      </c>
      <c r="C51" s="63"/>
      <c r="D51" s="70" t="s">
        <v>98</v>
      </c>
      <c r="E51" s="70">
        <v>0.25800000000000001</v>
      </c>
      <c r="F51" s="70" t="s">
        <v>99</v>
      </c>
    </row>
    <row r="52" spans="1:9" ht="15.6">
      <c r="A52" s="72" t="s">
        <v>219</v>
      </c>
      <c r="B52" s="73">
        <v>0.45</v>
      </c>
      <c r="C52" s="63"/>
      <c r="D52" s="76" t="s">
        <v>103</v>
      </c>
      <c r="E52" s="70">
        <v>0</v>
      </c>
      <c r="F52" s="70" t="s">
        <v>97</v>
      </c>
    </row>
    <row r="53" spans="1:9">
      <c r="A53" s="131" t="s">
        <v>220</v>
      </c>
      <c r="B53" s="71">
        <v>4</v>
      </c>
      <c r="C53" s="63"/>
      <c r="D53" s="70" t="s">
        <v>207</v>
      </c>
      <c r="E53" s="70">
        <v>4.0000000000000001E-3</v>
      </c>
      <c r="F53" s="70"/>
    </row>
    <row r="54" spans="1:9" ht="15.6">
      <c r="A54" s="63" t="s">
        <v>221</v>
      </c>
      <c r="B54" s="78">
        <f>B49*LL</f>
        <v>38.232000000000006</v>
      </c>
      <c r="C54" s="63" t="s">
        <v>86</v>
      </c>
    </row>
    <row r="55" spans="1:9">
      <c r="A55" s="61"/>
      <c r="B55" s="61"/>
      <c r="C55" s="61"/>
    </row>
    <row r="56" spans="1:9">
      <c r="A56" s="61"/>
      <c r="B56" s="61"/>
      <c r="C56" s="61"/>
      <c r="E56" s="92"/>
    </row>
    <row r="57" spans="1:9">
      <c r="A57" s="60" t="s">
        <v>121</v>
      </c>
      <c r="B57" s="61"/>
      <c r="C57" s="61"/>
      <c r="D57" s="60" t="s">
        <v>122</v>
      </c>
      <c r="E57" s="61"/>
      <c r="F57" s="61"/>
      <c r="G57" s="77" t="s">
        <v>136</v>
      </c>
    </row>
    <row r="58" spans="1:9" ht="15.6">
      <c r="A58" s="63" t="s">
        <v>222</v>
      </c>
      <c r="B58" s="78">
        <f>(B48*B6*B7)/B54</f>
        <v>213.15491128733075</v>
      </c>
      <c r="C58" s="63" t="s">
        <v>88</v>
      </c>
      <c r="D58" s="63"/>
      <c r="E58" s="63" t="s">
        <v>124</v>
      </c>
      <c r="F58" s="72" t="s">
        <v>125</v>
      </c>
      <c r="G58" s="70" t="s">
        <v>138</v>
      </c>
      <c r="H58" s="70">
        <f>F6*COS(PI()*B50/180)</f>
        <v>666.99708563966306</v>
      </c>
      <c r="I58" s="70" t="s">
        <v>91</v>
      </c>
    </row>
    <row r="59" spans="1:9" ht="15.6">
      <c r="A59" s="63" t="s">
        <v>223</v>
      </c>
      <c r="B59" s="63">
        <f>SQRT(B53*B58)</f>
        <v>29.199651455956165</v>
      </c>
      <c r="C59" s="63" t="s">
        <v>86</v>
      </c>
      <c r="D59" s="63" t="s">
        <v>127</v>
      </c>
      <c r="E59" s="63">
        <v>0</v>
      </c>
      <c r="F59" s="78">
        <f>180*ATAN(TAN($B$50*PI()/180)-E59*(2*$B$60*(1-$B$52)/$B$59))/PI()</f>
        <v>25.5</v>
      </c>
      <c r="G59" s="70" t="s">
        <v>140</v>
      </c>
      <c r="H59" s="70">
        <f>0.5*F7*(H58^2)/32.2</f>
        <v>168.9484108751918</v>
      </c>
      <c r="I59" s="70" t="s">
        <v>101</v>
      </c>
    </row>
    <row r="60" spans="1:9" ht="15.6">
      <c r="A60" s="63" t="s">
        <v>128</v>
      </c>
      <c r="B60" s="63">
        <f>2*B59/(B53*(1+B52))</f>
        <v>10.068845329640057</v>
      </c>
      <c r="C60" s="63" t="s">
        <v>86</v>
      </c>
      <c r="D60" s="63" t="s">
        <v>211</v>
      </c>
      <c r="E60" s="63">
        <v>0.25</v>
      </c>
      <c r="F60" s="78">
        <f>180*ATAN(TAN($B$50*PI()/180)-E60*(2*$B$60*(1-$B$52)/$B$59))/PI()</f>
        <v>20.914253797595073</v>
      </c>
      <c r="G60" s="62" t="s">
        <v>212</v>
      </c>
      <c r="H60" s="70">
        <f>B8*COS(B50*PI()/180)</f>
        <v>0.67693896326239544</v>
      </c>
      <c r="I60" s="70"/>
    </row>
    <row r="61" spans="1:9" ht="15.6">
      <c r="A61" s="63" t="s">
        <v>130</v>
      </c>
      <c r="B61" s="63">
        <f>B52*B60</f>
        <v>4.5309803983380261</v>
      </c>
      <c r="C61" s="63" t="s">
        <v>86</v>
      </c>
      <c r="D61" s="63" t="s">
        <v>117</v>
      </c>
      <c r="E61" s="63">
        <v>0.35</v>
      </c>
      <c r="F61" s="78">
        <f>180*ATAN(TAN($B$50*PI()/180)-E61*(2*$B$60*(1-$B$52)/$B$59))/PI()</f>
        <v>18.994329384395673</v>
      </c>
      <c r="G61" s="70" t="s">
        <v>142</v>
      </c>
      <c r="H61" s="70">
        <f>B62*H58/F10</f>
        <v>11662566.71109478</v>
      </c>
      <c r="I61" s="70"/>
    </row>
    <row r="62" spans="1:9">
      <c r="A62" s="63" t="s">
        <v>224</v>
      </c>
      <c r="B62" s="63">
        <f>(2*B60/3)*(1+B52+B52^2)/(1+B52)</f>
        <v>7.65000777343917</v>
      </c>
      <c r="C62" s="63" t="s">
        <v>86</v>
      </c>
      <c r="D62" s="63" t="s">
        <v>134</v>
      </c>
      <c r="E62" s="63">
        <v>1</v>
      </c>
      <c r="F62" s="78">
        <f>180*ATAN(TAN($B$50*PI()/180)-E62*(2*$B$60*(1-$B$52)/$B$59))/PI()</f>
        <v>5.5781123708283769</v>
      </c>
      <c r="G62" s="70" t="s">
        <v>143</v>
      </c>
      <c r="H62" s="70">
        <f>SQRT(H61)</f>
        <v>3415.0500305405162</v>
      </c>
      <c r="I62" s="70"/>
    </row>
    <row r="63" spans="1:9" ht="15.6">
      <c r="A63" s="129" t="s">
        <v>225</v>
      </c>
      <c r="B63" s="17">
        <f>B59/6*(1+2*B52)/(1+B52)</f>
        <v>6.3769353754387019</v>
      </c>
      <c r="C63" s="130" t="s">
        <v>86</v>
      </c>
      <c r="D63" s="61"/>
      <c r="E63" s="61"/>
      <c r="F63" s="61"/>
      <c r="G63" s="70" t="s">
        <v>145</v>
      </c>
      <c r="H63" s="93">
        <f>IF(H61&lt;1000000,1.328/SQRT(H61), 0.455/( (LOG(H61)^2.58)*(1+0.144*H60^2)^0.65))</f>
        <v>2.8117624981219896E-3</v>
      </c>
      <c r="I63" s="70"/>
    </row>
    <row r="64" spans="1:9">
      <c r="A64" s="72" t="s">
        <v>123</v>
      </c>
      <c r="B64" s="63">
        <f>IF(B8&lt;1,SQRT(1-B8^2),SQRT(B8^2-1))</f>
        <v>0.66143782776614768</v>
      </c>
      <c r="C64" s="63"/>
      <c r="D64" s="61"/>
      <c r="E64" s="61"/>
      <c r="F64" s="61"/>
      <c r="G64" s="70" t="s">
        <v>147</v>
      </c>
      <c r="H64" s="78">
        <f>IF(B51&lt;=0.05,2.003*B58, (1.977+0.52*B51)*B58)</f>
        <v>434.70812607938234</v>
      </c>
      <c r="I64" s="63" t="s">
        <v>88</v>
      </c>
    </row>
    <row r="65" spans="1:9" ht="16.2" thickBot="1">
      <c r="A65" s="70" t="s">
        <v>135</v>
      </c>
      <c r="B65" s="80">
        <f>(PI()/180)*2*PI()*B53/(2+SQRT(4+B53^2*B64^2*(1+((TAN(F61*PI()/180))^2)/B64^2)))</f>
        <v>7.8455339406807642E-2</v>
      </c>
      <c r="C65" s="63" t="s">
        <v>93</v>
      </c>
      <c r="D65" s="61"/>
      <c r="E65" s="61"/>
      <c r="F65" s="61"/>
      <c r="G65" s="82" t="s">
        <v>148</v>
      </c>
      <c r="H65" s="70">
        <f>1.1*(1+(0.6/E61)*B51+100*B51^4)*(1.34*(B8^0.18)*(COS(F61*PI()/180))^0.28)</f>
        <v>1.6898580360268884</v>
      </c>
      <c r="I65" s="70"/>
    </row>
    <row r="66" spans="1:9" ht="14.4" thickTop="1" thickBot="1">
      <c r="A66" s="63"/>
      <c r="B66" s="84"/>
      <c r="C66" s="94"/>
      <c r="D66" s="61"/>
      <c r="G66" s="82" t="s">
        <v>149</v>
      </c>
      <c r="H66" s="70">
        <v>1.05</v>
      </c>
      <c r="I66" s="70"/>
    </row>
    <row r="67" spans="1:9" ht="16.8" thickTop="1" thickBot="1">
      <c r="A67" s="83" t="s">
        <v>150</v>
      </c>
      <c r="B67" s="84">
        <f>H67*B58*F8</f>
        <v>111.86856032284611</v>
      </c>
      <c r="C67" s="85" t="s">
        <v>151</v>
      </c>
      <c r="D67" s="61"/>
      <c r="E67" s="61"/>
      <c r="F67" s="60"/>
      <c r="G67" s="63" t="s">
        <v>152</v>
      </c>
      <c r="H67" s="165">
        <f>H63*H64*H65*H66/S</f>
        <v>2.5306675210104881E-3</v>
      </c>
      <c r="I67" s="70"/>
    </row>
    <row r="68" spans="1:9">
      <c r="A68" s="61"/>
      <c r="B68" s="81"/>
      <c r="C68" s="61"/>
      <c r="D68" s="61"/>
      <c r="E68" s="61"/>
      <c r="F68" s="60"/>
    </row>
    <row r="70" spans="1:9">
      <c r="A70" s="77" t="s">
        <v>154</v>
      </c>
    </row>
    <row r="71" spans="1:9">
      <c r="A71" s="86" t="s">
        <v>178</v>
      </c>
      <c r="B71" s="87" t="s">
        <v>215</v>
      </c>
    </row>
    <row r="72" spans="1:9">
      <c r="A72" s="88">
        <v>0</v>
      </c>
      <c r="B72" s="89">
        <v>0</v>
      </c>
    </row>
    <row r="73" spans="1:9">
      <c r="A73" s="88">
        <f>B60</f>
        <v>10.068845329640057</v>
      </c>
      <c r="B73" s="89">
        <v>0</v>
      </c>
    </row>
    <row r="74" spans="1:9">
      <c r="A74" s="88">
        <f>B60+(B59/2)*TAN(PI()*F62/180)</f>
        <v>11.494740052240674</v>
      </c>
      <c r="B74" s="89">
        <f>B59/2</f>
        <v>14.599825727978082</v>
      </c>
    </row>
    <row r="75" spans="1:9">
      <c r="A75" s="88">
        <f>B59/2*TAN(PI()*F59/180)</f>
        <v>6.9637596539026489</v>
      </c>
      <c r="B75" s="89">
        <f>B59/2</f>
        <v>14.599825727978082</v>
      </c>
    </row>
    <row r="76" spans="1:9">
      <c r="A76" s="90">
        <v>0</v>
      </c>
      <c r="B76" s="91">
        <v>0</v>
      </c>
    </row>
  </sheetData>
  <mergeCells count="3">
    <mergeCell ref="A14:B14"/>
    <mergeCell ref="A46:B46"/>
    <mergeCell ref="C2:D2"/>
  </mergeCells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153"/>
  <sheetViews>
    <sheetView topLeftCell="A66" workbookViewId="0">
      <selection activeCell="D73" sqref="D73"/>
    </sheetView>
  </sheetViews>
  <sheetFormatPr defaultRowHeight="13.2"/>
  <cols>
    <col min="1" max="1" width="4.77734375" customWidth="1"/>
    <col min="2" max="2" width="20.77734375" customWidth="1"/>
    <col min="3" max="3" width="8.77734375" customWidth="1"/>
    <col min="4" max="4" width="12.77734375" customWidth="1"/>
    <col min="5" max="5" width="10.5546875" customWidth="1"/>
    <col min="6" max="6" width="48.77734375" customWidth="1"/>
    <col min="7" max="7" width="20.77734375" customWidth="1"/>
    <col min="8" max="8" width="8.77734375" customWidth="1"/>
    <col min="9" max="9" width="12.77734375" customWidth="1"/>
    <col min="10" max="10" width="10.77734375" customWidth="1"/>
    <col min="11" max="11" width="35" bestFit="1" customWidth="1"/>
  </cols>
  <sheetData>
    <row r="1" spans="2:11" ht="13.8" thickBot="1"/>
    <row r="2" spans="2:11" ht="15.75" customHeight="1" thickTop="1" thickBot="1">
      <c r="B2" s="200" t="s">
        <v>226</v>
      </c>
      <c r="C2" s="200"/>
      <c r="D2" s="200"/>
      <c r="E2" s="200"/>
      <c r="G2" s="201" t="s">
        <v>227</v>
      </c>
      <c r="H2" s="201"/>
      <c r="I2" s="201"/>
      <c r="J2" s="201"/>
    </row>
    <row r="3" spans="2:11" ht="15.75" customHeight="1" thickTop="1"/>
    <row r="4" spans="2:11" ht="15.75" customHeight="1">
      <c r="C4" s="193" t="s">
        <v>228</v>
      </c>
      <c r="D4" s="193"/>
      <c r="E4" s="193"/>
      <c r="H4" s="190" t="s">
        <v>229</v>
      </c>
      <c r="I4" s="191"/>
      <c r="J4" s="192"/>
    </row>
    <row r="5" spans="2:11" ht="15.75" customHeight="1"/>
    <row r="6" spans="2:11" ht="15.75" customHeight="1">
      <c r="C6" s="137" t="s">
        <v>230</v>
      </c>
      <c r="D6" s="4">
        <v>4.5</v>
      </c>
      <c r="E6" s="4"/>
      <c r="F6" s="137" t="s">
        <v>231</v>
      </c>
      <c r="H6" s="27" t="s">
        <v>87</v>
      </c>
      <c r="I6" s="126">
        <f>S</f>
        <v>857</v>
      </c>
      <c r="J6" s="139" t="s">
        <v>232</v>
      </c>
      <c r="K6" s="27" t="s">
        <v>233</v>
      </c>
    </row>
    <row r="7" spans="2:11" ht="15.75" customHeight="1">
      <c r="C7" s="27" t="s">
        <v>234</v>
      </c>
      <c r="D7" s="1">
        <f>'WINGLOAD-BIZ'!H5</f>
        <v>59999.998186504905</v>
      </c>
      <c r="E7" s="27" t="s">
        <v>235</v>
      </c>
      <c r="F7" s="27" t="s">
        <v>236</v>
      </c>
      <c r="H7" s="27" t="s">
        <v>128</v>
      </c>
      <c r="I7" s="126">
        <f>'WING-BIZ'!B21</f>
        <v>15.191267768290004</v>
      </c>
      <c r="J7" s="27" t="s">
        <v>237</v>
      </c>
      <c r="K7" s="27" t="s">
        <v>238</v>
      </c>
    </row>
    <row r="8" spans="2:11" ht="15.75" customHeight="1">
      <c r="C8" s="27" t="s">
        <v>87</v>
      </c>
      <c r="D8">
        <f>'WING-BIZ'!B6</f>
        <v>857</v>
      </c>
      <c r="E8" s="138" t="s">
        <v>232</v>
      </c>
      <c r="F8" s="27" t="s">
        <v>233</v>
      </c>
      <c r="H8" s="136" t="s">
        <v>239</v>
      </c>
      <c r="I8" s="126">
        <f>'WING-BIZ'!G20</f>
        <v>20.5</v>
      </c>
      <c r="J8" s="27" t="s">
        <v>240</v>
      </c>
      <c r="K8" s="27" t="s">
        <v>241</v>
      </c>
    </row>
    <row r="9" spans="2:11" ht="15.75" customHeight="1">
      <c r="C9" t="s">
        <v>68</v>
      </c>
      <c r="D9" s="17">
        <f>'WING-BIZ'!B7</f>
        <v>7.8</v>
      </c>
      <c r="F9" s="27" t="s">
        <v>242</v>
      </c>
      <c r="H9" s="136" t="s">
        <v>243</v>
      </c>
      <c r="I9" s="126">
        <f>'WING-BIZ'!G24</f>
        <v>8.1654688681191594</v>
      </c>
      <c r="J9" s="27" t="s">
        <v>240</v>
      </c>
      <c r="K9" s="27" t="s">
        <v>244</v>
      </c>
    </row>
    <row r="10" spans="2:11" ht="15.75" customHeight="1">
      <c r="C10" t="s">
        <v>102</v>
      </c>
      <c r="D10" s="17">
        <f>'WING-BIZ'!B9</f>
        <v>0.12</v>
      </c>
      <c r="F10" s="27" t="s">
        <v>245</v>
      </c>
      <c r="H10" s="27" t="s">
        <v>246</v>
      </c>
      <c r="I10">
        <f>'FUSELAGE-BIZ'!D</f>
        <v>7.2</v>
      </c>
      <c r="J10" s="27" t="s">
        <v>237</v>
      </c>
      <c r="K10" s="27" t="s">
        <v>247</v>
      </c>
    </row>
    <row r="11" spans="2:11" ht="15.75" customHeight="1">
      <c r="C11" s="152" t="s">
        <v>106</v>
      </c>
      <c r="D11" s="153">
        <f>'WING-BIZ'!B10</f>
        <v>0.38</v>
      </c>
      <c r="E11" s="153"/>
      <c r="F11" s="154" t="s">
        <v>248</v>
      </c>
      <c r="H11" s="27" t="s">
        <v>249</v>
      </c>
      <c r="I11" s="126">
        <f>I7-I10/2*TAN(I8*PI()/180)+I10/2*TAN(I9*PI()/180)</f>
        <v>14.361836330162912</v>
      </c>
      <c r="J11" s="27" t="s">
        <v>237</v>
      </c>
      <c r="K11" s="27" t="s">
        <v>250</v>
      </c>
    </row>
    <row r="12" spans="2:11" ht="15.75" customHeight="1">
      <c r="C12" s="135" t="s">
        <v>251</v>
      </c>
      <c r="D12" s="17">
        <f>'WING-BIZ'!G21</f>
        <v>17.551395989834123</v>
      </c>
      <c r="E12" t="s">
        <v>97</v>
      </c>
      <c r="F12" s="27" t="s">
        <v>252</v>
      </c>
      <c r="H12" s="27" t="s">
        <v>253</v>
      </c>
      <c r="I12" s="126">
        <f>I6-(I10/2)*(I11+I7)</f>
        <v>750.60882524556951</v>
      </c>
      <c r="J12" s="139" t="s">
        <v>232</v>
      </c>
      <c r="K12" s="27" t="s">
        <v>254</v>
      </c>
    </row>
    <row r="13" spans="2:11" ht="15.75" customHeight="1">
      <c r="C13" s="137" t="s">
        <v>255</v>
      </c>
      <c r="D13" s="7">
        <v>0.6</v>
      </c>
      <c r="E13" s="4"/>
      <c r="F13" s="137" t="s">
        <v>256</v>
      </c>
      <c r="H13" s="27" t="s">
        <v>102</v>
      </c>
      <c r="I13" s="17">
        <f>'WING-BIZ'!B9</f>
        <v>0.12</v>
      </c>
      <c r="J13" s="126"/>
      <c r="K13" s="27" t="s">
        <v>245</v>
      </c>
    </row>
    <row r="14" spans="2:11" ht="15.75" customHeight="1"/>
    <row r="15" spans="2:11" ht="15.75" customHeight="1">
      <c r="C15" s="143" t="s">
        <v>257</v>
      </c>
      <c r="D15" s="146">
        <f>0.0051*D7^0.557*D6^0.577*D8^0.649*D9^0.5*D10^(-0.4)*(1+D11)^0.1*(COS(D12*PI()/180))^(-1)*(D13*D8)^0.1</f>
        <v>5882.8534678774631</v>
      </c>
      <c r="E15" s="144" t="s">
        <v>235</v>
      </c>
      <c r="F15" s="17"/>
      <c r="H15" s="143" t="s">
        <v>258</v>
      </c>
      <c r="I15" s="155">
        <f>I12*(1.977+0.52*I13)</f>
        <v>1530.7916382058145</v>
      </c>
      <c r="J15" s="151" t="s">
        <v>259</v>
      </c>
    </row>
    <row r="16" spans="2:11" ht="15.75" customHeight="1"/>
    <row r="17" spans="3:13" ht="15.75" customHeight="1"/>
    <row r="18" spans="3:13" ht="15.75" customHeight="1">
      <c r="C18" s="193" t="s">
        <v>260</v>
      </c>
      <c r="D18" s="193"/>
      <c r="E18" s="193"/>
      <c r="H18" s="190" t="s">
        <v>261</v>
      </c>
      <c r="I18" s="191"/>
      <c r="J18" s="192"/>
    </row>
    <row r="19" spans="3:13" ht="15.75" customHeight="1">
      <c r="C19" s="141"/>
      <c r="D19" s="141"/>
      <c r="E19" s="141"/>
    </row>
    <row r="20" spans="3:13" ht="15.75" customHeight="1">
      <c r="C20" s="137" t="s">
        <v>262</v>
      </c>
      <c r="D20" s="134">
        <v>0</v>
      </c>
      <c r="E20" s="137" t="s">
        <v>237</v>
      </c>
      <c r="F20" s="137" t="s">
        <v>263</v>
      </c>
      <c r="H20" s="27" t="s">
        <v>222</v>
      </c>
      <c r="I20" s="126">
        <f>'TAIL-BIZ'!B58</f>
        <v>213.15491128733075</v>
      </c>
      <c r="K20" s="27" t="s">
        <v>264</v>
      </c>
    </row>
    <row r="21" spans="3:13" ht="15.75" customHeight="1">
      <c r="C21" s="27" t="s">
        <v>223</v>
      </c>
      <c r="D21" s="126">
        <f>'TAIL-BIZ'!B59</f>
        <v>29.199651455956165</v>
      </c>
      <c r="E21" s="27" t="s">
        <v>237</v>
      </c>
      <c r="F21" s="27" t="s">
        <v>265</v>
      </c>
      <c r="H21" s="27" t="s">
        <v>266</v>
      </c>
      <c r="I21" s="17">
        <f>'TAIL-BIZ'!B51</f>
        <v>0.12</v>
      </c>
      <c r="K21" s="27" t="s">
        <v>267</v>
      </c>
      <c r="M21" s="27"/>
    </row>
    <row r="22" spans="3:13" ht="15.75" customHeight="1">
      <c r="C22" s="27" t="s">
        <v>230</v>
      </c>
      <c r="D22">
        <f>D6</f>
        <v>4.5</v>
      </c>
      <c r="F22" s="27" t="s">
        <v>231</v>
      </c>
    </row>
    <row r="23" spans="3:13" ht="15.75" customHeight="1">
      <c r="C23" s="27" t="s">
        <v>234</v>
      </c>
      <c r="D23" s="1">
        <f>D7</f>
        <v>59999.998186504905</v>
      </c>
      <c r="E23" s="27" t="s">
        <v>235</v>
      </c>
      <c r="F23" s="27" t="s">
        <v>236</v>
      </c>
      <c r="H23" s="143" t="s">
        <v>268</v>
      </c>
      <c r="I23" s="155">
        <f>I20*(1.977+0.52*I21)</f>
        <v>434.70812607938234</v>
      </c>
      <c r="J23" s="151" t="s">
        <v>259</v>
      </c>
    </row>
    <row r="24" spans="3:13" ht="15.75" customHeight="1">
      <c r="C24" s="27" t="s">
        <v>222</v>
      </c>
      <c r="D24" s="126">
        <f>'TAIL-BIZ'!B58</f>
        <v>213.15491128733075</v>
      </c>
      <c r="E24" s="139" t="s">
        <v>232</v>
      </c>
      <c r="F24" s="27" t="s">
        <v>269</v>
      </c>
    </row>
    <row r="25" spans="3:13" ht="15.75" customHeight="1">
      <c r="C25" s="27" t="s">
        <v>221</v>
      </c>
      <c r="D25" s="126">
        <f>'TAIL-BIZ'!B54</f>
        <v>38.232000000000006</v>
      </c>
      <c r="E25" s="27" t="s">
        <v>237</v>
      </c>
      <c r="F25" s="27" t="s">
        <v>270</v>
      </c>
    </row>
    <row r="26" spans="3:13" ht="15.75" customHeight="1">
      <c r="C26" s="27" t="s">
        <v>271</v>
      </c>
      <c r="D26" s="126">
        <f>0.3*D25</f>
        <v>11.469600000000002</v>
      </c>
      <c r="E26" s="27" t="s">
        <v>237</v>
      </c>
      <c r="F26" s="27" t="s">
        <v>272</v>
      </c>
    </row>
    <row r="27" spans="3:13" ht="15.75" customHeight="1">
      <c r="C27" s="136" t="s">
        <v>273</v>
      </c>
      <c r="D27" s="126">
        <f>'TAIL-BIZ'!F60</f>
        <v>20.914253797595073</v>
      </c>
      <c r="E27" s="27" t="s">
        <v>240</v>
      </c>
      <c r="F27" s="27" t="s">
        <v>274</v>
      </c>
    </row>
    <row r="28" spans="3:13" ht="15.75" customHeight="1">
      <c r="C28" s="27" t="s">
        <v>275</v>
      </c>
      <c r="D28" s="17">
        <f>'TAIL-BIZ'!B53</f>
        <v>4</v>
      </c>
      <c r="F28" s="27" t="s">
        <v>276</v>
      </c>
    </row>
    <row r="29" spans="3:13" ht="15.75" customHeight="1"/>
    <row r="30" spans="3:13" ht="15.75" customHeight="1">
      <c r="C30" s="143" t="s">
        <v>277</v>
      </c>
      <c r="D30" s="146">
        <f>0.0379*(1+(D20/D21))^(-0.25)*D23^0.639*D22^0.1*D24^0.75*D25^(-1)*D26^0.704*(COS(D27*PI()/180))^(-1)*D28^0.116</f>
        <v>508.92509271428474</v>
      </c>
      <c r="E30" s="144" t="s">
        <v>235</v>
      </c>
      <c r="F30" s="17"/>
    </row>
    <row r="31" spans="3:13" ht="15.75" customHeight="1"/>
    <row r="32" spans="3:13" ht="15.75" customHeight="1"/>
    <row r="33" spans="3:11" ht="15.75" customHeight="1">
      <c r="C33" s="193" t="s">
        <v>278</v>
      </c>
      <c r="D33" s="193"/>
      <c r="E33" s="193"/>
      <c r="H33" s="190" t="s">
        <v>279</v>
      </c>
      <c r="I33" s="191"/>
      <c r="J33" s="192"/>
    </row>
    <row r="34" spans="3:11" ht="15.75" customHeight="1"/>
    <row r="35" spans="3:11" ht="15.75" customHeight="1">
      <c r="C35" s="137" t="s">
        <v>280</v>
      </c>
      <c r="D35" s="4">
        <v>1</v>
      </c>
      <c r="E35" s="4"/>
      <c r="F35" s="142" t="s">
        <v>281</v>
      </c>
      <c r="H35" s="27" t="s">
        <v>209</v>
      </c>
      <c r="I35" s="126">
        <f>'TAIL-BIZ'!B25</f>
        <v>137.45254331744118</v>
      </c>
      <c r="K35" s="27" t="s">
        <v>282</v>
      </c>
    </row>
    <row r="36" spans="3:11" ht="15.75" customHeight="1">
      <c r="F36" s="142" t="s">
        <v>283</v>
      </c>
      <c r="H36" s="27" t="s">
        <v>284</v>
      </c>
      <c r="I36" s="17">
        <f>'TAIL-BIZ'!B19</f>
        <v>0.12</v>
      </c>
      <c r="K36" s="27" t="s">
        <v>285</v>
      </c>
    </row>
    <row r="37" spans="3:11" ht="15.75" customHeight="1">
      <c r="C37" s="27" t="s">
        <v>230</v>
      </c>
      <c r="D37">
        <f>D6</f>
        <v>4.5</v>
      </c>
      <c r="F37" s="27" t="s">
        <v>231</v>
      </c>
    </row>
    <row r="38" spans="3:11" ht="15.75" customHeight="1">
      <c r="C38" s="27" t="s">
        <v>234</v>
      </c>
      <c r="D38" s="1">
        <f>D7</f>
        <v>59999.998186504905</v>
      </c>
      <c r="E38" s="27" t="s">
        <v>235</v>
      </c>
      <c r="F38" s="27" t="s">
        <v>236</v>
      </c>
      <c r="H38" s="143" t="s">
        <v>286</v>
      </c>
      <c r="I38" s="155">
        <f>I35*(1.977+0.52*I36)</f>
        <v>280.32071684158956</v>
      </c>
      <c r="J38" s="151" t="s">
        <v>259</v>
      </c>
    </row>
    <row r="39" spans="3:11" ht="15.75" customHeight="1">
      <c r="C39" s="27" t="s">
        <v>209</v>
      </c>
      <c r="D39" s="126">
        <f>'TAIL-BIZ'!B25</f>
        <v>137.45254331744118</v>
      </c>
      <c r="E39" s="140" t="s">
        <v>232</v>
      </c>
      <c r="F39" s="27" t="s">
        <v>287</v>
      </c>
    </row>
    <row r="40" spans="3:11" ht="15.75" customHeight="1">
      <c r="C40" s="27" t="s">
        <v>208</v>
      </c>
      <c r="D40" s="126">
        <f>'TAIL-BIZ'!B22</f>
        <v>38.232000000000006</v>
      </c>
      <c r="E40" s="27" t="s">
        <v>237</v>
      </c>
      <c r="F40" s="27" t="s">
        <v>288</v>
      </c>
    </row>
    <row r="41" spans="3:11" ht="15.75" customHeight="1">
      <c r="C41" s="27" t="s">
        <v>289</v>
      </c>
      <c r="D41" s="126">
        <f>D40</f>
        <v>38.232000000000006</v>
      </c>
      <c r="E41" s="27" t="s">
        <v>237</v>
      </c>
      <c r="F41" s="27" t="s">
        <v>290</v>
      </c>
    </row>
    <row r="42" spans="3:11" ht="15.75" customHeight="1">
      <c r="C42" s="136" t="s">
        <v>291</v>
      </c>
      <c r="D42" s="126">
        <f>'TAIL-BIZ'!F27</f>
        <v>25.849082313505036</v>
      </c>
      <c r="E42" s="27" t="s">
        <v>240</v>
      </c>
      <c r="F42" s="27" t="s">
        <v>292</v>
      </c>
    </row>
    <row r="43" spans="3:11" ht="15.75" customHeight="1">
      <c r="C43" s="27" t="s">
        <v>293</v>
      </c>
      <c r="D43" s="17">
        <f>'TAIL-BIZ'!B21</f>
        <v>0.95</v>
      </c>
      <c r="F43" s="27" t="s">
        <v>294</v>
      </c>
    </row>
    <row r="44" spans="3:11" ht="15.75" customHeight="1">
      <c r="C44" s="137" t="s">
        <v>284</v>
      </c>
      <c r="D44" s="7">
        <f>'TAIL-BIZ'!B19</f>
        <v>0.12</v>
      </c>
      <c r="E44" s="4"/>
      <c r="F44" s="137" t="s">
        <v>285</v>
      </c>
    </row>
    <row r="45" spans="3:11" ht="15.75" customHeight="1">
      <c r="F45" s="17"/>
    </row>
    <row r="46" spans="3:11" ht="15.75" customHeight="1">
      <c r="C46" s="143" t="s">
        <v>295</v>
      </c>
      <c r="D46" s="146">
        <f>0.0026*(1+D35)^0.225*D38^0.556*D37^0.536*D39^0.5*D40^(-0.5)*D43^0.35*(COS(D42*PI()/180))^(-1)*D44^(-0.5)*D41^0.875</f>
        <v>447.05606814119761</v>
      </c>
      <c r="E46" s="144" t="s">
        <v>235</v>
      </c>
    </row>
    <row r="47" spans="3:11" ht="15.75" customHeight="1"/>
    <row r="48" spans="3:11" ht="15.75" customHeight="1"/>
    <row r="49" spans="3:10" ht="15.75" customHeight="1">
      <c r="C49" s="193" t="s">
        <v>296</v>
      </c>
      <c r="D49" s="193"/>
      <c r="E49" s="193"/>
      <c r="H49" s="190" t="s">
        <v>297</v>
      </c>
      <c r="I49" s="191"/>
      <c r="J49" s="192"/>
    </row>
    <row r="50" spans="3:10" ht="15.75" customHeight="1">
      <c r="C50" s="8"/>
    </row>
    <row r="51" spans="3:10" ht="15.75" customHeight="1">
      <c r="C51" s="4" t="s">
        <v>298</v>
      </c>
      <c r="D51" s="4">
        <v>1.06</v>
      </c>
      <c r="E51" s="4"/>
      <c r="F51" s="142" t="s">
        <v>299</v>
      </c>
      <c r="H51" s="143" t="s">
        <v>300</v>
      </c>
      <c r="I51" s="150">
        <f>'FUSELAGE-BIZ'!F77</f>
        <v>1604.2449864958244</v>
      </c>
      <c r="J51" s="151" t="s">
        <v>259</v>
      </c>
    </row>
    <row r="52" spans="3:10" ht="15.75" customHeight="1">
      <c r="C52" s="4"/>
      <c r="D52" s="4"/>
      <c r="E52" s="4"/>
      <c r="F52" s="142" t="s">
        <v>301</v>
      </c>
    </row>
    <row r="53" spans="3:10" ht="15.75" customHeight="1">
      <c r="C53" s="4"/>
      <c r="D53" s="4"/>
      <c r="E53" s="4"/>
      <c r="F53" s="142" t="s">
        <v>302</v>
      </c>
    </row>
    <row r="54" spans="3:10" ht="15.75" customHeight="1">
      <c r="C54" s="4" t="s">
        <v>303</v>
      </c>
      <c r="D54" s="7">
        <v>1.1200000000000001</v>
      </c>
      <c r="E54" s="4"/>
      <c r="F54" s="142" t="s">
        <v>304</v>
      </c>
    </row>
    <row r="55" spans="3:10" ht="15.75" customHeight="1">
      <c r="C55" s="4"/>
      <c r="D55" s="7"/>
      <c r="E55" s="4"/>
      <c r="F55" s="142" t="s">
        <v>305</v>
      </c>
    </row>
    <row r="56" spans="3:10" ht="15.75" customHeight="1">
      <c r="C56" s="27" t="s">
        <v>230</v>
      </c>
      <c r="D56">
        <f>D6</f>
        <v>4.5</v>
      </c>
      <c r="F56" s="27" t="s">
        <v>231</v>
      </c>
    </row>
    <row r="57" spans="3:10" ht="15.75" customHeight="1">
      <c r="C57" s="27" t="s">
        <v>234</v>
      </c>
      <c r="D57" s="1">
        <f>D7</f>
        <v>59999.998186504905</v>
      </c>
      <c r="E57" s="27" t="s">
        <v>235</v>
      </c>
      <c r="F57" s="27" t="s">
        <v>236</v>
      </c>
    </row>
    <row r="58" spans="3:10" ht="15.75" customHeight="1">
      <c r="C58" s="27" t="s">
        <v>306</v>
      </c>
      <c r="D58">
        <f>LL</f>
        <v>84.960000000000008</v>
      </c>
      <c r="E58" s="27" t="s">
        <v>237</v>
      </c>
      <c r="F58" s="27" t="s">
        <v>307</v>
      </c>
    </row>
    <row r="59" spans="3:10" ht="15.75" customHeight="1">
      <c r="C59" s="27" t="s">
        <v>308</v>
      </c>
      <c r="D59" s="145">
        <f>'FUSELAGE-BIZ'!F77</f>
        <v>1604.2449864958244</v>
      </c>
      <c r="E59" s="140" t="s">
        <v>232</v>
      </c>
      <c r="F59" s="27" t="s">
        <v>297</v>
      </c>
    </row>
    <row r="60" spans="3:10" ht="15.75" customHeight="1">
      <c r="C60" s="27" t="s">
        <v>309</v>
      </c>
      <c r="D60" s="125">
        <f>0.75*((1+2*D63)/(1+D63))*((D64/D58)*TAN(D65*PI()/180))</f>
        <v>0.29113674719681609</v>
      </c>
    </row>
    <row r="61" spans="3:10" ht="15.75" customHeight="1">
      <c r="C61" s="27" t="s">
        <v>246</v>
      </c>
      <c r="D61" s="126">
        <f>'FUSELAGE-BIZ'!D</f>
        <v>7.2</v>
      </c>
      <c r="E61" s="27" t="s">
        <v>237</v>
      </c>
      <c r="F61" s="27" t="s">
        <v>247</v>
      </c>
    </row>
    <row r="62" spans="3:10" ht="15.75" customHeight="1"/>
    <row r="63" spans="3:10" ht="15.75" customHeight="1">
      <c r="C63" s="135" t="s">
        <v>106</v>
      </c>
      <c r="D63">
        <f>D11</f>
        <v>0.38</v>
      </c>
      <c r="F63" s="27" t="s">
        <v>248</v>
      </c>
    </row>
    <row r="64" spans="3:10" ht="15.75" customHeight="1">
      <c r="C64" s="27" t="s">
        <v>310</v>
      </c>
      <c r="D64" s="126">
        <f>'TAIL-BIZ'!B5</f>
        <v>81.759403128936796</v>
      </c>
      <c r="E64" s="27" t="s">
        <v>237</v>
      </c>
      <c r="F64" s="27" t="s">
        <v>311</v>
      </c>
    </row>
    <row r="65" spans="3:6" ht="15.75" customHeight="1">
      <c r="C65" s="136" t="s">
        <v>312</v>
      </c>
      <c r="D65" s="126">
        <f>D12</f>
        <v>17.551395989834123</v>
      </c>
      <c r="E65" s="27" t="s">
        <v>240</v>
      </c>
      <c r="F65" s="27" t="s">
        <v>313</v>
      </c>
    </row>
    <row r="66" spans="3:6" ht="15.75" customHeight="1"/>
    <row r="67" spans="3:6" ht="15.75" customHeight="1">
      <c r="C67" s="143" t="s">
        <v>314</v>
      </c>
      <c r="D67" s="146">
        <f>0.328*D51*D54*D57^0.5*D56^0.5*D58^0.35*D61^(-0.1)*D59^0.302*(1+D60)^0.04</f>
        <v>7379.0775081752881</v>
      </c>
      <c r="E67" s="144" t="s">
        <v>235</v>
      </c>
      <c r="F67" s="17"/>
    </row>
    <row r="68" spans="3:6" ht="15.75" customHeight="1"/>
    <row r="69" spans="3:6" ht="15.75" customHeight="1"/>
    <row r="70" spans="3:6" ht="15.75" customHeight="1">
      <c r="C70" s="194" t="s">
        <v>315</v>
      </c>
      <c r="D70" s="195"/>
      <c r="E70" s="196"/>
    </row>
    <row r="71" spans="3:6" ht="15.75" customHeight="1"/>
    <row r="72" spans="3:6" ht="15.75" customHeight="1">
      <c r="C72" s="27" t="s">
        <v>230</v>
      </c>
      <c r="D72">
        <f>D6</f>
        <v>4.5</v>
      </c>
      <c r="F72" s="27" t="s">
        <v>231</v>
      </c>
    </row>
    <row r="73" spans="3:6" ht="15.75" customHeight="1">
      <c r="C73" s="27" t="s">
        <v>316</v>
      </c>
      <c r="D73" s="1">
        <f>'WINGLOAD-BIZ'!H13</f>
        <v>48199.998585473826</v>
      </c>
      <c r="E73" s="27" t="s">
        <v>235</v>
      </c>
      <c r="F73" s="27" t="s">
        <v>317</v>
      </c>
    </row>
    <row r="74" spans="3:6" ht="15.75" customHeight="1">
      <c r="C74" s="137" t="s">
        <v>318</v>
      </c>
      <c r="D74" s="4">
        <v>5</v>
      </c>
      <c r="E74" s="137" t="s">
        <v>237</v>
      </c>
      <c r="F74" s="137" t="s">
        <v>319</v>
      </c>
    </row>
    <row r="75" spans="3:6" ht="15.75" customHeight="1">
      <c r="C75" s="137" t="s">
        <v>320</v>
      </c>
      <c r="D75" s="4">
        <v>4</v>
      </c>
      <c r="E75" s="137" t="s">
        <v>321</v>
      </c>
      <c r="F75" s="137" t="s">
        <v>322</v>
      </c>
    </row>
    <row r="76" spans="3:6" ht="15.75" customHeight="1">
      <c r="C76" s="137" t="s">
        <v>323</v>
      </c>
      <c r="D76" s="4">
        <v>2</v>
      </c>
      <c r="E76" s="137" t="s">
        <v>324</v>
      </c>
      <c r="F76" s="137" t="s">
        <v>325</v>
      </c>
    </row>
    <row r="77" spans="3:6" ht="15.75" customHeight="1">
      <c r="C77" s="27" t="s">
        <v>326</v>
      </c>
      <c r="D77" s="126">
        <f>SQRT(D73*2/(0.002377*D8*'WINGLOAD-BIZ'!E6))</f>
        <v>140.41965054601431</v>
      </c>
      <c r="E77" s="27" t="s">
        <v>327</v>
      </c>
      <c r="F77" s="27" t="s">
        <v>328</v>
      </c>
    </row>
    <row r="78" spans="3:6" ht="15.75" customHeight="1"/>
    <row r="79" spans="3:6" ht="15.75" customHeight="1">
      <c r="C79" s="143" t="s">
        <v>329</v>
      </c>
      <c r="D79" s="146">
        <f>0.0106*D73^0.888*D72^0.25*(D74*12)^0.4*D75^0.321*D76^(-0.5)*D77^0.1</f>
        <v>2069.6852313100103</v>
      </c>
      <c r="E79" s="144" t="s">
        <v>235</v>
      </c>
      <c r="F79" s="17"/>
    </row>
    <row r="80" spans="3:6" ht="15.75" customHeight="1"/>
    <row r="81" spans="3:11" ht="15.75" customHeight="1"/>
    <row r="82" spans="3:11" ht="15.75" customHeight="1">
      <c r="C82" s="194" t="s">
        <v>330</v>
      </c>
      <c r="D82" s="195"/>
      <c r="E82" s="196"/>
    </row>
    <row r="83" spans="3:11" ht="15.75" customHeight="1"/>
    <row r="84" spans="3:11" ht="15.75" customHeight="1">
      <c r="C84" s="27" t="s">
        <v>230</v>
      </c>
      <c r="D84">
        <f>D6</f>
        <v>4.5</v>
      </c>
      <c r="F84" s="27" t="s">
        <v>231</v>
      </c>
    </row>
    <row r="85" spans="3:11" ht="15.75" customHeight="1">
      <c r="C85" s="27" t="s">
        <v>316</v>
      </c>
      <c r="D85" s="1">
        <f>D73</f>
        <v>48199.998585473826</v>
      </c>
      <c r="E85" s="27" t="s">
        <v>235</v>
      </c>
      <c r="F85" s="27" t="s">
        <v>317</v>
      </c>
    </row>
    <row r="86" spans="3:11" ht="15.75" customHeight="1">
      <c r="C86" s="137" t="s">
        <v>331</v>
      </c>
      <c r="D86" s="4">
        <v>6</v>
      </c>
      <c r="E86" s="137" t="s">
        <v>237</v>
      </c>
      <c r="F86" s="137" t="s">
        <v>332</v>
      </c>
    </row>
    <row r="87" spans="3:11" ht="15.75" customHeight="1">
      <c r="C87" s="137" t="s">
        <v>333</v>
      </c>
      <c r="D87" s="4">
        <v>1</v>
      </c>
      <c r="E87" s="137" t="s">
        <v>321</v>
      </c>
      <c r="F87" s="137" t="s">
        <v>334</v>
      </c>
    </row>
    <row r="88" spans="3:11" ht="15.75" customHeight="1"/>
    <row r="89" spans="3:11" ht="15.75" customHeight="1">
      <c r="C89" s="143" t="s">
        <v>335</v>
      </c>
      <c r="D89" s="146">
        <f>0.032*D85^0.646*D84^0.2*(D86*12)^0.5*D87^0.45</f>
        <v>388.78285778210824</v>
      </c>
      <c r="E89" s="144" t="s">
        <v>235</v>
      </c>
      <c r="F89" s="17"/>
    </row>
    <row r="90" spans="3:11" ht="15.75" customHeight="1"/>
    <row r="91" spans="3:11" ht="15.75" customHeight="1"/>
    <row r="92" spans="3:11" ht="15.75" customHeight="1">
      <c r="C92" s="197" t="s">
        <v>336</v>
      </c>
      <c r="D92" s="198"/>
      <c r="E92" s="199"/>
      <c r="H92" s="190" t="s">
        <v>337</v>
      </c>
      <c r="I92" s="191"/>
      <c r="J92" s="192"/>
    </row>
    <row r="93" spans="3:11" ht="15.75" customHeight="1"/>
    <row r="94" spans="3:11" ht="15.75" customHeight="1">
      <c r="C94" s="27" t="s">
        <v>338</v>
      </c>
      <c r="D94" s="1">
        <v>13850</v>
      </c>
      <c r="E94" s="27" t="s">
        <v>235</v>
      </c>
      <c r="F94" s="27" t="s">
        <v>339</v>
      </c>
      <c r="H94" s="27" t="s">
        <v>338</v>
      </c>
      <c r="I94" s="1">
        <v>13850</v>
      </c>
      <c r="J94" s="27" t="s">
        <v>235</v>
      </c>
      <c r="K94" s="27" t="s">
        <v>339</v>
      </c>
    </row>
    <row r="95" spans="3:11" ht="15.75" customHeight="1">
      <c r="C95" s="27" t="s">
        <v>340</v>
      </c>
      <c r="D95" s="1">
        <v>3310</v>
      </c>
      <c r="E95" s="27" t="s">
        <v>235</v>
      </c>
      <c r="F95" s="27" t="s">
        <v>341</v>
      </c>
      <c r="H95" s="27" t="s">
        <v>340</v>
      </c>
      <c r="I95" s="1">
        <v>3310</v>
      </c>
      <c r="J95" s="27" t="s">
        <v>235</v>
      </c>
      <c r="K95" s="27" t="s">
        <v>341</v>
      </c>
    </row>
    <row r="96" spans="3:11" ht="15.75" customHeight="1">
      <c r="H96" s="27" t="s">
        <v>342</v>
      </c>
      <c r="I96" s="17">
        <v>94.7</v>
      </c>
      <c r="J96" s="27" t="s">
        <v>343</v>
      </c>
      <c r="K96" s="154" t="s">
        <v>344</v>
      </c>
    </row>
    <row r="97" spans="2:14" ht="15.75" customHeight="1">
      <c r="C97" s="27" t="s">
        <v>345</v>
      </c>
      <c r="D97" s="1">
        <f>T</f>
        <v>21900</v>
      </c>
      <c r="E97" s="27" t="s">
        <v>235</v>
      </c>
      <c r="F97" s="27" t="s">
        <v>346</v>
      </c>
      <c r="H97" s="27" t="s">
        <v>347</v>
      </c>
      <c r="I97" s="17">
        <v>44</v>
      </c>
      <c r="J97" s="27" t="s">
        <v>343</v>
      </c>
      <c r="K97" s="27" t="s">
        <v>348</v>
      </c>
    </row>
    <row r="98" spans="2:14" ht="15.75" customHeight="1">
      <c r="C98" s="27" t="s">
        <v>349</v>
      </c>
      <c r="D98">
        <v>2</v>
      </c>
      <c r="F98" s="27" t="s">
        <v>350</v>
      </c>
    </row>
    <row r="99" spans="2:14" ht="15.75" customHeight="1">
      <c r="C99" s="27" t="s">
        <v>351</v>
      </c>
      <c r="D99" s="1">
        <f>D97/D98</f>
        <v>10950</v>
      </c>
      <c r="E99" s="27" t="s">
        <v>235</v>
      </c>
      <c r="F99" s="27" t="s">
        <v>352</v>
      </c>
      <c r="H99" s="27" t="s">
        <v>345</v>
      </c>
      <c r="I99" s="1">
        <f>T</f>
        <v>21900</v>
      </c>
      <c r="J99" s="27" t="s">
        <v>235</v>
      </c>
      <c r="K99" s="27" t="s">
        <v>346</v>
      </c>
    </row>
    <row r="100" spans="2:14" ht="15.75" customHeight="1">
      <c r="C100" s="27" t="s">
        <v>353</v>
      </c>
      <c r="D100" s="1">
        <f>SQRT(D99/D94)*D95</f>
        <v>2943.1348865264072</v>
      </c>
      <c r="E100" s="27" t="s">
        <v>235</v>
      </c>
      <c r="F100" s="27" t="s">
        <v>354</v>
      </c>
      <c r="H100" s="27" t="s">
        <v>349</v>
      </c>
      <c r="I100">
        <v>2</v>
      </c>
      <c r="K100" s="27" t="s">
        <v>350</v>
      </c>
    </row>
    <row r="101" spans="2:14" ht="15.75" customHeight="1">
      <c r="H101" s="27" t="s">
        <v>351</v>
      </c>
      <c r="I101" s="1">
        <f>I99/I100</f>
        <v>10950</v>
      </c>
      <c r="J101" s="27" t="s">
        <v>235</v>
      </c>
      <c r="K101" s="27" t="s">
        <v>352</v>
      </c>
    </row>
    <row r="102" spans="2:14" ht="15.75" customHeight="1">
      <c r="C102" s="143" t="s">
        <v>355</v>
      </c>
      <c r="D102" s="146">
        <f>1.3*D100*D98</f>
        <v>7652.1507049686588</v>
      </c>
      <c r="E102" s="144" t="s">
        <v>235</v>
      </c>
      <c r="H102" s="27" t="s">
        <v>356</v>
      </c>
      <c r="I102" s="17">
        <f>SQRT(I101/I94)*I96</f>
        <v>84.203889351676978</v>
      </c>
      <c r="J102" s="27" t="s">
        <v>343</v>
      </c>
      <c r="K102" s="27" t="s">
        <v>357</v>
      </c>
    </row>
    <row r="103" spans="2:14" ht="15.75" customHeight="1">
      <c r="H103" s="27" t="s">
        <v>358</v>
      </c>
      <c r="I103" s="17">
        <f>SQRT(I101/I94)*I97</f>
        <v>39.123243204580639</v>
      </c>
      <c r="J103" s="27" t="s">
        <v>343</v>
      </c>
      <c r="K103" s="27" t="s">
        <v>359</v>
      </c>
      <c r="M103" s="27"/>
      <c r="N103" s="27"/>
    </row>
    <row r="104" spans="2:14" ht="15.75" customHeight="1">
      <c r="K104" s="27"/>
      <c r="M104" s="27"/>
      <c r="N104" s="27"/>
    </row>
    <row r="105" spans="2:14" ht="15.75" customHeight="1">
      <c r="C105" s="197" t="s">
        <v>360</v>
      </c>
      <c r="D105" s="198"/>
      <c r="E105" s="199"/>
      <c r="H105" s="143" t="s">
        <v>361</v>
      </c>
      <c r="I105" s="150">
        <f>(2*PI()*(1.5*I103/2)*1.5*I102/144)*I100*1.3</f>
        <v>420.44602213199721</v>
      </c>
      <c r="J105" s="151" t="s">
        <v>259</v>
      </c>
      <c r="K105" s="27"/>
      <c r="M105" s="27"/>
      <c r="N105" s="27"/>
    </row>
    <row r="106" spans="2:14" ht="15.75" customHeight="1">
      <c r="K106" s="27"/>
      <c r="M106" s="27"/>
      <c r="N106" s="27"/>
    </row>
    <row r="107" spans="2:14" ht="15.75" customHeight="1">
      <c r="C107" s="143" t="s">
        <v>362</v>
      </c>
      <c r="D107" s="146">
        <f>0.17*D7</f>
        <v>10199.999691705834</v>
      </c>
      <c r="E107" s="144" t="s">
        <v>235</v>
      </c>
      <c r="K107" s="27"/>
      <c r="M107" s="27"/>
      <c r="N107" s="27"/>
    </row>
    <row r="108" spans="2:14" ht="15.75" customHeight="1">
      <c r="K108" s="27"/>
      <c r="M108" s="27"/>
      <c r="N108" s="27"/>
    </row>
    <row r="109" spans="2:14" ht="15.75" customHeight="1">
      <c r="K109" s="27"/>
      <c r="M109" s="27"/>
      <c r="N109" s="27"/>
    </row>
    <row r="110" spans="2:14" ht="15.75" customHeight="1">
      <c r="B110" s="206" t="s">
        <v>363</v>
      </c>
      <c r="C110" s="207"/>
      <c r="D110" s="208"/>
      <c r="G110" s="202" t="s">
        <v>364</v>
      </c>
      <c r="H110" s="203"/>
      <c r="I110" s="204"/>
      <c r="K110" s="27"/>
      <c r="M110" s="27"/>
      <c r="N110" s="27"/>
    </row>
    <row r="111" spans="2:14" ht="15.75" customHeight="1">
      <c r="K111" s="27"/>
      <c r="M111" s="27"/>
      <c r="N111" s="27"/>
    </row>
    <row r="112" spans="2:14" ht="15.75" customHeight="1">
      <c r="B112" s="156" t="s">
        <v>365</v>
      </c>
      <c r="C112" s="157" t="s">
        <v>366</v>
      </c>
      <c r="D112" s="158" t="s">
        <v>367</v>
      </c>
      <c r="E112" s="153"/>
      <c r="F112" s="153"/>
      <c r="G112" s="10" t="s">
        <v>365</v>
      </c>
      <c r="H112" s="147" t="s">
        <v>368</v>
      </c>
      <c r="I112" s="147" t="s">
        <v>369</v>
      </c>
      <c r="M112" s="27"/>
      <c r="N112" s="27"/>
    </row>
    <row r="113" spans="2:14" ht="15.75" customHeight="1">
      <c r="B113" s="156"/>
      <c r="C113" s="157"/>
      <c r="D113" s="153"/>
      <c r="E113" s="153"/>
      <c r="F113" s="153"/>
      <c r="M113" s="27"/>
      <c r="N113" s="27"/>
    </row>
    <row r="114" spans="2:14" ht="15.75" customHeight="1">
      <c r="B114" s="159" t="s">
        <v>370</v>
      </c>
      <c r="C114" s="160">
        <f t="shared" ref="C114:C119" si="0">D114/$D$123</f>
        <v>0.17037659471133704</v>
      </c>
      <c r="D114" s="161">
        <f>D15</f>
        <v>5882.8534678774631</v>
      </c>
      <c r="E114" s="153"/>
      <c r="F114" s="153"/>
      <c r="G114" s="9" t="s">
        <v>370</v>
      </c>
      <c r="H114" s="148">
        <f>I114/$I$123</f>
        <v>0.35845627435456839</v>
      </c>
      <c r="I114" s="164">
        <f>I15</f>
        <v>1530.7916382058145</v>
      </c>
      <c r="J114" s="140" t="s">
        <v>232</v>
      </c>
    </row>
    <row r="115" spans="2:14" ht="15.75" customHeight="1">
      <c r="B115" s="159" t="s">
        <v>216</v>
      </c>
      <c r="C115" s="160">
        <f t="shared" si="0"/>
        <v>1.473926296707437E-2</v>
      </c>
      <c r="D115" s="161">
        <f>D30</f>
        <v>508.92509271428474</v>
      </c>
      <c r="E115" s="153"/>
      <c r="F115" s="153"/>
      <c r="G115" s="9" t="s">
        <v>216</v>
      </c>
      <c r="H115" s="148">
        <f t="shared" ref="H115:H121" si="1">I115/$I$123</f>
        <v>0.10179298829245428</v>
      </c>
      <c r="I115" s="164">
        <f>I23</f>
        <v>434.70812607938234</v>
      </c>
      <c r="J115" s="140" t="s">
        <v>232</v>
      </c>
      <c r="K115" s="27"/>
      <c r="M115" s="27"/>
      <c r="N115" s="27"/>
    </row>
    <row r="116" spans="2:14" ht="15.75" customHeight="1">
      <c r="B116" s="159" t="s">
        <v>201</v>
      </c>
      <c r="C116" s="160">
        <f t="shared" si="0"/>
        <v>1.2947439699261815E-2</v>
      </c>
      <c r="D116" s="161">
        <f>D46</f>
        <v>447.05606814119761</v>
      </c>
      <c r="E116" s="153"/>
      <c r="F116" s="153"/>
      <c r="G116" s="9" t="s">
        <v>201</v>
      </c>
      <c r="H116" s="148">
        <f t="shared" si="1"/>
        <v>6.5641016893200621E-2</v>
      </c>
      <c r="I116" s="164">
        <f>I38</f>
        <v>280.32071684158956</v>
      </c>
      <c r="J116" s="140" t="s">
        <v>232</v>
      </c>
      <c r="L116" s="128"/>
      <c r="M116" s="27"/>
      <c r="N116" s="27"/>
    </row>
    <row r="117" spans="2:14" ht="15.75" customHeight="1">
      <c r="B117" s="159" t="s">
        <v>371</v>
      </c>
      <c r="C117" s="160">
        <f t="shared" si="0"/>
        <v>0.21370957220315234</v>
      </c>
      <c r="D117" s="161">
        <f>D67</f>
        <v>7379.0775081752881</v>
      </c>
      <c r="E117" s="153"/>
      <c r="F117" s="153"/>
      <c r="G117" s="9" t="s">
        <v>371</v>
      </c>
      <c r="H117" s="148">
        <f t="shared" si="1"/>
        <v>0.37565640330076888</v>
      </c>
      <c r="I117" s="164">
        <f>I51</f>
        <v>1604.2449864958244</v>
      </c>
      <c r="J117" s="140" t="s">
        <v>232</v>
      </c>
    </row>
    <row r="118" spans="2:14" ht="15.75" customHeight="1">
      <c r="B118" s="159" t="s">
        <v>372</v>
      </c>
      <c r="C118" s="160">
        <f t="shared" si="0"/>
        <v>5.994130633380762E-2</v>
      </c>
      <c r="D118" s="161">
        <f>D79</f>
        <v>2069.6852313100103</v>
      </c>
      <c r="E118" s="153"/>
      <c r="F118" s="153"/>
      <c r="G118" s="9" t="s">
        <v>372</v>
      </c>
      <c r="H118" s="148">
        <f t="shared" si="1"/>
        <v>0</v>
      </c>
      <c r="I118" s="164">
        <v>0</v>
      </c>
      <c r="J118" s="140" t="s">
        <v>232</v>
      </c>
    </row>
    <row r="119" spans="2:14" ht="15.75" customHeight="1">
      <c r="B119" s="159" t="s">
        <v>373</v>
      </c>
      <c r="C119" s="160">
        <f t="shared" si="0"/>
        <v>1.1259756808961774E-2</v>
      </c>
      <c r="D119" s="161">
        <f>D89</f>
        <v>388.78285778210824</v>
      </c>
      <c r="E119" s="153"/>
      <c r="F119" s="153"/>
      <c r="G119" s="9" t="s">
        <v>373</v>
      </c>
      <c r="H119" s="148">
        <f t="shared" si="1"/>
        <v>0</v>
      </c>
      <c r="I119" s="164">
        <v>0</v>
      </c>
      <c r="J119" s="140" t="s">
        <v>232</v>
      </c>
    </row>
    <row r="120" spans="2:14" ht="15.75" customHeight="1">
      <c r="B120" s="159" t="s">
        <v>374</v>
      </c>
      <c r="C120" s="160">
        <f>D120/$D$123</f>
        <v>0.22161819709592562</v>
      </c>
      <c r="D120" s="161">
        <f>D102</f>
        <v>7652.1507049686588</v>
      </c>
      <c r="E120" s="153"/>
      <c r="F120" s="153"/>
      <c r="G120" s="9" t="s">
        <v>375</v>
      </c>
      <c r="H120" s="148">
        <f t="shared" si="1"/>
        <v>0</v>
      </c>
      <c r="I120" s="164">
        <v>0</v>
      </c>
      <c r="J120" s="140" t="s">
        <v>232</v>
      </c>
    </row>
    <row r="121" spans="2:14" ht="15.75" customHeight="1">
      <c r="B121" s="159" t="s">
        <v>375</v>
      </c>
      <c r="C121" s="160">
        <f>D121/$D$123</f>
        <v>0.29540787018047926</v>
      </c>
      <c r="D121" s="161">
        <f>0.17*D7</f>
        <v>10199.999691705834</v>
      </c>
      <c r="E121" s="153"/>
      <c r="F121" s="153"/>
      <c r="G121" s="9" t="s">
        <v>374</v>
      </c>
      <c r="H121" s="148">
        <f t="shared" si="1"/>
        <v>9.8453317159007778E-2</v>
      </c>
      <c r="I121" s="164">
        <f>I105</f>
        <v>420.44602213199721</v>
      </c>
      <c r="J121" s="140" t="s">
        <v>232</v>
      </c>
    </row>
    <row r="122" spans="2:14" ht="15.75" customHeight="1">
      <c r="B122" s="153"/>
      <c r="C122" s="153"/>
      <c r="D122" s="153"/>
      <c r="E122" s="153"/>
      <c r="F122" s="162"/>
    </row>
    <row r="123" spans="2:14" ht="15.75" customHeight="1">
      <c r="B123" s="163" t="s">
        <v>376</v>
      </c>
      <c r="C123" s="160">
        <f>SUM(C114:C121)</f>
        <v>0.99999999999999978</v>
      </c>
      <c r="D123" s="161">
        <f>SUM(D114:D121)</f>
        <v>34528.530622674851</v>
      </c>
      <c r="E123" s="153"/>
      <c r="F123" s="153"/>
      <c r="G123" s="8" t="s">
        <v>377</v>
      </c>
      <c r="H123" s="148">
        <f>SUM(H114:H121)</f>
        <v>1</v>
      </c>
      <c r="I123" s="164">
        <f>SUM(I114:I121)</f>
        <v>4270.5114897546082</v>
      </c>
    </row>
    <row r="124" spans="2:14" ht="15.75" customHeight="1">
      <c r="B124" s="163" t="s">
        <v>378</v>
      </c>
      <c r="C124" s="154"/>
      <c r="D124" s="161">
        <f>NONEXP</f>
        <v>2800</v>
      </c>
      <c r="E124" s="153"/>
      <c r="F124" s="153"/>
    </row>
    <row r="125" spans="2:14" ht="15.75" customHeight="1">
      <c r="B125" s="163" t="s">
        <v>52</v>
      </c>
      <c r="C125" s="154"/>
      <c r="D125" s="161">
        <f>'WINGLOAD-BIZ'!H12</f>
        <v>23599.999202062161</v>
      </c>
      <c r="E125" s="153"/>
      <c r="F125" s="153"/>
      <c r="G125" s="10" t="s">
        <v>379</v>
      </c>
      <c r="H125" s="17">
        <f>I123/I6</f>
        <v>4.9830939203671036</v>
      </c>
    </row>
    <row r="126" spans="2:14" ht="15.75" customHeight="1">
      <c r="B126" s="163"/>
      <c r="C126" s="154"/>
      <c r="D126" s="161"/>
      <c r="E126" s="153"/>
      <c r="F126" s="153"/>
      <c r="G126" s="10" t="s">
        <v>380</v>
      </c>
      <c r="H126" s="17">
        <f>'WINGLOAD-BIZ'!B21</f>
        <v>5.2</v>
      </c>
    </row>
    <row r="127" spans="2:14" ht="15.75" customHeight="1">
      <c r="B127" s="163" t="s">
        <v>381</v>
      </c>
      <c r="C127" s="154"/>
      <c r="D127" s="161">
        <f>SUM(D123:D125)</f>
        <v>60928.529824737008</v>
      </c>
      <c r="E127" s="153"/>
      <c r="F127" s="153"/>
    </row>
    <row r="128" spans="2:14" ht="15.75" customHeight="1">
      <c r="B128" s="153"/>
      <c r="C128" s="154"/>
      <c r="D128" s="154"/>
      <c r="E128" s="153"/>
      <c r="F128" s="153"/>
    </row>
    <row r="129" spans="2:9" ht="15.75" customHeight="1">
      <c r="B129" s="163" t="s">
        <v>382</v>
      </c>
      <c r="C129" s="154"/>
      <c r="D129" s="161">
        <f>'WINGLOAD-BIZ'!H5</f>
        <v>59999.998186504905</v>
      </c>
      <c r="E129" s="153"/>
      <c r="F129" s="153"/>
    </row>
    <row r="130" spans="2:9" ht="15.75" customHeight="1">
      <c r="B130" s="163" t="s">
        <v>383</v>
      </c>
      <c r="C130" s="154"/>
      <c r="D130" s="161">
        <f>D127-D129</f>
        <v>928.53163823210343</v>
      </c>
      <c r="E130" s="153"/>
      <c r="F130" s="154" t="s">
        <v>384</v>
      </c>
    </row>
    <row r="131" spans="2:9" ht="15.75" customHeight="1">
      <c r="B131" s="8"/>
      <c r="C131" s="27"/>
      <c r="D131" s="149"/>
      <c r="F131" s="27"/>
    </row>
    <row r="132" spans="2:9" ht="15.75" customHeight="1"/>
    <row r="133" spans="2:9" ht="15.75" customHeight="1">
      <c r="B133" s="209" t="s">
        <v>385</v>
      </c>
      <c r="C133" s="210"/>
      <c r="D133" s="211"/>
      <c r="G133" s="205" t="s">
        <v>386</v>
      </c>
      <c r="H133" s="205"/>
      <c r="I133" s="205"/>
    </row>
    <row r="134" spans="2:9" ht="15.75" customHeight="1"/>
    <row r="135" spans="2:9" ht="15.75" customHeight="1">
      <c r="B135" s="156" t="s">
        <v>365</v>
      </c>
      <c r="C135" s="157" t="s">
        <v>366</v>
      </c>
      <c r="D135" s="158" t="s">
        <v>367</v>
      </c>
      <c r="E135" s="153"/>
      <c r="F135" s="153"/>
      <c r="G135" s="156" t="s">
        <v>365</v>
      </c>
      <c r="H135" s="147" t="s">
        <v>387</v>
      </c>
      <c r="I135" s="147" t="s">
        <v>388</v>
      </c>
    </row>
    <row r="136" spans="2:9" ht="15.75" customHeight="1">
      <c r="B136" s="156"/>
      <c r="C136" s="157"/>
      <c r="D136" s="153"/>
      <c r="E136" s="153"/>
      <c r="F136" s="153"/>
    </row>
    <row r="137" spans="2:9" ht="15.75" customHeight="1">
      <c r="B137" s="159" t="s">
        <v>370</v>
      </c>
      <c r="C137" s="160">
        <f>D137/$D$146</f>
        <v>0.22001597939012688</v>
      </c>
      <c r="D137" s="161">
        <f>10*D8</f>
        <v>8570</v>
      </c>
      <c r="E137" s="153"/>
      <c r="F137" s="153"/>
      <c r="G137" s="159" t="s">
        <v>370</v>
      </c>
      <c r="H137" s="160">
        <f>I137/$I$142</f>
        <v>0.42056573047909895</v>
      </c>
      <c r="I137" s="169">
        <f>'WING-BIZ'!F35</f>
        <v>8.1738762788309671E-3</v>
      </c>
    </row>
    <row r="138" spans="2:9" ht="15.75" customHeight="1">
      <c r="B138" s="159" t="s">
        <v>216</v>
      </c>
      <c r="C138" s="160">
        <f t="shared" ref="C138:C144" si="2">D138/$D$146</f>
        <v>3.0097570143271558E-2</v>
      </c>
      <c r="D138" s="161">
        <f>5.5*D24</f>
        <v>1172.3520120803191</v>
      </c>
      <c r="E138" s="153"/>
      <c r="F138" s="153"/>
      <c r="G138" s="159" t="s">
        <v>216</v>
      </c>
      <c r="H138" s="160">
        <f t="shared" ref="H138:H140" si="3">I138/$I$142</f>
        <v>0.13020897286271685</v>
      </c>
      <c r="I138" s="169">
        <f>'TAIL-BIZ'!H67</f>
        <v>2.5306675210104881E-3</v>
      </c>
    </row>
    <row r="139" spans="2:9" ht="15.75" customHeight="1">
      <c r="B139" s="159" t="s">
        <v>201</v>
      </c>
      <c r="C139" s="160">
        <f t="shared" si="2"/>
        <v>1.9408361453568102E-2</v>
      </c>
      <c r="D139" s="161">
        <f>5.5*D39</f>
        <v>755.98898824592652</v>
      </c>
      <c r="E139" s="153"/>
      <c r="F139" s="153"/>
      <c r="G139" s="159" t="s">
        <v>201</v>
      </c>
      <c r="H139" s="160">
        <f t="shared" si="3"/>
        <v>7.7780483000467124E-2</v>
      </c>
      <c r="I139" s="169">
        <f>'TAIL-BIZ'!H34</f>
        <v>1.5116972184806424E-3</v>
      </c>
    </row>
    <row r="140" spans="2:9" ht="15.75" customHeight="1">
      <c r="B140" s="159" t="s">
        <v>371</v>
      </c>
      <c r="C140" s="160">
        <f t="shared" si="2"/>
        <v>0.20592738149683762</v>
      </c>
      <c r="D140" s="161">
        <f>5*D59</f>
        <v>8021.2249324791219</v>
      </c>
      <c r="E140" s="153"/>
      <c r="F140" s="153"/>
      <c r="G140" s="159" t="s">
        <v>371</v>
      </c>
      <c r="H140" s="160">
        <f t="shared" si="3"/>
        <v>0.29571681098274549</v>
      </c>
      <c r="I140" s="169">
        <f>'FUSELAGE-BIZ'!B89</f>
        <v>5.7473837057285641E-3</v>
      </c>
    </row>
    <row r="141" spans="2:9" ht="15.75" customHeight="1">
      <c r="B141" s="159" t="s">
        <v>372</v>
      </c>
      <c r="C141" s="160">
        <f t="shared" si="2"/>
        <v>5.630047003724329E-2</v>
      </c>
      <c r="D141" s="161">
        <f>0.85*0.043*D7</f>
        <v>2192.9999337167542</v>
      </c>
      <c r="E141" s="153"/>
      <c r="F141" s="153"/>
      <c r="G141" s="159" t="s">
        <v>393</v>
      </c>
      <c r="H141" s="160">
        <f>I141/$I$142</f>
        <v>7.5728002674971387E-2</v>
      </c>
      <c r="I141" s="170">
        <f>I105/I6*0.003</f>
        <v>1.4718063785250778E-3</v>
      </c>
    </row>
    <row r="142" spans="2:9" ht="15.75" customHeight="1">
      <c r="B142" s="159" t="s">
        <v>373</v>
      </c>
      <c r="C142" s="160">
        <f t="shared" si="2"/>
        <v>9.9353770653958732E-3</v>
      </c>
      <c r="D142" s="161">
        <f>0.15*0.043*D7</f>
        <v>386.99998830295658</v>
      </c>
      <c r="E142" s="153"/>
      <c r="F142" s="153"/>
      <c r="G142" s="166" t="s">
        <v>389</v>
      </c>
      <c r="H142" s="160">
        <f>SUM(H137:H141)</f>
        <v>0.99999999999999978</v>
      </c>
      <c r="I142" s="169">
        <f>SUM(I137:I141)</f>
        <v>1.9435431102575743E-2</v>
      </c>
    </row>
    <row r="143" spans="2:9" ht="15.75" customHeight="1">
      <c r="B143" s="159" t="s">
        <v>374</v>
      </c>
      <c r="C143" s="160">
        <f t="shared" si="2"/>
        <v>0.19645220907754135</v>
      </c>
      <c r="D143" s="161">
        <f>1.3*D100*D98</f>
        <v>7652.1507049686588</v>
      </c>
      <c r="E143" s="153"/>
      <c r="F143" s="153"/>
      <c r="I143" s="170"/>
    </row>
    <row r="144" spans="2:9" ht="15.75" customHeight="1">
      <c r="B144" s="159" t="s">
        <v>375</v>
      </c>
      <c r="C144" s="160">
        <f t="shared" si="2"/>
        <v>0.26186265133601533</v>
      </c>
      <c r="D144" s="161">
        <f>0.17*D7</f>
        <v>10199.999691705834</v>
      </c>
      <c r="E144" s="153"/>
      <c r="F144" s="153"/>
      <c r="G144" s="156" t="s">
        <v>390</v>
      </c>
      <c r="I144" s="169">
        <f>CD_0</f>
        <v>1.5600000000000001E-2</v>
      </c>
    </row>
    <row r="145" spans="2:9" ht="15.75" customHeight="1">
      <c r="B145" s="153"/>
      <c r="C145" s="153"/>
      <c r="D145" s="153"/>
      <c r="E145" s="153"/>
      <c r="F145" s="162"/>
    </row>
    <row r="146" spans="2:9" ht="15.75" customHeight="1">
      <c r="B146" s="163" t="s">
        <v>376</v>
      </c>
      <c r="C146" s="160">
        <f>SUM(C137:C144)</f>
        <v>1</v>
      </c>
      <c r="D146" s="161">
        <f>SUM(D137:D144)</f>
        <v>38951.716251499573</v>
      </c>
      <c r="E146" s="153"/>
      <c r="F146" s="153"/>
      <c r="G146" s="156" t="s">
        <v>391</v>
      </c>
      <c r="I146" s="167">
        <v>0.8</v>
      </c>
    </row>
    <row r="147" spans="2:9" ht="15.75" customHeight="1">
      <c r="B147" s="163" t="s">
        <v>378</v>
      </c>
      <c r="C147" s="154"/>
      <c r="D147" s="161">
        <f>NONEXP</f>
        <v>2800</v>
      </c>
      <c r="E147" s="153"/>
      <c r="F147" s="153"/>
      <c r="G147" s="156" t="s">
        <v>392</v>
      </c>
      <c r="I147" s="168">
        <f>1/(PI()*D9*I146)</f>
        <v>5.1011199708940809E-2</v>
      </c>
    </row>
    <row r="148" spans="2:9" ht="15.75" customHeight="1">
      <c r="B148" s="163" t="s">
        <v>52</v>
      </c>
      <c r="C148" s="154"/>
      <c r="D148" s="161">
        <f>'WINGLOAD-BIZ'!H12</f>
        <v>23599.999202062161</v>
      </c>
      <c r="E148" s="153"/>
      <c r="F148" s="153"/>
    </row>
    <row r="149" spans="2:9" ht="15.75" customHeight="1">
      <c r="B149" s="163"/>
      <c r="C149" s="154"/>
      <c r="D149" s="161"/>
      <c r="E149" s="153"/>
      <c r="F149" s="153"/>
    </row>
    <row r="150" spans="2:9" ht="15.75" customHeight="1">
      <c r="B150" s="163" t="s">
        <v>381</v>
      </c>
      <c r="C150" s="154"/>
      <c r="D150" s="161">
        <f>SUM(D146:D148)</f>
        <v>65351.71545356173</v>
      </c>
      <c r="E150" s="153"/>
      <c r="F150" s="153"/>
    </row>
    <row r="151" spans="2:9" ht="15.75" customHeight="1">
      <c r="B151" s="153"/>
      <c r="C151" s="154"/>
      <c r="D151" s="154"/>
      <c r="E151" s="153"/>
      <c r="F151" s="153"/>
    </row>
    <row r="152" spans="2:9" ht="15.75" customHeight="1">
      <c r="B152" s="163" t="s">
        <v>382</v>
      </c>
      <c r="C152" s="154"/>
      <c r="D152" s="161">
        <f>D129</f>
        <v>59999.998186504905</v>
      </c>
      <c r="E152" s="153"/>
      <c r="F152" s="153"/>
    </row>
    <row r="153" spans="2:9" ht="15.75" customHeight="1">
      <c r="B153" s="163" t="s">
        <v>383</v>
      </c>
      <c r="C153" s="154"/>
      <c r="D153" s="161">
        <f>D150-D152</f>
        <v>5351.7172670568252</v>
      </c>
      <c r="E153" s="153"/>
      <c r="F153" s="154" t="s">
        <v>384</v>
      </c>
    </row>
  </sheetData>
  <mergeCells count="19">
    <mergeCell ref="C105:E105"/>
    <mergeCell ref="G110:I110"/>
    <mergeCell ref="G133:I133"/>
    <mergeCell ref="B110:D110"/>
    <mergeCell ref="B133:D133"/>
    <mergeCell ref="B2:E2"/>
    <mergeCell ref="G2:J2"/>
    <mergeCell ref="H4:J4"/>
    <mergeCell ref="H18:J18"/>
    <mergeCell ref="H33:J33"/>
    <mergeCell ref="H49:J49"/>
    <mergeCell ref="H92:J92"/>
    <mergeCell ref="C18:E18"/>
    <mergeCell ref="C4:E4"/>
    <mergeCell ref="C33:E33"/>
    <mergeCell ref="C49:E49"/>
    <mergeCell ref="C70:E70"/>
    <mergeCell ref="C82:E82"/>
    <mergeCell ref="C92:E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41" baseType="lpstr">
      <vt:lpstr>ITERTOW-BIZ</vt:lpstr>
      <vt:lpstr>WINGLOAD-BIZ</vt:lpstr>
      <vt:lpstr>WING-BIZ</vt:lpstr>
      <vt:lpstr>FUSELAGE-BIZ</vt:lpstr>
      <vt:lpstr>TAIL-BIZ</vt:lpstr>
      <vt:lpstr>ITERATION2-BIZ</vt:lpstr>
      <vt:lpstr>Wing Plan View</vt:lpstr>
      <vt:lpstr>Fuselage Side View</vt:lpstr>
      <vt:lpstr>Vertical Tail Side View</vt:lpstr>
      <vt:lpstr>Horizontal Tail Plan View</vt:lpstr>
      <vt:lpstr>A</vt:lpstr>
      <vt:lpstr>CD_0</vt:lpstr>
      <vt:lpstr>CMN</vt:lpstr>
      <vt:lpstr>'FUSELAGE-BIZ'!D</vt:lpstr>
      <vt:lpstr>EXP</vt:lpstr>
      <vt:lpstr>'FUSELAGE-BIZ'!FIN</vt:lpstr>
      <vt:lpstr>'FUSELAGE-BIZ'!FQ</vt:lpstr>
      <vt:lpstr>FR</vt:lpstr>
      <vt:lpstr>FT</vt:lpstr>
      <vt:lpstr>H</vt:lpstr>
      <vt:lpstr>HC</vt:lpstr>
      <vt:lpstr>k</vt:lpstr>
      <vt:lpstr>LL</vt:lpstr>
      <vt:lpstr>LT</vt:lpstr>
      <vt:lpstr>M</vt:lpstr>
      <vt:lpstr>MC</vt:lpstr>
      <vt:lpstr>MMX</vt:lpstr>
      <vt:lpstr>NONEXP</vt:lpstr>
      <vt:lpstr>'FUSELAGE-BIZ'!nu</vt:lpstr>
      <vt:lpstr>'FUSELAGE-BIZ'!q</vt:lpstr>
      <vt:lpstr>RA</vt:lpstr>
      <vt:lpstr>S</vt:lpstr>
      <vt:lpstr>SFACT</vt:lpstr>
      <vt:lpstr>SHT</vt:lpstr>
      <vt:lpstr>T</vt:lpstr>
      <vt:lpstr>tcht</vt:lpstr>
      <vt:lpstr>TMX</vt:lpstr>
      <vt:lpstr>'FUSELAGE-BIZ'!V</vt:lpstr>
      <vt:lpstr>WL</vt:lpstr>
      <vt:lpstr>WS</vt:lpstr>
      <vt:lpstr>WTO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iterative take-off weight</dc:title>
  <dc:subject/>
  <dc:creator>TCC</dc:creator>
  <cp:keywords/>
  <dc:description>from first choice original</dc:description>
  <cp:lastModifiedBy>Long, Nathan (longnm)</cp:lastModifiedBy>
  <cp:revision/>
  <dcterms:created xsi:type="dcterms:W3CDTF">2002-08-27T17:50:51Z</dcterms:created>
  <dcterms:modified xsi:type="dcterms:W3CDTF">2023-04-20T22:59:11Z</dcterms:modified>
  <cp:category/>
  <cp:contentStatus/>
</cp:coreProperties>
</file>