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drawings/drawing3.xml" ContentType="application/vnd.openxmlformats-officedocument.drawing+xml"/>
  <Override PartName="/xl/charts/chart5.xml" ContentType="application/vnd.openxmlformats-officedocument.drawingml.chart+xml"/>
  <Override PartName="/xl/drawings/drawing4.xml" ContentType="application/vnd.openxmlformats-officedocument.drawing+xml"/>
  <Override PartName="/xl/charts/chart6.xml" ContentType="application/vnd.openxmlformats-officedocument.drawingml.chart+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405"/>
  <workbookPr/>
  <mc:AlternateContent xmlns:mc="http://schemas.openxmlformats.org/markup-compatibility/2006">
    <mc:Choice Requires="x15">
      <x15ac:absPath xmlns:x15ac="http://schemas.microsoft.com/office/spreadsheetml/2010/11/ac" url="https://mailuc-my.sharepoint.com/personal/marti2bc_mail_uc_edu/Documents/Spring 2023/Aircraft Performance and Design/Assignments/Team Assignments/"/>
    </mc:Choice>
  </mc:AlternateContent>
  <xr:revisionPtr revIDLastSave="29" documentId="13_ncr:1_{7541E74B-1D02-4794-9A34-5327C101AECD}" xr6:coauthVersionLast="47" xr6:coauthVersionMax="47" xr10:uidLastSave="{4DB908C6-B5EC-4CFE-865A-046E25731BB7}"/>
  <bookViews>
    <workbookView xWindow="-108" yWindow="-108" windowWidth="23256" windowHeight="13176" xr2:uid="{00000000-000D-0000-FFFF-FFFF00000000}"/>
  </bookViews>
  <sheets>
    <sheet name="Power Series Cylinder" sheetId="19" r:id="rId1"/>
    <sheet name="Power Series Cylinder - simple" sheetId="18" r:id="rId2"/>
    <sheet name="Ogive" sheetId="1" r:id="rId3"/>
    <sheet name="Sears-Haack" sheetId="17" r:id="rId4"/>
    <sheet name="Sheet2" sheetId="2" r:id="rId5"/>
    <sheet name="Sheet3" sheetId="3" r:id="rId6"/>
  </sheets>
  <definedNames>
    <definedName name="D" localSheetId="0">'Power Series Cylinder'!$B$13</definedName>
    <definedName name="D" localSheetId="1">'Power Series Cylinder - simple'!$B$13</definedName>
    <definedName name="D" localSheetId="3">'Sears-Haack'!$B$13</definedName>
    <definedName name="D">Ogive!$B$13</definedName>
    <definedName name="FIN" localSheetId="0">'Power Series Cylinder'!$B$14</definedName>
    <definedName name="FIN" localSheetId="1">'Power Series Cylinder - simple'!$B$14</definedName>
    <definedName name="FIN" localSheetId="3">'Sears-Haack'!$B$14</definedName>
    <definedName name="FIN">Ogive!$B$14</definedName>
    <definedName name="FQ" localSheetId="0">'Power Series Cylinder'!$E$15</definedName>
    <definedName name="FQ" localSheetId="1">'Power Series Cylinder - simple'!$E$15</definedName>
    <definedName name="FQ" localSheetId="3">'Sears-Haack'!$E$15</definedName>
    <definedName name="FQ">Ogive!$E$15</definedName>
    <definedName name="H" localSheetId="0">'Power Series Cylinder'!$B$5</definedName>
    <definedName name="H" localSheetId="1">'Power Series Cylinder - simple'!$B$5</definedName>
    <definedName name="H" localSheetId="3">'Sears-Haack'!$B$5</definedName>
    <definedName name="H">Ogive!$B$5</definedName>
    <definedName name="L" localSheetId="0">'Power Series Cylinder'!$B$14</definedName>
    <definedName name="L" localSheetId="1">'Power Series Cylinder - simple'!$B$14</definedName>
    <definedName name="L" localSheetId="3">'Sears-Haack'!$B$14</definedName>
    <definedName name="L">Ogive!$B$14</definedName>
    <definedName name="LL" localSheetId="0">'Power Series Cylinder'!$B$15</definedName>
    <definedName name="LL" localSheetId="1">'Power Series Cylinder - simple'!$B$15</definedName>
    <definedName name="LL" localSheetId="3">'Sears-Haack'!$B$15</definedName>
    <definedName name="LL">Ogive!$B$15</definedName>
    <definedName name="MC" localSheetId="0">'Power Series Cylinder'!$B$4</definedName>
    <definedName name="MC" localSheetId="1">'Power Series Cylinder - simple'!$B$4</definedName>
    <definedName name="MC" localSheetId="3">'Sears-Haack'!$B$4</definedName>
    <definedName name="MC">Ogive!$B$4</definedName>
    <definedName name="nu" localSheetId="0">'Power Series Cylinder'!$B$10</definedName>
    <definedName name="nu" localSheetId="1">'Power Series Cylinder - simple'!$B$10</definedName>
    <definedName name="nu" localSheetId="3">'Sears-Haack'!$B$10</definedName>
    <definedName name="nu">Ogive!$B$10</definedName>
    <definedName name="q" localSheetId="0">'Power Series Cylinder'!$B$8</definedName>
    <definedName name="q" localSheetId="1">'Power Series Cylinder - simple'!$B$8</definedName>
    <definedName name="q" localSheetId="3">'Sears-Haack'!$B$8</definedName>
    <definedName name="q">Ogive!$B$8</definedName>
    <definedName name="S" localSheetId="0">'Power Series Cylinder'!$B$16</definedName>
    <definedName name="S" localSheetId="1">'Power Series Cylinder - simple'!$B$16</definedName>
    <definedName name="S" localSheetId="3">'Sears-Haack'!$B$16</definedName>
    <definedName name="S">Ogive!$B$16</definedName>
    <definedName name="V" localSheetId="0">'Power Series Cylinder'!$B$6</definedName>
    <definedName name="V" localSheetId="1">'Power Series Cylinder - simple'!$B$6</definedName>
    <definedName name="V" localSheetId="3">'Sears-Haack'!$B$6</definedName>
    <definedName name="V">Ogive!$B$6</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24" i="19" l="1"/>
  <c r="B101" i="19"/>
  <c r="C101" i="19" s="1"/>
  <c r="B102" i="19"/>
  <c r="C102" i="19" s="1"/>
  <c r="B103" i="19"/>
  <c r="C103" i="19" s="1"/>
  <c r="B104" i="19"/>
  <c r="C104" i="19" s="1"/>
  <c r="B105" i="19"/>
  <c r="C105" i="19" s="1"/>
  <c r="B106" i="19"/>
  <c r="C106" i="19" s="1"/>
  <c r="B107" i="19"/>
  <c r="C107" i="19" s="1"/>
  <c r="B108" i="19"/>
  <c r="C108" i="19" s="1"/>
  <c r="B109" i="19"/>
  <c r="C109" i="19" s="1"/>
  <c r="B110" i="19"/>
  <c r="C110" i="19" s="1"/>
  <c r="B111" i="19"/>
  <c r="B112" i="19"/>
  <c r="C112" i="19" s="1"/>
  <c r="B113" i="19"/>
  <c r="C113" i="19" s="1"/>
  <c r="B114" i="19"/>
  <c r="B115" i="19"/>
  <c r="C115" i="19" s="1"/>
  <c r="B116" i="19"/>
  <c r="C116" i="19" s="1"/>
  <c r="B117" i="19"/>
  <c r="B118" i="19"/>
  <c r="B119" i="19"/>
  <c r="C119" i="19" s="1"/>
  <c r="B120" i="19"/>
  <c r="C120" i="19" s="1"/>
  <c r="B121" i="19"/>
  <c r="B122" i="19"/>
  <c r="C122" i="19" s="1"/>
  <c r="B123" i="19"/>
  <c r="B124" i="19"/>
  <c r="B50" i="19"/>
  <c r="C50" i="19" s="1"/>
  <c r="B51" i="19"/>
  <c r="B52" i="19"/>
  <c r="B53" i="19"/>
  <c r="C53" i="19" s="1"/>
  <c r="B54" i="19"/>
  <c r="B55" i="19"/>
  <c r="B56" i="19"/>
  <c r="C56" i="19" s="1"/>
  <c r="B57" i="19"/>
  <c r="B58" i="19"/>
  <c r="B59" i="19"/>
  <c r="C59" i="19" s="1"/>
  <c r="B60" i="19"/>
  <c r="B61" i="19"/>
  <c r="B62" i="19"/>
  <c r="C62" i="19" s="1"/>
  <c r="B63" i="19"/>
  <c r="C63" i="19" s="1"/>
  <c r="B64" i="19"/>
  <c r="B65" i="19"/>
  <c r="C65" i="19" s="1"/>
  <c r="B66" i="19"/>
  <c r="C66" i="19" s="1"/>
  <c r="B67" i="19"/>
  <c r="B68" i="19"/>
  <c r="C68" i="19" s="1"/>
  <c r="B69" i="19"/>
  <c r="C69" i="19" s="1"/>
  <c r="B70" i="19"/>
  <c r="B71" i="19"/>
  <c r="C71" i="19" s="1"/>
  <c r="B72" i="19"/>
  <c r="C72" i="19"/>
  <c r="B73" i="19"/>
  <c r="B74" i="19"/>
  <c r="C74" i="19" s="1"/>
  <c r="B75" i="19"/>
  <c r="C75" i="19" s="1"/>
  <c r="C117" i="19" l="1"/>
  <c r="C114" i="19"/>
  <c r="C111" i="19"/>
  <c r="C123" i="19"/>
  <c r="C124" i="19"/>
  <c r="C121" i="19"/>
  <c r="C118" i="19"/>
  <c r="C60" i="19"/>
  <c r="C57" i="19"/>
  <c r="C54" i="19"/>
  <c r="C51" i="19"/>
  <c r="C73" i="19"/>
  <c r="C70" i="19"/>
  <c r="C67" i="19"/>
  <c r="C64" i="19"/>
  <c r="C61" i="19"/>
  <c r="C58" i="19"/>
  <c r="C55" i="19"/>
  <c r="C52" i="19"/>
  <c r="B100" i="19"/>
  <c r="C100" i="19" s="1"/>
  <c r="B99" i="19"/>
  <c r="C99" i="19" s="1"/>
  <c r="B98" i="19"/>
  <c r="C98" i="19" s="1"/>
  <c r="B97" i="19"/>
  <c r="C97" i="19" s="1"/>
  <c r="B96" i="19"/>
  <c r="C96" i="19" s="1"/>
  <c r="B95" i="19"/>
  <c r="B94" i="19"/>
  <c r="C94" i="19" s="1"/>
  <c r="B93" i="19"/>
  <c r="C93" i="19" s="1"/>
  <c r="B92" i="19"/>
  <c r="C92" i="19" s="1"/>
  <c r="B91" i="19"/>
  <c r="C91" i="19" s="1"/>
  <c r="B90" i="19"/>
  <c r="C90" i="19" s="1"/>
  <c r="B89" i="19"/>
  <c r="C89" i="19" s="1"/>
  <c r="B88" i="19"/>
  <c r="C88" i="19" s="1"/>
  <c r="B87" i="19"/>
  <c r="C87" i="19" s="1"/>
  <c r="B86" i="19"/>
  <c r="C86" i="19" s="1"/>
  <c r="B85" i="19"/>
  <c r="C85" i="19" s="1"/>
  <c r="B84" i="19"/>
  <c r="C84" i="19" s="1"/>
  <c r="B83" i="19"/>
  <c r="C83" i="19" s="1"/>
  <c r="B82" i="19"/>
  <c r="C82" i="19" s="1"/>
  <c r="B81" i="19"/>
  <c r="C81" i="19" s="1"/>
  <c r="B80" i="19"/>
  <c r="C80" i="19" s="1"/>
  <c r="B79" i="19"/>
  <c r="C79" i="19" s="1"/>
  <c r="B78" i="19"/>
  <c r="C78" i="19" s="1"/>
  <c r="B77" i="19"/>
  <c r="C77" i="19" s="1"/>
  <c r="B76" i="19"/>
  <c r="C76" i="19" s="1"/>
  <c r="B49" i="19"/>
  <c r="C49" i="19" s="1"/>
  <c r="B48" i="19"/>
  <c r="B47" i="19"/>
  <c r="C47" i="19" s="1"/>
  <c r="B46" i="19"/>
  <c r="C46" i="19" s="1"/>
  <c r="B45" i="19"/>
  <c r="C45" i="19" s="1"/>
  <c r="B44" i="19"/>
  <c r="C44" i="19" s="1"/>
  <c r="B43" i="19"/>
  <c r="C43" i="19" s="1"/>
  <c r="B42" i="19"/>
  <c r="C42" i="19" s="1"/>
  <c r="B41" i="19"/>
  <c r="C41" i="19" s="1"/>
  <c r="B40" i="19"/>
  <c r="C40" i="19" s="1"/>
  <c r="B39" i="19"/>
  <c r="C39" i="19" s="1"/>
  <c r="B38" i="19"/>
  <c r="C38" i="19" s="1"/>
  <c r="B37" i="19"/>
  <c r="C37" i="19" s="1"/>
  <c r="B36" i="19"/>
  <c r="C36" i="19" s="1"/>
  <c r="B35" i="19"/>
  <c r="C35" i="19" s="1"/>
  <c r="B34" i="19"/>
  <c r="C34" i="19" s="1"/>
  <c r="B33" i="19"/>
  <c r="C33" i="19" s="1"/>
  <c r="B32" i="19"/>
  <c r="C32" i="19" s="1"/>
  <c r="B31" i="19"/>
  <c r="C31" i="19" s="1"/>
  <c r="B30" i="19"/>
  <c r="C30" i="19" s="1"/>
  <c r="B29" i="19"/>
  <c r="C29" i="19" s="1"/>
  <c r="B28" i="19"/>
  <c r="C28" i="19" s="1"/>
  <c r="B27" i="19"/>
  <c r="C27" i="19" s="1"/>
  <c r="B26" i="19"/>
  <c r="C26" i="19" s="1"/>
  <c r="B25" i="19"/>
  <c r="C25" i="19" s="1"/>
  <c r="B24" i="19"/>
  <c r="C24" i="19" s="1"/>
  <c r="B13" i="19"/>
  <c r="D76" i="19" s="1"/>
  <c r="B9" i="19"/>
  <c r="B7" i="19"/>
  <c r="B6" i="19"/>
  <c r="B65" i="18"/>
  <c r="C65" i="18" s="1"/>
  <c r="B66" i="18"/>
  <c r="B67" i="18"/>
  <c r="B68" i="18"/>
  <c r="C68" i="18" s="1"/>
  <c r="B69" i="18"/>
  <c r="C69" i="18" s="1"/>
  <c r="B70" i="18"/>
  <c r="B71" i="18"/>
  <c r="C71" i="18"/>
  <c r="B72" i="18"/>
  <c r="C72" i="18"/>
  <c r="B30" i="18"/>
  <c r="C30" i="18" s="1"/>
  <c r="B31" i="18"/>
  <c r="C31" i="18" s="1"/>
  <c r="B32" i="18"/>
  <c r="B33" i="18"/>
  <c r="C33" i="18" s="1"/>
  <c r="B34" i="18"/>
  <c r="C34" i="18" s="1"/>
  <c r="B35" i="18"/>
  <c r="C35" i="18" s="1"/>
  <c r="B36" i="18"/>
  <c r="C36" i="18"/>
  <c r="B13" i="18"/>
  <c r="D40" i="18" s="1"/>
  <c r="J40" i="18" s="1"/>
  <c r="K40" i="18" s="1"/>
  <c r="B9" i="18"/>
  <c r="B7" i="18"/>
  <c r="B10" i="18" s="1"/>
  <c r="B6" i="18"/>
  <c r="B72" i="17"/>
  <c r="B77" i="17"/>
  <c r="B78" i="17" s="1"/>
  <c r="B15" i="17"/>
  <c r="B55" i="17" s="1"/>
  <c r="C55" i="17" s="1"/>
  <c r="D55" i="17" s="1"/>
  <c r="B63" i="17"/>
  <c r="C63" i="17" s="1"/>
  <c r="D63" i="17" s="1"/>
  <c r="E13" i="17"/>
  <c r="E15" i="17" s="1"/>
  <c r="B9" i="17"/>
  <c r="B7" i="17"/>
  <c r="B10" i="17" s="1"/>
  <c r="G68" i="17" s="1"/>
  <c r="H68" i="17" s="1"/>
  <c r="I68" i="17" s="1"/>
  <c r="B6" i="17"/>
  <c r="B6" i="1"/>
  <c r="B7" i="1"/>
  <c r="B10" i="1" s="1"/>
  <c r="B9" i="1"/>
  <c r="E13" i="1"/>
  <c r="B15" i="1"/>
  <c r="B22" i="1" s="1"/>
  <c r="C22" i="1" s="1"/>
  <c r="D22" i="1" s="1"/>
  <c r="E15" i="1"/>
  <c r="A23" i="1"/>
  <c r="A24" i="1"/>
  <c r="B24" i="1" s="1"/>
  <c r="C24" i="1" s="1"/>
  <c r="D24" i="1" s="1"/>
  <c r="A25" i="1"/>
  <c r="B37" i="1"/>
  <c r="B38" i="1" s="1"/>
  <c r="B31" i="17"/>
  <c r="C31" i="17"/>
  <c r="D31" i="17" s="1"/>
  <c r="B53" i="17"/>
  <c r="C53" i="17" s="1"/>
  <c r="D53" i="17" s="1"/>
  <c r="B54" i="17"/>
  <c r="C54" i="17" s="1"/>
  <c r="D54" i="17" s="1"/>
  <c r="B43" i="17"/>
  <c r="C43" i="17" s="1"/>
  <c r="D43" i="17" s="1"/>
  <c r="K43" i="17" s="1"/>
  <c r="B48" i="17"/>
  <c r="C48" i="17"/>
  <c r="D48" i="17" s="1"/>
  <c r="B50" i="17"/>
  <c r="C50" i="17" s="1"/>
  <c r="D50" i="17" s="1"/>
  <c r="E50" i="17" s="1"/>
  <c r="B39" i="17"/>
  <c r="C39" i="17" s="1"/>
  <c r="D39" i="17" s="1"/>
  <c r="B49" i="17"/>
  <c r="C49" i="17" s="1"/>
  <c r="D49" i="17" s="1"/>
  <c r="B46" i="17"/>
  <c r="B44" i="17"/>
  <c r="B29" i="1"/>
  <c r="B36" i="17"/>
  <c r="C36" i="17" s="1"/>
  <c r="D36" i="17" s="1"/>
  <c r="B66" i="17"/>
  <c r="C66" i="17"/>
  <c r="D66" i="17" s="1"/>
  <c r="E66" i="17" s="1"/>
  <c r="F66" i="17" s="1"/>
  <c r="B62" i="17"/>
  <c r="C62" i="17" s="1"/>
  <c r="D62" i="17" s="1"/>
  <c r="B57" i="17"/>
  <c r="B52" i="17"/>
  <c r="C52" i="17" s="1"/>
  <c r="D52" i="17" s="1"/>
  <c r="K52" i="17" s="1"/>
  <c r="B45" i="17"/>
  <c r="C45" i="17" s="1"/>
  <c r="D45" i="17" s="1"/>
  <c r="C46" i="17"/>
  <c r="D46" i="17" s="1"/>
  <c r="B42" i="17"/>
  <c r="C42" i="17" s="1"/>
  <c r="D42" i="17" s="1"/>
  <c r="E42" i="17" s="1"/>
  <c r="B38" i="17"/>
  <c r="B24" i="17"/>
  <c r="C24" i="17" s="1"/>
  <c r="D24" i="17" s="1"/>
  <c r="K24" i="17" s="1"/>
  <c r="B41" i="17"/>
  <c r="C41" i="17" s="1"/>
  <c r="D41" i="17" s="1"/>
  <c r="B37" i="17"/>
  <c r="C37" i="17" s="1"/>
  <c r="D37" i="17" s="1"/>
  <c r="B33" i="17"/>
  <c r="B25" i="17"/>
  <c r="C25" i="17" s="1"/>
  <c r="D25" i="17" s="1"/>
  <c r="K25" i="17" s="1"/>
  <c r="B23" i="17"/>
  <c r="C23" i="17" s="1"/>
  <c r="D23" i="17" s="1"/>
  <c r="B8" i="17"/>
  <c r="B79" i="17" s="1"/>
  <c r="B29" i="17"/>
  <c r="C29" i="17" s="1"/>
  <c r="D29" i="17" s="1"/>
  <c r="K29" i="17" s="1"/>
  <c r="B26" i="17"/>
  <c r="C26" i="17" s="1"/>
  <c r="D26" i="17" s="1"/>
  <c r="K26" i="17" s="1"/>
  <c r="B28" i="17"/>
  <c r="C28" i="17" s="1"/>
  <c r="D28" i="17" s="1"/>
  <c r="B32" i="17"/>
  <c r="C32" i="17" s="1"/>
  <c r="D32" i="17" s="1"/>
  <c r="E32" i="17" s="1"/>
  <c r="F32" i="17" s="1"/>
  <c r="B22" i="17"/>
  <c r="C22" i="17" s="1"/>
  <c r="D22" i="17" s="1"/>
  <c r="C57" i="17"/>
  <c r="D57" i="17" s="1"/>
  <c r="E57" i="17" s="1"/>
  <c r="K50" i="17"/>
  <c r="E24" i="17"/>
  <c r="F24" i="17" s="1"/>
  <c r="C38" i="17"/>
  <c r="D38" i="17" s="1"/>
  <c r="K38" i="17" s="1"/>
  <c r="K32" i="17"/>
  <c r="E38" i="17"/>
  <c r="E43" i="17"/>
  <c r="F43" i="17" s="1"/>
  <c r="C33" i="17"/>
  <c r="D33" i="17" s="1"/>
  <c r="K33" i="17" s="1"/>
  <c r="C44" i="17"/>
  <c r="D44" i="17" s="1"/>
  <c r="C72" i="17"/>
  <c r="D72" i="17" s="1"/>
  <c r="K72" i="17" s="1"/>
  <c r="K66" i="17"/>
  <c r="B35" i="17"/>
  <c r="C35" i="17" s="1"/>
  <c r="D35" i="17" s="1"/>
  <c r="K35" i="17" s="1"/>
  <c r="B71" i="17"/>
  <c r="C71" i="17" s="1"/>
  <c r="D71" i="17" s="1"/>
  <c r="E71" i="17" s="1"/>
  <c r="B68" i="17"/>
  <c r="B60" i="17"/>
  <c r="C60" i="17" s="1"/>
  <c r="D60" i="17" s="1"/>
  <c r="E60" i="17" s="1"/>
  <c r="B47" i="17"/>
  <c r="C47" i="17" s="1"/>
  <c r="D47" i="17" s="1"/>
  <c r="B40" i="17"/>
  <c r="C40" i="17" s="1"/>
  <c r="D40" i="17" s="1"/>
  <c r="B69" i="17"/>
  <c r="B67" i="17"/>
  <c r="B64" i="17"/>
  <c r="B61" i="17"/>
  <c r="B51" i="17"/>
  <c r="C51" i="17" s="1"/>
  <c r="D51" i="17" s="1"/>
  <c r="B65" i="17"/>
  <c r="B57" i="18"/>
  <c r="C57" i="18" s="1"/>
  <c r="B49" i="18"/>
  <c r="C49" i="18" s="1"/>
  <c r="B26" i="18"/>
  <c r="C26" i="18" s="1"/>
  <c r="B63" i="18"/>
  <c r="C63" i="18" s="1"/>
  <c r="B51" i="18"/>
  <c r="C51" i="18" s="1"/>
  <c r="B58" i="18"/>
  <c r="C58" i="18" s="1"/>
  <c r="B50" i="18"/>
  <c r="C50" i="18" s="1"/>
  <c r="B42" i="18"/>
  <c r="B24" i="18"/>
  <c r="C24" i="18" s="1"/>
  <c r="B45" i="18"/>
  <c r="C45" i="18" s="1"/>
  <c r="B61" i="18"/>
  <c r="B29" i="18"/>
  <c r="B37" i="18"/>
  <c r="C37" i="18" s="1"/>
  <c r="B22" i="18"/>
  <c r="B59" i="18"/>
  <c r="C59" i="18" s="1"/>
  <c r="B39" i="18"/>
  <c r="C39" i="18"/>
  <c r="B48" i="18"/>
  <c r="B64" i="18"/>
  <c r="C64" i="18" s="1"/>
  <c r="B60" i="18"/>
  <c r="C60" i="18" s="1"/>
  <c r="B52" i="18"/>
  <c r="C52" i="18" s="1"/>
  <c r="B27" i="18"/>
  <c r="B23" i="18"/>
  <c r="C23" i="18" s="1"/>
  <c r="B47" i="18"/>
  <c r="C47" i="18" s="1"/>
  <c r="B62" i="18"/>
  <c r="B54" i="18"/>
  <c r="C54" i="18" s="1"/>
  <c r="B46" i="18"/>
  <c r="C46" i="18" s="1"/>
  <c r="B38" i="18"/>
  <c r="C38" i="18" s="1"/>
  <c r="B28" i="18"/>
  <c r="B53" i="18"/>
  <c r="C53" i="18" s="1"/>
  <c r="B25" i="18"/>
  <c r="C25" i="18" s="1"/>
  <c r="B56" i="18"/>
  <c r="B43" i="18"/>
  <c r="C43" i="18" s="1"/>
  <c r="B41" i="18"/>
  <c r="C41" i="18" s="1"/>
  <c r="B40" i="18"/>
  <c r="C40" i="18" s="1"/>
  <c r="B55" i="18"/>
  <c r="C55" i="18" s="1"/>
  <c r="B44" i="18"/>
  <c r="C65" i="17"/>
  <c r="D65" i="17" s="1"/>
  <c r="C64" i="17"/>
  <c r="D64" i="17" s="1"/>
  <c r="C61" i="17"/>
  <c r="D61" i="17" s="1"/>
  <c r="C67" i="17"/>
  <c r="D67" i="17" s="1"/>
  <c r="K67" i="17" s="1"/>
  <c r="E72" i="17"/>
  <c r="F72" i="17"/>
  <c r="C69" i="17"/>
  <c r="D69" i="17" s="1"/>
  <c r="K69" i="17" s="1"/>
  <c r="C68" i="17"/>
  <c r="D68" i="17" s="1"/>
  <c r="E33" i="17"/>
  <c r="F33" i="17" s="1"/>
  <c r="C42" i="18"/>
  <c r="C62" i="18"/>
  <c r="C22" i="18"/>
  <c r="K71" i="17"/>
  <c r="E35" i="17"/>
  <c r="E68" i="17"/>
  <c r="F68" i="17"/>
  <c r="K68" i="17"/>
  <c r="K60" i="17"/>
  <c r="C56" i="18"/>
  <c r="D49" i="19" l="1"/>
  <c r="D115" i="19"/>
  <c r="D47" i="19"/>
  <c r="D85" i="19"/>
  <c r="J85" i="19" s="1"/>
  <c r="K85" i="19" s="1"/>
  <c r="D117" i="19"/>
  <c r="E117" i="19" s="1"/>
  <c r="F117" i="19" s="1"/>
  <c r="D77" i="19"/>
  <c r="E77" i="19" s="1"/>
  <c r="F77" i="19" s="1"/>
  <c r="D108" i="19"/>
  <c r="D103" i="19"/>
  <c r="D106" i="19"/>
  <c r="D109" i="19"/>
  <c r="D101" i="19"/>
  <c r="D104" i="19"/>
  <c r="D107" i="19"/>
  <c r="D110" i="19"/>
  <c r="D102" i="19"/>
  <c r="D105" i="19"/>
  <c r="D81" i="19"/>
  <c r="D91" i="19"/>
  <c r="D119" i="19"/>
  <c r="J119" i="19" s="1"/>
  <c r="K119" i="19" s="1"/>
  <c r="D112" i="19"/>
  <c r="J112" i="19" s="1"/>
  <c r="K112" i="19" s="1"/>
  <c r="D41" i="19"/>
  <c r="D90" i="19"/>
  <c r="J90" i="19" s="1"/>
  <c r="K90" i="19" s="1"/>
  <c r="D78" i="19"/>
  <c r="D122" i="19"/>
  <c r="E122" i="19" s="1"/>
  <c r="D121" i="19"/>
  <c r="E121" i="19" s="1"/>
  <c r="D111" i="19"/>
  <c r="E111" i="19" s="1"/>
  <c r="F111" i="19" s="1"/>
  <c r="D93" i="19"/>
  <c r="D43" i="19"/>
  <c r="D79" i="19"/>
  <c r="D40" i="19"/>
  <c r="D87" i="19"/>
  <c r="D114" i="19"/>
  <c r="D100" i="19"/>
  <c r="D84" i="19"/>
  <c r="D113" i="19"/>
  <c r="J113" i="19" s="1"/>
  <c r="K113" i="19" s="1"/>
  <c r="D118" i="19"/>
  <c r="J118" i="19" s="1"/>
  <c r="K118" i="19" s="1"/>
  <c r="D120" i="19"/>
  <c r="D46" i="19"/>
  <c r="D116" i="19"/>
  <c r="E116" i="19" s="1"/>
  <c r="D124" i="19"/>
  <c r="J124" i="19" s="1"/>
  <c r="K124" i="19" s="1"/>
  <c r="D123" i="19"/>
  <c r="J117" i="19"/>
  <c r="K117" i="19" s="1"/>
  <c r="E119" i="19"/>
  <c r="E112" i="19"/>
  <c r="J115" i="19"/>
  <c r="K115" i="19" s="1"/>
  <c r="E115" i="19"/>
  <c r="D45" i="19"/>
  <c r="E45" i="19" s="1"/>
  <c r="F45" i="19" s="1"/>
  <c r="D39" i="19"/>
  <c r="J39" i="19" s="1"/>
  <c r="K39" i="19" s="1"/>
  <c r="D96" i="19"/>
  <c r="D89" i="19"/>
  <c r="E89" i="19" s="1"/>
  <c r="F89" i="19" s="1"/>
  <c r="D83" i="19"/>
  <c r="E83" i="19" s="1"/>
  <c r="F83" i="19" s="1"/>
  <c r="D63" i="19"/>
  <c r="D66" i="19"/>
  <c r="D69" i="19"/>
  <c r="D51" i="19"/>
  <c r="D54" i="19"/>
  <c r="D57" i="19"/>
  <c r="D60" i="19"/>
  <c r="D73" i="19"/>
  <c r="D74" i="19"/>
  <c r="D64" i="19"/>
  <c r="D65" i="19"/>
  <c r="D67" i="19"/>
  <c r="D68" i="19"/>
  <c r="D70" i="19"/>
  <c r="D71" i="19"/>
  <c r="D50" i="19"/>
  <c r="D52" i="19"/>
  <c r="D53" i="19"/>
  <c r="D55" i="19"/>
  <c r="D56" i="19"/>
  <c r="D58" i="19"/>
  <c r="D59" i="19"/>
  <c r="D61" i="19"/>
  <c r="D62" i="19"/>
  <c r="D75" i="19"/>
  <c r="D72" i="19"/>
  <c r="D95" i="19"/>
  <c r="D44" i="19"/>
  <c r="D38" i="19"/>
  <c r="D94" i="19"/>
  <c r="D88" i="19"/>
  <c r="J88" i="19" s="1"/>
  <c r="K88" i="19" s="1"/>
  <c r="D82" i="19"/>
  <c r="E82" i="19" s="1"/>
  <c r="F82" i="19" s="1"/>
  <c r="D33" i="19"/>
  <c r="E33" i="19" s="1"/>
  <c r="F33" i="19" s="1"/>
  <c r="C48" i="19"/>
  <c r="D48" i="19"/>
  <c r="E48" i="19" s="1"/>
  <c r="F48" i="19" s="1"/>
  <c r="D42" i="19"/>
  <c r="E42" i="19" s="1"/>
  <c r="F42" i="19" s="1"/>
  <c r="D27" i="19"/>
  <c r="J27" i="19" s="1"/>
  <c r="K27" i="19" s="1"/>
  <c r="D92" i="19"/>
  <c r="E92" i="19" s="1"/>
  <c r="F92" i="19" s="1"/>
  <c r="D86" i="19"/>
  <c r="E86" i="19" s="1"/>
  <c r="F86" i="19" s="1"/>
  <c r="D80" i="19"/>
  <c r="E80" i="19" s="1"/>
  <c r="F80" i="19" s="1"/>
  <c r="C95" i="19"/>
  <c r="D32" i="19"/>
  <c r="D99" i="19"/>
  <c r="D37" i="19"/>
  <c r="D31" i="19"/>
  <c r="D98" i="19"/>
  <c r="D36" i="19"/>
  <c r="E36" i="19" s="1"/>
  <c r="F36" i="19" s="1"/>
  <c r="D97" i="19"/>
  <c r="D35" i="19"/>
  <c r="E35" i="19" s="1"/>
  <c r="F35" i="19" s="1"/>
  <c r="D26" i="19"/>
  <c r="D34" i="19"/>
  <c r="D25" i="19"/>
  <c r="D24" i="19"/>
  <c r="D29" i="19"/>
  <c r="D28" i="19"/>
  <c r="D30" i="19"/>
  <c r="E30" i="19" s="1"/>
  <c r="F30" i="19" s="1"/>
  <c r="B14" i="19"/>
  <c r="E13" i="19" s="1"/>
  <c r="E15" i="19" s="1"/>
  <c r="B129" i="19"/>
  <c r="B130" i="19" s="1"/>
  <c r="J47" i="19"/>
  <c r="K47" i="19" s="1"/>
  <c r="J41" i="19"/>
  <c r="K41" i="19" s="1"/>
  <c r="J76" i="19"/>
  <c r="K76" i="19" s="1"/>
  <c r="E47" i="19"/>
  <c r="F47" i="19" s="1"/>
  <c r="E76" i="19"/>
  <c r="F76" i="19" s="1"/>
  <c r="E47" i="17"/>
  <c r="F47" i="17" s="1"/>
  <c r="K47" i="17"/>
  <c r="K64" i="17"/>
  <c r="E64" i="17"/>
  <c r="F64" i="17" s="1"/>
  <c r="E44" i="17"/>
  <c r="F44" i="17" s="1"/>
  <c r="K44" i="17"/>
  <c r="K51" i="17"/>
  <c r="E51" i="17"/>
  <c r="F51" i="17" s="1"/>
  <c r="E29" i="17"/>
  <c r="F29" i="17" s="1"/>
  <c r="I29" i="17" s="1"/>
  <c r="E37" i="17"/>
  <c r="K37" i="17"/>
  <c r="E31" i="17"/>
  <c r="F31" i="17" s="1"/>
  <c r="K31" i="17"/>
  <c r="G35" i="17"/>
  <c r="H35" i="17" s="1"/>
  <c r="G26" i="17"/>
  <c r="H26" i="17" s="1"/>
  <c r="G24" i="17"/>
  <c r="H24" i="17" s="1"/>
  <c r="G60" i="17"/>
  <c r="H60" i="17" s="1"/>
  <c r="G64" i="17"/>
  <c r="H64" i="17" s="1"/>
  <c r="B10" i="19"/>
  <c r="G88" i="19" s="1"/>
  <c r="H88" i="19" s="1"/>
  <c r="B8" i="19"/>
  <c r="G61" i="17"/>
  <c r="H61" i="17" s="1"/>
  <c r="G48" i="17"/>
  <c r="H48" i="17" s="1"/>
  <c r="G55" i="17"/>
  <c r="H55" i="17" s="1"/>
  <c r="E67" i="17"/>
  <c r="F67" i="17" s="1"/>
  <c r="E52" i="17"/>
  <c r="F52" i="17" s="1"/>
  <c r="G63" i="17"/>
  <c r="H63" i="17" s="1"/>
  <c r="B23" i="1"/>
  <c r="C23" i="1" s="1"/>
  <c r="D23" i="1" s="1"/>
  <c r="K57" i="17"/>
  <c r="B31" i="1"/>
  <c r="E69" i="17"/>
  <c r="F69" i="17" s="1"/>
  <c r="F42" i="17"/>
  <c r="G54" i="17"/>
  <c r="H54" i="17" s="1"/>
  <c r="F38" i="17"/>
  <c r="G28" i="17"/>
  <c r="H28" i="17" s="1"/>
  <c r="B28" i="1"/>
  <c r="G28" i="1" s="1"/>
  <c r="H28" i="1" s="1"/>
  <c r="G70" i="18"/>
  <c r="H70" i="18" s="1"/>
  <c r="G69" i="18"/>
  <c r="H69" i="18" s="1"/>
  <c r="G66" i="18"/>
  <c r="H66" i="18" s="1"/>
  <c r="G72" i="18"/>
  <c r="H72" i="18" s="1"/>
  <c r="G62" i="18"/>
  <c r="H62" i="18" s="1"/>
  <c r="G31" i="18"/>
  <c r="H31" i="18" s="1"/>
  <c r="C70" i="18"/>
  <c r="G67" i="18"/>
  <c r="H67" i="18" s="1"/>
  <c r="C66" i="18"/>
  <c r="D58" i="18"/>
  <c r="E58" i="18" s="1"/>
  <c r="F58" i="18" s="1"/>
  <c r="D33" i="18"/>
  <c r="D31" i="18"/>
  <c r="D57" i="18"/>
  <c r="G32" i="18"/>
  <c r="H32" i="18" s="1"/>
  <c r="D27" i="18"/>
  <c r="D22" i="18"/>
  <c r="J22" i="18" s="1"/>
  <c r="K22" i="18" s="1"/>
  <c r="D53" i="18"/>
  <c r="D36" i="18"/>
  <c r="D34" i="18"/>
  <c r="G33" i="18"/>
  <c r="H33" i="18" s="1"/>
  <c r="D25" i="18"/>
  <c r="D24" i="18"/>
  <c r="D52" i="18"/>
  <c r="D63" i="18"/>
  <c r="J63" i="18" s="1"/>
  <c r="K63" i="18" s="1"/>
  <c r="D48" i="18"/>
  <c r="J48" i="18" s="1"/>
  <c r="K48" i="18" s="1"/>
  <c r="G36" i="18"/>
  <c r="H36" i="18" s="1"/>
  <c r="D30" i="18"/>
  <c r="G68" i="18"/>
  <c r="H68" i="18" s="1"/>
  <c r="D62" i="18"/>
  <c r="D44" i="18"/>
  <c r="C67" i="18"/>
  <c r="D39" i="18"/>
  <c r="G30" i="18"/>
  <c r="H30" i="18" s="1"/>
  <c r="G34" i="18"/>
  <c r="H34" i="18" s="1"/>
  <c r="G71" i="18"/>
  <c r="H71" i="18" s="1"/>
  <c r="G65" i="18"/>
  <c r="H65" i="18" s="1"/>
  <c r="D35" i="18"/>
  <c r="D32" i="18"/>
  <c r="E40" i="18"/>
  <c r="F40" i="18" s="1"/>
  <c r="G35" i="18"/>
  <c r="H35" i="18" s="1"/>
  <c r="C32" i="18"/>
  <c r="G63" i="18"/>
  <c r="H63" i="18" s="1"/>
  <c r="C44" i="18"/>
  <c r="G40" i="18"/>
  <c r="H40" i="18" s="1"/>
  <c r="B8" i="18"/>
  <c r="G50" i="18"/>
  <c r="H50" i="18" s="1"/>
  <c r="E49" i="17"/>
  <c r="F49" i="17" s="1"/>
  <c r="K49" i="17"/>
  <c r="K41" i="17"/>
  <c r="E41" i="17"/>
  <c r="F41" i="17" s="1"/>
  <c r="E24" i="1"/>
  <c r="M24" i="1"/>
  <c r="N24" i="1" s="1"/>
  <c r="D30" i="1"/>
  <c r="K63" i="17"/>
  <c r="E63" i="17"/>
  <c r="F63" i="17" s="1"/>
  <c r="I63" i="17" s="1"/>
  <c r="K40" i="17"/>
  <c r="E40" i="17"/>
  <c r="F40" i="17" s="1"/>
  <c r="M22" i="1"/>
  <c r="N22" i="1" s="1"/>
  <c r="E22" i="1"/>
  <c r="K22" i="1" s="1"/>
  <c r="D32" i="1"/>
  <c r="I52" i="17"/>
  <c r="K28" i="17"/>
  <c r="E28" i="17"/>
  <c r="D29" i="18"/>
  <c r="D65" i="18" s="1"/>
  <c r="C29" i="18"/>
  <c r="G29" i="18"/>
  <c r="H29" i="18" s="1"/>
  <c r="D28" i="18"/>
  <c r="D66" i="18" s="1"/>
  <c r="C28" i="18"/>
  <c r="G61" i="18"/>
  <c r="H61" i="18" s="1"/>
  <c r="C61" i="18"/>
  <c r="K36" i="17"/>
  <c r="E36" i="17"/>
  <c r="F36" i="17" s="1"/>
  <c r="G42" i="18"/>
  <c r="H42" i="18" s="1"/>
  <c r="G51" i="18"/>
  <c r="H51" i="18" s="1"/>
  <c r="I24" i="17"/>
  <c r="K54" i="17"/>
  <c r="E54" i="17"/>
  <c r="F54" i="17" s="1"/>
  <c r="G24" i="1"/>
  <c r="H24" i="1" s="1"/>
  <c r="G31" i="1"/>
  <c r="H31" i="1" s="1"/>
  <c r="G25" i="1"/>
  <c r="H25" i="1" s="1"/>
  <c r="G29" i="1"/>
  <c r="H29" i="1" s="1"/>
  <c r="E55" i="17"/>
  <c r="F55" i="17" s="1"/>
  <c r="K55" i="17"/>
  <c r="K45" i="17"/>
  <c r="E45" i="17"/>
  <c r="F45" i="17" s="1"/>
  <c r="E48" i="17"/>
  <c r="F48" i="17" s="1"/>
  <c r="I48" i="17" s="1"/>
  <c r="K48" i="17"/>
  <c r="G55" i="18"/>
  <c r="H55" i="18" s="1"/>
  <c r="G60" i="18"/>
  <c r="H60" i="18" s="1"/>
  <c r="E22" i="17"/>
  <c r="K22" i="17"/>
  <c r="F37" i="17"/>
  <c r="E39" i="17"/>
  <c r="F39" i="17" s="1"/>
  <c r="K39" i="17"/>
  <c r="E53" i="17"/>
  <c r="F53" i="17" s="1"/>
  <c r="K53" i="17"/>
  <c r="G43" i="17"/>
  <c r="H43" i="17" s="1"/>
  <c r="I43" i="17" s="1"/>
  <c r="G53" i="17"/>
  <c r="H53" i="17" s="1"/>
  <c r="G39" i="17"/>
  <c r="H39" i="17" s="1"/>
  <c r="G57" i="17"/>
  <c r="H57" i="17" s="1"/>
  <c r="G41" i="17"/>
  <c r="H41" i="17" s="1"/>
  <c r="G30" i="17"/>
  <c r="H30" i="17" s="1"/>
  <c r="G71" i="17"/>
  <c r="H71" i="17" s="1"/>
  <c r="G51" i="17"/>
  <c r="H51" i="17" s="1"/>
  <c r="G29" i="17"/>
  <c r="H29" i="17" s="1"/>
  <c r="G32" i="17"/>
  <c r="H32" i="17" s="1"/>
  <c r="I32" i="17" s="1"/>
  <c r="G62" i="17"/>
  <c r="H62" i="17" s="1"/>
  <c r="G44" i="17"/>
  <c r="H44" i="17" s="1"/>
  <c r="I44" i="17" s="1"/>
  <c r="G72" i="17"/>
  <c r="H72" i="17" s="1"/>
  <c r="I72" i="17" s="1"/>
  <c r="G47" i="17"/>
  <c r="H47" i="17" s="1"/>
  <c r="G67" i="17"/>
  <c r="H67" i="17" s="1"/>
  <c r="G66" i="17"/>
  <c r="H66" i="17" s="1"/>
  <c r="G37" i="17"/>
  <c r="H37" i="17" s="1"/>
  <c r="G23" i="17"/>
  <c r="H23" i="17" s="1"/>
  <c r="G25" i="17"/>
  <c r="H25" i="17" s="1"/>
  <c r="G49" i="17"/>
  <c r="H49" i="17" s="1"/>
  <c r="G42" i="17"/>
  <c r="H42" i="17" s="1"/>
  <c r="G50" i="17"/>
  <c r="H50" i="17" s="1"/>
  <c r="G46" i="17"/>
  <c r="H46" i="17" s="1"/>
  <c r="G65" i="17"/>
  <c r="H65" i="17" s="1"/>
  <c r="G40" i="17"/>
  <c r="H40" i="17" s="1"/>
  <c r="G69" i="17"/>
  <c r="H69" i="17" s="1"/>
  <c r="G52" i="17"/>
  <c r="H52" i="17" s="1"/>
  <c r="G38" i="17"/>
  <c r="H38" i="17" s="1"/>
  <c r="I38" i="17" s="1"/>
  <c r="G34" i="17"/>
  <c r="H34" i="17" s="1"/>
  <c r="G31" i="17"/>
  <c r="H31" i="17" s="1"/>
  <c r="G33" i="17"/>
  <c r="H33" i="17" s="1"/>
  <c r="I33" i="17" s="1"/>
  <c r="K65" i="17"/>
  <c r="E65" i="17"/>
  <c r="F65" i="17" s="1"/>
  <c r="E23" i="1"/>
  <c r="M23" i="1"/>
  <c r="N23" i="1" s="1"/>
  <c r="D31" i="1"/>
  <c r="E48" i="18"/>
  <c r="F48" i="18" s="1"/>
  <c r="G45" i="17"/>
  <c r="H45" i="17" s="1"/>
  <c r="K42" i="17"/>
  <c r="G36" i="17"/>
  <c r="H36" i="17" s="1"/>
  <c r="E46" i="17"/>
  <c r="F46" i="17" s="1"/>
  <c r="I46" i="17" s="1"/>
  <c r="K46" i="17"/>
  <c r="K62" i="17"/>
  <c r="E62" i="17"/>
  <c r="F62" i="17" s="1"/>
  <c r="F50" i="17"/>
  <c r="B32" i="1"/>
  <c r="G32" i="1" s="1"/>
  <c r="H32" i="1" s="1"/>
  <c r="B26" i="1"/>
  <c r="C26" i="1" s="1"/>
  <c r="D26" i="1" s="1"/>
  <c r="B27" i="1"/>
  <c r="C27" i="1" s="1"/>
  <c r="D27" i="1" s="1"/>
  <c r="B30" i="1"/>
  <c r="G30" i="1" s="1"/>
  <c r="H30" i="1" s="1"/>
  <c r="E23" i="17"/>
  <c r="F23" i="17" s="1"/>
  <c r="K23" i="17"/>
  <c r="G52" i="18"/>
  <c r="H52" i="18" s="1"/>
  <c r="G23" i="18"/>
  <c r="H23" i="18" s="1"/>
  <c r="G54" i="18"/>
  <c r="H54" i="18" s="1"/>
  <c r="G24" i="18"/>
  <c r="H24" i="18" s="1"/>
  <c r="G25" i="18"/>
  <c r="H25" i="18" s="1"/>
  <c r="G43" i="18"/>
  <c r="H43" i="18" s="1"/>
  <c r="G46" i="18"/>
  <c r="H46" i="18" s="1"/>
  <c r="G49" i="18"/>
  <c r="H49" i="18" s="1"/>
  <c r="I51" i="17"/>
  <c r="E25" i="17"/>
  <c r="F25" i="17" s="1"/>
  <c r="G47" i="18"/>
  <c r="H47" i="18" s="1"/>
  <c r="G45" i="18"/>
  <c r="H45" i="18" s="1"/>
  <c r="G53" i="18"/>
  <c r="H53" i="18" s="1"/>
  <c r="G37" i="18"/>
  <c r="H37" i="18" s="1"/>
  <c r="G41" i="18"/>
  <c r="H41" i="18" s="1"/>
  <c r="G27" i="18"/>
  <c r="H27" i="18" s="1"/>
  <c r="K61" i="17"/>
  <c r="E61" i="17"/>
  <c r="F61" i="17" s="1"/>
  <c r="I61" i="17" s="1"/>
  <c r="G48" i="18"/>
  <c r="H48" i="18" s="1"/>
  <c r="G28" i="18"/>
  <c r="H28" i="18" s="1"/>
  <c r="G38" i="18"/>
  <c r="H38" i="18" s="1"/>
  <c r="G39" i="18"/>
  <c r="H39" i="18" s="1"/>
  <c r="G44" i="18"/>
  <c r="H44" i="18" s="1"/>
  <c r="G64" i="18"/>
  <c r="H64" i="18" s="1"/>
  <c r="C48" i="18"/>
  <c r="I66" i="17"/>
  <c r="G57" i="18"/>
  <c r="H57" i="18" s="1"/>
  <c r="G56" i="18"/>
  <c r="H56" i="18" s="1"/>
  <c r="G59" i="18"/>
  <c r="H59" i="18" s="1"/>
  <c r="G58" i="18"/>
  <c r="H58" i="18" s="1"/>
  <c r="C27" i="18"/>
  <c r="D26" i="18"/>
  <c r="D68" i="18" s="1"/>
  <c r="G26" i="18"/>
  <c r="H26" i="18" s="1"/>
  <c r="E26" i="17"/>
  <c r="F26" i="17" s="1"/>
  <c r="G23" i="1"/>
  <c r="H23" i="1" s="1"/>
  <c r="B8" i="1"/>
  <c r="B39" i="1" s="1"/>
  <c r="J57" i="18"/>
  <c r="K57" i="18" s="1"/>
  <c r="E57" i="18"/>
  <c r="F57" i="18" s="1"/>
  <c r="B25" i="1"/>
  <c r="C25" i="1" s="1"/>
  <c r="D25" i="1" s="1"/>
  <c r="D61" i="18"/>
  <c r="D56" i="18"/>
  <c r="D51" i="18"/>
  <c r="D47" i="18"/>
  <c r="D43" i="18"/>
  <c r="D38" i="18"/>
  <c r="D23" i="18"/>
  <c r="D71" i="18" s="1"/>
  <c r="D60" i="18"/>
  <c r="D42" i="18"/>
  <c r="D37" i="18"/>
  <c r="B77" i="18"/>
  <c r="B78" i="18" s="1"/>
  <c r="B14" i="18"/>
  <c r="E13" i="18" s="1"/>
  <c r="E15" i="18" s="1"/>
  <c r="D55" i="18"/>
  <c r="D50" i="18"/>
  <c r="D46" i="18"/>
  <c r="D41" i="18"/>
  <c r="B27" i="17"/>
  <c r="C27" i="17" s="1"/>
  <c r="D27" i="17" s="1"/>
  <c r="B30" i="17"/>
  <c r="C30" i="17" s="1"/>
  <c r="D30" i="17" s="1"/>
  <c r="B34" i="17"/>
  <c r="C34" i="17" s="1"/>
  <c r="D34" i="17" s="1"/>
  <c r="B58" i="17"/>
  <c r="C58" i="17" s="1"/>
  <c r="D58" i="17" s="1"/>
  <c r="B70" i="17"/>
  <c r="F71" i="17" s="1"/>
  <c r="I71" i="17" s="1"/>
  <c r="B59" i="17"/>
  <c r="B56" i="17"/>
  <c r="D59" i="18"/>
  <c r="D54" i="18"/>
  <c r="D49" i="18"/>
  <c r="D45" i="18"/>
  <c r="J77" i="19" l="1"/>
  <c r="K77" i="19" s="1"/>
  <c r="J121" i="19"/>
  <c r="K121" i="19" s="1"/>
  <c r="J116" i="19"/>
  <c r="K116" i="19" s="1"/>
  <c r="J122" i="19"/>
  <c r="K122" i="19" s="1"/>
  <c r="E118" i="19"/>
  <c r="E85" i="19"/>
  <c r="F85" i="19" s="1"/>
  <c r="E105" i="19"/>
  <c r="F105" i="19" s="1"/>
  <c r="J105" i="19"/>
  <c r="K105" i="19" s="1"/>
  <c r="E109" i="19"/>
  <c r="F109" i="19" s="1"/>
  <c r="J109" i="19"/>
  <c r="K109" i="19" s="1"/>
  <c r="E123" i="19"/>
  <c r="F123" i="19" s="1"/>
  <c r="J123" i="19"/>
  <c r="K123" i="19" s="1"/>
  <c r="E39" i="19"/>
  <c r="F39" i="19" s="1"/>
  <c r="E124" i="19"/>
  <c r="F124" i="19" s="1"/>
  <c r="E102" i="19"/>
  <c r="F102" i="19" s="1"/>
  <c r="J102" i="19"/>
  <c r="K102" i="19" s="1"/>
  <c r="J106" i="19"/>
  <c r="K106" i="19" s="1"/>
  <c r="E106" i="19"/>
  <c r="F106" i="19" s="1"/>
  <c r="E110" i="19"/>
  <c r="F110" i="19" s="1"/>
  <c r="J110" i="19"/>
  <c r="K110" i="19" s="1"/>
  <c r="E107" i="19"/>
  <c r="F107" i="19" s="1"/>
  <c r="J107" i="19"/>
  <c r="K107" i="19" s="1"/>
  <c r="E101" i="19"/>
  <c r="F101" i="19" s="1"/>
  <c r="J101" i="19"/>
  <c r="K101" i="19" s="1"/>
  <c r="J111" i="19"/>
  <c r="K111" i="19" s="1"/>
  <c r="E114" i="19"/>
  <c r="F114" i="19" s="1"/>
  <c r="J114" i="19"/>
  <c r="K114" i="19" s="1"/>
  <c r="J103" i="19"/>
  <c r="K103" i="19" s="1"/>
  <c r="E103" i="19"/>
  <c r="F103" i="19" s="1"/>
  <c r="E113" i="19"/>
  <c r="F113" i="19" s="1"/>
  <c r="E120" i="19"/>
  <c r="F120" i="19" s="1"/>
  <c r="J120" i="19"/>
  <c r="K120" i="19" s="1"/>
  <c r="E108" i="19"/>
  <c r="F108" i="19" s="1"/>
  <c r="J108" i="19"/>
  <c r="K108" i="19" s="1"/>
  <c r="E90" i="19"/>
  <c r="F90" i="19" s="1"/>
  <c r="E104" i="19"/>
  <c r="F104" i="19" s="1"/>
  <c r="J104" i="19"/>
  <c r="K104" i="19" s="1"/>
  <c r="G113" i="19"/>
  <c r="H113" i="19" s="1"/>
  <c r="J42" i="19"/>
  <c r="K42" i="19" s="1"/>
  <c r="G123" i="19"/>
  <c r="H123" i="19" s="1"/>
  <c r="J83" i="19"/>
  <c r="K83" i="19" s="1"/>
  <c r="G101" i="19"/>
  <c r="H101" i="19" s="1"/>
  <c r="G121" i="19"/>
  <c r="H121" i="19" s="1"/>
  <c r="G112" i="19"/>
  <c r="H112" i="19" s="1"/>
  <c r="G105" i="19"/>
  <c r="H105" i="19" s="1"/>
  <c r="G102" i="19"/>
  <c r="H102" i="19" s="1"/>
  <c r="I102" i="19" s="1"/>
  <c r="G103" i="19"/>
  <c r="H103" i="19" s="1"/>
  <c r="I103" i="19" s="1"/>
  <c r="G104" i="19"/>
  <c r="H104" i="19" s="1"/>
  <c r="I104" i="19" s="1"/>
  <c r="G108" i="19"/>
  <c r="H108" i="19" s="1"/>
  <c r="G124" i="19"/>
  <c r="H124" i="19" s="1"/>
  <c r="G109" i="19"/>
  <c r="H109" i="19" s="1"/>
  <c r="G116" i="19"/>
  <c r="H116" i="19" s="1"/>
  <c r="G106" i="19"/>
  <c r="H106" i="19" s="1"/>
  <c r="G118" i="19"/>
  <c r="H118" i="19" s="1"/>
  <c r="G107" i="19"/>
  <c r="H107" i="19" s="1"/>
  <c r="G117" i="19"/>
  <c r="H117" i="19" s="1"/>
  <c r="I117" i="19" s="1"/>
  <c r="G110" i="19"/>
  <c r="H110" i="19" s="1"/>
  <c r="G122" i="19"/>
  <c r="H122" i="19" s="1"/>
  <c r="G119" i="19"/>
  <c r="H119" i="19" s="1"/>
  <c r="G114" i="19"/>
  <c r="H114" i="19" s="1"/>
  <c r="G111" i="19"/>
  <c r="H111" i="19" s="1"/>
  <c r="I111" i="19" s="1"/>
  <c r="G115" i="19"/>
  <c r="H115" i="19" s="1"/>
  <c r="G120" i="19"/>
  <c r="H120" i="19" s="1"/>
  <c r="F121" i="19"/>
  <c r="J82" i="19"/>
  <c r="K82" i="19" s="1"/>
  <c r="I109" i="19"/>
  <c r="F112" i="19"/>
  <c r="E27" i="19"/>
  <c r="F27" i="19" s="1"/>
  <c r="F122" i="19"/>
  <c r="F119" i="19"/>
  <c r="J89" i="19"/>
  <c r="K89" i="19" s="1"/>
  <c r="F115" i="19"/>
  <c r="F116" i="19"/>
  <c r="F118" i="19"/>
  <c r="J86" i="19"/>
  <c r="K86" i="19" s="1"/>
  <c r="G69" i="19"/>
  <c r="H69" i="19" s="1"/>
  <c r="G65" i="19"/>
  <c r="H65" i="19" s="1"/>
  <c r="J75" i="19"/>
  <c r="K75" i="19" s="1"/>
  <c r="E75" i="19"/>
  <c r="F75" i="19" s="1"/>
  <c r="E68" i="19"/>
  <c r="F68" i="19" s="1"/>
  <c r="J68" i="19"/>
  <c r="K68" i="19" s="1"/>
  <c r="E60" i="19"/>
  <c r="F60" i="19" s="1"/>
  <c r="J60" i="19"/>
  <c r="K60" i="19" s="1"/>
  <c r="E63" i="19"/>
  <c r="F63" i="19" s="1"/>
  <c r="J63" i="19"/>
  <c r="K63" i="19" s="1"/>
  <c r="G54" i="19"/>
  <c r="H54" i="19" s="1"/>
  <c r="G51" i="19"/>
  <c r="H51" i="19" s="1"/>
  <c r="J62" i="19"/>
  <c r="K62" i="19" s="1"/>
  <c r="E62" i="19"/>
  <c r="F62" i="19" s="1"/>
  <c r="E53" i="19"/>
  <c r="F53" i="19" s="1"/>
  <c r="J53" i="19"/>
  <c r="K53" i="19" s="1"/>
  <c r="E57" i="19"/>
  <c r="F57" i="19" s="1"/>
  <c r="J57" i="19"/>
  <c r="K57" i="19" s="1"/>
  <c r="G55" i="19"/>
  <c r="H55" i="19" s="1"/>
  <c r="G57" i="19"/>
  <c r="H57" i="19" s="1"/>
  <c r="G58" i="19"/>
  <c r="H58" i="19" s="1"/>
  <c r="J61" i="19"/>
  <c r="K61" i="19" s="1"/>
  <c r="E61" i="19"/>
  <c r="F61" i="19" s="1"/>
  <c r="E65" i="19"/>
  <c r="F65" i="19" s="1"/>
  <c r="J65" i="19"/>
  <c r="K65" i="19" s="1"/>
  <c r="G66" i="19"/>
  <c r="H66" i="19" s="1"/>
  <c r="G74" i="19"/>
  <c r="H74" i="19" s="1"/>
  <c r="G31" i="19"/>
  <c r="H31" i="19" s="1"/>
  <c r="E88" i="19"/>
  <c r="G67" i="19"/>
  <c r="H67" i="19" s="1"/>
  <c r="G64" i="19"/>
  <c r="H64" i="19" s="1"/>
  <c r="E59" i="19"/>
  <c r="F59" i="19" s="1"/>
  <c r="J59" i="19"/>
  <c r="K59" i="19" s="1"/>
  <c r="G50" i="19"/>
  <c r="H50" i="19" s="1"/>
  <c r="G62" i="19"/>
  <c r="H62" i="19" s="1"/>
  <c r="G59" i="19"/>
  <c r="H59" i="19" s="1"/>
  <c r="G56" i="19"/>
  <c r="H56" i="19" s="1"/>
  <c r="J58" i="19"/>
  <c r="K58" i="19" s="1"/>
  <c r="E58" i="19"/>
  <c r="F58" i="19" s="1"/>
  <c r="J71" i="19"/>
  <c r="K71" i="19" s="1"/>
  <c r="E71" i="19"/>
  <c r="F71" i="19" s="1"/>
  <c r="J74" i="19"/>
  <c r="K74" i="19" s="1"/>
  <c r="E74" i="19"/>
  <c r="F74" i="19" s="1"/>
  <c r="E69" i="19"/>
  <c r="F69" i="19" s="1"/>
  <c r="J69" i="19"/>
  <c r="K69" i="19" s="1"/>
  <c r="G63" i="19"/>
  <c r="H63" i="19" s="1"/>
  <c r="G71" i="19"/>
  <c r="H71" i="19" s="1"/>
  <c r="J55" i="19"/>
  <c r="K55" i="19" s="1"/>
  <c r="E55" i="19"/>
  <c r="F55" i="19" s="1"/>
  <c r="I55" i="19" s="1"/>
  <c r="E67" i="19"/>
  <c r="F67" i="19" s="1"/>
  <c r="J67" i="19"/>
  <c r="K67" i="19" s="1"/>
  <c r="J36" i="19"/>
  <c r="K36" i="19" s="1"/>
  <c r="G72" i="19"/>
  <c r="H72" i="19" s="1"/>
  <c r="G61" i="19"/>
  <c r="H61" i="19" s="1"/>
  <c r="J52" i="19"/>
  <c r="K52" i="19" s="1"/>
  <c r="E52" i="19"/>
  <c r="F52" i="19" s="1"/>
  <c r="E54" i="19"/>
  <c r="F54" i="19" s="1"/>
  <c r="J54" i="19"/>
  <c r="K54" i="19" s="1"/>
  <c r="G73" i="19"/>
  <c r="H73" i="19" s="1"/>
  <c r="E50" i="19"/>
  <c r="F50" i="19" s="1"/>
  <c r="J50" i="19"/>
  <c r="K50" i="19" s="1"/>
  <c r="E64" i="19"/>
  <c r="F64" i="19" s="1"/>
  <c r="J64" i="19"/>
  <c r="K64" i="19" s="1"/>
  <c r="E51" i="19"/>
  <c r="F51" i="19" s="1"/>
  <c r="J51" i="19"/>
  <c r="K51" i="19" s="1"/>
  <c r="G53" i="19"/>
  <c r="H53" i="19" s="1"/>
  <c r="G52" i="19"/>
  <c r="H52" i="19" s="1"/>
  <c r="J92" i="19"/>
  <c r="K92" i="19" s="1"/>
  <c r="G68" i="19"/>
  <c r="H68" i="19" s="1"/>
  <c r="E72" i="19"/>
  <c r="F72" i="19" s="1"/>
  <c r="J72" i="19"/>
  <c r="K72" i="19" s="1"/>
  <c r="E56" i="19"/>
  <c r="F56" i="19" s="1"/>
  <c r="J56" i="19"/>
  <c r="K56" i="19" s="1"/>
  <c r="E70" i="19"/>
  <c r="F70" i="19" s="1"/>
  <c r="J70" i="19"/>
  <c r="K70" i="19" s="1"/>
  <c r="E73" i="19"/>
  <c r="F73" i="19" s="1"/>
  <c r="J73" i="19"/>
  <c r="K73" i="19" s="1"/>
  <c r="E66" i="19"/>
  <c r="F66" i="19" s="1"/>
  <c r="J66" i="19"/>
  <c r="K66" i="19" s="1"/>
  <c r="G70" i="19"/>
  <c r="H70" i="19" s="1"/>
  <c r="G60" i="19"/>
  <c r="H60" i="19" s="1"/>
  <c r="J35" i="19"/>
  <c r="K35" i="19" s="1"/>
  <c r="G90" i="19"/>
  <c r="H90" i="19" s="1"/>
  <c r="I90" i="19" s="1"/>
  <c r="G86" i="19"/>
  <c r="H86" i="19" s="1"/>
  <c r="I86" i="19" s="1"/>
  <c r="G75" i="19"/>
  <c r="H75" i="19" s="1"/>
  <c r="G40" i="19"/>
  <c r="H40" i="19" s="1"/>
  <c r="G93" i="19"/>
  <c r="H93" i="19" s="1"/>
  <c r="G80" i="19"/>
  <c r="H80" i="19" s="1"/>
  <c r="I80" i="19" s="1"/>
  <c r="G43" i="19"/>
  <c r="H43" i="19" s="1"/>
  <c r="G100" i="19"/>
  <c r="H100" i="19" s="1"/>
  <c r="G36" i="19"/>
  <c r="H36" i="19" s="1"/>
  <c r="I36" i="19" s="1"/>
  <c r="G46" i="19"/>
  <c r="H46" i="19" s="1"/>
  <c r="G82" i="19"/>
  <c r="H82" i="19" s="1"/>
  <c r="I82" i="19" s="1"/>
  <c r="J30" i="19"/>
  <c r="K30" i="19" s="1"/>
  <c r="G49" i="19"/>
  <c r="H49" i="19" s="1"/>
  <c r="G44" i="19"/>
  <c r="H44" i="19" s="1"/>
  <c r="G25" i="19"/>
  <c r="H25" i="19" s="1"/>
  <c r="G87" i="19"/>
  <c r="H87" i="19" s="1"/>
  <c r="G38" i="19"/>
  <c r="H38" i="19" s="1"/>
  <c r="B131" i="19"/>
  <c r="J33" i="19"/>
  <c r="K33" i="19" s="1"/>
  <c r="J80" i="19"/>
  <c r="K80" i="19" s="1"/>
  <c r="G28" i="19"/>
  <c r="H28" i="19" s="1"/>
  <c r="G84" i="19"/>
  <c r="H84" i="19" s="1"/>
  <c r="G76" i="19"/>
  <c r="H76" i="19" s="1"/>
  <c r="I76" i="19" s="1"/>
  <c r="G42" i="19"/>
  <c r="H42" i="19" s="1"/>
  <c r="I42" i="19" s="1"/>
  <c r="J38" i="19"/>
  <c r="K38" i="19" s="1"/>
  <c r="E38" i="19"/>
  <c r="F38" i="19" s="1"/>
  <c r="E44" i="19"/>
  <c r="F44" i="19" s="1"/>
  <c r="J44" i="19"/>
  <c r="K44" i="19" s="1"/>
  <c r="J91" i="19"/>
  <c r="K91" i="19" s="1"/>
  <c r="E91" i="19"/>
  <c r="F91" i="19" s="1"/>
  <c r="J79" i="19"/>
  <c r="K79" i="19" s="1"/>
  <c r="E79" i="19"/>
  <c r="F79" i="19" s="1"/>
  <c r="J48" i="19"/>
  <c r="K48" i="19" s="1"/>
  <c r="J45" i="19"/>
  <c r="K45" i="19" s="1"/>
  <c r="E41" i="19"/>
  <c r="F41" i="19" s="1"/>
  <c r="E32" i="19"/>
  <c r="F32" i="19" s="1"/>
  <c r="J32" i="19"/>
  <c r="K32" i="19" s="1"/>
  <c r="G98" i="19"/>
  <c r="H98" i="19" s="1"/>
  <c r="J37" i="19"/>
  <c r="K37" i="19" s="1"/>
  <c r="E37" i="19"/>
  <c r="F37" i="19" s="1"/>
  <c r="J97" i="19"/>
  <c r="K97" i="19" s="1"/>
  <c r="E97" i="19"/>
  <c r="F97" i="19" s="1"/>
  <c r="E94" i="19"/>
  <c r="F94" i="19" s="1"/>
  <c r="J94" i="19"/>
  <c r="K94" i="19" s="1"/>
  <c r="I64" i="17"/>
  <c r="I26" i="17"/>
  <c r="I42" i="17"/>
  <c r="I67" i="17"/>
  <c r="I55" i="17"/>
  <c r="I40" i="17"/>
  <c r="J78" i="19"/>
  <c r="K78" i="19" s="1"/>
  <c r="E78" i="19"/>
  <c r="F78" i="19" s="1"/>
  <c r="J34" i="19"/>
  <c r="K34" i="19" s="1"/>
  <c r="E34" i="19"/>
  <c r="F34" i="19" s="1"/>
  <c r="G34" i="19"/>
  <c r="H34" i="19" s="1"/>
  <c r="G78" i="19"/>
  <c r="H78" i="19" s="1"/>
  <c r="G96" i="19"/>
  <c r="H96" i="19" s="1"/>
  <c r="G32" i="19"/>
  <c r="H32" i="19" s="1"/>
  <c r="G94" i="19"/>
  <c r="H94" i="19" s="1"/>
  <c r="G92" i="19"/>
  <c r="H92" i="19" s="1"/>
  <c r="I92" i="19" s="1"/>
  <c r="G48" i="19"/>
  <c r="H48" i="19" s="1"/>
  <c r="I48" i="19" s="1"/>
  <c r="G30" i="19"/>
  <c r="H30" i="19" s="1"/>
  <c r="I30" i="19" s="1"/>
  <c r="J81" i="19"/>
  <c r="K81" i="19" s="1"/>
  <c r="E81" i="19"/>
  <c r="F81" i="19" s="1"/>
  <c r="I25" i="17"/>
  <c r="I69" i="17"/>
  <c r="I47" i="17"/>
  <c r="I54" i="17"/>
  <c r="I41" i="17"/>
  <c r="J49" i="19"/>
  <c r="K49" i="19" s="1"/>
  <c r="E49" i="19"/>
  <c r="F49" i="19" s="1"/>
  <c r="J31" i="19"/>
  <c r="K31" i="19" s="1"/>
  <c r="E31" i="19"/>
  <c r="F31" i="19" s="1"/>
  <c r="G37" i="19"/>
  <c r="H37" i="19" s="1"/>
  <c r="G81" i="19"/>
  <c r="H81" i="19" s="1"/>
  <c r="G99" i="19"/>
  <c r="H99" i="19" s="1"/>
  <c r="G26" i="19"/>
  <c r="H26" i="19" s="1"/>
  <c r="E26" i="19"/>
  <c r="F26" i="19" s="1"/>
  <c r="J26" i="19"/>
  <c r="K26" i="19" s="1"/>
  <c r="I37" i="17"/>
  <c r="J46" i="19"/>
  <c r="K46" i="19" s="1"/>
  <c r="E46" i="19"/>
  <c r="F46" i="19" s="1"/>
  <c r="I46" i="19" s="1"/>
  <c r="J28" i="19"/>
  <c r="K28" i="19" s="1"/>
  <c r="E28" i="19"/>
  <c r="F28" i="19" s="1"/>
  <c r="J29" i="19"/>
  <c r="K29" i="19" s="1"/>
  <c r="E29" i="19"/>
  <c r="F29" i="19" s="1"/>
  <c r="G58" i="17"/>
  <c r="H58" i="17" s="1"/>
  <c r="J87" i="19"/>
  <c r="K87" i="19" s="1"/>
  <c r="E87" i="19"/>
  <c r="F87" i="19" s="1"/>
  <c r="J43" i="19"/>
  <c r="K43" i="19" s="1"/>
  <c r="E43" i="19"/>
  <c r="F43" i="19" s="1"/>
  <c r="J25" i="19"/>
  <c r="K25" i="19" s="1"/>
  <c r="E25" i="19"/>
  <c r="F25" i="19" s="1"/>
  <c r="J84" i="19"/>
  <c r="K84" i="19" s="1"/>
  <c r="E84" i="19"/>
  <c r="F84" i="19" s="1"/>
  <c r="J40" i="19"/>
  <c r="K40" i="19" s="1"/>
  <c r="E40" i="19"/>
  <c r="F40" i="19" s="1"/>
  <c r="J24" i="19"/>
  <c r="K24" i="19" s="1"/>
  <c r="E24" i="19"/>
  <c r="G83" i="19"/>
  <c r="H83" i="19" s="1"/>
  <c r="I83" i="19" s="1"/>
  <c r="G97" i="19"/>
  <c r="H97" i="19" s="1"/>
  <c r="G91" i="19"/>
  <c r="H91" i="19" s="1"/>
  <c r="G85" i="19"/>
  <c r="H85" i="19" s="1"/>
  <c r="I85" i="19" s="1"/>
  <c r="G79" i="19"/>
  <c r="H79" i="19" s="1"/>
  <c r="G41" i="19"/>
  <c r="H41" i="19" s="1"/>
  <c r="G35" i="19"/>
  <c r="H35" i="19" s="1"/>
  <c r="I35" i="19" s="1"/>
  <c r="G95" i="19"/>
  <c r="H95" i="19" s="1"/>
  <c r="G47" i="19"/>
  <c r="H47" i="19" s="1"/>
  <c r="I47" i="19" s="1"/>
  <c r="G29" i="19"/>
  <c r="H29" i="19" s="1"/>
  <c r="G89" i="19"/>
  <c r="H89" i="19" s="1"/>
  <c r="I89" i="19" s="1"/>
  <c r="G33" i="19"/>
  <c r="H33" i="19" s="1"/>
  <c r="I33" i="19" s="1"/>
  <c r="G27" i="19"/>
  <c r="H27" i="19" s="1"/>
  <c r="G39" i="19"/>
  <c r="H39" i="19" s="1"/>
  <c r="G77" i="19"/>
  <c r="H77" i="19" s="1"/>
  <c r="I77" i="19" s="1"/>
  <c r="G45" i="19"/>
  <c r="H45" i="19" s="1"/>
  <c r="I45" i="19" s="1"/>
  <c r="J58" i="18"/>
  <c r="K58" i="18" s="1"/>
  <c r="E63" i="18"/>
  <c r="F63" i="18" s="1"/>
  <c r="I63" i="18" s="1"/>
  <c r="E30" i="18"/>
  <c r="F30" i="18" s="1"/>
  <c r="I30" i="18" s="1"/>
  <c r="J30" i="18"/>
  <c r="K30" i="18" s="1"/>
  <c r="D69" i="18"/>
  <c r="J25" i="18"/>
  <c r="K25" i="18" s="1"/>
  <c r="D72" i="18"/>
  <c r="E22" i="18"/>
  <c r="J68" i="18"/>
  <c r="K68" i="18" s="1"/>
  <c r="E68" i="18"/>
  <c r="F68" i="18" s="1"/>
  <c r="I68" i="18" s="1"/>
  <c r="E65" i="18"/>
  <c r="F65" i="18" s="1"/>
  <c r="I65" i="18" s="1"/>
  <c r="J65" i="18"/>
  <c r="K65" i="18" s="1"/>
  <c r="E25" i="18"/>
  <c r="F25" i="18" s="1"/>
  <c r="E32" i="18"/>
  <c r="F32" i="18" s="1"/>
  <c r="I32" i="18" s="1"/>
  <c r="J32" i="18"/>
  <c r="K32" i="18" s="1"/>
  <c r="J39" i="18"/>
  <c r="K39" i="18" s="1"/>
  <c r="E39" i="18"/>
  <c r="F39" i="18" s="1"/>
  <c r="I39" i="18" s="1"/>
  <c r="E27" i="18"/>
  <c r="F27" i="18" s="1"/>
  <c r="I27" i="18" s="1"/>
  <c r="D67" i="18"/>
  <c r="J27" i="18"/>
  <c r="K27" i="18" s="1"/>
  <c r="J35" i="18"/>
  <c r="K35" i="18" s="1"/>
  <c r="E35" i="18"/>
  <c r="F35" i="18" s="1"/>
  <c r="I35" i="18" s="1"/>
  <c r="J44" i="18"/>
  <c r="K44" i="18" s="1"/>
  <c r="E44" i="18"/>
  <c r="F44" i="18" s="1"/>
  <c r="E34" i="18"/>
  <c r="F34" i="18" s="1"/>
  <c r="I34" i="18" s="1"/>
  <c r="J34" i="18"/>
  <c r="K34" i="18" s="1"/>
  <c r="J66" i="18"/>
  <c r="K66" i="18" s="1"/>
  <c r="E66" i="18"/>
  <c r="F66" i="18" s="1"/>
  <c r="I66" i="18" s="1"/>
  <c r="J62" i="18"/>
  <c r="K62" i="18" s="1"/>
  <c r="E62" i="18"/>
  <c r="F62" i="18" s="1"/>
  <c r="I62" i="18" s="1"/>
  <c r="E52" i="18"/>
  <c r="F52" i="18" s="1"/>
  <c r="I52" i="18" s="1"/>
  <c r="J52" i="18"/>
  <c r="K52" i="18" s="1"/>
  <c r="E36" i="18"/>
  <c r="F36" i="18" s="1"/>
  <c r="I36" i="18" s="1"/>
  <c r="J36" i="18"/>
  <c r="K36" i="18" s="1"/>
  <c r="E31" i="18"/>
  <c r="F31" i="18" s="1"/>
  <c r="I31" i="18" s="1"/>
  <c r="J31" i="18"/>
  <c r="K31" i="18" s="1"/>
  <c r="D70" i="18"/>
  <c r="E24" i="18"/>
  <c r="F24" i="18" s="1"/>
  <c r="I24" i="18" s="1"/>
  <c r="J24" i="18"/>
  <c r="K24" i="18" s="1"/>
  <c r="J53" i="18"/>
  <c r="K53" i="18" s="1"/>
  <c r="E53" i="18"/>
  <c r="F53" i="18" s="1"/>
  <c r="I53" i="18" s="1"/>
  <c r="E33" i="18"/>
  <c r="F33" i="18" s="1"/>
  <c r="I33" i="18" s="1"/>
  <c r="J33" i="18"/>
  <c r="K33" i="18" s="1"/>
  <c r="E71" i="18"/>
  <c r="F71" i="18" s="1"/>
  <c r="I71" i="18" s="1"/>
  <c r="J71" i="18"/>
  <c r="K71" i="18" s="1"/>
  <c r="I40" i="18"/>
  <c r="I57" i="18"/>
  <c r="B79" i="18"/>
  <c r="F57" i="17"/>
  <c r="I57" i="17" s="1"/>
  <c r="C56" i="17"/>
  <c r="D56" i="17" s="1"/>
  <c r="J55" i="18"/>
  <c r="K55" i="18" s="1"/>
  <c r="E55" i="18"/>
  <c r="F55" i="18" s="1"/>
  <c r="I55" i="18" s="1"/>
  <c r="D64" i="18"/>
  <c r="J56" i="18"/>
  <c r="K56" i="18" s="1"/>
  <c r="E56" i="18"/>
  <c r="F56" i="18" s="1"/>
  <c r="I56" i="18" s="1"/>
  <c r="I65" i="17"/>
  <c r="G27" i="17"/>
  <c r="H27" i="17" s="1"/>
  <c r="J28" i="18"/>
  <c r="K28" i="18" s="1"/>
  <c r="E28" i="18"/>
  <c r="F28" i="18" s="1"/>
  <c r="I28" i="18" s="1"/>
  <c r="E49" i="18"/>
  <c r="F49" i="18" s="1"/>
  <c r="I49" i="18" s="1"/>
  <c r="J49" i="18"/>
  <c r="K49" i="18" s="1"/>
  <c r="E41" i="18"/>
  <c r="F41" i="18" s="1"/>
  <c r="I41" i="18" s="1"/>
  <c r="J41" i="18"/>
  <c r="K41" i="18" s="1"/>
  <c r="I50" i="17"/>
  <c r="M31" i="1"/>
  <c r="N31" i="1" s="1"/>
  <c r="E31" i="1"/>
  <c r="I53" i="17"/>
  <c r="G27" i="1"/>
  <c r="H27" i="1" s="1"/>
  <c r="I36" i="17"/>
  <c r="J42" i="18"/>
  <c r="K42" i="18" s="1"/>
  <c r="E42" i="18"/>
  <c r="F42" i="18" s="1"/>
  <c r="I42" i="18" s="1"/>
  <c r="E27" i="1"/>
  <c r="M27" i="1"/>
  <c r="N27" i="1" s="1"/>
  <c r="K24" i="1"/>
  <c r="F24" i="1"/>
  <c r="I24" i="1" s="1"/>
  <c r="J60" i="18"/>
  <c r="K60" i="18" s="1"/>
  <c r="E60" i="18"/>
  <c r="F60" i="18" s="1"/>
  <c r="I60" i="18" s="1"/>
  <c r="E51" i="18"/>
  <c r="F51" i="18" s="1"/>
  <c r="I51" i="18" s="1"/>
  <c r="J51" i="18"/>
  <c r="K51" i="18" s="1"/>
  <c r="E26" i="1"/>
  <c r="D28" i="1"/>
  <c r="M26" i="1"/>
  <c r="N26" i="1" s="1"/>
  <c r="C70" i="17"/>
  <c r="D70" i="17" s="1"/>
  <c r="G70" i="17"/>
  <c r="H70" i="17" s="1"/>
  <c r="I25" i="18"/>
  <c r="I31" i="17"/>
  <c r="E58" i="17"/>
  <c r="F58" i="17" s="1"/>
  <c r="I58" i="17" s="1"/>
  <c r="K58" i="17"/>
  <c r="J61" i="18"/>
  <c r="K61" i="18" s="1"/>
  <c r="E61" i="18"/>
  <c r="F61" i="18" s="1"/>
  <c r="I61" i="18" s="1"/>
  <c r="J54" i="18"/>
  <c r="K54" i="18" s="1"/>
  <c r="E54" i="18"/>
  <c r="F54" i="18" s="1"/>
  <c r="I54" i="18" s="1"/>
  <c r="K34" i="17"/>
  <c r="E34" i="17"/>
  <c r="F34" i="17" s="1"/>
  <c r="I34" i="17" s="1"/>
  <c r="J46" i="18"/>
  <c r="K46" i="18" s="1"/>
  <c r="E46" i="18"/>
  <c r="F46" i="18" s="1"/>
  <c r="I46" i="18" s="1"/>
  <c r="J38" i="18"/>
  <c r="K38" i="18" s="1"/>
  <c r="E38" i="18"/>
  <c r="F38" i="18" s="1"/>
  <c r="I38" i="18" s="1"/>
  <c r="E25" i="1"/>
  <c r="D29" i="1"/>
  <c r="M25" i="1"/>
  <c r="N25" i="1" s="1"/>
  <c r="J26" i="18"/>
  <c r="K26" i="18" s="1"/>
  <c r="E26" i="18"/>
  <c r="F26" i="18" s="1"/>
  <c r="I26" i="18" s="1"/>
  <c r="I23" i="17"/>
  <c r="I62" i="17"/>
  <c r="G56" i="17"/>
  <c r="H56" i="17" s="1"/>
  <c r="F28" i="17"/>
  <c r="I28" i="17" s="1"/>
  <c r="E32" i="1"/>
  <c r="M32" i="1"/>
  <c r="N32" i="1" s="1"/>
  <c r="M30" i="1"/>
  <c r="N30" i="1" s="1"/>
  <c r="E30" i="1"/>
  <c r="K27" i="17"/>
  <c r="E27" i="17"/>
  <c r="F27" i="17" s="1"/>
  <c r="E47" i="18"/>
  <c r="F47" i="18" s="1"/>
  <c r="I47" i="18" s="1"/>
  <c r="J47" i="18"/>
  <c r="K47" i="18" s="1"/>
  <c r="G59" i="17"/>
  <c r="H59" i="17" s="1"/>
  <c r="C59" i="17"/>
  <c r="D59" i="17" s="1"/>
  <c r="E45" i="18"/>
  <c r="F45" i="18" s="1"/>
  <c r="I45" i="18" s="1"/>
  <c r="J45" i="18"/>
  <c r="K45" i="18" s="1"/>
  <c r="E23" i="18"/>
  <c r="F23" i="18" s="1"/>
  <c r="J23" i="18"/>
  <c r="K23" i="18" s="1"/>
  <c r="I48" i="18"/>
  <c r="E29" i="18"/>
  <c r="F29" i="18" s="1"/>
  <c r="I29" i="18" s="1"/>
  <c r="J29" i="18"/>
  <c r="K29" i="18" s="1"/>
  <c r="F60" i="17"/>
  <c r="I60" i="17" s="1"/>
  <c r="J59" i="18"/>
  <c r="K59" i="18" s="1"/>
  <c r="E59" i="18"/>
  <c r="F59" i="18" s="1"/>
  <c r="I59" i="18" s="1"/>
  <c r="E30" i="17"/>
  <c r="F30" i="17" s="1"/>
  <c r="I30" i="17" s="1"/>
  <c r="K30" i="17"/>
  <c r="E50" i="18"/>
  <c r="F50" i="18" s="1"/>
  <c r="I50" i="18" s="1"/>
  <c r="J50" i="18"/>
  <c r="K50" i="18" s="1"/>
  <c r="J37" i="18"/>
  <c r="K37" i="18" s="1"/>
  <c r="E37" i="18"/>
  <c r="F37" i="18" s="1"/>
  <c r="I37" i="18" s="1"/>
  <c r="J43" i="18"/>
  <c r="K43" i="18" s="1"/>
  <c r="E43" i="18"/>
  <c r="F43" i="18" s="1"/>
  <c r="I43" i="18" s="1"/>
  <c r="I58" i="18"/>
  <c r="I44" i="18"/>
  <c r="F35" i="17"/>
  <c r="I35" i="17" s="1"/>
  <c r="K23" i="1"/>
  <c r="F23" i="1"/>
  <c r="I39" i="17"/>
  <c r="I45" i="17"/>
  <c r="G26" i="1"/>
  <c r="H26" i="1" s="1"/>
  <c r="I49" i="17"/>
  <c r="I112" i="19" l="1"/>
  <c r="I39" i="19"/>
  <c r="I101" i="19"/>
  <c r="I123" i="19"/>
  <c r="I120" i="19"/>
  <c r="I110" i="19"/>
  <c r="I105" i="19"/>
  <c r="I114" i="19"/>
  <c r="I122" i="19"/>
  <c r="I106" i="19"/>
  <c r="I113" i="19"/>
  <c r="I107" i="19"/>
  <c r="I108" i="19"/>
  <c r="I118" i="19"/>
  <c r="I121" i="19"/>
  <c r="I119" i="19"/>
  <c r="I115" i="19"/>
  <c r="I124" i="19"/>
  <c r="I51" i="19"/>
  <c r="I116" i="19"/>
  <c r="I27" i="19"/>
  <c r="I64" i="19"/>
  <c r="I52" i="19"/>
  <c r="I69" i="19"/>
  <c r="I58" i="19"/>
  <c r="I66" i="19"/>
  <c r="I53" i="19"/>
  <c r="I59" i="19"/>
  <c r="I65" i="19"/>
  <c r="F88" i="19"/>
  <c r="I84" i="19"/>
  <c r="I87" i="19"/>
  <c r="I50" i="19"/>
  <c r="I31" i="19"/>
  <c r="I57" i="19"/>
  <c r="I68" i="19"/>
  <c r="I54" i="19"/>
  <c r="I63" i="19"/>
  <c r="I70" i="19"/>
  <c r="I67" i="19"/>
  <c r="I62" i="19"/>
  <c r="I44" i="19"/>
  <c r="I75" i="19"/>
  <c r="I74" i="19"/>
  <c r="I56" i="19"/>
  <c r="I60" i="19"/>
  <c r="I71" i="19"/>
  <c r="I61" i="19"/>
  <c r="I73" i="19"/>
  <c r="I72" i="19"/>
  <c r="I49" i="19"/>
  <c r="I43" i="19"/>
  <c r="I38" i="19"/>
  <c r="I40" i="19"/>
  <c r="I91" i="19"/>
  <c r="I32" i="19"/>
  <c r="I41" i="19"/>
  <c r="I79" i="19"/>
  <c r="I94" i="19"/>
  <c r="I28" i="19"/>
  <c r="I81" i="19"/>
  <c r="I37" i="19"/>
  <c r="J93" i="19"/>
  <c r="K93" i="19" s="1"/>
  <c r="E93" i="19"/>
  <c r="I34" i="19"/>
  <c r="I25" i="19"/>
  <c r="E98" i="19"/>
  <c r="J98" i="19"/>
  <c r="K98" i="19" s="1"/>
  <c r="I97" i="19"/>
  <c r="E95" i="19"/>
  <c r="J95" i="19"/>
  <c r="K95" i="19" s="1"/>
  <c r="J96" i="19"/>
  <c r="K96" i="19" s="1"/>
  <c r="E96" i="19"/>
  <c r="I26" i="19"/>
  <c r="I78" i="19"/>
  <c r="J100" i="19"/>
  <c r="K100" i="19" s="1"/>
  <c r="E100" i="19"/>
  <c r="J99" i="19"/>
  <c r="K99" i="19" s="1"/>
  <c r="E99" i="19"/>
  <c r="I29" i="19"/>
  <c r="E69" i="18"/>
  <c r="F69" i="18" s="1"/>
  <c r="I69" i="18" s="1"/>
  <c r="J69" i="18"/>
  <c r="K69" i="18" s="1"/>
  <c r="J70" i="18"/>
  <c r="K70" i="18" s="1"/>
  <c r="E70" i="18"/>
  <c r="F70" i="18" s="1"/>
  <c r="I70" i="18" s="1"/>
  <c r="J67" i="18"/>
  <c r="K67" i="18" s="1"/>
  <c r="E67" i="18"/>
  <c r="F67" i="18" s="1"/>
  <c r="I67" i="18" s="1"/>
  <c r="E72" i="18"/>
  <c r="F72" i="18" s="1"/>
  <c r="I72" i="18" s="1"/>
  <c r="J72" i="18"/>
  <c r="K72" i="18" s="1"/>
  <c r="K59" i="17"/>
  <c r="E59" i="17"/>
  <c r="F59" i="17" s="1"/>
  <c r="I59" i="17" s="1"/>
  <c r="K30" i="1"/>
  <c r="F30" i="1"/>
  <c r="I30" i="1" s="1"/>
  <c r="K26" i="1"/>
  <c r="F26" i="1"/>
  <c r="I26" i="1" s="1"/>
  <c r="K31" i="1"/>
  <c r="F31" i="1"/>
  <c r="I31" i="1" s="1"/>
  <c r="F32" i="1"/>
  <c r="I32" i="1" s="1"/>
  <c r="K32" i="1"/>
  <c r="K70" i="17"/>
  <c r="E70" i="17"/>
  <c r="F70" i="17" s="1"/>
  <c r="I70" i="17" s="1"/>
  <c r="I23" i="1"/>
  <c r="E29" i="1"/>
  <c r="M29" i="1"/>
  <c r="N29" i="1" s="1"/>
  <c r="E56" i="17"/>
  <c r="F56" i="17" s="1"/>
  <c r="I56" i="17" s="1"/>
  <c r="K56" i="17"/>
  <c r="K27" i="1"/>
  <c r="F27" i="1"/>
  <c r="I27" i="1" s="1"/>
  <c r="I23" i="18"/>
  <c r="I27" i="17"/>
  <c r="F25" i="1"/>
  <c r="I25" i="1" s="1"/>
  <c r="K25" i="1"/>
  <c r="E28" i="1"/>
  <c r="M28" i="1"/>
  <c r="N28" i="1" s="1"/>
  <c r="J64" i="18"/>
  <c r="K64" i="18" s="1"/>
  <c r="E64" i="18"/>
  <c r="F64" i="18" s="1"/>
  <c r="I64" i="18" s="1"/>
  <c r="F95" i="19" l="1"/>
  <c r="I95" i="19" s="1"/>
  <c r="F93" i="19"/>
  <c r="I88" i="19"/>
  <c r="F100" i="19"/>
  <c r="I100" i="19" s="1"/>
  <c r="F99" i="19"/>
  <c r="I99" i="19" s="1"/>
  <c r="F96" i="19"/>
  <c r="I96" i="19" s="1"/>
  <c r="F98" i="19"/>
  <c r="I98" i="19" s="1"/>
  <c r="I74" i="17"/>
  <c r="B82" i="17" s="1"/>
  <c r="B86" i="17" s="1"/>
  <c r="F74" i="18"/>
  <c r="I74" i="18"/>
  <c r="K29" i="1"/>
  <c r="F29" i="1"/>
  <c r="I29" i="1" s="1"/>
  <c r="K28" i="1"/>
  <c r="F28" i="1"/>
  <c r="I28" i="1" s="1"/>
  <c r="F74" i="17"/>
  <c r="F126" i="19" l="1"/>
  <c r="I93" i="19"/>
  <c r="I126" i="19" s="1"/>
  <c r="B134" i="19" s="1"/>
  <c r="B138" i="19" s="1"/>
  <c r="F34" i="1"/>
  <c r="I34" i="1"/>
  <c r="B42" i="1" s="1"/>
  <c r="B46" i="1" s="1"/>
  <c r="B82" i="18"/>
  <c r="B86" i="18" s="1"/>
</calcChain>
</file>

<file path=xl/sharedStrings.xml><?xml version="1.0" encoding="utf-8"?>
<sst xmlns="http://schemas.openxmlformats.org/spreadsheetml/2006/main" count="176" uniqueCount="58">
  <si>
    <t xml:space="preserve">    Fuselage Design</t>
  </si>
  <si>
    <t>Flight Regime Data:</t>
  </si>
  <si>
    <t>Cruise Mach</t>
  </si>
  <si>
    <t>Cruise Alt. (ft)</t>
  </si>
  <si>
    <t>V (f/s)</t>
  </si>
  <si>
    <r>
      <t>r</t>
    </r>
    <r>
      <rPr>
        <sz val="10"/>
        <rFont val="Arial"/>
        <family val="2"/>
      </rPr>
      <t xml:space="preserve"> (lbm/f^3)</t>
    </r>
  </si>
  <si>
    <t>q (lbf/f^2)</t>
  </si>
  <si>
    <r>
      <t>m</t>
    </r>
    <r>
      <rPr>
        <sz val="10"/>
        <rFont val="Arial"/>
        <family val="2"/>
      </rPr>
      <t xml:space="preserve">  (lbm/(f-s)) </t>
    </r>
  </si>
  <si>
    <r>
      <t xml:space="preserve">n </t>
    </r>
    <r>
      <rPr>
        <sz val="10"/>
        <rFont val="Arial"/>
        <family val="2"/>
      </rPr>
      <t>(cruise) (f^2/s)</t>
    </r>
  </si>
  <si>
    <t>Dimension Data:</t>
  </si>
  <si>
    <t>Form Factors:</t>
  </si>
  <si>
    <t>D-max (ft)</t>
  </si>
  <si>
    <t>F</t>
  </si>
  <si>
    <t>L/D</t>
  </si>
  <si>
    <t>Q</t>
  </si>
  <si>
    <t>L (ft)</t>
  </si>
  <si>
    <t>F*Q</t>
  </si>
  <si>
    <t>S (f^2)</t>
  </si>
  <si>
    <t>lc - nose / L</t>
  </si>
  <si>
    <t xml:space="preserve">  Typical value for an airliner</t>
  </si>
  <si>
    <t>lc - tail / L</t>
  </si>
  <si>
    <t>n</t>
  </si>
  <si>
    <t>Viscous Drag Calculations:</t>
  </si>
  <si>
    <t>Power Series Cylinder</t>
  </si>
  <si>
    <t>x/L</t>
  </si>
  <si>
    <t>x (ft)</t>
  </si>
  <si>
    <t>x-L/2 (ft)</t>
  </si>
  <si>
    <t>D (ft)</t>
  </si>
  <si>
    <t>P (ft)</t>
  </si>
  <si>
    <t>Sw(ft^2)</t>
  </si>
  <si>
    <r>
      <t>Re</t>
    </r>
    <r>
      <rPr>
        <vertAlign val="subscript"/>
        <sz val="10"/>
        <rFont val="Arial"/>
        <family val="2"/>
      </rPr>
      <t>x</t>
    </r>
  </si>
  <si>
    <r>
      <t>C</t>
    </r>
    <r>
      <rPr>
        <vertAlign val="subscript"/>
        <sz val="10"/>
        <rFont val="Arial"/>
        <family val="2"/>
      </rPr>
      <t>F</t>
    </r>
  </si>
  <si>
    <t>Drag (lbf)</t>
  </si>
  <si>
    <t>+y (ft)</t>
  </si>
  <si>
    <t>-y (ft)</t>
  </si>
  <si>
    <t>dy</t>
  </si>
  <si>
    <t>ANSWER THESE QUESTIONS:</t>
  </si>
  <si>
    <t>2. Use this picture to copy and paste on top of your airliner's three-view drawing for comparison.</t>
  </si>
  <si>
    <t>3. Comment on any differences between your fuselage shape and the side-view picture of your airliner.</t>
  </si>
  <si>
    <t>From the side view, the generated fuselage is very different than that of our airliner. The most obvious difference is the 737 MAX-8's fuselage has the nose of the airplane below the midpoint of the fuselage, making the bottom side of the nose very flat compared to the top. Additionally, the 737 fuselage is much skinnier since the bottom half does not go down as far. The back end of the real fuselage is flat on the top, with only the bottom side being at an angle which starts much sooner than that on the generated fuselage. Lastly, the nose cone on the front of the 737 is much shorter and at a steeper angle than what we generated.</t>
  </si>
  <si>
    <t>4. Even though any changes to the fuselage shape generated by the FUSELAGE.XLS spreadsheet would most certainly increase the aircraft’s total drag, what reasons can you come up with that would explain why the aircraft designers made those changes?</t>
  </si>
  <si>
    <t>The back end of the 737 fuselage is likely only angled on the bottom so that during takeoff the aircraft can rotate further without the back end hitting the ground. As for the nose of the aircraft, it is likely shorter in order to provide more room for seating and is only large enough to fit the cockpit, increasing revenue at the cost of drag. It is likely that the tip of the nose is below the midpoint of the fuselage in order to provide more room for the cockpit since the nose was made so small. If it were at the midpoint, the pilots would not be able to see much at all as the nose would be in the way.</t>
  </si>
  <si>
    <t>Totals:</t>
  </si>
  <si>
    <t>Swet</t>
  </si>
  <si>
    <t>Drag (lb)</t>
  </si>
  <si>
    <t>Wave Drag Calculations:</t>
  </si>
  <si>
    <t>A_max</t>
  </si>
  <si>
    <r>
      <t>C</t>
    </r>
    <r>
      <rPr>
        <sz val="9"/>
        <rFont val="Arial"/>
        <family val="2"/>
      </rPr>
      <t>D</t>
    </r>
    <r>
      <rPr>
        <sz val="10"/>
        <rFont val="Arial"/>
        <family val="2"/>
      </rPr>
      <t>W</t>
    </r>
  </si>
  <si>
    <t xml:space="preserve">Total Drag: </t>
  </si>
  <si>
    <t>(lbf)</t>
  </si>
  <si>
    <t>Equiv. CD</t>
  </si>
  <si>
    <t>lc - nose</t>
  </si>
  <si>
    <t>lc - tail</t>
  </si>
  <si>
    <t xml:space="preserve"> V (f/s)</t>
  </si>
  <si>
    <t xml:space="preserve"> Von-Karman Ogive Fuselage Shape</t>
  </si>
  <si>
    <t>x-L/4 (ft)</t>
  </si>
  <si>
    <t>-</t>
  </si>
  <si>
    <t>Sears-Haack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</si>
</sst>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5" formatCode="0.0E+00"/>
    <numFmt numFmtId="166" formatCode="0.000"/>
    <numFmt numFmtId="167" formatCode="0.00000"/>
    <numFmt numFmtId="168" formatCode="0.0000"/>
  </numFmts>
  <fonts count="11">
    <font>
      <sz val="10"/>
      <name val="Arial"/>
    </font>
    <font>
      <b/>
      <sz val="10"/>
      <name val="Arial"/>
      <family val="2"/>
    </font>
    <font>
      <i/>
      <sz val="10"/>
      <name val="Arial"/>
      <family val="2"/>
    </font>
    <font>
      <sz val="10"/>
      <name val="Arial"/>
      <family val="2"/>
    </font>
    <font>
      <u/>
      <sz val="10"/>
      <name val="Arial"/>
      <family val="2"/>
    </font>
    <font>
      <sz val="10"/>
      <name val="Symbol"/>
      <family val="1"/>
      <charset val="2"/>
    </font>
    <font>
      <vertAlign val="subscript"/>
      <sz val="10"/>
      <name val="Arial"/>
      <family val="2"/>
    </font>
    <font>
      <sz val="9"/>
      <name val="Arial"/>
      <family val="2"/>
    </font>
    <font>
      <b/>
      <sz val="12"/>
      <name val="Arial"/>
      <family val="2"/>
    </font>
    <font>
      <sz val="8"/>
      <name val="Arial"/>
      <family val="2"/>
    </font>
    <font>
      <b/>
      <sz val="12"/>
      <color theme="1"/>
      <name val="Calibri"/>
      <family val="2"/>
      <scheme val="minor"/>
    </font>
  </fonts>
  <fills count="4">
    <fill>
      <patternFill patternType="none"/>
    </fill>
    <fill>
      <patternFill patternType="gray125"/>
    </fill>
    <fill>
      <patternFill patternType="solid">
        <fgColor theme="0" tint="-0.14999847407452621"/>
        <bgColor indexed="64"/>
      </patternFill>
    </fill>
    <fill>
      <patternFill patternType="solid">
        <fgColor rgb="FFFFFF99"/>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right/>
      <top/>
      <bottom style="double">
        <color indexed="64"/>
      </bottom>
      <diagonal/>
    </border>
    <border>
      <left/>
      <right style="double">
        <color indexed="64"/>
      </right>
      <top/>
      <bottom/>
      <diagonal/>
    </border>
    <border>
      <left style="double">
        <color indexed="64"/>
      </left>
      <right style="double">
        <color indexed="64"/>
      </right>
      <top style="double">
        <color indexed="64"/>
      </top>
      <bottom style="double">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s>
  <cellStyleXfs count="1">
    <xf numFmtId="0" fontId="0" fillId="0" borderId="0"/>
  </cellStyleXfs>
  <cellXfs count="63">
    <xf numFmtId="0" fontId="0" fillId="0" borderId="0" xfId="0"/>
    <xf numFmtId="0" fontId="5" fillId="0" borderId="0" xfId="0" applyFont="1"/>
    <xf numFmtId="1" fontId="4" fillId="0" borderId="0" xfId="0" applyNumberFormat="1" applyFont="1"/>
    <xf numFmtId="2" fontId="0" fillId="0" borderId="0" xfId="0" applyNumberFormat="1" applyAlignment="1">
      <alignment horizontal="right"/>
    </xf>
    <xf numFmtId="164" fontId="0" fillId="0" borderId="0" xfId="0" applyNumberFormat="1"/>
    <xf numFmtId="165" fontId="0" fillId="0" borderId="0" xfId="0" applyNumberFormat="1"/>
    <xf numFmtId="11" fontId="0" fillId="0" borderId="0" xfId="0" applyNumberFormat="1"/>
    <xf numFmtId="1" fontId="0" fillId="0" borderId="0" xfId="0" applyNumberFormat="1"/>
    <xf numFmtId="3" fontId="0" fillId="0" borderId="0" xfId="0" applyNumberFormat="1"/>
    <xf numFmtId="4" fontId="0" fillId="0" borderId="0" xfId="0" applyNumberFormat="1"/>
    <xf numFmtId="1" fontId="3" fillId="0" borderId="0" xfId="0" applyNumberFormat="1" applyFont="1"/>
    <xf numFmtId="0" fontId="3" fillId="0" borderId="0" xfId="0" applyFont="1"/>
    <xf numFmtId="164" fontId="1" fillId="0" borderId="0" xfId="0" applyNumberFormat="1" applyFont="1"/>
    <xf numFmtId="164" fontId="1" fillId="0" borderId="0" xfId="0" applyNumberFormat="1" applyFont="1" applyAlignment="1">
      <alignment horizontal="right"/>
    </xf>
    <xf numFmtId="0" fontId="1" fillId="0" borderId="0" xfId="0" applyFont="1"/>
    <xf numFmtId="0" fontId="8" fillId="0" borderId="0" xfId="0" applyFont="1"/>
    <xf numFmtId="1" fontId="1" fillId="0" borderId="1" xfId="0" applyNumberFormat="1" applyFont="1" applyBorder="1"/>
    <xf numFmtId="0" fontId="2" fillId="0" borderId="0" xfId="0" applyFont="1"/>
    <xf numFmtId="167" fontId="0" fillId="0" borderId="0" xfId="0" applyNumberFormat="1"/>
    <xf numFmtId="168" fontId="0" fillId="0" borderId="0" xfId="0" applyNumberFormat="1"/>
    <xf numFmtId="0" fontId="0" fillId="0" borderId="0" xfId="0" applyAlignment="1">
      <alignment horizontal="right"/>
    </xf>
    <xf numFmtId="2" fontId="3" fillId="0" borderId="0" xfId="0" applyNumberFormat="1" applyFont="1"/>
    <xf numFmtId="0" fontId="0" fillId="0" borderId="0" xfId="0" quotePrefix="1" applyAlignment="1">
      <alignment horizontal="right"/>
    </xf>
    <xf numFmtId="0" fontId="0" fillId="2" borderId="0" xfId="0" applyFill="1"/>
    <xf numFmtId="3" fontId="0" fillId="2" borderId="0" xfId="0" applyNumberFormat="1" applyFill="1"/>
    <xf numFmtId="2" fontId="0" fillId="2" borderId="0" xfId="0" applyNumberFormat="1" applyFill="1"/>
    <xf numFmtId="2" fontId="3" fillId="2" borderId="0" xfId="0" applyNumberFormat="1" applyFont="1" applyFill="1"/>
    <xf numFmtId="164" fontId="3" fillId="2" borderId="0" xfId="0" applyNumberFormat="1" applyFont="1" applyFill="1"/>
    <xf numFmtId="0" fontId="0" fillId="0" borderId="2" xfId="0" applyBorder="1"/>
    <xf numFmtId="0" fontId="1" fillId="0" borderId="3" xfId="0" applyFont="1" applyBorder="1"/>
    <xf numFmtId="164" fontId="1" fillId="0" borderId="4" xfId="0" applyNumberFormat="1" applyFont="1" applyBorder="1"/>
    <xf numFmtId="1" fontId="2" fillId="0" borderId="0" xfId="0" applyNumberFormat="1" applyFont="1"/>
    <xf numFmtId="0" fontId="1" fillId="0" borderId="0" xfId="0" applyFont="1" applyAlignment="1">
      <alignment horizontal="right"/>
    </xf>
    <xf numFmtId="166" fontId="1" fillId="0" borderId="0" xfId="0" applyNumberFormat="1" applyFont="1"/>
    <xf numFmtId="168" fontId="1" fillId="0" borderId="0" xfId="0" applyNumberFormat="1" applyFont="1"/>
    <xf numFmtId="1" fontId="1" fillId="0" borderId="0" xfId="0" applyNumberFormat="1" applyFont="1"/>
    <xf numFmtId="0" fontId="3" fillId="3" borderId="9" xfId="0" applyFont="1" applyFill="1" applyBorder="1" applyAlignment="1">
      <alignment horizontal="center" vertical="center" wrapText="1"/>
    </xf>
    <xf numFmtId="0" fontId="3" fillId="3" borderId="10" xfId="0" applyFont="1" applyFill="1" applyBorder="1" applyAlignment="1">
      <alignment horizontal="center" vertical="center" wrapText="1"/>
    </xf>
    <xf numFmtId="0" fontId="3" fillId="3" borderId="11" xfId="0" applyFont="1" applyFill="1" applyBorder="1" applyAlignment="1">
      <alignment horizontal="center" vertical="center" wrapText="1"/>
    </xf>
    <xf numFmtId="0" fontId="3" fillId="3" borderId="12" xfId="0" applyFont="1" applyFill="1" applyBorder="1" applyAlignment="1">
      <alignment horizontal="center" vertical="center" wrapText="1"/>
    </xf>
    <xf numFmtId="0" fontId="3" fillId="3" borderId="13" xfId="0" applyFont="1" applyFill="1" applyBorder="1" applyAlignment="1">
      <alignment horizontal="center" vertical="center" wrapText="1"/>
    </xf>
    <xf numFmtId="0" fontId="3" fillId="3" borderId="14" xfId="0" applyFont="1" applyFill="1" applyBorder="1" applyAlignment="1">
      <alignment horizontal="center" vertical="center" wrapText="1"/>
    </xf>
    <xf numFmtId="0" fontId="1" fillId="0" borderId="9" xfId="0" applyFont="1" applyBorder="1" applyAlignment="1">
      <alignment horizontal="left" vertical="center" wrapText="1"/>
    </xf>
    <xf numFmtId="0" fontId="1" fillId="0" borderId="10" xfId="0" applyFont="1" applyBorder="1" applyAlignment="1">
      <alignment horizontal="left" vertical="center" wrapText="1"/>
    </xf>
    <xf numFmtId="0" fontId="1" fillId="0" borderId="11" xfId="0" applyFont="1" applyBorder="1" applyAlignment="1">
      <alignment horizontal="left" vertical="center" wrapText="1"/>
    </xf>
    <xf numFmtId="0" fontId="1" fillId="0" borderId="15" xfId="0" applyFont="1" applyBorder="1" applyAlignment="1">
      <alignment horizontal="left" vertical="center" wrapText="1"/>
    </xf>
    <xf numFmtId="0" fontId="1" fillId="0" borderId="0" xfId="0" applyFont="1" applyAlignment="1">
      <alignment horizontal="left" vertical="center" wrapText="1"/>
    </xf>
    <xf numFmtId="0" fontId="1" fillId="0" borderId="16" xfId="0" applyFont="1" applyBorder="1" applyAlignment="1">
      <alignment horizontal="left" vertical="center" wrapText="1"/>
    </xf>
    <xf numFmtId="0" fontId="1" fillId="0" borderId="12" xfId="0" applyFont="1" applyBorder="1" applyAlignment="1">
      <alignment horizontal="left" vertical="center" wrapText="1"/>
    </xf>
    <xf numFmtId="0" fontId="1" fillId="0" borderId="13" xfId="0" applyFont="1" applyBorder="1" applyAlignment="1">
      <alignment horizontal="left" vertical="center" wrapText="1"/>
    </xf>
    <xf numFmtId="0" fontId="1" fillId="0" borderId="14" xfId="0" applyFont="1" applyBorder="1" applyAlignment="1">
      <alignment horizontal="left" vertical="center" wrapText="1"/>
    </xf>
    <xf numFmtId="0" fontId="0" fillId="0" borderId="6" xfId="0"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10" fillId="0" borderId="5" xfId="0" applyFont="1" applyBorder="1" applyAlignment="1">
      <alignment horizontal="left" vertical="center"/>
    </xf>
    <xf numFmtId="0" fontId="0" fillId="0" borderId="5" xfId="0" applyBorder="1" applyAlignment="1">
      <alignment horizontal="left"/>
    </xf>
    <xf numFmtId="0" fontId="0" fillId="0" borderId="6" xfId="0" applyBorder="1" applyAlignment="1">
      <alignment horizontal="left"/>
    </xf>
    <xf numFmtId="0" fontId="0" fillId="0" borderId="7" xfId="0" applyBorder="1" applyAlignment="1">
      <alignment horizontal="left"/>
    </xf>
    <xf numFmtId="0" fontId="0" fillId="0" borderId="8" xfId="0" applyBorder="1" applyAlignment="1">
      <alignment horizontal="left"/>
    </xf>
    <xf numFmtId="0" fontId="1" fillId="0" borderId="6" xfId="0" applyFont="1" applyBorder="1" applyAlignment="1">
      <alignment horizontal="left"/>
    </xf>
    <xf numFmtId="0" fontId="1" fillId="0" borderId="7" xfId="0" applyFont="1" applyBorder="1" applyAlignment="1">
      <alignment horizontal="left"/>
    </xf>
    <xf numFmtId="0" fontId="1" fillId="0" borderId="8" xfId="0" applyFont="1" applyBorder="1" applyAlignment="1">
      <alignment horizontal="left"/>
    </xf>
    <xf numFmtId="0" fontId="1" fillId="0" borderId="5" xfId="0" applyFont="1" applyBorder="1" applyAlignment="1">
      <alignment horizontal="left" vertical="center"/>
    </xf>
  </cellXfs>
  <cellStyles count="1">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5205912778817949E-2"/>
          <c:y val="0.21501104441152774"/>
          <c:w val="0.67362087882337185"/>
          <c:h val="0.52811673293313588"/>
        </c:manualLayout>
      </c:layout>
      <c:scatterChart>
        <c:scatterStyle val="lineMarker"/>
        <c:varyColors val="0"/>
        <c:ser>
          <c:idx val="2"/>
          <c:order val="0"/>
          <c:spPr>
            <a:ln w="25400">
              <a:solidFill>
                <a:schemeClr val="tx1"/>
              </a:solidFill>
            </a:ln>
          </c:spPr>
          <c:marker>
            <c:symbol val="none"/>
          </c:marker>
          <c:xVal>
            <c:numRef>
              <c:f>'Power Series Cylinder'!$B$24:$B$100</c:f>
              <c:numCache>
                <c:formatCode>0.00</c:formatCode>
                <c:ptCount val="77"/>
                <c:pt idx="0">
                  <c:v>0</c:v>
                </c:pt>
                <c:pt idx="1">
                  <c:v>1.2949999999999999</c:v>
                </c:pt>
                <c:pt idx="2">
                  <c:v>2.59</c:v>
                </c:pt>
                <c:pt idx="3">
                  <c:v>3.8849999999999998</c:v>
                </c:pt>
                <c:pt idx="4">
                  <c:v>5.18</c:v>
                </c:pt>
                <c:pt idx="5">
                  <c:v>6.4750000000000005</c:v>
                </c:pt>
                <c:pt idx="6">
                  <c:v>7.77</c:v>
                </c:pt>
                <c:pt idx="7">
                  <c:v>9.0650000000000013</c:v>
                </c:pt>
                <c:pt idx="8">
                  <c:v>10.36</c:v>
                </c:pt>
                <c:pt idx="9">
                  <c:v>11.654999999999999</c:v>
                </c:pt>
                <c:pt idx="10">
                  <c:v>12.950000000000001</c:v>
                </c:pt>
                <c:pt idx="11">
                  <c:v>14.244999999999999</c:v>
                </c:pt>
                <c:pt idx="12">
                  <c:v>15.54</c:v>
                </c:pt>
                <c:pt idx="13">
                  <c:v>16.835000000000001</c:v>
                </c:pt>
                <c:pt idx="14">
                  <c:v>18.130000000000003</c:v>
                </c:pt>
                <c:pt idx="15">
                  <c:v>19.425000000000001</c:v>
                </c:pt>
                <c:pt idx="16">
                  <c:v>20.72</c:v>
                </c:pt>
                <c:pt idx="17">
                  <c:v>22.015000000000001</c:v>
                </c:pt>
                <c:pt idx="18">
                  <c:v>23.31</c:v>
                </c:pt>
                <c:pt idx="19">
                  <c:v>24.605</c:v>
                </c:pt>
                <c:pt idx="20">
                  <c:v>25.900000000000002</c:v>
                </c:pt>
                <c:pt idx="21">
                  <c:v>27.195</c:v>
                </c:pt>
                <c:pt idx="22">
                  <c:v>28.49</c:v>
                </c:pt>
                <c:pt idx="23">
                  <c:v>29.785</c:v>
                </c:pt>
                <c:pt idx="24">
                  <c:v>31.08</c:v>
                </c:pt>
                <c:pt idx="25">
                  <c:v>32.375</c:v>
                </c:pt>
                <c:pt idx="26">
                  <c:v>33.67</c:v>
                </c:pt>
                <c:pt idx="27">
                  <c:v>34.965000000000003</c:v>
                </c:pt>
                <c:pt idx="28">
                  <c:v>36.260000000000005</c:v>
                </c:pt>
                <c:pt idx="29">
                  <c:v>37.555</c:v>
                </c:pt>
                <c:pt idx="30">
                  <c:v>38.85</c:v>
                </c:pt>
                <c:pt idx="31">
                  <c:v>40.145000000000003</c:v>
                </c:pt>
                <c:pt idx="32">
                  <c:v>41.44</c:v>
                </c:pt>
                <c:pt idx="33">
                  <c:v>42.734999999999999</c:v>
                </c:pt>
                <c:pt idx="34">
                  <c:v>44.03</c:v>
                </c:pt>
                <c:pt idx="35">
                  <c:v>45.324999999999996</c:v>
                </c:pt>
                <c:pt idx="36">
                  <c:v>46.62</c:v>
                </c:pt>
                <c:pt idx="37">
                  <c:v>47.914999999999999</c:v>
                </c:pt>
                <c:pt idx="38">
                  <c:v>49.21</c:v>
                </c:pt>
                <c:pt idx="39">
                  <c:v>50.505000000000003</c:v>
                </c:pt>
                <c:pt idx="40">
                  <c:v>51.800000000000004</c:v>
                </c:pt>
                <c:pt idx="41">
                  <c:v>53.094999999999999</c:v>
                </c:pt>
                <c:pt idx="42">
                  <c:v>54.39</c:v>
                </c:pt>
                <c:pt idx="43">
                  <c:v>55.685000000000002</c:v>
                </c:pt>
                <c:pt idx="44">
                  <c:v>56.98</c:v>
                </c:pt>
                <c:pt idx="45">
                  <c:v>58.274999999999999</c:v>
                </c:pt>
                <c:pt idx="46">
                  <c:v>59.57</c:v>
                </c:pt>
                <c:pt idx="47">
                  <c:v>60.864999999999995</c:v>
                </c:pt>
                <c:pt idx="48">
                  <c:v>62.16</c:v>
                </c:pt>
                <c:pt idx="49">
                  <c:v>63.454999999999998</c:v>
                </c:pt>
                <c:pt idx="50">
                  <c:v>64.75</c:v>
                </c:pt>
                <c:pt idx="51">
                  <c:v>66.045000000000002</c:v>
                </c:pt>
                <c:pt idx="52">
                  <c:v>67.34</c:v>
                </c:pt>
                <c:pt idx="53">
                  <c:v>68.635000000000005</c:v>
                </c:pt>
                <c:pt idx="54">
                  <c:v>69.930000000000007</c:v>
                </c:pt>
                <c:pt idx="55">
                  <c:v>71.225000000000009</c:v>
                </c:pt>
                <c:pt idx="56">
                  <c:v>72.52000000000001</c:v>
                </c:pt>
                <c:pt idx="57">
                  <c:v>73.814999999999998</c:v>
                </c:pt>
                <c:pt idx="58">
                  <c:v>75.11</c:v>
                </c:pt>
                <c:pt idx="59">
                  <c:v>76.405000000000001</c:v>
                </c:pt>
                <c:pt idx="60">
                  <c:v>77.7</c:v>
                </c:pt>
                <c:pt idx="61">
                  <c:v>78.995000000000005</c:v>
                </c:pt>
                <c:pt idx="62">
                  <c:v>80.290000000000006</c:v>
                </c:pt>
                <c:pt idx="63">
                  <c:v>81.584999999999994</c:v>
                </c:pt>
                <c:pt idx="64">
                  <c:v>82.88</c:v>
                </c:pt>
                <c:pt idx="65">
                  <c:v>84.174999999999997</c:v>
                </c:pt>
                <c:pt idx="66">
                  <c:v>85.47</c:v>
                </c:pt>
                <c:pt idx="67">
                  <c:v>86.765000000000001</c:v>
                </c:pt>
                <c:pt idx="68">
                  <c:v>88.06</c:v>
                </c:pt>
                <c:pt idx="69">
                  <c:v>89.35499999999999</c:v>
                </c:pt>
                <c:pt idx="70">
                  <c:v>90.649999999999991</c:v>
                </c:pt>
                <c:pt idx="71">
                  <c:v>91.944999999999993</c:v>
                </c:pt>
                <c:pt idx="72">
                  <c:v>93.24</c:v>
                </c:pt>
                <c:pt idx="73">
                  <c:v>94.534999999999997</c:v>
                </c:pt>
                <c:pt idx="74">
                  <c:v>95.83</c:v>
                </c:pt>
                <c:pt idx="75">
                  <c:v>97.125</c:v>
                </c:pt>
                <c:pt idx="76">
                  <c:v>98.42</c:v>
                </c:pt>
              </c:numCache>
            </c:numRef>
          </c:xVal>
          <c:yVal>
            <c:numRef>
              <c:f>'Power Series Cylinder'!$K$24:$K$100</c:f>
              <c:numCache>
                <c:formatCode>0.0000</c:formatCode>
                <c:ptCount val="77"/>
                <c:pt idx="0">
                  <c:v>0</c:v>
                </c:pt>
                <c:pt idx="1">
                  <c:v>-0.74670325611523913</c:v>
                </c:pt>
                <c:pt idx="2">
                  <c:v>-1.3000858804523434</c:v>
                </c:pt>
                <c:pt idx="3">
                  <c:v>-1.79822921395619</c:v>
                </c:pt>
                <c:pt idx="4">
                  <c:v>-2.2635809911222498</c:v>
                </c:pt>
                <c:pt idx="5">
                  <c:v>-2.7059766741712168</c:v>
                </c:pt>
                <c:pt idx="6">
                  <c:v>-3.1308989102902163</c:v>
                </c:pt>
                <c:pt idx="7">
                  <c:v>-3.5418199279075249</c:v>
                </c:pt>
                <c:pt idx="8">
                  <c:v>-3.9411234137757476</c:v>
                </c:pt>
                <c:pt idx="9">
                  <c:v>-4.3305399828421924</c:v>
                </c:pt>
                <c:pt idx="10">
                  <c:v>-4.7113790359318504</c:v>
                </c:pt>
                <c:pt idx="11">
                  <c:v>-5.0846632237826856</c:v>
                </c:pt>
                <c:pt idx="12">
                  <c:v>-5.4512116199527378</c:v>
                </c:pt>
                <c:pt idx="13">
                  <c:v>-5.8116938318182667</c:v>
                </c:pt>
                <c:pt idx="14">
                  <c:v>-6.166666666666667</c:v>
                </c:pt>
                <c:pt idx="15">
                  <c:v>-6.166666666666667</c:v>
                </c:pt>
                <c:pt idx="16">
                  <c:v>-6.166666666666667</c:v>
                </c:pt>
                <c:pt idx="17">
                  <c:v>-6.166666666666667</c:v>
                </c:pt>
                <c:pt idx="18">
                  <c:v>-6.166666666666667</c:v>
                </c:pt>
                <c:pt idx="19">
                  <c:v>-6.166666666666667</c:v>
                </c:pt>
                <c:pt idx="20">
                  <c:v>-6.166666666666667</c:v>
                </c:pt>
                <c:pt idx="21">
                  <c:v>-6.166666666666667</c:v>
                </c:pt>
                <c:pt idx="22">
                  <c:v>-6.166666666666667</c:v>
                </c:pt>
                <c:pt idx="23">
                  <c:v>-6.166666666666667</c:v>
                </c:pt>
                <c:pt idx="24">
                  <c:v>-6.166666666666667</c:v>
                </c:pt>
                <c:pt idx="25">
                  <c:v>-6.166666666666667</c:v>
                </c:pt>
                <c:pt idx="26">
                  <c:v>-6.166666666666667</c:v>
                </c:pt>
                <c:pt idx="27">
                  <c:v>-6.166666666666667</c:v>
                </c:pt>
                <c:pt idx="28">
                  <c:v>-6.166666666666667</c:v>
                </c:pt>
                <c:pt idx="29">
                  <c:v>-6.166666666666667</c:v>
                </c:pt>
                <c:pt idx="30">
                  <c:v>-6.166666666666667</c:v>
                </c:pt>
                <c:pt idx="31">
                  <c:v>-6.166666666666667</c:v>
                </c:pt>
                <c:pt idx="32">
                  <c:v>-6.166666666666667</c:v>
                </c:pt>
                <c:pt idx="33">
                  <c:v>-6.166666666666667</c:v>
                </c:pt>
                <c:pt idx="34">
                  <c:v>-6.166666666666667</c:v>
                </c:pt>
                <c:pt idx="35">
                  <c:v>-6.166666666666667</c:v>
                </c:pt>
                <c:pt idx="36">
                  <c:v>-6.166666666666667</c:v>
                </c:pt>
                <c:pt idx="37">
                  <c:v>-6.166666666666667</c:v>
                </c:pt>
                <c:pt idx="38">
                  <c:v>-6.166666666666667</c:v>
                </c:pt>
                <c:pt idx="39">
                  <c:v>-6.166666666666667</c:v>
                </c:pt>
                <c:pt idx="40">
                  <c:v>-6.166666666666667</c:v>
                </c:pt>
                <c:pt idx="41">
                  <c:v>-6.166666666666667</c:v>
                </c:pt>
                <c:pt idx="42">
                  <c:v>-6.166666666666667</c:v>
                </c:pt>
                <c:pt idx="43">
                  <c:v>-6.166666666666667</c:v>
                </c:pt>
                <c:pt idx="44">
                  <c:v>-6.166666666666667</c:v>
                </c:pt>
                <c:pt idx="45">
                  <c:v>-6.166666666666667</c:v>
                </c:pt>
                <c:pt idx="46">
                  <c:v>-6.166666666666667</c:v>
                </c:pt>
                <c:pt idx="47">
                  <c:v>-6.166666666666667</c:v>
                </c:pt>
                <c:pt idx="48">
                  <c:v>-6.166666666666667</c:v>
                </c:pt>
                <c:pt idx="49">
                  <c:v>-6.166666666666667</c:v>
                </c:pt>
                <c:pt idx="50">
                  <c:v>-6.166666666666667</c:v>
                </c:pt>
                <c:pt idx="51">
                  <c:v>-6.166666666666667</c:v>
                </c:pt>
                <c:pt idx="52">
                  <c:v>-6.166666666666667</c:v>
                </c:pt>
                <c:pt idx="53">
                  <c:v>-6.166666666666667</c:v>
                </c:pt>
                <c:pt idx="54">
                  <c:v>-6.166666666666667</c:v>
                </c:pt>
                <c:pt idx="55">
                  <c:v>-6.166666666666667</c:v>
                </c:pt>
                <c:pt idx="56">
                  <c:v>-6.166666666666667</c:v>
                </c:pt>
                <c:pt idx="57">
                  <c:v>-6.166666666666667</c:v>
                </c:pt>
                <c:pt idx="58">
                  <c:v>-6.166666666666667</c:v>
                </c:pt>
                <c:pt idx="59">
                  <c:v>-6.166666666666667</c:v>
                </c:pt>
                <c:pt idx="60">
                  <c:v>-6.166666666666667</c:v>
                </c:pt>
                <c:pt idx="61">
                  <c:v>-6.166666666666667</c:v>
                </c:pt>
                <c:pt idx="62">
                  <c:v>-6.166666666666667</c:v>
                </c:pt>
                <c:pt idx="63">
                  <c:v>-6.166666666666667</c:v>
                </c:pt>
                <c:pt idx="64">
                  <c:v>-6.166666666666667</c:v>
                </c:pt>
                <c:pt idx="65">
                  <c:v>-6.166666666666667</c:v>
                </c:pt>
                <c:pt idx="66">
                  <c:v>-6.166666666666667</c:v>
                </c:pt>
                <c:pt idx="67">
                  <c:v>-6.166666666666667</c:v>
                </c:pt>
                <c:pt idx="68">
                  <c:v>-6.166666666666667</c:v>
                </c:pt>
                <c:pt idx="69">
                  <c:v>-6.166666666666667</c:v>
                </c:pt>
                <c:pt idx="70">
                  <c:v>-6.166666666666667</c:v>
                </c:pt>
                <c:pt idx="71">
                  <c:v>-6.166666666666667</c:v>
                </c:pt>
                <c:pt idx="72">
                  <c:v>-6.166666666666667</c:v>
                </c:pt>
                <c:pt idx="73">
                  <c:v>-6.166666666666667</c:v>
                </c:pt>
                <c:pt idx="74">
                  <c:v>-6.166666666666667</c:v>
                </c:pt>
                <c:pt idx="75">
                  <c:v>-6.166666666666667</c:v>
                </c:pt>
                <c:pt idx="76">
                  <c:v>-6.166666666666667</c:v>
                </c:pt>
              </c:numCache>
            </c:numRef>
          </c:yVal>
          <c:smooth val="0"/>
          <c:extLst>
            <c:ext xmlns:c16="http://schemas.microsoft.com/office/drawing/2014/chart" uri="{C3380CC4-5D6E-409C-BE32-E72D297353CC}">
              <c16:uniqueId val="{00000000-ED43-433D-B480-D5677919151A}"/>
            </c:ext>
          </c:extLst>
        </c:ser>
        <c:ser>
          <c:idx val="3"/>
          <c:order val="1"/>
          <c:spPr>
            <a:ln w="25400">
              <a:solidFill>
                <a:schemeClr val="tx1"/>
              </a:solidFill>
              <a:prstDash val="solid"/>
            </a:ln>
          </c:spPr>
          <c:marker>
            <c:symbol val="none"/>
          </c:marker>
          <c:xVal>
            <c:numRef>
              <c:f>'Power Series Cylinder'!$B$24:$B$100</c:f>
              <c:numCache>
                <c:formatCode>0.00</c:formatCode>
                <c:ptCount val="77"/>
                <c:pt idx="0">
                  <c:v>0</c:v>
                </c:pt>
                <c:pt idx="1">
                  <c:v>1.2949999999999999</c:v>
                </c:pt>
                <c:pt idx="2">
                  <c:v>2.59</c:v>
                </c:pt>
                <c:pt idx="3">
                  <c:v>3.8849999999999998</c:v>
                </c:pt>
                <c:pt idx="4">
                  <c:v>5.18</c:v>
                </c:pt>
                <c:pt idx="5">
                  <c:v>6.4750000000000005</c:v>
                </c:pt>
                <c:pt idx="6">
                  <c:v>7.77</c:v>
                </c:pt>
                <c:pt idx="7">
                  <c:v>9.0650000000000013</c:v>
                </c:pt>
                <c:pt idx="8">
                  <c:v>10.36</c:v>
                </c:pt>
                <c:pt idx="9">
                  <c:v>11.654999999999999</c:v>
                </c:pt>
                <c:pt idx="10">
                  <c:v>12.950000000000001</c:v>
                </c:pt>
                <c:pt idx="11">
                  <c:v>14.244999999999999</c:v>
                </c:pt>
                <c:pt idx="12">
                  <c:v>15.54</c:v>
                </c:pt>
                <c:pt idx="13">
                  <c:v>16.835000000000001</c:v>
                </c:pt>
                <c:pt idx="14">
                  <c:v>18.130000000000003</c:v>
                </c:pt>
                <c:pt idx="15">
                  <c:v>19.425000000000001</c:v>
                </c:pt>
                <c:pt idx="16">
                  <c:v>20.72</c:v>
                </c:pt>
                <c:pt idx="17">
                  <c:v>22.015000000000001</c:v>
                </c:pt>
                <c:pt idx="18">
                  <c:v>23.31</c:v>
                </c:pt>
                <c:pt idx="19">
                  <c:v>24.605</c:v>
                </c:pt>
                <c:pt idx="20">
                  <c:v>25.900000000000002</c:v>
                </c:pt>
                <c:pt idx="21">
                  <c:v>27.195</c:v>
                </c:pt>
                <c:pt idx="22">
                  <c:v>28.49</c:v>
                </c:pt>
                <c:pt idx="23">
                  <c:v>29.785</c:v>
                </c:pt>
                <c:pt idx="24">
                  <c:v>31.08</c:v>
                </c:pt>
                <c:pt idx="25">
                  <c:v>32.375</c:v>
                </c:pt>
                <c:pt idx="26">
                  <c:v>33.67</c:v>
                </c:pt>
                <c:pt idx="27">
                  <c:v>34.965000000000003</c:v>
                </c:pt>
                <c:pt idx="28">
                  <c:v>36.260000000000005</c:v>
                </c:pt>
                <c:pt idx="29">
                  <c:v>37.555</c:v>
                </c:pt>
                <c:pt idx="30">
                  <c:v>38.85</c:v>
                </c:pt>
                <c:pt idx="31">
                  <c:v>40.145000000000003</c:v>
                </c:pt>
                <c:pt idx="32">
                  <c:v>41.44</c:v>
                </c:pt>
                <c:pt idx="33">
                  <c:v>42.734999999999999</c:v>
                </c:pt>
                <c:pt idx="34">
                  <c:v>44.03</c:v>
                </c:pt>
                <c:pt idx="35">
                  <c:v>45.324999999999996</c:v>
                </c:pt>
                <c:pt idx="36">
                  <c:v>46.62</c:v>
                </c:pt>
                <c:pt idx="37">
                  <c:v>47.914999999999999</c:v>
                </c:pt>
                <c:pt idx="38">
                  <c:v>49.21</c:v>
                </c:pt>
                <c:pt idx="39">
                  <c:v>50.505000000000003</c:v>
                </c:pt>
                <c:pt idx="40">
                  <c:v>51.800000000000004</c:v>
                </c:pt>
                <c:pt idx="41">
                  <c:v>53.094999999999999</c:v>
                </c:pt>
                <c:pt idx="42">
                  <c:v>54.39</c:v>
                </c:pt>
                <c:pt idx="43">
                  <c:v>55.685000000000002</c:v>
                </c:pt>
                <c:pt idx="44">
                  <c:v>56.98</c:v>
                </c:pt>
                <c:pt idx="45">
                  <c:v>58.274999999999999</c:v>
                </c:pt>
                <c:pt idx="46">
                  <c:v>59.57</c:v>
                </c:pt>
                <c:pt idx="47">
                  <c:v>60.864999999999995</c:v>
                </c:pt>
                <c:pt idx="48">
                  <c:v>62.16</c:v>
                </c:pt>
                <c:pt idx="49">
                  <c:v>63.454999999999998</c:v>
                </c:pt>
                <c:pt idx="50">
                  <c:v>64.75</c:v>
                </c:pt>
                <c:pt idx="51">
                  <c:v>66.045000000000002</c:v>
                </c:pt>
                <c:pt idx="52">
                  <c:v>67.34</c:v>
                </c:pt>
                <c:pt idx="53">
                  <c:v>68.635000000000005</c:v>
                </c:pt>
                <c:pt idx="54">
                  <c:v>69.930000000000007</c:v>
                </c:pt>
                <c:pt idx="55">
                  <c:v>71.225000000000009</c:v>
                </c:pt>
                <c:pt idx="56">
                  <c:v>72.52000000000001</c:v>
                </c:pt>
                <c:pt idx="57">
                  <c:v>73.814999999999998</c:v>
                </c:pt>
                <c:pt idx="58">
                  <c:v>75.11</c:v>
                </c:pt>
                <c:pt idx="59">
                  <c:v>76.405000000000001</c:v>
                </c:pt>
                <c:pt idx="60">
                  <c:v>77.7</c:v>
                </c:pt>
                <c:pt idx="61">
                  <c:v>78.995000000000005</c:v>
                </c:pt>
                <c:pt idx="62">
                  <c:v>80.290000000000006</c:v>
                </c:pt>
                <c:pt idx="63">
                  <c:v>81.584999999999994</c:v>
                </c:pt>
                <c:pt idx="64">
                  <c:v>82.88</c:v>
                </c:pt>
                <c:pt idx="65">
                  <c:v>84.174999999999997</c:v>
                </c:pt>
                <c:pt idx="66">
                  <c:v>85.47</c:v>
                </c:pt>
                <c:pt idx="67">
                  <c:v>86.765000000000001</c:v>
                </c:pt>
                <c:pt idx="68">
                  <c:v>88.06</c:v>
                </c:pt>
                <c:pt idx="69">
                  <c:v>89.35499999999999</c:v>
                </c:pt>
                <c:pt idx="70">
                  <c:v>90.649999999999991</c:v>
                </c:pt>
                <c:pt idx="71">
                  <c:v>91.944999999999993</c:v>
                </c:pt>
                <c:pt idx="72">
                  <c:v>93.24</c:v>
                </c:pt>
                <c:pt idx="73">
                  <c:v>94.534999999999997</c:v>
                </c:pt>
                <c:pt idx="74">
                  <c:v>95.83</c:v>
                </c:pt>
                <c:pt idx="75">
                  <c:v>97.125</c:v>
                </c:pt>
                <c:pt idx="76">
                  <c:v>98.42</c:v>
                </c:pt>
              </c:numCache>
            </c:numRef>
          </c:xVal>
          <c:yVal>
            <c:numRef>
              <c:f>'Power Series Cylinder'!$J$24:$J$100</c:f>
              <c:numCache>
                <c:formatCode>0.0000</c:formatCode>
                <c:ptCount val="77"/>
                <c:pt idx="0">
                  <c:v>0</c:v>
                </c:pt>
                <c:pt idx="1">
                  <c:v>0.74670325611523913</c:v>
                </c:pt>
                <c:pt idx="2">
                  <c:v>1.3000858804523434</c:v>
                </c:pt>
                <c:pt idx="3">
                  <c:v>1.79822921395619</c:v>
                </c:pt>
                <c:pt idx="4">
                  <c:v>2.2635809911222498</c:v>
                </c:pt>
                <c:pt idx="5">
                  <c:v>2.7059766741712168</c:v>
                </c:pt>
                <c:pt idx="6">
                  <c:v>3.1308989102902163</c:v>
                </c:pt>
                <c:pt idx="7">
                  <c:v>3.5418199279075249</c:v>
                </c:pt>
                <c:pt idx="8">
                  <c:v>3.9411234137757476</c:v>
                </c:pt>
                <c:pt idx="9">
                  <c:v>4.3305399828421924</c:v>
                </c:pt>
                <c:pt idx="10">
                  <c:v>4.7113790359318504</c:v>
                </c:pt>
                <c:pt idx="11">
                  <c:v>5.0846632237826856</c:v>
                </c:pt>
                <c:pt idx="12">
                  <c:v>5.4512116199527378</c:v>
                </c:pt>
                <c:pt idx="13">
                  <c:v>5.8116938318182667</c:v>
                </c:pt>
                <c:pt idx="14">
                  <c:v>6.166666666666667</c:v>
                </c:pt>
                <c:pt idx="15">
                  <c:v>6.166666666666667</c:v>
                </c:pt>
                <c:pt idx="16">
                  <c:v>6.166666666666667</c:v>
                </c:pt>
                <c:pt idx="17">
                  <c:v>6.166666666666667</c:v>
                </c:pt>
                <c:pt idx="18">
                  <c:v>6.166666666666667</c:v>
                </c:pt>
                <c:pt idx="19">
                  <c:v>6.166666666666667</c:v>
                </c:pt>
                <c:pt idx="20">
                  <c:v>6.166666666666667</c:v>
                </c:pt>
                <c:pt idx="21">
                  <c:v>6.166666666666667</c:v>
                </c:pt>
                <c:pt idx="22">
                  <c:v>6.166666666666667</c:v>
                </c:pt>
                <c:pt idx="23">
                  <c:v>6.166666666666667</c:v>
                </c:pt>
                <c:pt idx="24">
                  <c:v>6.166666666666667</c:v>
                </c:pt>
                <c:pt idx="25">
                  <c:v>6.166666666666667</c:v>
                </c:pt>
                <c:pt idx="26">
                  <c:v>6.166666666666667</c:v>
                </c:pt>
                <c:pt idx="27">
                  <c:v>6.166666666666667</c:v>
                </c:pt>
                <c:pt idx="28">
                  <c:v>6.166666666666667</c:v>
                </c:pt>
                <c:pt idx="29">
                  <c:v>6.166666666666667</c:v>
                </c:pt>
                <c:pt idx="30">
                  <c:v>6.166666666666667</c:v>
                </c:pt>
                <c:pt idx="31">
                  <c:v>6.166666666666667</c:v>
                </c:pt>
                <c:pt idx="32">
                  <c:v>6.166666666666667</c:v>
                </c:pt>
                <c:pt idx="33">
                  <c:v>6.166666666666667</c:v>
                </c:pt>
                <c:pt idx="34">
                  <c:v>6.166666666666667</c:v>
                </c:pt>
                <c:pt idx="35">
                  <c:v>6.166666666666667</c:v>
                </c:pt>
                <c:pt idx="36">
                  <c:v>6.166666666666667</c:v>
                </c:pt>
                <c:pt idx="37">
                  <c:v>6.166666666666667</c:v>
                </c:pt>
                <c:pt idx="38">
                  <c:v>6.166666666666667</c:v>
                </c:pt>
                <c:pt idx="39">
                  <c:v>6.166666666666667</c:v>
                </c:pt>
                <c:pt idx="40">
                  <c:v>6.166666666666667</c:v>
                </c:pt>
                <c:pt idx="41">
                  <c:v>6.166666666666667</c:v>
                </c:pt>
                <c:pt idx="42">
                  <c:v>6.166666666666667</c:v>
                </c:pt>
                <c:pt idx="43">
                  <c:v>6.166666666666667</c:v>
                </c:pt>
                <c:pt idx="44">
                  <c:v>6.166666666666667</c:v>
                </c:pt>
                <c:pt idx="45">
                  <c:v>6.166666666666667</c:v>
                </c:pt>
                <c:pt idx="46">
                  <c:v>6.166666666666667</c:v>
                </c:pt>
                <c:pt idx="47">
                  <c:v>6.166666666666667</c:v>
                </c:pt>
                <c:pt idx="48">
                  <c:v>6.166666666666667</c:v>
                </c:pt>
                <c:pt idx="49">
                  <c:v>6.166666666666667</c:v>
                </c:pt>
                <c:pt idx="50">
                  <c:v>6.166666666666667</c:v>
                </c:pt>
                <c:pt idx="51">
                  <c:v>6.166666666666667</c:v>
                </c:pt>
                <c:pt idx="52">
                  <c:v>6.166666666666667</c:v>
                </c:pt>
                <c:pt idx="53">
                  <c:v>6.166666666666667</c:v>
                </c:pt>
                <c:pt idx="54">
                  <c:v>6.166666666666667</c:v>
                </c:pt>
                <c:pt idx="55">
                  <c:v>6.166666666666667</c:v>
                </c:pt>
                <c:pt idx="56">
                  <c:v>6.166666666666667</c:v>
                </c:pt>
                <c:pt idx="57">
                  <c:v>6.166666666666667</c:v>
                </c:pt>
                <c:pt idx="58">
                  <c:v>6.166666666666667</c:v>
                </c:pt>
                <c:pt idx="59">
                  <c:v>6.166666666666667</c:v>
                </c:pt>
                <c:pt idx="60">
                  <c:v>6.166666666666667</c:v>
                </c:pt>
                <c:pt idx="61">
                  <c:v>6.166666666666667</c:v>
                </c:pt>
                <c:pt idx="62">
                  <c:v>6.166666666666667</c:v>
                </c:pt>
                <c:pt idx="63">
                  <c:v>6.166666666666667</c:v>
                </c:pt>
                <c:pt idx="64">
                  <c:v>6.166666666666667</c:v>
                </c:pt>
                <c:pt idx="65">
                  <c:v>6.166666666666667</c:v>
                </c:pt>
                <c:pt idx="66">
                  <c:v>6.166666666666667</c:v>
                </c:pt>
                <c:pt idx="67">
                  <c:v>6.166666666666667</c:v>
                </c:pt>
                <c:pt idx="68">
                  <c:v>6.166666666666667</c:v>
                </c:pt>
                <c:pt idx="69">
                  <c:v>6.166666666666667</c:v>
                </c:pt>
                <c:pt idx="70">
                  <c:v>6.166666666666667</c:v>
                </c:pt>
                <c:pt idx="71">
                  <c:v>6.166666666666667</c:v>
                </c:pt>
                <c:pt idx="72">
                  <c:v>6.166666666666667</c:v>
                </c:pt>
                <c:pt idx="73">
                  <c:v>6.166666666666667</c:v>
                </c:pt>
                <c:pt idx="74">
                  <c:v>6.166666666666667</c:v>
                </c:pt>
                <c:pt idx="75">
                  <c:v>6.166666666666667</c:v>
                </c:pt>
                <c:pt idx="76">
                  <c:v>6.166666666666667</c:v>
                </c:pt>
              </c:numCache>
            </c:numRef>
          </c:yVal>
          <c:smooth val="0"/>
          <c:extLst>
            <c:ext xmlns:c16="http://schemas.microsoft.com/office/drawing/2014/chart" uri="{C3380CC4-5D6E-409C-BE32-E72D297353CC}">
              <c16:uniqueId val="{00000001-ED43-433D-B480-D5677919151A}"/>
            </c:ext>
          </c:extLst>
        </c:ser>
        <c:ser>
          <c:idx val="1"/>
          <c:order val="2"/>
          <c:spPr>
            <a:ln w="25400">
              <a:solidFill>
                <a:schemeClr val="tx1"/>
              </a:solidFill>
            </a:ln>
          </c:spPr>
          <c:marker>
            <c:symbol val="none"/>
          </c:marker>
          <c:xVal>
            <c:numRef>
              <c:f>'Power Series Cylinder'!$B$24:$B$124</c:f>
              <c:numCache>
                <c:formatCode>0.00</c:formatCode>
                <c:ptCount val="101"/>
                <c:pt idx="0">
                  <c:v>0</c:v>
                </c:pt>
                <c:pt idx="1">
                  <c:v>1.2949999999999999</c:v>
                </c:pt>
                <c:pt idx="2">
                  <c:v>2.59</c:v>
                </c:pt>
                <c:pt idx="3">
                  <c:v>3.8849999999999998</c:v>
                </c:pt>
                <c:pt idx="4">
                  <c:v>5.18</c:v>
                </c:pt>
                <c:pt idx="5">
                  <c:v>6.4750000000000005</c:v>
                </c:pt>
                <c:pt idx="6">
                  <c:v>7.77</c:v>
                </c:pt>
                <c:pt idx="7">
                  <c:v>9.0650000000000013</c:v>
                </c:pt>
                <c:pt idx="8">
                  <c:v>10.36</c:v>
                </c:pt>
                <c:pt idx="9">
                  <c:v>11.654999999999999</c:v>
                </c:pt>
                <c:pt idx="10">
                  <c:v>12.950000000000001</c:v>
                </c:pt>
                <c:pt idx="11">
                  <c:v>14.244999999999999</c:v>
                </c:pt>
                <c:pt idx="12">
                  <c:v>15.54</c:v>
                </c:pt>
                <c:pt idx="13">
                  <c:v>16.835000000000001</c:v>
                </c:pt>
                <c:pt idx="14">
                  <c:v>18.130000000000003</c:v>
                </c:pt>
                <c:pt idx="15">
                  <c:v>19.425000000000001</c:v>
                </c:pt>
                <c:pt idx="16">
                  <c:v>20.72</c:v>
                </c:pt>
                <c:pt idx="17">
                  <c:v>22.015000000000001</c:v>
                </c:pt>
                <c:pt idx="18">
                  <c:v>23.31</c:v>
                </c:pt>
                <c:pt idx="19">
                  <c:v>24.605</c:v>
                </c:pt>
                <c:pt idx="20">
                  <c:v>25.900000000000002</c:v>
                </c:pt>
                <c:pt idx="21">
                  <c:v>27.195</c:v>
                </c:pt>
                <c:pt idx="22">
                  <c:v>28.49</c:v>
                </c:pt>
                <c:pt idx="23">
                  <c:v>29.785</c:v>
                </c:pt>
                <c:pt idx="24">
                  <c:v>31.08</c:v>
                </c:pt>
                <c:pt idx="25">
                  <c:v>32.375</c:v>
                </c:pt>
                <c:pt idx="26">
                  <c:v>33.67</c:v>
                </c:pt>
                <c:pt idx="27">
                  <c:v>34.965000000000003</c:v>
                </c:pt>
                <c:pt idx="28">
                  <c:v>36.260000000000005</c:v>
                </c:pt>
                <c:pt idx="29">
                  <c:v>37.555</c:v>
                </c:pt>
                <c:pt idx="30">
                  <c:v>38.85</c:v>
                </c:pt>
                <c:pt idx="31">
                  <c:v>40.145000000000003</c:v>
                </c:pt>
                <c:pt idx="32">
                  <c:v>41.44</c:v>
                </c:pt>
                <c:pt idx="33">
                  <c:v>42.734999999999999</c:v>
                </c:pt>
                <c:pt idx="34">
                  <c:v>44.03</c:v>
                </c:pt>
                <c:pt idx="35">
                  <c:v>45.324999999999996</c:v>
                </c:pt>
                <c:pt idx="36">
                  <c:v>46.62</c:v>
                </c:pt>
                <c:pt idx="37">
                  <c:v>47.914999999999999</c:v>
                </c:pt>
                <c:pt idx="38">
                  <c:v>49.21</c:v>
                </c:pt>
                <c:pt idx="39">
                  <c:v>50.505000000000003</c:v>
                </c:pt>
                <c:pt idx="40">
                  <c:v>51.800000000000004</c:v>
                </c:pt>
                <c:pt idx="41">
                  <c:v>53.094999999999999</c:v>
                </c:pt>
                <c:pt idx="42">
                  <c:v>54.39</c:v>
                </c:pt>
                <c:pt idx="43">
                  <c:v>55.685000000000002</c:v>
                </c:pt>
                <c:pt idx="44">
                  <c:v>56.98</c:v>
                </c:pt>
                <c:pt idx="45">
                  <c:v>58.274999999999999</c:v>
                </c:pt>
                <c:pt idx="46">
                  <c:v>59.57</c:v>
                </c:pt>
                <c:pt idx="47">
                  <c:v>60.864999999999995</c:v>
                </c:pt>
                <c:pt idx="48">
                  <c:v>62.16</c:v>
                </c:pt>
                <c:pt idx="49">
                  <c:v>63.454999999999998</c:v>
                </c:pt>
                <c:pt idx="50">
                  <c:v>64.75</c:v>
                </c:pt>
                <c:pt idx="51">
                  <c:v>66.045000000000002</c:v>
                </c:pt>
                <c:pt idx="52">
                  <c:v>67.34</c:v>
                </c:pt>
                <c:pt idx="53">
                  <c:v>68.635000000000005</c:v>
                </c:pt>
                <c:pt idx="54">
                  <c:v>69.930000000000007</c:v>
                </c:pt>
                <c:pt idx="55">
                  <c:v>71.225000000000009</c:v>
                </c:pt>
                <c:pt idx="56">
                  <c:v>72.52000000000001</c:v>
                </c:pt>
                <c:pt idx="57">
                  <c:v>73.814999999999998</c:v>
                </c:pt>
                <c:pt idx="58">
                  <c:v>75.11</c:v>
                </c:pt>
                <c:pt idx="59">
                  <c:v>76.405000000000001</c:v>
                </c:pt>
                <c:pt idx="60">
                  <c:v>77.7</c:v>
                </c:pt>
                <c:pt idx="61">
                  <c:v>78.995000000000005</c:v>
                </c:pt>
                <c:pt idx="62">
                  <c:v>80.290000000000006</c:v>
                </c:pt>
                <c:pt idx="63">
                  <c:v>81.584999999999994</c:v>
                </c:pt>
                <c:pt idx="64">
                  <c:v>82.88</c:v>
                </c:pt>
                <c:pt idx="65">
                  <c:v>84.174999999999997</c:v>
                </c:pt>
                <c:pt idx="66">
                  <c:v>85.47</c:v>
                </c:pt>
                <c:pt idx="67">
                  <c:v>86.765000000000001</c:v>
                </c:pt>
                <c:pt idx="68">
                  <c:v>88.06</c:v>
                </c:pt>
                <c:pt idx="69">
                  <c:v>89.35499999999999</c:v>
                </c:pt>
                <c:pt idx="70">
                  <c:v>90.649999999999991</c:v>
                </c:pt>
                <c:pt idx="71">
                  <c:v>91.944999999999993</c:v>
                </c:pt>
                <c:pt idx="72">
                  <c:v>93.24</c:v>
                </c:pt>
                <c:pt idx="73">
                  <c:v>94.534999999999997</c:v>
                </c:pt>
                <c:pt idx="74">
                  <c:v>95.83</c:v>
                </c:pt>
                <c:pt idx="75">
                  <c:v>97.125</c:v>
                </c:pt>
                <c:pt idx="76">
                  <c:v>98.42</c:v>
                </c:pt>
                <c:pt idx="77">
                  <c:v>99.715000000000003</c:v>
                </c:pt>
                <c:pt idx="78">
                  <c:v>101.01</c:v>
                </c:pt>
                <c:pt idx="79">
                  <c:v>102.30500000000001</c:v>
                </c:pt>
                <c:pt idx="80">
                  <c:v>103.60000000000001</c:v>
                </c:pt>
                <c:pt idx="81">
                  <c:v>104.89500000000001</c:v>
                </c:pt>
                <c:pt idx="82">
                  <c:v>106.19</c:v>
                </c:pt>
                <c:pt idx="83">
                  <c:v>107.485</c:v>
                </c:pt>
                <c:pt idx="84">
                  <c:v>108.78</c:v>
                </c:pt>
                <c:pt idx="85">
                  <c:v>110.075</c:v>
                </c:pt>
                <c:pt idx="86">
                  <c:v>111.37</c:v>
                </c:pt>
                <c:pt idx="87">
                  <c:v>112.66500000000001</c:v>
                </c:pt>
                <c:pt idx="88">
                  <c:v>113.96</c:v>
                </c:pt>
                <c:pt idx="89">
                  <c:v>115.255</c:v>
                </c:pt>
                <c:pt idx="90">
                  <c:v>116.55</c:v>
                </c:pt>
                <c:pt idx="91">
                  <c:v>117.845</c:v>
                </c:pt>
                <c:pt idx="92">
                  <c:v>119.14</c:v>
                </c:pt>
                <c:pt idx="93">
                  <c:v>120.435</c:v>
                </c:pt>
                <c:pt idx="94">
                  <c:v>121.72999999999999</c:v>
                </c:pt>
                <c:pt idx="95">
                  <c:v>123.02499999999999</c:v>
                </c:pt>
                <c:pt idx="96">
                  <c:v>124.32</c:v>
                </c:pt>
                <c:pt idx="97">
                  <c:v>125.61499999999999</c:v>
                </c:pt>
                <c:pt idx="98">
                  <c:v>126.91</c:v>
                </c:pt>
                <c:pt idx="99">
                  <c:v>128.20500000000001</c:v>
                </c:pt>
                <c:pt idx="100">
                  <c:v>129.5</c:v>
                </c:pt>
              </c:numCache>
            </c:numRef>
          </c:xVal>
          <c:yVal>
            <c:numRef>
              <c:f>'Power Series Cylinder'!$K$24:$K$124</c:f>
              <c:numCache>
                <c:formatCode>0.0000</c:formatCode>
                <c:ptCount val="101"/>
                <c:pt idx="0">
                  <c:v>0</c:v>
                </c:pt>
                <c:pt idx="1">
                  <c:v>-0.74670325611523913</c:v>
                </c:pt>
                <c:pt idx="2">
                  <c:v>-1.3000858804523434</c:v>
                </c:pt>
                <c:pt idx="3">
                  <c:v>-1.79822921395619</c:v>
                </c:pt>
                <c:pt idx="4">
                  <c:v>-2.2635809911222498</c:v>
                </c:pt>
                <c:pt idx="5">
                  <c:v>-2.7059766741712168</c:v>
                </c:pt>
                <c:pt idx="6">
                  <c:v>-3.1308989102902163</c:v>
                </c:pt>
                <c:pt idx="7">
                  <c:v>-3.5418199279075249</c:v>
                </c:pt>
                <c:pt idx="8">
                  <c:v>-3.9411234137757476</c:v>
                </c:pt>
                <c:pt idx="9">
                  <c:v>-4.3305399828421924</c:v>
                </c:pt>
                <c:pt idx="10">
                  <c:v>-4.7113790359318504</c:v>
                </c:pt>
                <c:pt idx="11">
                  <c:v>-5.0846632237826856</c:v>
                </c:pt>
                <c:pt idx="12">
                  <c:v>-5.4512116199527378</c:v>
                </c:pt>
                <c:pt idx="13">
                  <c:v>-5.8116938318182667</c:v>
                </c:pt>
                <c:pt idx="14">
                  <c:v>-6.166666666666667</c:v>
                </c:pt>
                <c:pt idx="15">
                  <c:v>-6.166666666666667</c:v>
                </c:pt>
                <c:pt idx="16">
                  <c:v>-6.166666666666667</c:v>
                </c:pt>
                <c:pt idx="17">
                  <c:v>-6.166666666666667</c:v>
                </c:pt>
                <c:pt idx="18">
                  <c:v>-6.166666666666667</c:v>
                </c:pt>
                <c:pt idx="19">
                  <c:v>-6.166666666666667</c:v>
                </c:pt>
                <c:pt idx="20">
                  <c:v>-6.166666666666667</c:v>
                </c:pt>
                <c:pt idx="21">
                  <c:v>-6.166666666666667</c:v>
                </c:pt>
                <c:pt idx="22">
                  <c:v>-6.166666666666667</c:v>
                </c:pt>
                <c:pt idx="23">
                  <c:v>-6.166666666666667</c:v>
                </c:pt>
                <c:pt idx="24">
                  <c:v>-6.166666666666667</c:v>
                </c:pt>
                <c:pt idx="25">
                  <c:v>-6.166666666666667</c:v>
                </c:pt>
                <c:pt idx="26">
                  <c:v>-6.166666666666667</c:v>
                </c:pt>
                <c:pt idx="27">
                  <c:v>-6.166666666666667</c:v>
                </c:pt>
                <c:pt idx="28">
                  <c:v>-6.166666666666667</c:v>
                </c:pt>
                <c:pt idx="29">
                  <c:v>-6.166666666666667</c:v>
                </c:pt>
                <c:pt idx="30">
                  <c:v>-6.166666666666667</c:v>
                </c:pt>
                <c:pt idx="31">
                  <c:v>-6.166666666666667</c:v>
                </c:pt>
                <c:pt idx="32">
                  <c:v>-6.166666666666667</c:v>
                </c:pt>
                <c:pt idx="33">
                  <c:v>-6.166666666666667</c:v>
                </c:pt>
                <c:pt idx="34">
                  <c:v>-6.166666666666667</c:v>
                </c:pt>
                <c:pt idx="35">
                  <c:v>-6.166666666666667</c:v>
                </c:pt>
                <c:pt idx="36">
                  <c:v>-6.166666666666667</c:v>
                </c:pt>
                <c:pt idx="37">
                  <c:v>-6.166666666666667</c:v>
                </c:pt>
                <c:pt idx="38">
                  <c:v>-6.166666666666667</c:v>
                </c:pt>
                <c:pt idx="39">
                  <c:v>-6.166666666666667</c:v>
                </c:pt>
                <c:pt idx="40">
                  <c:v>-6.166666666666667</c:v>
                </c:pt>
                <c:pt idx="41">
                  <c:v>-6.166666666666667</c:v>
                </c:pt>
                <c:pt idx="42">
                  <c:v>-6.166666666666667</c:v>
                </c:pt>
                <c:pt idx="43">
                  <c:v>-6.166666666666667</c:v>
                </c:pt>
                <c:pt idx="44">
                  <c:v>-6.166666666666667</c:v>
                </c:pt>
                <c:pt idx="45">
                  <c:v>-6.166666666666667</c:v>
                </c:pt>
                <c:pt idx="46">
                  <c:v>-6.166666666666667</c:v>
                </c:pt>
                <c:pt idx="47">
                  <c:v>-6.166666666666667</c:v>
                </c:pt>
                <c:pt idx="48">
                  <c:v>-6.166666666666667</c:v>
                </c:pt>
                <c:pt idx="49">
                  <c:v>-6.166666666666667</c:v>
                </c:pt>
                <c:pt idx="50">
                  <c:v>-6.166666666666667</c:v>
                </c:pt>
                <c:pt idx="51">
                  <c:v>-6.166666666666667</c:v>
                </c:pt>
                <c:pt idx="52">
                  <c:v>-6.166666666666667</c:v>
                </c:pt>
                <c:pt idx="53">
                  <c:v>-6.166666666666667</c:v>
                </c:pt>
                <c:pt idx="54">
                  <c:v>-6.166666666666667</c:v>
                </c:pt>
                <c:pt idx="55">
                  <c:v>-6.166666666666667</c:v>
                </c:pt>
                <c:pt idx="56">
                  <c:v>-6.166666666666667</c:v>
                </c:pt>
                <c:pt idx="57">
                  <c:v>-6.166666666666667</c:v>
                </c:pt>
                <c:pt idx="58">
                  <c:v>-6.166666666666667</c:v>
                </c:pt>
                <c:pt idx="59">
                  <c:v>-6.166666666666667</c:v>
                </c:pt>
                <c:pt idx="60">
                  <c:v>-6.166666666666667</c:v>
                </c:pt>
                <c:pt idx="61">
                  <c:v>-6.166666666666667</c:v>
                </c:pt>
                <c:pt idx="62">
                  <c:v>-6.166666666666667</c:v>
                </c:pt>
                <c:pt idx="63">
                  <c:v>-6.166666666666667</c:v>
                </c:pt>
                <c:pt idx="64">
                  <c:v>-6.166666666666667</c:v>
                </c:pt>
                <c:pt idx="65">
                  <c:v>-6.166666666666667</c:v>
                </c:pt>
                <c:pt idx="66">
                  <c:v>-6.166666666666667</c:v>
                </c:pt>
                <c:pt idx="67">
                  <c:v>-6.166666666666667</c:v>
                </c:pt>
                <c:pt idx="68">
                  <c:v>-6.166666666666667</c:v>
                </c:pt>
                <c:pt idx="69">
                  <c:v>-6.166666666666667</c:v>
                </c:pt>
                <c:pt idx="70">
                  <c:v>-6.166666666666667</c:v>
                </c:pt>
                <c:pt idx="71">
                  <c:v>-6.166666666666667</c:v>
                </c:pt>
                <c:pt idx="72">
                  <c:v>-6.166666666666667</c:v>
                </c:pt>
                <c:pt idx="73">
                  <c:v>-6.166666666666667</c:v>
                </c:pt>
                <c:pt idx="74">
                  <c:v>-6.166666666666667</c:v>
                </c:pt>
                <c:pt idx="75">
                  <c:v>-6.166666666666667</c:v>
                </c:pt>
                <c:pt idx="76">
                  <c:v>-6.166666666666667</c:v>
                </c:pt>
                <c:pt idx="77">
                  <c:v>-6.166666666666667</c:v>
                </c:pt>
                <c:pt idx="78">
                  <c:v>-6.166666666666667</c:v>
                </c:pt>
                <c:pt idx="79">
                  <c:v>-6.166666666666667</c:v>
                </c:pt>
                <c:pt idx="80">
                  <c:v>-6.166666666666667</c:v>
                </c:pt>
                <c:pt idx="81">
                  <c:v>-6.166666666666667</c:v>
                </c:pt>
                <c:pt idx="82">
                  <c:v>-6.166666666666667</c:v>
                </c:pt>
                <c:pt idx="83">
                  <c:v>-6.166666666666667</c:v>
                </c:pt>
                <c:pt idx="84">
                  <c:v>-6.166666666666667</c:v>
                </c:pt>
                <c:pt idx="85">
                  <c:v>-6.166666666666667</c:v>
                </c:pt>
                <c:pt idx="86">
                  <c:v>-6.166666666666667</c:v>
                </c:pt>
                <c:pt idx="87">
                  <c:v>-5.811693831818264</c:v>
                </c:pt>
                <c:pt idx="88">
                  <c:v>-5.4512116199527387</c:v>
                </c:pt>
                <c:pt idx="89">
                  <c:v>-5.0846632237826874</c:v>
                </c:pt>
                <c:pt idx="90">
                  <c:v>-4.7113790359318513</c:v>
                </c:pt>
                <c:pt idx="91">
                  <c:v>-4.3305399828421924</c:v>
                </c:pt>
                <c:pt idx="92">
                  <c:v>-3.9411234137757476</c:v>
                </c:pt>
                <c:pt idx="93">
                  <c:v>-3.5418199279075235</c:v>
                </c:pt>
                <c:pt idx="94">
                  <c:v>-3.1308989102902194</c:v>
                </c:pt>
                <c:pt idx="95">
                  <c:v>-2.705976674171219</c:v>
                </c:pt>
                <c:pt idx="96">
                  <c:v>-2.263580991122252</c:v>
                </c:pt>
                <c:pt idx="97">
                  <c:v>-1.798229213956192</c:v>
                </c:pt>
                <c:pt idx="98">
                  <c:v>-1.3000858804523447</c:v>
                </c:pt>
                <c:pt idx="99">
                  <c:v>-0.7467032561152338</c:v>
                </c:pt>
                <c:pt idx="100">
                  <c:v>0</c:v>
                </c:pt>
              </c:numCache>
            </c:numRef>
          </c:yVal>
          <c:smooth val="0"/>
          <c:extLst>
            <c:ext xmlns:c16="http://schemas.microsoft.com/office/drawing/2014/chart" uri="{C3380CC4-5D6E-409C-BE32-E72D297353CC}">
              <c16:uniqueId val="{00000002-ED43-433D-B480-D5677919151A}"/>
            </c:ext>
          </c:extLst>
        </c:ser>
        <c:ser>
          <c:idx val="0"/>
          <c:order val="3"/>
          <c:spPr>
            <a:ln w="25400">
              <a:solidFill>
                <a:schemeClr val="tx1"/>
              </a:solidFill>
              <a:prstDash val="solid"/>
            </a:ln>
          </c:spPr>
          <c:marker>
            <c:symbol val="none"/>
          </c:marker>
          <c:xVal>
            <c:numRef>
              <c:f>'Power Series Cylinder'!$B$24:$B$124</c:f>
              <c:numCache>
                <c:formatCode>0.00</c:formatCode>
                <c:ptCount val="101"/>
                <c:pt idx="0">
                  <c:v>0</c:v>
                </c:pt>
                <c:pt idx="1">
                  <c:v>1.2949999999999999</c:v>
                </c:pt>
                <c:pt idx="2">
                  <c:v>2.59</c:v>
                </c:pt>
                <c:pt idx="3">
                  <c:v>3.8849999999999998</c:v>
                </c:pt>
                <c:pt idx="4">
                  <c:v>5.18</c:v>
                </c:pt>
                <c:pt idx="5">
                  <c:v>6.4750000000000005</c:v>
                </c:pt>
                <c:pt idx="6">
                  <c:v>7.77</c:v>
                </c:pt>
                <c:pt idx="7">
                  <c:v>9.0650000000000013</c:v>
                </c:pt>
                <c:pt idx="8">
                  <c:v>10.36</c:v>
                </c:pt>
                <c:pt idx="9">
                  <c:v>11.654999999999999</c:v>
                </c:pt>
                <c:pt idx="10">
                  <c:v>12.950000000000001</c:v>
                </c:pt>
                <c:pt idx="11">
                  <c:v>14.244999999999999</c:v>
                </c:pt>
                <c:pt idx="12">
                  <c:v>15.54</c:v>
                </c:pt>
                <c:pt idx="13">
                  <c:v>16.835000000000001</c:v>
                </c:pt>
                <c:pt idx="14">
                  <c:v>18.130000000000003</c:v>
                </c:pt>
                <c:pt idx="15">
                  <c:v>19.425000000000001</c:v>
                </c:pt>
                <c:pt idx="16">
                  <c:v>20.72</c:v>
                </c:pt>
                <c:pt idx="17">
                  <c:v>22.015000000000001</c:v>
                </c:pt>
                <c:pt idx="18">
                  <c:v>23.31</c:v>
                </c:pt>
                <c:pt idx="19">
                  <c:v>24.605</c:v>
                </c:pt>
                <c:pt idx="20">
                  <c:v>25.900000000000002</c:v>
                </c:pt>
                <c:pt idx="21">
                  <c:v>27.195</c:v>
                </c:pt>
                <c:pt idx="22">
                  <c:v>28.49</c:v>
                </c:pt>
                <c:pt idx="23">
                  <c:v>29.785</c:v>
                </c:pt>
                <c:pt idx="24">
                  <c:v>31.08</c:v>
                </c:pt>
                <c:pt idx="25">
                  <c:v>32.375</c:v>
                </c:pt>
                <c:pt idx="26">
                  <c:v>33.67</c:v>
                </c:pt>
                <c:pt idx="27">
                  <c:v>34.965000000000003</c:v>
                </c:pt>
                <c:pt idx="28">
                  <c:v>36.260000000000005</c:v>
                </c:pt>
                <c:pt idx="29">
                  <c:v>37.555</c:v>
                </c:pt>
                <c:pt idx="30">
                  <c:v>38.85</c:v>
                </c:pt>
                <c:pt idx="31">
                  <c:v>40.145000000000003</c:v>
                </c:pt>
                <c:pt idx="32">
                  <c:v>41.44</c:v>
                </c:pt>
                <c:pt idx="33">
                  <c:v>42.734999999999999</c:v>
                </c:pt>
                <c:pt idx="34">
                  <c:v>44.03</c:v>
                </c:pt>
                <c:pt idx="35">
                  <c:v>45.324999999999996</c:v>
                </c:pt>
                <c:pt idx="36">
                  <c:v>46.62</c:v>
                </c:pt>
                <c:pt idx="37">
                  <c:v>47.914999999999999</c:v>
                </c:pt>
                <c:pt idx="38">
                  <c:v>49.21</c:v>
                </c:pt>
                <c:pt idx="39">
                  <c:v>50.505000000000003</c:v>
                </c:pt>
                <c:pt idx="40">
                  <c:v>51.800000000000004</c:v>
                </c:pt>
                <c:pt idx="41">
                  <c:v>53.094999999999999</c:v>
                </c:pt>
                <c:pt idx="42">
                  <c:v>54.39</c:v>
                </c:pt>
                <c:pt idx="43">
                  <c:v>55.685000000000002</c:v>
                </c:pt>
                <c:pt idx="44">
                  <c:v>56.98</c:v>
                </c:pt>
                <c:pt idx="45">
                  <c:v>58.274999999999999</c:v>
                </c:pt>
                <c:pt idx="46">
                  <c:v>59.57</c:v>
                </c:pt>
                <c:pt idx="47">
                  <c:v>60.864999999999995</c:v>
                </c:pt>
                <c:pt idx="48">
                  <c:v>62.16</c:v>
                </c:pt>
                <c:pt idx="49">
                  <c:v>63.454999999999998</c:v>
                </c:pt>
                <c:pt idx="50">
                  <c:v>64.75</c:v>
                </c:pt>
                <c:pt idx="51">
                  <c:v>66.045000000000002</c:v>
                </c:pt>
                <c:pt idx="52">
                  <c:v>67.34</c:v>
                </c:pt>
                <c:pt idx="53">
                  <c:v>68.635000000000005</c:v>
                </c:pt>
                <c:pt idx="54">
                  <c:v>69.930000000000007</c:v>
                </c:pt>
                <c:pt idx="55">
                  <c:v>71.225000000000009</c:v>
                </c:pt>
                <c:pt idx="56">
                  <c:v>72.52000000000001</c:v>
                </c:pt>
                <c:pt idx="57">
                  <c:v>73.814999999999998</c:v>
                </c:pt>
                <c:pt idx="58">
                  <c:v>75.11</c:v>
                </c:pt>
                <c:pt idx="59">
                  <c:v>76.405000000000001</c:v>
                </c:pt>
                <c:pt idx="60">
                  <c:v>77.7</c:v>
                </c:pt>
                <c:pt idx="61">
                  <c:v>78.995000000000005</c:v>
                </c:pt>
                <c:pt idx="62">
                  <c:v>80.290000000000006</c:v>
                </c:pt>
                <c:pt idx="63">
                  <c:v>81.584999999999994</c:v>
                </c:pt>
                <c:pt idx="64">
                  <c:v>82.88</c:v>
                </c:pt>
                <c:pt idx="65">
                  <c:v>84.174999999999997</c:v>
                </c:pt>
                <c:pt idx="66">
                  <c:v>85.47</c:v>
                </c:pt>
                <c:pt idx="67">
                  <c:v>86.765000000000001</c:v>
                </c:pt>
                <c:pt idx="68">
                  <c:v>88.06</c:v>
                </c:pt>
                <c:pt idx="69">
                  <c:v>89.35499999999999</c:v>
                </c:pt>
                <c:pt idx="70">
                  <c:v>90.649999999999991</c:v>
                </c:pt>
                <c:pt idx="71">
                  <c:v>91.944999999999993</c:v>
                </c:pt>
                <c:pt idx="72">
                  <c:v>93.24</c:v>
                </c:pt>
                <c:pt idx="73">
                  <c:v>94.534999999999997</c:v>
                </c:pt>
                <c:pt idx="74">
                  <c:v>95.83</c:v>
                </c:pt>
                <c:pt idx="75">
                  <c:v>97.125</c:v>
                </c:pt>
                <c:pt idx="76">
                  <c:v>98.42</c:v>
                </c:pt>
                <c:pt idx="77">
                  <c:v>99.715000000000003</c:v>
                </c:pt>
                <c:pt idx="78">
                  <c:v>101.01</c:v>
                </c:pt>
                <c:pt idx="79">
                  <c:v>102.30500000000001</c:v>
                </c:pt>
                <c:pt idx="80">
                  <c:v>103.60000000000001</c:v>
                </c:pt>
                <c:pt idx="81">
                  <c:v>104.89500000000001</c:v>
                </c:pt>
                <c:pt idx="82">
                  <c:v>106.19</c:v>
                </c:pt>
                <c:pt idx="83">
                  <c:v>107.485</c:v>
                </c:pt>
                <c:pt idx="84">
                  <c:v>108.78</c:v>
                </c:pt>
                <c:pt idx="85">
                  <c:v>110.075</c:v>
                </c:pt>
                <c:pt idx="86">
                  <c:v>111.37</c:v>
                </c:pt>
                <c:pt idx="87">
                  <c:v>112.66500000000001</c:v>
                </c:pt>
                <c:pt idx="88">
                  <c:v>113.96</c:v>
                </c:pt>
                <c:pt idx="89">
                  <c:v>115.255</c:v>
                </c:pt>
                <c:pt idx="90">
                  <c:v>116.55</c:v>
                </c:pt>
                <c:pt idx="91">
                  <c:v>117.845</c:v>
                </c:pt>
                <c:pt idx="92">
                  <c:v>119.14</c:v>
                </c:pt>
                <c:pt idx="93">
                  <c:v>120.435</c:v>
                </c:pt>
                <c:pt idx="94">
                  <c:v>121.72999999999999</c:v>
                </c:pt>
                <c:pt idx="95">
                  <c:v>123.02499999999999</c:v>
                </c:pt>
                <c:pt idx="96">
                  <c:v>124.32</c:v>
                </c:pt>
                <c:pt idx="97">
                  <c:v>125.61499999999999</c:v>
                </c:pt>
                <c:pt idx="98">
                  <c:v>126.91</c:v>
                </c:pt>
                <c:pt idx="99">
                  <c:v>128.20500000000001</c:v>
                </c:pt>
                <c:pt idx="100">
                  <c:v>129.5</c:v>
                </c:pt>
              </c:numCache>
            </c:numRef>
          </c:xVal>
          <c:yVal>
            <c:numRef>
              <c:f>'Power Series Cylinder'!$J$24:$J$124</c:f>
              <c:numCache>
                <c:formatCode>0.0000</c:formatCode>
                <c:ptCount val="101"/>
                <c:pt idx="0">
                  <c:v>0</c:v>
                </c:pt>
                <c:pt idx="1">
                  <c:v>0.74670325611523913</c:v>
                </c:pt>
                <c:pt idx="2">
                  <c:v>1.3000858804523434</c:v>
                </c:pt>
                <c:pt idx="3">
                  <c:v>1.79822921395619</c:v>
                </c:pt>
                <c:pt idx="4">
                  <c:v>2.2635809911222498</c:v>
                </c:pt>
                <c:pt idx="5">
                  <c:v>2.7059766741712168</c:v>
                </c:pt>
                <c:pt idx="6">
                  <c:v>3.1308989102902163</c:v>
                </c:pt>
                <c:pt idx="7">
                  <c:v>3.5418199279075249</c:v>
                </c:pt>
                <c:pt idx="8">
                  <c:v>3.9411234137757476</c:v>
                </c:pt>
                <c:pt idx="9">
                  <c:v>4.3305399828421924</c:v>
                </c:pt>
                <c:pt idx="10">
                  <c:v>4.7113790359318504</c:v>
                </c:pt>
                <c:pt idx="11">
                  <c:v>5.0846632237826856</c:v>
                </c:pt>
                <c:pt idx="12">
                  <c:v>5.4512116199527378</c:v>
                </c:pt>
                <c:pt idx="13">
                  <c:v>5.8116938318182667</c:v>
                </c:pt>
                <c:pt idx="14">
                  <c:v>6.166666666666667</c:v>
                </c:pt>
                <c:pt idx="15">
                  <c:v>6.166666666666667</c:v>
                </c:pt>
                <c:pt idx="16">
                  <c:v>6.166666666666667</c:v>
                </c:pt>
                <c:pt idx="17">
                  <c:v>6.166666666666667</c:v>
                </c:pt>
                <c:pt idx="18">
                  <c:v>6.166666666666667</c:v>
                </c:pt>
                <c:pt idx="19">
                  <c:v>6.166666666666667</c:v>
                </c:pt>
                <c:pt idx="20">
                  <c:v>6.166666666666667</c:v>
                </c:pt>
                <c:pt idx="21">
                  <c:v>6.166666666666667</c:v>
                </c:pt>
                <c:pt idx="22">
                  <c:v>6.166666666666667</c:v>
                </c:pt>
                <c:pt idx="23">
                  <c:v>6.166666666666667</c:v>
                </c:pt>
                <c:pt idx="24">
                  <c:v>6.166666666666667</c:v>
                </c:pt>
                <c:pt idx="25">
                  <c:v>6.166666666666667</c:v>
                </c:pt>
                <c:pt idx="26">
                  <c:v>6.166666666666667</c:v>
                </c:pt>
                <c:pt idx="27">
                  <c:v>6.166666666666667</c:v>
                </c:pt>
                <c:pt idx="28">
                  <c:v>6.166666666666667</c:v>
                </c:pt>
                <c:pt idx="29">
                  <c:v>6.166666666666667</c:v>
                </c:pt>
                <c:pt idx="30">
                  <c:v>6.166666666666667</c:v>
                </c:pt>
                <c:pt idx="31">
                  <c:v>6.166666666666667</c:v>
                </c:pt>
                <c:pt idx="32">
                  <c:v>6.166666666666667</c:v>
                </c:pt>
                <c:pt idx="33">
                  <c:v>6.166666666666667</c:v>
                </c:pt>
                <c:pt idx="34">
                  <c:v>6.166666666666667</c:v>
                </c:pt>
                <c:pt idx="35">
                  <c:v>6.166666666666667</c:v>
                </c:pt>
                <c:pt idx="36">
                  <c:v>6.166666666666667</c:v>
                </c:pt>
                <c:pt idx="37">
                  <c:v>6.166666666666667</c:v>
                </c:pt>
                <c:pt idx="38">
                  <c:v>6.166666666666667</c:v>
                </c:pt>
                <c:pt idx="39">
                  <c:v>6.166666666666667</c:v>
                </c:pt>
                <c:pt idx="40">
                  <c:v>6.166666666666667</c:v>
                </c:pt>
                <c:pt idx="41">
                  <c:v>6.166666666666667</c:v>
                </c:pt>
                <c:pt idx="42">
                  <c:v>6.166666666666667</c:v>
                </c:pt>
                <c:pt idx="43">
                  <c:v>6.166666666666667</c:v>
                </c:pt>
                <c:pt idx="44">
                  <c:v>6.166666666666667</c:v>
                </c:pt>
                <c:pt idx="45">
                  <c:v>6.166666666666667</c:v>
                </c:pt>
                <c:pt idx="46">
                  <c:v>6.166666666666667</c:v>
                </c:pt>
                <c:pt idx="47">
                  <c:v>6.166666666666667</c:v>
                </c:pt>
                <c:pt idx="48">
                  <c:v>6.166666666666667</c:v>
                </c:pt>
                <c:pt idx="49">
                  <c:v>6.166666666666667</c:v>
                </c:pt>
                <c:pt idx="50">
                  <c:v>6.166666666666667</c:v>
                </c:pt>
                <c:pt idx="51">
                  <c:v>6.166666666666667</c:v>
                </c:pt>
                <c:pt idx="52">
                  <c:v>6.166666666666667</c:v>
                </c:pt>
                <c:pt idx="53">
                  <c:v>6.166666666666667</c:v>
                </c:pt>
                <c:pt idx="54">
                  <c:v>6.166666666666667</c:v>
                </c:pt>
                <c:pt idx="55">
                  <c:v>6.166666666666667</c:v>
                </c:pt>
                <c:pt idx="56">
                  <c:v>6.166666666666667</c:v>
                </c:pt>
                <c:pt idx="57">
                  <c:v>6.166666666666667</c:v>
                </c:pt>
                <c:pt idx="58">
                  <c:v>6.166666666666667</c:v>
                </c:pt>
                <c:pt idx="59">
                  <c:v>6.166666666666667</c:v>
                </c:pt>
                <c:pt idx="60">
                  <c:v>6.166666666666667</c:v>
                </c:pt>
                <c:pt idx="61">
                  <c:v>6.166666666666667</c:v>
                </c:pt>
                <c:pt idx="62">
                  <c:v>6.166666666666667</c:v>
                </c:pt>
                <c:pt idx="63">
                  <c:v>6.166666666666667</c:v>
                </c:pt>
                <c:pt idx="64">
                  <c:v>6.166666666666667</c:v>
                </c:pt>
                <c:pt idx="65">
                  <c:v>6.166666666666667</c:v>
                </c:pt>
                <c:pt idx="66">
                  <c:v>6.166666666666667</c:v>
                </c:pt>
                <c:pt idx="67">
                  <c:v>6.166666666666667</c:v>
                </c:pt>
                <c:pt idx="68">
                  <c:v>6.166666666666667</c:v>
                </c:pt>
                <c:pt idx="69">
                  <c:v>6.166666666666667</c:v>
                </c:pt>
                <c:pt idx="70">
                  <c:v>6.166666666666667</c:v>
                </c:pt>
                <c:pt idx="71">
                  <c:v>6.166666666666667</c:v>
                </c:pt>
                <c:pt idx="72">
                  <c:v>6.166666666666667</c:v>
                </c:pt>
                <c:pt idx="73">
                  <c:v>6.166666666666667</c:v>
                </c:pt>
                <c:pt idx="74">
                  <c:v>6.166666666666667</c:v>
                </c:pt>
                <c:pt idx="75">
                  <c:v>6.166666666666667</c:v>
                </c:pt>
                <c:pt idx="76">
                  <c:v>6.166666666666667</c:v>
                </c:pt>
                <c:pt idx="77">
                  <c:v>6.166666666666667</c:v>
                </c:pt>
                <c:pt idx="78">
                  <c:v>6.166666666666667</c:v>
                </c:pt>
                <c:pt idx="79">
                  <c:v>6.166666666666667</c:v>
                </c:pt>
                <c:pt idx="80">
                  <c:v>6.166666666666667</c:v>
                </c:pt>
                <c:pt idx="81">
                  <c:v>6.166666666666667</c:v>
                </c:pt>
                <c:pt idx="82">
                  <c:v>6.166666666666667</c:v>
                </c:pt>
                <c:pt idx="83">
                  <c:v>6.166666666666667</c:v>
                </c:pt>
                <c:pt idx="84">
                  <c:v>6.166666666666667</c:v>
                </c:pt>
                <c:pt idx="85">
                  <c:v>6.166666666666667</c:v>
                </c:pt>
                <c:pt idx="86">
                  <c:v>6.166666666666667</c:v>
                </c:pt>
                <c:pt idx="87">
                  <c:v>5.811693831818264</c:v>
                </c:pt>
                <c:pt idx="88">
                  <c:v>5.4512116199527387</c:v>
                </c:pt>
                <c:pt idx="89">
                  <c:v>5.0846632237826874</c:v>
                </c:pt>
                <c:pt idx="90">
                  <c:v>4.7113790359318513</c:v>
                </c:pt>
                <c:pt idx="91">
                  <c:v>4.3305399828421924</c:v>
                </c:pt>
                <c:pt idx="92">
                  <c:v>3.9411234137757476</c:v>
                </c:pt>
                <c:pt idx="93">
                  <c:v>3.5418199279075235</c:v>
                </c:pt>
                <c:pt idx="94">
                  <c:v>3.1308989102902194</c:v>
                </c:pt>
                <c:pt idx="95">
                  <c:v>2.705976674171219</c:v>
                </c:pt>
                <c:pt idx="96">
                  <c:v>2.263580991122252</c:v>
                </c:pt>
                <c:pt idx="97">
                  <c:v>1.798229213956192</c:v>
                </c:pt>
                <c:pt idx="98">
                  <c:v>1.3000858804523447</c:v>
                </c:pt>
                <c:pt idx="99">
                  <c:v>0.7467032561152338</c:v>
                </c:pt>
                <c:pt idx="100">
                  <c:v>0</c:v>
                </c:pt>
              </c:numCache>
            </c:numRef>
          </c:yVal>
          <c:smooth val="0"/>
          <c:extLst>
            <c:ext xmlns:c16="http://schemas.microsoft.com/office/drawing/2014/chart" uri="{C3380CC4-5D6E-409C-BE32-E72D297353CC}">
              <c16:uniqueId val="{00000003-ED43-433D-B480-D5677919151A}"/>
            </c:ext>
          </c:extLst>
        </c:ser>
        <c:dLbls>
          <c:showLegendKey val="0"/>
          <c:showVal val="0"/>
          <c:showCatName val="0"/>
          <c:showSerName val="0"/>
          <c:showPercent val="0"/>
          <c:showBubbleSize val="0"/>
        </c:dLbls>
        <c:axId val="309605808"/>
        <c:axId val="1"/>
      </c:scatterChart>
      <c:valAx>
        <c:axId val="309605808"/>
        <c:scaling>
          <c:orientation val="minMax"/>
        </c:scaling>
        <c:delete val="0"/>
        <c:axPos val="b"/>
        <c:title>
          <c:tx>
            <c:rich>
              <a:bodyPr/>
              <a:lstStyle/>
              <a:p>
                <a:pPr>
                  <a:defRPr sz="800" b="1" i="0" u="none" strike="noStrike" baseline="0">
                    <a:solidFill>
                      <a:srgbClr val="000000"/>
                    </a:solidFill>
                    <a:latin typeface="Arial"/>
                    <a:ea typeface="Arial"/>
                    <a:cs typeface="Arial"/>
                  </a:defRPr>
                </a:pPr>
                <a:r>
                  <a:rPr lang="en-US"/>
                  <a:t>x</a:t>
                </a:r>
              </a:p>
            </c:rich>
          </c:tx>
          <c:layout>
            <c:manualLayout>
              <c:xMode val="edge"/>
              <c:yMode val="edge"/>
              <c:x val="0.56485208078631866"/>
              <c:y val="0.65236974091109889"/>
            </c:manualLayout>
          </c:layout>
          <c:overlay val="0"/>
          <c:spPr>
            <a:noFill/>
            <a:ln w="25400">
              <a:noFill/>
            </a:ln>
          </c:spPr>
        </c:title>
        <c:numFmt formatCode="0.0"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
        <c:crosses val="autoZero"/>
        <c:crossBetween val="midCat"/>
        <c:majorUnit val="10"/>
        <c:minorUnit val="5"/>
      </c:valAx>
      <c:valAx>
        <c:axId val="1"/>
        <c:scaling>
          <c:orientation val="minMax"/>
          <c:min val="-10"/>
        </c:scaling>
        <c:delete val="0"/>
        <c:axPos val="l"/>
        <c:title>
          <c:tx>
            <c:rich>
              <a:bodyPr rot="0" vert="horz"/>
              <a:lstStyle/>
              <a:p>
                <a:pPr algn="ctr">
                  <a:defRPr sz="800" b="1" i="0" u="none" strike="noStrike" baseline="0">
                    <a:solidFill>
                      <a:srgbClr val="000000"/>
                    </a:solidFill>
                    <a:latin typeface="Arial"/>
                    <a:ea typeface="Arial"/>
                    <a:cs typeface="Arial"/>
                  </a:defRPr>
                </a:pPr>
                <a:r>
                  <a:rPr lang="en-US"/>
                  <a:t>y</a:t>
                </a:r>
              </a:p>
            </c:rich>
          </c:tx>
          <c:layout>
            <c:manualLayout>
              <c:xMode val="edge"/>
              <c:yMode val="edge"/>
              <c:x val="2.7492996600180678E-2"/>
              <c:y val="0.43851822977573346"/>
            </c:manualLayout>
          </c:layout>
          <c:overlay val="0"/>
          <c:spPr>
            <a:noFill/>
            <a:ln w="25400">
              <a:noFill/>
            </a:ln>
          </c:spPr>
        </c:title>
        <c:numFmt formatCode="0.0"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309605808"/>
        <c:crosses val="autoZero"/>
        <c:crossBetween val="midCat"/>
        <c:majorUnit val="5"/>
      </c:valAx>
      <c:spPr>
        <a:solidFill>
          <a:srgbClr val="C0C0C0"/>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oddHeader>&amp;A</c:oddHeader>
      <c:oddFooter>Page &amp;P</c:oddFooter>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5205912778817949E-2"/>
          <c:y val="0.21501104441152774"/>
          <c:w val="0.63018984041465287"/>
          <c:h val="0.52811673293313588"/>
        </c:manualLayout>
      </c:layout>
      <c:scatterChart>
        <c:scatterStyle val="lineMarker"/>
        <c:varyColors val="0"/>
        <c:ser>
          <c:idx val="1"/>
          <c:order val="0"/>
          <c:spPr>
            <a:ln w="25400">
              <a:solidFill>
                <a:schemeClr val="tx1"/>
              </a:solidFill>
            </a:ln>
          </c:spPr>
          <c:marker>
            <c:symbol val="none"/>
          </c:marker>
          <c:xVal>
            <c:numRef>
              <c:f>'Power Series Cylinder'!$B$24:$B$124</c:f>
              <c:numCache>
                <c:formatCode>0.00</c:formatCode>
                <c:ptCount val="101"/>
                <c:pt idx="0">
                  <c:v>0</c:v>
                </c:pt>
                <c:pt idx="1">
                  <c:v>1.2949999999999999</c:v>
                </c:pt>
                <c:pt idx="2">
                  <c:v>2.59</c:v>
                </c:pt>
                <c:pt idx="3">
                  <c:v>3.8849999999999998</c:v>
                </c:pt>
                <c:pt idx="4">
                  <c:v>5.18</c:v>
                </c:pt>
                <c:pt idx="5">
                  <c:v>6.4750000000000005</c:v>
                </c:pt>
                <c:pt idx="6">
                  <c:v>7.77</c:v>
                </c:pt>
                <c:pt idx="7">
                  <c:v>9.0650000000000013</c:v>
                </c:pt>
                <c:pt idx="8">
                  <c:v>10.36</c:v>
                </c:pt>
                <c:pt idx="9">
                  <c:v>11.654999999999999</c:v>
                </c:pt>
                <c:pt idx="10">
                  <c:v>12.950000000000001</c:v>
                </c:pt>
                <c:pt idx="11">
                  <c:v>14.244999999999999</c:v>
                </c:pt>
                <c:pt idx="12">
                  <c:v>15.54</c:v>
                </c:pt>
                <c:pt idx="13">
                  <c:v>16.835000000000001</c:v>
                </c:pt>
                <c:pt idx="14">
                  <c:v>18.130000000000003</c:v>
                </c:pt>
                <c:pt idx="15">
                  <c:v>19.425000000000001</c:v>
                </c:pt>
                <c:pt idx="16">
                  <c:v>20.72</c:v>
                </c:pt>
                <c:pt idx="17">
                  <c:v>22.015000000000001</c:v>
                </c:pt>
                <c:pt idx="18">
                  <c:v>23.31</c:v>
                </c:pt>
                <c:pt idx="19">
                  <c:v>24.605</c:v>
                </c:pt>
                <c:pt idx="20">
                  <c:v>25.900000000000002</c:v>
                </c:pt>
                <c:pt idx="21">
                  <c:v>27.195</c:v>
                </c:pt>
                <c:pt idx="22">
                  <c:v>28.49</c:v>
                </c:pt>
                <c:pt idx="23">
                  <c:v>29.785</c:v>
                </c:pt>
                <c:pt idx="24">
                  <c:v>31.08</c:v>
                </c:pt>
                <c:pt idx="25">
                  <c:v>32.375</c:v>
                </c:pt>
                <c:pt idx="26">
                  <c:v>33.67</c:v>
                </c:pt>
                <c:pt idx="27">
                  <c:v>34.965000000000003</c:v>
                </c:pt>
                <c:pt idx="28">
                  <c:v>36.260000000000005</c:v>
                </c:pt>
                <c:pt idx="29">
                  <c:v>37.555</c:v>
                </c:pt>
                <c:pt idx="30">
                  <c:v>38.85</c:v>
                </c:pt>
                <c:pt idx="31">
                  <c:v>40.145000000000003</c:v>
                </c:pt>
                <c:pt idx="32">
                  <c:v>41.44</c:v>
                </c:pt>
                <c:pt idx="33">
                  <c:v>42.734999999999999</c:v>
                </c:pt>
                <c:pt idx="34">
                  <c:v>44.03</c:v>
                </c:pt>
                <c:pt idx="35">
                  <c:v>45.324999999999996</c:v>
                </c:pt>
                <c:pt idx="36">
                  <c:v>46.62</c:v>
                </c:pt>
                <c:pt idx="37">
                  <c:v>47.914999999999999</c:v>
                </c:pt>
                <c:pt idx="38">
                  <c:v>49.21</c:v>
                </c:pt>
                <c:pt idx="39">
                  <c:v>50.505000000000003</c:v>
                </c:pt>
                <c:pt idx="40">
                  <c:v>51.800000000000004</c:v>
                </c:pt>
                <c:pt idx="41">
                  <c:v>53.094999999999999</c:v>
                </c:pt>
                <c:pt idx="42">
                  <c:v>54.39</c:v>
                </c:pt>
                <c:pt idx="43">
                  <c:v>55.685000000000002</c:v>
                </c:pt>
                <c:pt idx="44">
                  <c:v>56.98</c:v>
                </c:pt>
                <c:pt idx="45">
                  <c:v>58.274999999999999</c:v>
                </c:pt>
                <c:pt idx="46">
                  <c:v>59.57</c:v>
                </c:pt>
                <c:pt idx="47">
                  <c:v>60.864999999999995</c:v>
                </c:pt>
                <c:pt idx="48">
                  <c:v>62.16</c:v>
                </c:pt>
                <c:pt idx="49">
                  <c:v>63.454999999999998</c:v>
                </c:pt>
                <c:pt idx="50">
                  <c:v>64.75</c:v>
                </c:pt>
                <c:pt idx="51">
                  <c:v>66.045000000000002</c:v>
                </c:pt>
                <c:pt idx="52">
                  <c:v>67.34</c:v>
                </c:pt>
                <c:pt idx="53">
                  <c:v>68.635000000000005</c:v>
                </c:pt>
                <c:pt idx="54">
                  <c:v>69.930000000000007</c:v>
                </c:pt>
                <c:pt idx="55">
                  <c:v>71.225000000000009</c:v>
                </c:pt>
                <c:pt idx="56">
                  <c:v>72.52000000000001</c:v>
                </c:pt>
                <c:pt idx="57">
                  <c:v>73.814999999999998</c:v>
                </c:pt>
                <c:pt idx="58">
                  <c:v>75.11</c:v>
                </c:pt>
                <c:pt idx="59">
                  <c:v>76.405000000000001</c:v>
                </c:pt>
                <c:pt idx="60">
                  <c:v>77.7</c:v>
                </c:pt>
                <c:pt idx="61">
                  <c:v>78.995000000000005</c:v>
                </c:pt>
                <c:pt idx="62">
                  <c:v>80.290000000000006</c:v>
                </c:pt>
                <c:pt idx="63">
                  <c:v>81.584999999999994</c:v>
                </c:pt>
                <c:pt idx="64">
                  <c:v>82.88</c:v>
                </c:pt>
                <c:pt idx="65">
                  <c:v>84.174999999999997</c:v>
                </c:pt>
                <c:pt idx="66">
                  <c:v>85.47</c:v>
                </c:pt>
                <c:pt idx="67">
                  <c:v>86.765000000000001</c:v>
                </c:pt>
                <c:pt idx="68">
                  <c:v>88.06</c:v>
                </c:pt>
                <c:pt idx="69">
                  <c:v>89.35499999999999</c:v>
                </c:pt>
                <c:pt idx="70">
                  <c:v>90.649999999999991</c:v>
                </c:pt>
                <c:pt idx="71">
                  <c:v>91.944999999999993</c:v>
                </c:pt>
                <c:pt idx="72">
                  <c:v>93.24</c:v>
                </c:pt>
                <c:pt idx="73">
                  <c:v>94.534999999999997</c:v>
                </c:pt>
                <c:pt idx="74">
                  <c:v>95.83</c:v>
                </c:pt>
                <c:pt idx="75">
                  <c:v>97.125</c:v>
                </c:pt>
                <c:pt idx="76">
                  <c:v>98.42</c:v>
                </c:pt>
                <c:pt idx="77">
                  <c:v>99.715000000000003</c:v>
                </c:pt>
                <c:pt idx="78">
                  <c:v>101.01</c:v>
                </c:pt>
                <c:pt idx="79">
                  <c:v>102.30500000000001</c:v>
                </c:pt>
                <c:pt idx="80">
                  <c:v>103.60000000000001</c:v>
                </c:pt>
                <c:pt idx="81">
                  <c:v>104.89500000000001</c:v>
                </c:pt>
                <c:pt idx="82">
                  <c:v>106.19</c:v>
                </c:pt>
                <c:pt idx="83">
                  <c:v>107.485</c:v>
                </c:pt>
                <c:pt idx="84">
                  <c:v>108.78</c:v>
                </c:pt>
                <c:pt idx="85">
                  <c:v>110.075</c:v>
                </c:pt>
                <c:pt idx="86">
                  <c:v>111.37</c:v>
                </c:pt>
                <c:pt idx="87">
                  <c:v>112.66500000000001</c:v>
                </c:pt>
                <c:pt idx="88">
                  <c:v>113.96</c:v>
                </c:pt>
                <c:pt idx="89">
                  <c:v>115.255</c:v>
                </c:pt>
                <c:pt idx="90">
                  <c:v>116.55</c:v>
                </c:pt>
                <c:pt idx="91">
                  <c:v>117.845</c:v>
                </c:pt>
                <c:pt idx="92">
                  <c:v>119.14</c:v>
                </c:pt>
                <c:pt idx="93">
                  <c:v>120.435</c:v>
                </c:pt>
                <c:pt idx="94">
                  <c:v>121.72999999999999</c:v>
                </c:pt>
                <c:pt idx="95">
                  <c:v>123.02499999999999</c:v>
                </c:pt>
                <c:pt idx="96">
                  <c:v>124.32</c:v>
                </c:pt>
                <c:pt idx="97">
                  <c:v>125.61499999999999</c:v>
                </c:pt>
                <c:pt idx="98">
                  <c:v>126.91</c:v>
                </c:pt>
                <c:pt idx="99">
                  <c:v>128.20500000000001</c:v>
                </c:pt>
                <c:pt idx="100">
                  <c:v>129.5</c:v>
                </c:pt>
              </c:numCache>
            </c:numRef>
          </c:xVal>
          <c:yVal>
            <c:numRef>
              <c:f>'Power Series Cylinder'!$K$24:$K$124</c:f>
              <c:numCache>
                <c:formatCode>0.0000</c:formatCode>
                <c:ptCount val="101"/>
                <c:pt idx="0">
                  <c:v>0</c:v>
                </c:pt>
                <c:pt idx="1">
                  <c:v>-0.74670325611523913</c:v>
                </c:pt>
                <c:pt idx="2">
                  <c:v>-1.3000858804523434</c:v>
                </c:pt>
                <c:pt idx="3">
                  <c:v>-1.79822921395619</c:v>
                </c:pt>
                <c:pt idx="4">
                  <c:v>-2.2635809911222498</c:v>
                </c:pt>
                <c:pt idx="5">
                  <c:v>-2.7059766741712168</c:v>
                </c:pt>
                <c:pt idx="6">
                  <c:v>-3.1308989102902163</c:v>
                </c:pt>
                <c:pt idx="7">
                  <c:v>-3.5418199279075249</c:v>
                </c:pt>
                <c:pt idx="8">
                  <c:v>-3.9411234137757476</c:v>
                </c:pt>
                <c:pt idx="9">
                  <c:v>-4.3305399828421924</c:v>
                </c:pt>
                <c:pt idx="10">
                  <c:v>-4.7113790359318504</c:v>
                </c:pt>
                <c:pt idx="11">
                  <c:v>-5.0846632237826856</c:v>
                </c:pt>
                <c:pt idx="12">
                  <c:v>-5.4512116199527378</c:v>
                </c:pt>
                <c:pt idx="13">
                  <c:v>-5.8116938318182667</c:v>
                </c:pt>
                <c:pt idx="14">
                  <c:v>-6.166666666666667</c:v>
                </c:pt>
                <c:pt idx="15">
                  <c:v>-6.166666666666667</c:v>
                </c:pt>
                <c:pt idx="16">
                  <c:v>-6.166666666666667</c:v>
                </c:pt>
                <c:pt idx="17">
                  <c:v>-6.166666666666667</c:v>
                </c:pt>
                <c:pt idx="18">
                  <c:v>-6.166666666666667</c:v>
                </c:pt>
                <c:pt idx="19">
                  <c:v>-6.166666666666667</c:v>
                </c:pt>
                <c:pt idx="20">
                  <c:v>-6.166666666666667</c:v>
                </c:pt>
                <c:pt idx="21">
                  <c:v>-6.166666666666667</c:v>
                </c:pt>
                <c:pt idx="22">
                  <c:v>-6.166666666666667</c:v>
                </c:pt>
                <c:pt idx="23">
                  <c:v>-6.166666666666667</c:v>
                </c:pt>
                <c:pt idx="24">
                  <c:v>-6.166666666666667</c:v>
                </c:pt>
                <c:pt idx="25">
                  <c:v>-6.166666666666667</c:v>
                </c:pt>
                <c:pt idx="26">
                  <c:v>-6.166666666666667</c:v>
                </c:pt>
                <c:pt idx="27">
                  <c:v>-6.166666666666667</c:v>
                </c:pt>
                <c:pt idx="28">
                  <c:v>-6.166666666666667</c:v>
                </c:pt>
                <c:pt idx="29">
                  <c:v>-6.166666666666667</c:v>
                </c:pt>
                <c:pt idx="30">
                  <c:v>-6.166666666666667</c:v>
                </c:pt>
                <c:pt idx="31">
                  <c:v>-6.166666666666667</c:v>
                </c:pt>
                <c:pt idx="32">
                  <c:v>-6.166666666666667</c:v>
                </c:pt>
                <c:pt idx="33">
                  <c:v>-6.166666666666667</c:v>
                </c:pt>
                <c:pt idx="34">
                  <c:v>-6.166666666666667</c:v>
                </c:pt>
                <c:pt idx="35">
                  <c:v>-6.166666666666667</c:v>
                </c:pt>
                <c:pt idx="36">
                  <c:v>-6.166666666666667</c:v>
                </c:pt>
                <c:pt idx="37">
                  <c:v>-6.166666666666667</c:v>
                </c:pt>
                <c:pt idx="38">
                  <c:v>-6.166666666666667</c:v>
                </c:pt>
                <c:pt idx="39">
                  <c:v>-6.166666666666667</c:v>
                </c:pt>
                <c:pt idx="40">
                  <c:v>-6.166666666666667</c:v>
                </c:pt>
                <c:pt idx="41">
                  <c:v>-6.166666666666667</c:v>
                </c:pt>
                <c:pt idx="42">
                  <c:v>-6.166666666666667</c:v>
                </c:pt>
                <c:pt idx="43">
                  <c:v>-6.166666666666667</c:v>
                </c:pt>
                <c:pt idx="44">
                  <c:v>-6.166666666666667</c:v>
                </c:pt>
                <c:pt idx="45">
                  <c:v>-6.166666666666667</c:v>
                </c:pt>
                <c:pt idx="46">
                  <c:v>-6.166666666666667</c:v>
                </c:pt>
                <c:pt idx="47">
                  <c:v>-6.166666666666667</c:v>
                </c:pt>
                <c:pt idx="48">
                  <c:v>-6.166666666666667</c:v>
                </c:pt>
                <c:pt idx="49">
                  <c:v>-6.166666666666667</c:v>
                </c:pt>
                <c:pt idx="50">
                  <c:v>-6.166666666666667</c:v>
                </c:pt>
                <c:pt idx="51">
                  <c:v>-6.166666666666667</c:v>
                </c:pt>
                <c:pt idx="52">
                  <c:v>-6.166666666666667</c:v>
                </c:pt>
                <c:pt idx="53">
                  <c:v>-6.166666666666667</c:v>
                </c:pt>
                <c:pt idx="54">
                  <c:v>-6.166666666666667</c:v>
                </c:pt>
                <c:pt idx="55">
                  <c:v>-6.166666666666667</c:v>
                </c:pt>
                <c:pt idx="56">
                  <c:v>-6.166666666666667</c:v>
                </c:pt>
                <c:pt idx="57">
                  <c:v>-6.166666666666667</c:v>
                </c:pt>
                <c:pt idx="58">
                  <c:v>-6.166666666666667</c:v>
                </c:pt>
                <c:pt idx="59">
                  <c:v>-6.166666666666667</c:v>
                </c:pt>
                <c:pt idx="60">
                  <c:v>-6.166666666666667</c:v>
                </c:pt>
                <c:pt idx="61">
                  <c:v>-6.166666666666667</c:v>
                </c:pt>
                <c:pt idx="62">
                  <c:v>-6.166666666666667</c:v>
                </c:pt>
                <c:pt idx="63">
                  <c:v>-6.166666666666667</c:v>
                </c:pt>
                <c:pt idx="64">
                  <c:v>-6.166666666666667</c:v>
                </c:pt>
                <c:pt idx="65">
                  <c:v>-6.166666666666667</c:v>
                </c:pt>
                <c:pt idx="66">
                  <c:v>-6.166666666666667</c:v>
                </c:pt>
                <c:pt idx="67">
                  <c:v>-6.166666666666667</c:v>
                </c:pt>
                <c:pt idx="68">
                  <c:v>-6.166666666666667</c:v>
                </c:pt>
                <c:pt idx="69">
                  <c:v>-6.166666666666667</c:v>
                </c:pt>
                <c:pt idx="70">
                  <c:v>-6.166666666666667</c:v>
                </c:pt>
                <c:pt idx="71">
                  <c:v>-6.166666666666667</c:v>
                </c:pt>
                <c:pt idx="72">
                  <c:v>-6.166666666666667</c:v>
                </c:pt>
                <c:pt idx="73">
                  <c:v>-6.166666666666667</c:v>
                </c:pt>
                <c:pt idx="74">
                  <c:v>-6.166666666666667</c:v>
                </c:pt>
                <c:pt idx="75">
                  <c:v>-6.166666666666667</c:v>
                </c:pt>
                <c:pt idx="76">
                  <c:v>-6.166666666666667</c:v>
                </c:pt>
                <c:pt idx="77">
                  <c:v>-6.166666666666667</c:v>
                </c:pt>
                <c:pt idx="78">
                  <c:v>-6.166666666666667</c:v>
                </c:pt>
                <c:pt idx="79">
                  <c:v>-6.166666666666667</c:v>
                </c:pt>
                <c:pt idx="80">
                  <c:v>-6.166666666666667</c:v>
                </c:pt>
                <c:pt idx="81">
                  <c:v>-6.166666666666667</c:v>
                </c:pt>
                <c:pt idx="82">
                  <c:v>-6.166666666666667</c:v>
                </c:pt>
                <c:pt idx="83">
                  <c:v>-6.166666666666667</c:v>
                </c:pt>
                <c:pt idx="84">
                  <c:v>-6.166666666666667</c:v>
                </c:pt>
                <c:pt idx="85">
                  <c:v>-6.166666666666667</c:v>
                </c:pt>
                <c:pt idx="86">
                  <c:v>-6.166666666666667</c:v>
                </c:pt>
                <c:pt idx="87">
                  <c:v>-5.811693831818264</c:v>
                </c:pt>
                <c:pt idx="88">
                  <c:v>-5.4512116199527387</c:v>
                </c:pt>
                <c:pt idx="89">
                  <c:v>-5.0846632237826874</c:v>
                </c:pt>
                <c:pt idx="90">
                  <c:v>-4.7113790359318513</c:v>
                </c:pt>
                <c:pt idx="91">
                  <c:v>-4.3305399828421924</c:v>
                </c:pt>
                <c:pt idx="92">
                  <c:v>-3.9411234137757476</c:v>
                </c:pt>
                <c:pt idx="93">
                  <c:v>-3.5418199279075235</c:v>
                </c:pt>
                <c:pt idx="94">
                  <c:v>-3.1308989102902194</c:v>
                </c:pt>
                <c:pt idx="95">
                  <c:v>-2.705976674171219</c:v>
                </c:pt>
                <c:pt idx="96">
                  <c:v>-2.263580991122252</c:v>
                </c:pt>
                <c:pt idx="97">
                  <c:v>-1.798229213956192</c:v>
                </c:pt>
                <c:pt idx="98">
                  <c:v>-1.3000858804523447</c:v>
                </c:pt>
                <c:pt idx="99">
                  <c:v>-0.7467032561152338</c:v>
                </c:pt>
                <c:pt idx="100">
                  <c:v>0</c:v>
                </c:pt>
              </c:numCache>
            </c:numRef>
          </c:yVal>
          <c:smooth val="0"/>
          <c:extLst>
            <c:ext xmlns:c16="http://schemas.microsoft.com/office/drawing/2014/chart" uri="{C3380CC4-5D6E-409C-BE32-E72D297353CC}">
              <c16:uniqueId val="{00000000-F1A3-4709-9C6A-DD6F3F0D024F}"/>
            </c:ext>
          </c:extLst>
        </c:ser>
        <c:ser>
          <c:idx val="0"/>
          <c:order val="1"/>
          <c:spPr>
            <a:ln w="25400">
              <a:solidFill>
                <a:schemeClr val="tx1"/>
              </a:solidFill>
              <a:prstDash val="solid"/>
            </a:ln>
          </c:spPr>
          <c:marker>
            <c:symbol val="none"/>
          </c:marker>
          <c:xVal>
            <c:numRef>
              <c:f>'Power Series Cylinder'!$B$24:$B$124</c:f>
              <c:numCache>
                <c:formatCode>0.00</c:formatCode>
                <c:ptCount val="101"/>
                <c:pt idx="0">
                  <c:v>0</c:v>
                </c:pt>
                <c:pt idx="1">
                  <c:v>1.2949999999999999</c:v>
                </c:pt>
                <c:pt idx="2">
                  <c:v>2.59</c:v>
                </c:pt>
                <c:pt idx="3">
                  <c:v>3.8849999999999998</c:v>
                </c:pt>
                <c:pt idx="4">
                  <c:v>5.18</c:v>
                </c:pt>
                <c:pt idx="5">
                  <c:v>6.4750000000000005</c:v>
                </c:pt>
                <c:pt idx="6">
                  <c:v>7.77</c:v>
                </c:pt>
                <c:pt idx="7">
                  <c:v>9.0650000000000013</c:v>
                </c:pt>
                <c:pt idx="8">
                  <c:v>10.36</c:v>
                </c:pt>
                <c:pt idx="9">
                  <c:v>11.654999999999999</c:v>
                </c:pt>
                <c:pt idx="10">
                  <c:v>12.950000000000001</c:v>
                </c:pt>
                <c:pt idx="11">
                  <c:v>14.244999999999999</c:v>
                </c:pt>
                <c:pt idx="12">
                  <c:v>15.54</c:v>
                </c:pt>
                <c:pt idx="13">
                  <c:v>16.835000000000001</c:v>
                </c:pt>
                <c:pt idx="14">
                  <c:v>18.130000000000003</c:v>
                </c:pt>
                <c:pt idx="15">
                  <c:v>19.425000000000001</c:v>
                </c:pt>
                <c:pt idx="16">
                  <c:v>20.72</c:v>
                </c:pt>
                <c:pt idx="17">
                  <c:v>22.015000000000001</c:v>
                </c:pt>
                <c:pt idx="18">
                  <c:v>23.31</c:v>
                </c:pt>
                <c:pt idx="19">
                  <c:v>24.605</c:v>
                </c:pt>
                <c:pt idx="20">
                  <c:v>25.900000000000002</c:v>
                </c:pt>
                <c:pt idx="21">
                  <c:v>27.195</c:v>
                </c:pt>
                <c:pt idx="22">
                  <c:v>28.49</c:v>
                </c:pt>
                <c:pt idx="23">
                  <c:v>29.785</c:v>
                </c:pt>
                <c:pt idx="24">
                  <c:v>31.08</c:v>
                </c:pt>
                <c:pt idx="25">
                  <c:v>32.375</c:v>
                </c:pt>
                <c:pt idx="26">
                  <c:v>33.67</c:v>
                </c:pt>
                <c:pt idx="27">
                  <c:v>34.965000000000003</c:v>
                </c:pt>
                <c:pt idx="28">
                  <c:v>36.260000000000005</c:v>
                </c:pt>
                <c:pt idx="29">
                  <c:v>37.555</c:v>
                </c:pt>
                <c:pt idx="30">
                  <c:v>38.85</c:v>
                </c:pt>
                <c:pt idx="31">
                  <c:v>40.145000000000003</c:v>
                </c:pt>
                <c:pt idx="32">
                  <c:v>41.44</c:v>
                </c:pt>
                <c:pt idx="33">
                  <c:v>42.734999999999999</c:v>
                </c:pt>
                <c:pt idx="34">
                  <c:v>44.03</c:v>
                </c:pt>
                <c:pt idx="35">
                  <c:v>45.324999999999996</c:v>
                </c:pt>
                <c:pt idx="36">
                  <c:v>46.62</c:v>
                </c:pt>
                <c:pt idx="37">
                  <c:v>47.914999999999999</c:v>
                </c:pt>
                <c:pt idx="38">
                  <c:v>49.21</c:v>
                </c:pt>
                <c:pt idx="39">
                  <c:v>50.505000000000003</c:v>
                </c:pt>
                <c:pt idx="40">
                  <c:v>51.800000000000004</c:v>
                </c:pt>
                <c:pt idx="41">
                  <c:v>53.094999999999999</c:v>
                </c:pt>
                <c:pt idx="42">
                  <c:v>54.39</c:v>
                </c:pt>
                <c:pt idx="43">
                  <c:v>55.685000000000002</c:v>
                </c:pt>
                <c:pt idx="44">
                  <c:v>56.98</c:v>
                </c:pt>
                <c:pt idx="45">
                  <c:v>58.274999999999999</c:v>
                </c:pt>
                <c:pt idx="46">
                  <c:v>59.57</c:v>
                </c:pt>
                <c:pt idx="47">
                  <c:v>60.864999999999995</c:v>
                </c:pt>
                <c:pt idx="48">
                  <c:v>62.16</c:v>
                </c:pt>
                <c:pt idx="49">
                  <c:v>63.454999999999998</c:v>
                </c:pt>
                <c:pt idx="50">
                  <c:v>64.75</c:v>
                </c:pt>
                <c:pt idx="51">
                  <c:v>66.045000000000002</c:v>
                </c:pt>
                <c:pt idx="52">
                  <c:v>67.34</c:v>
                </c:pt>
                <c:pt idx="53">
                  <c:v>68.635000000000005</c:v>
                </c:pt>
                <c:pt idx="54">
                  <c:v>69.930000000000007</c:v>
                </c:pt>
                <c:pt idx="55">
                  <c:v>71.225000000000009</c:v>
                </c:pt>
                <c:pt idx="56">
                  <c:v>72.52000000000001</c:v>
                </c:pt>
                <c:pt idx="57">
                  <c:v>73.814999999999998</c:v>
                </c:pt>
                <c:pt idx="58">
                  <c:v>75.11</c:v>
                </c:pt>
                <c:pt idx="59">
                  <c:v>76.405000000000001</c:v>
                </c:pt>
                <c:pt idx="60">
                  <c:v>77.7</c:v>
                </c:pt>
                <c:pt idx="61">
                  <c:v>78.995000000000005</c:v>
                </c:pt>
                <c:pt idx="62">
                  <c:v>80.290000000000006</c:v>
                </c:pt>
                <c:pt idx="63">
                  <c:v>81.584999999999994</c:v>
                </c:pt>
                <c:pt idx="64">
                  <c:v>82.88</c:v>
                </c:pt>
                <c:pt idx="65">
                  <c:v>84.174999999999997</c:v>
                </c:pt>
                <c:pt idx="66">
                  <c:v>85.47</c:v>
                </c:pt>
                <c:pt idx="67">
                  <c:v>86.765000000000001</c:v>
                </c:pt>
                <c:pt idx="68">
                  <c:v>88.06</c:v>
                </c:pt>
                <c:pt idx="69">
                  <c:v>89.35499999999999</c:v>
                </c:pt>
                <c:pt idx="70">
                  <c:v>90.649999999999991</c:v>
                </c:pt>
                <c:pt idx="71">
                  <c:v>91.944999999999993</c:v>
                </c:pt>
                <c:pt idx="72">
                  <c:v>93.24</c:v>
                </c:pt>
                <c:pt idx="73">
                  <c:v>94.534999999999997</c:v>
                </c:pt>
                <c:pt idx="74">
                  <c:v>95.83</c:v>
                </c:pt>
                <c:pt idx="75">
                  <c:v>97.125</c:v>
                </c:pt>
                <c:pt idx="76">
                  <c:v>98.42</c:v>
                </c:pt>
                <c:pt idx="77">
                  <c:v>99.715000000000003</c:v>
                </c:pt>
                <c:pt idx="78">
                  <c:v>101.01</c:v>
                </c:pt>
                <c:pt idx="79">
                  <c:v>102.30500000000001</c:v>
                </c:pt>
                <c:pt idx="80">
                  <c:v>103.60000000000001</c:v>
                </c:pt>
                <c:pt idx="81">
                  <c:v>104.89500000000001</c:v>
                </c:pt>
                <c:pt idx="82">
                  <c:v>106.19</c:v>
                </c:pt>
                <c:pt idx="83">
                  <c:v>107.485</c:v>
                </c:pt>
                <c:pt idx="84">
                  <c:v>108.78</c:v>
                </c:pt>
                <c:pt idx="85">
                  <c:v>110.075</c:v>
                </c:pt>
                <c:pt idx="86">
                  <c:v>111.37</c:v>
                </c:pt>
                <c:pt idx="87">
                  <c:v>112.66500000000001</c:v>
                </c:pt>
                <c:pt idx="88">
                  <c:v>113.96</c:v>
                </c:pt>
                <c:pt idx="89">
                  <c:v>115.255</c:v>
                </c:pt>
                <c:pt idx="90">
                  <c:v>116.55</c:v>
                </c:pt>
                <c:pt idx="91">
                  <c:v>117.845</c:v>
                </c:pt>
                <c:pt idx="92">
                  <c:v>119.14</c:v>
                </c:pt>
                <c:pt idx="93">
                  <c:v>120.435</c:v>
                </c:pt>
                <c:pt idx="94">
                  <c:v>121.72999999999999</c:v>
                </c:pt>
                <c:pt idx="95">
                  <c:v>123.02499999999999</c:v>
                </c:pt>
                <c:pt idx="96">
                  <c:v>124.32</c:v>
                </c:pt>
                <c:pt idx="97">
                  <c:v>125.61499999999999</c:v>
                </c:pt>
                <c:pt idx="98">
                  <c:v>126.91</c:v>
                </c:pt>
                <c:pt idx="99">
                  <c:v>128.20500000000001</c:v>
                </c:pt>
                <c:pt idx="100">
                  <c:v>129.5</c:v>
                </c:pt>
              </c:numCache>
            </c:numRef>
          </c:xVal>
          <c:yVal>
            <c:numRef>
              <c:f>'Power Series Cylinder'!$J$24:$J$124</c:f>
              <c:numCache>
                <c:formatCode>0.0000</c:formatCode>
                <c:ptCount val="101"/>
                <c:pt idx="0">
                  <c:v>0</c:v>
                </c:pt>
                <c:pt idx="1">
                  <c:v>0.74670325611523913</c:v>
                </c:pt>
                <c:pt idx="2">
                  <c:v>1.3000858804523434</c:v>
                </c:pt>
                <c:pt idx="3">
                  <c:v>1.79822921395619</c:v>
                </c:pt>
                <c:pt idx="4">
                  <c:v>2.2635809911222498</c:v>
                </c:pt>
                <c:pt idx="5">
                  <c:v>2.7059766741712168</c:v>
                </c:pt>
                <c:pt idx="6">
                  <c:v>3.1308989102902163</c:v>
                </c:pt>
                <c:pt idx="7">
                  <c:v>3.5418199279075249</c:v>
                </c:pt>
                <c:pt idx="8">
                  <c:v>3.9411234137757476</c:v>
                </c:pt>
                <c:pt idx="9">
                  <c:v>4.3305399828421924</c:v>
                </c:pt>
                <c:pt idx="10">
                  <c:v>4.7113790359318504</c:v>
                </c:pt>
                <c:pt idx="11">
                  <c:v>5.0846632237826856</c:v>
                </c:pt>
                <c:pt idx="12">
                  <c:v>5.4512116199527378</c:v>
                </c:pt>
                <c:pt idx="13">
                  <c:v>5.8116938318182667</c:v>
                </c:pt>
                <c:pt idx="14">
                  <c:v>6.166666666666667</c:v>
                </c:pt>
                <c:pt idx="15">
                  <c:v>6.166666666666667</c:v>
                </c:pt>
                <c:pt idx="16">
                  <c:v>6.166666666666667</c:v>
                </c:pt>
                <c:pt idx="17">
                  <c:v>6.166666666666667</c:v>
                </c:pt>
                <c:pt idx="18">
                  <c:v>6.166666666666667</c:v>
                </c:pt>
                <c:pt idx="19">
                  <c:v>6.166666666666667</c:v>
                </c:pt>
                <c:pt idx="20">
                  <c:v>6.166666666666667</c:v>
                </c:pt>
                <c:pt idx="21">
                  <c:v>6.166666666666667</c:v>
                </c:pt>
                <c:pt idx="22">
                  <c:v>6.166666666666667</c:v>
                </c:pt>
                <c:pt idx="23">
                  <c:v>6.166666666666667</c:v>
                </c:pt>
                <c:pt idx="24">
                  <c:v>6.166666666666667</c:v>
                </c:pt>
                <c:pt idx="25">
                  <c:v>6.166666666666667</c:v>
                </c:pt>
                <c:pt idx="26">
                  <c:v>6.166666666666667</c:v>
                </c:pt>
                <c:pt idx="27">
                  <c:v>6.166666666666667</c:v>
                </c:pt>
                <c:pt idx="28">
                  <c:v>6.166666666666667</c:v>
                </c:pt>
                <c:pt idx="29">
                  <c:v>6.166666666666667</c:v>
                </c:pt>
                <c:pt idx="30">
                  <c:v>6.166666666666667</c:v>
                </c:pt>
                <c:pt idx="31">
                  <c:v>6.166666666666667</c:v>
                </c:pt>
                <c:pt idx="32">
                  <c:v>6.166666666666667</c:v>
                </c:pt>
                <c:pt idx="33">
                  <c:v>6.166666666666667</c:v>
                </c:pt>
                <c:pt idx="34">
                  <c:v>6.166666666666667</c:v>
                </c:pt>
                <c:pt idx="35">
                  <c:v>6.166666666666667</c:v>
                </c:pt>
                <c:pt idx="36">
                  <c:v>6.166666666666667</c:v>
                </c:pt>
                <c:pt idx="37">
                  <c:v>6.166666666666667</c:v>
                </c:pt>
                <c:pt idx="38">
                  <c:v>6.166666666666667</c:v>
                </c:pt>
                <c:pt idx="39">
                  <c:v>6.166666666666667</c:v>
                </c:pt>
                <c:pt idx="40">
                  <c:v>6.166666666666667</c:v>
                </c:pt>
                <c:pt idx="41">
                  <c:v>6.166666666666667</c:v>
                </c:pt>
                <c:pt idx="42">
                  <c:v>6.166666666666667</c:v>
                </c:pt>
                <c:pt idx="43">
                  <c:v>6.166666666666667</c:v>
                </c:pt>
                <c:pt idx="44">
                  <c:v>6.166666666666667</c:v>
                </c:pt>
                <c:pt idx="45">
                  <c:v>6.166666666666667</c:v>
                </c:pt>
                <c:pt idx="46">
                  <c:v>6.166666666666667</c:v>
                </c:pt>
                <c:pt idx="47">
                  <c:v>6.166666666666667</c:v>
                </c:pt>
                <c:pt idx="48">
                  <c:v>6.166666666666667</c:v>
                </c:pt>
                <c:pt idx="49">
                  <c:v>6.166666666666667</c:v>
                </c:pt>
                <c:pt idx="50">
                  <c:v>6.166666666666667</c:v>
                </c:pt>
                <c:pt idx="51">
                  <c:v>6.166666666666667</c:v>
                </c:pt>
                <c:pt idx="52">
                  <c:v>6.166666666666667</c:v>
                </c:pt>
                <c:pt idx="53">
                  <c:v>6.166666666666667</c:v>
                </c:pt>
                <c:pt idx="54">
                  <c:v>6.166666666666667</c:v>
                </c:pt>
                <c:pt idx="55">
                  <c:v>6.166666666666667</c:v>
                </c:pt>
                <c:pt idx="56">
                  <c:v>6.166666666666667</c:v>
                </c:pt>
                <c:pt idx="57">
                  <c:v>6.166666666666667</c:v>
                </c:pt>
                <c:pt idx="58">
                  <c:v>6.166666666666667</c:v>
                </c:pt>
                <c:pt idx="59">
                  <c:v>6.166666666666667</c:v>
                </c:pt>
                <c:pt idx="60">
                  <c:v>6.166666666666667</c:v>
                </c:pt>
                <c:pt idx="61">
                  <c:v>6.166666666666667</c:v>
                </c:pt>
                <c:pt idx="62">
                  <c:v>6.166666666666667</c:v>
                </c:pt>
                <c:pt idx="63">
                  <c:v>6.166666666666667</c:v>
                </c:pt>
                <c:pt idx="64">
                  <c:v>6.166666666666667</c:v>
                </c:pt>
                <c:pt idx="65">
                  <c:v>6.166666666666667</c:v>
                </c:pt>
                <c:pt idx="66">
                  <c:v>6.166666666666667</c:v>
                </c:pt>
                <c:pt idx="67">
                  <c:v>6.166666666666667</c:v>
                </c:pt>
                <c:pt idx="68">
                  <c:v>6.166666666666667</c:v>
                </c:pt>
                <c:pt idx="69">
                  <c:v>6.166666666666667</c:v>
                </c:pt>
                <c:pt idx="70">
                  <c:v>6.166666666666667</c:v>
                </c:pt>
                <c:pt idx="71">
                  <c:v>6.166666666666667</c:v>
                </c:pt>
                <c:pt idx="72">
                  <c:v>6.166666666666667</c:v>
                </c:pt>
                <c:pt idx="73">
                  <c:v>6.166666666666667</c:v>
                </c:pt>
                <c:pt idx="74">
                  <c:v>6.166666666666667</c:v>
                </c:pt>
                <c:pt idx="75">
                  <c:v>6.166666666666667</c:v>
                </c:pt>
                <c:pt idx="76">
                  <c:v>6.166666666666667</c:v>
                </c:pt>
                <c:pt idx="77">
                  <c:v>6.166666666666667</c:v>
                </c:pt>
                <c:pt idx="78">
                  <c:v>6.166666666666667</c:v>
                </c:pt>
                <c:pt idx="79">
                  <c:v>6.166666666666667</c:v>
                </c:pt>
                <c:pt idx="80">
                  <c:v>6.166666666666667</c:v>
                </c:pt>
                <c:pt idx="81">
                  <c:v>6.166666666666667</c:v>
                </c:pt>
                <c:pt idx="82">
                  <c:v>6.166666666666667</c:v>
                </c:pt>
                <c:pt idx="83">
                  <c:v>6.166666666666667</c:v>
                </c:pt>
                <c:pt idx="84">
                  <c:v>6.166666666666667</c:v>
                </c:pt>
                <c:pt idx="85">
                  <c:v>6.166666666666667</c:v>
                </c:pt>
                <c:pt idx="86">
                  <c:v>6.166666666666667</c:v>
                </c:pt>
                <c:pt idx="87">
                  <c:v>5.811693831818264</c:v>
                </c:pt>
                <c:pt idx="88">
                  <c:v>5.4512116199527387</c:v>
                </c:pt>
                <c:pt idx="89">
                  <c:v>5.0846632237826874</c:v>
                </c:pt>
                <c:pt idx="90">
                  <c:v>4.7113790359318513</c:v>
                </c:pt>
                <c:pt idx="91">
                  <c:v>4.3305399828421924</c:v>
                </c:pt>
                <c:pt idx="92">
                  <c:v>3.9411234137757476</c:v>
                </c:pt>
                <c:pt idx="93">
                  <c:v>3.5418199279075235</c:v>
                </c:pt>
                <c:pt idx="94">
                  <c:v>3.1308989102902194</c:v>
                </c:pt>
                <c:pt idx="95">
                  <c:v>2.705976674171219</c:v>
                </c:pt>
                <c:pt idx="96">
                  <c:v>2.263580991122252</c:v>
                </c:pt>
                <c:pt idx="97">
                  <c:v>1.798229213956192</c:v>
                </c:pt>
                <c:pt idx="98">
                  <c:v>1.3000858804523447</c:v>
                </c:pt>
                <c:pt idx="99">
                  <c:v>0.7467032561152338</c:v>
                </c:pt>
                <c:pt idx="100">
                  <c:v>0</c:v>
                </c:pt>
              </c:numCache>
            </c:numRef>
          </c:yVal>
          <c:smooth val="0"/>
          <c:extLst>
            <c:ext xmlns:c16="http://schemas.microsoft.com/office/drawing/2014/chart" uri="{C3380CC4-5D6E-409C-BE32-E72D297353CC}">
              <c16:uniqueId val="{00000001-F1A3-4709-9C6A-DD6F3F0D024F}"/>
            </c:ext>
          </c:extLst>
        </c:ser>
        <c:dLbls>
          <c:showLegendKey val="0"/>
          <c:showVal val="0"/>
          <c:showCatName val="0"/>
          <c:showSerName val="0"/>
          <c:showPercent val="0"/>
          <c:showBubbleSize val="0"/>
        </c:dLbls>
        <c:axId val="309601544"/>
        <c:axId val="1"/>
      </c:scatterChart>
      <c:valAx>
        <c:axId val="309601544"/>
        <c:scaling>
          <c:orientation val="minMax"/>
        </c:scaling>
        <c:delete val="0"/>
        <c:axPos val="b"/>
        <c:numFmt formatCode="0.00" sourceLinked="1"/>
        <c:majorTickMark val="none"/>
        <c:minorTickMark val="none"/>
        <c:tickLblPos val="none"/>
        <c:spPr>
          <a:ln w="3175">
            <a:noFill/>
            <a:prstDash val="solid"/>
          </a:ln>
        </c:spPr>
        <c:crossAx val="1"/>
        <c:crosses val="autoZero"/>
        <c:crossBetween val="midCat"/>
        <c:majorUnit val="10"/>
        <c:minorUnit val="5"/>
      </c:valAx>
      <c:valAx>
        <c:axId val="1"/>
        <c:scaling>
          <c:orientation val="minMax"/>
          <c:min val="-10"/>
        </c:scaling>
        <c:delete val="0"/>
        <c:axPos val="l"/>
        <c:numFmt formatCode="0.0000" sourceLinked="1"/>
        <c:majorTickMark val="cross"/>
        <c:minorTickMark val="none"/>
        <c:tickLblPos val="none"/>
        <c:spPr>
          <a:ln w="3175">
            <a:noFill/>
            <a:prstDash val="solid"/>
          </a:ln>
        </c:spPr>
        <c:crossAx val="309601544"/>
        <c:crosses val="autoZero"/>
        <c:crossBetween val="midCat"/>
        <c:majorUnit val="5"/>
      </c:valAx>
      <c:spPr>
        <a:noFill/>
        <a:ln w="25400">
          <a:noFill/>
        </a:ln>
      </c:spPr>
    </c:plotArea>
    <c:plotVisOnly val="1"/>
    <c:dispBlanksAs val="gap"/>
    <c:showDLblsOverMax val="0"/>
  </c:chart>
  <c:spPr>
    <a:noFill/>
    <a:ln w="3175">
      <a:no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oddHeader>&amp;A</c:oddHeader>
      <c:oddFooter>Page &amp;P</c:oddFooter>
    </c:headerFooter>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5205912778817949E-2"/>
          <c:y val="0.21501104441152774"/>
          <c:w val="0.63018984041465287"/>
          <c:h val="0.52811673293313588"/>
        </c:manualLayout>
      </c:layout>
      <c:scatterChart>
        <c:scatterStyle val="lineMarker"/>
        <c:varyColors val="0"/>
        <c:ser>
          <c:idx val="2"/>
          <c:order val="0"/>
          <c:spPr>
            <a:ln w="25400">
              <a:solidFill>
                <a:schemeClr val="tx1"/>
              </a:solidFill>
            </a:ln>
          </c:spPr>
          <c:marker>
            <c:symbol val="none"/>
          </c:marker>
          <c:xVal>
            <c:numRef>
              <c:f>'Power Series Cylinder - simple'!$B$22:$B$72</c:f>
              <c:numCache>
                <c:formatCode>0.00</c:formatCode>
                <c:ptCount val="51"/>
                <c:pt idx="0">
                  <c:v>0</c:v>
                </c:pt>
                <c:pt idx="1">
                  <c:v>2.39</c:v>
                </c:pt>
                <c:pt idx="2">
                  <c:v>4.78</c:v>
                </c:pt>
                <c:pt idx="3">
                  <c:v>7.17</c:v>
                </c:pt>
                <c:pt idx="4">
                  <c:v>9.56</c:v>
                </c:pt>
                <c:pt idx="5">
                  <c:v>11.950000000000001</c:v>
                </c:pt>
                <c:pt idx="6">
                  <c:v>14.34</c:v>
                </c:pt>
                <c:pt idx="7">
                  <c:v>16.73</c:v>
                </c:pt>
                <c:pt idx="8">
                  <c:v>19.12</c:v>
                </c:pt>
                <c:pt idx="9">
                  <c:v>21.509999999999998</c:v>
                </c:pt>
                <c:pt idx="10">
                  <c:v>23.900000000000002</c:v>
                </c:pt>
                <c:pt idx="11">
                  <c:v>26.29</c:v>
                </c:pt>
                <c:pt idx="12">
                  <c:v>28.68</c:v>
                </c:pt>
                <c:pt idx="13">
                  <c:v>31.07</c:v>
                </c:pt>
                <c:pt idx="14">
                  <c:v>33.46</c:v>
                </c:pt>
                <c:pt idx="15">
                  <c:v>35.85</c:v>
                </c:pt>
                <c:pt idx="16">
                  <c:v>38.24</c:v>
                </c:pt>
                <c:pt idx="17">
                  <c:v>40.630000000000003</c:v>
                </c:pt>
                <c:pt idx="18">
                  <c:v>43.019999999999996</c:v>
                </c:pt>
                <c:pt idx="19">
                  <c:v>45.410000000000004</c:v>
                </c:pt>
                <c:pt idx="20">
                  <c:v>47.800000000000004</c:v>
                </c:pt>
                <c:pt idx="21">
                  <c:v>50.19</c:v>
                </c:pt>
                <c:pt idx="22">
                  <c:v>52.58</c:v>
                </c:pt>
                <c:pt idx="23">
                  <c:v>54.97</c:v>
                </c:pt>
                <c:pt idx="24">
                  <c:v>57.36</c:v>
                </c:pt>
                <c:pt idx="25">
                  <c:v>59.75</c:v>
                </c:pt>
                <c:pt idx="26">
                  <c:v>62.14</c:v>
                </c:pt>
                <c:pt idx="27">
                  <c:v>64.53</c:v>
                </c:pt>
                <c:pt idx="28">
                  <c:v>66.92</c:v>
                </c:pt>
                <c:pt idx="29">
                  <c:v>69.31</c:v>
                </c:pt>
                <c:pt idx="30">
                  <c:v>71.7</c:v>
                </c:pt>
                <c:pt idx="31">
                  <c:v>74.09</c:v>
                </c:pt>
                <c:pt idx="32">
                  <c:v>76.48</c:v>
                </c:pt>
                <c:pt idx="33">
                  <c:v>78.87</c:v>
                </c:pt>
                <c:pt idx="34">
                  <c:v>81.260000000000005</c:v>
                </c:pt>
                <c:pt idx="35">
                  <c:v>83.649999999999991</c:v>
                </c:pt>
                <c:pt idx="36">
                  <c:v>86.039999999999992</c:v>
                </c:pt>
                <c:pt idx="37">
                  <c:v>88.429999999999993</c:v>
                </c:pt>
                <c:pt idx="38">
                  <c:v>90.820000000000007</c:v>
                </c:pt>
                <c:pt idx="39">
                  <c:v>93.210000000000008</c:v>
                </c:pt>
                <c:pt idx="40">
                  <c:v>95.600000000000009</c:v>
                </c:pt>
                <c:pt idx="41">
                  <c:v>97.99</c:v>
                </c:pt>
                <c:pt idx="42">
                  <c:v>100.38</c:v>
                </c:pt>
                <c:pt idx="43">
                  <c:v>102.77</c:v>
                </c:pt>
                <c:pt idx="44">
                  <c:v>105.16</c:v>
                </c:pt>
                <c:pt idx="45">
                  <c:v>107.55</c:v>
                </c:pt>
                <c:pt idx="46">
                  <c:v>109.94</c:v>
                </c:pt>
                <c:pt idx="47">
                  <c:v>112.33</c:v>
                </c:pt>
                <c:pt idx="48">
                  <c:v>114.72</c:v>
                </c:pt>
                <c:pt idx="49">
                  <c:v>117.11</c:v>
                </c:pt>
                <c:pt idx="50">
                  <c:v>119.5</c:v>
                </c:pt>
              </c:numCache>
            </c:numRef>
          </c:xVal>
          <c:yVal>
            <c:numRef>
              <c:f>'Power Series Cylinder - simple'!$K$22:$K$72</c:f>
              <c:numCache>
                <c:formatCode>0.0000</c:formatCode>
                <c:ptCount val="51"/>
                <c:pt idx="0">
                  <c:v>0</c:v>
                </c:pt>
                <c:pt idx="1">
                  <c:v>-1.3000858804523434</c:v>
                </c:pt>
                <c:pt idx="2">
                  <c:v>-2.2635809911222502</c:v>
                </c:pt>
                <c:pt idx="3">
                  <c:v>-3.1308989102902163</c:v>
                </c:pt>
                <c:pt idx="4">
                  <c:v>-3.9411234137757476</c:v>
                </c:pt>
                <c:pt idx="5">
                  <c:v>-4.7113790359318513</c:v>
                </c:pt>
                <c:pt idx="6">
                  <c:v>-5.4512116199527387</c:v>
                </c:pt>
                <c:pt idx="7">
                  <c:v>-6.166666666666667</c:v>
                </c:pt>
                <c:pt idx="8">
                  <c:v>-6.166666666666667</c:v>
                </c:pt>
                <c:pt idx="9">
                  <c:v>-6.166666666666667</c:v>
                </c:pt>
                <c:pt idx="10">
                  <c:v>-6.166666666666667</c:v>
                </c:pt>
                <c:pt idx="11">
                  <c:v>-6.166666666666667</c:v>
                </c:pt>
                <c:pt idx="12">
                  <c:v>-6.166666666666667</c:v>
                </c:pt>
                <c:pt idx="13">
                  <c:v>-6.166666666666667</c:v>
                </c:pt>
                <c:pt idx="14">
                  <c:v>-6.166666666666667</c:v>
                </c:pt>
                <c:pt idx="15">
                  <c:v>-6.166666666666667</c:v>
                </c:pt>
                <c:pt idx="16">
                  <c:v>-6.166666666666667</c:v>
                </c:pt>
                <c:pt idx="17">
                  <c:v>-6.166666666666667</c:v>
                </c:pt>
                <c:pt idx="18">
                  <c:v>-6.166666666666667</c:v>
                </c:pt>
                <c:pt idx="19">
                  <c:v>-6.166666666666667</c:v>
                </c:pt>
                <c:pt idx="20">
                  <c:v>-6.166666666666667</c:v>
                </c:pt>
                <c:pt idx="21">
                  <c:v>-6.166666666666667</c:v>
                </c:pt>
                <c:pt idx="22">
                  <c:v>-6.166666666666667</c:v>
                </c:pt>
                <c:pt idx="23">
                  <c:v>-6.166666666666667</c:v>
                </c:pt>
                <c:pt idx="24">
                  <c:v>-6.166666666666667</c:v>
                </c:pt>
                <c:pt idx="25">
                  <c:v>-6.166666666666667</c:v>
                </c:pt>
                <c:pt idx="26">
                  <c:v>-6.166666666666667</c:v>
                </c:pt>
                <c:pt idx="27">
                  <c:v>-6.166666666666667</c:v>
                </c:pt>
                <c:pt idx="28">
                  <c:v>-6.166666666666667</c:v>
                </c:pt>
                <c:pt idx="29">
                  <c:v>-6.166666666666667</c:v>
                </c:pt>
                <c:pt idx="30">
                  <c:v>-6.166666666666667</c:v>
                </c:pt>
                <c:pt idx="31">
                  <c:v>-6.166666666666667</c:v>
                </c:pt>
                <c:pt idx="32">
                  <c:v>-6.166666666666667</c:v>
                </c:pt>
                <c:pt idx="33">
                  <c:v>-6.166666666666667</c:v>
                </c:pt>
                <c:pt idx="34">
                  <c:v>-6.166666666666667</c:v>
                </c:pt>
                <c:pt idx="35">
                  <c:v>-6.166666666666667</c:v>
                </c:pt>
                <c:pt idx="36">
                  <c:v>-6.166666666666667</c:v>
                </c:pt>
                <c:pt idx="37">
                  <c:v>-6.166666666666667</c:v>
                </c:pt>
                <c:pt idx="38">
                  <c:v>-6.166666666666667</c:v>
                </c:pt>
                <c:pt idx="39">
                  <c:v>-6.166666666666667</c:v>
                </c:pt>
                <c:pt idx="40">
                  <c:v>-6.166666666666667</c:v>
                </c:pt>
                <c:pt idx="41">
                  <c:v>-6.166666666666667</c:v>
                </c:pt>
                <c:pt idx="42">
                  <c:v>-6.166666666666667</c:v>
                </c:pt>
                <c:pt idx="43">
                  <c:v>-6.166666666666667</c:v>
                </c:pt>
                <c:pt idx="44">
                  <c:v>-5.4512116199527387</c:v>
                </c:pt>
                <c:pt idx="45">
                  <c:v>-4.7113790359318513</c:v>
                </c:pt>
                <c:pt idx="46">
                  <c:v>-3.9411234137757476</c:v>
                </c:pt>
                <c:pt idx="47">
                  <c:v>-3.1308989102902163</c:v>
                </c:pt>
                <c:pt idx="48">
                  <c:v>-2.2635809911222502</c:v>
                </c:pt>
                <c:pt idx="49">
                  <c:v>-1.3000858804523434</c:v>
                </c:pt>
                <c:pt idx="50">
                  <c:v>0</c:v>
                </c:pt>
              </c:numCache>
            </c:numRef>
          </c:yVal>
          <c:smooth val="0"/>
          <c:extLst>
            <c:ext xmlns:c16="http://schemas.microsoft.com/office/drawing/2014/chart" uri="{C3380CC4-5D6E-409C-BE32-E72D297353CC}">
              <c16:uniqueId val="{00000000-1677-40EA-BDEB-6ADEA610D2AD}"/>
            </c:ext>
          </c:extLst>
        </c:ser>
        <c:ser>
          <c:idx val="3"/>
          <c:order val="1"/>
          <c:spPr>
            <a:ln w="25400">
              <a:solidFill>
                <a:schemeClr val="tx1"/>
              </a:solidFill>
              <a:prstDash val="solid"/>
            </a:ln>
          </c:spPr>
          <c:marker>
            <c:symbol val="none"/>
          </c:marker>
          <c:xVal>
            <c:numRef>
              <c:f>'Power Series Cylinder - simple'!$B$22:$B$72</c:f>
              <c:numCache>
                <c:formatCode>0.00</c:formatCode>
                <c:ptCount val="51"/>
                <c:pt idx="0">
                  <c:v>0</c:v>
                </c:pt>
                <c:pt idx="1">
                  <c:v>2.39</c:v>
                </c:pt>
                <c:pt idx="2">
                  <c:v>4.78</c:v>
                </c:pt>
                <c:pt idx="3">
                  <c:v>7.17</c:v>
                </c:pt>
                <c:pt idx="4">
                  <c:v>9.56</c:v>
                </c:pt>
                <c:pt idx="5">
                  <c:v>11.950000000000001</c:v>
                </c:pt>
                <c:pt idx="6">
                  <c:v>14.34</c:v>
                </c:pt>
                <c:pt idx="7">
                  <c:v>16.73</c:v>
                </c:pt>
                <c:pt idx="8">
                  <c:v>19.12</c:v>
                </c:pt>
                <c:pt idx="9">
                  <c:v>21.509999999999998</c:v>
                </c:pt>
                <c:pt idx="10">
                  <c:v>23.900000000000002</c:v>
                </c:pt>
                <c:pt idx="11">
                  <c:v>26.29</c:v>
                </c:pt>
                <c:pt idx="12">
                  <c:v>28.68</c:v>
                </c:pt>
                <c:pt idx="13">
                  <c:v>31.07</c:v>
                </c:pt>
                <c:pt idx="14">
                  <c:v>33.46</c:v>
                </c:pt>
                <c:pt idx="15">
                  <c:v>35.85</c:v>
                </c:pt>
                <c:pt idx="16">
                  <c:v>38.24</c:v>
                </c:pt>
                <c:pt idx="17">
                  <c:v>40.630000000000003</c:v>
                </c:pt>
                <c:pt idx="18">
                  <c:v>43.019999999999996</c:v>
                </c:pt>
                <c:pt idx="19">
                  <c:v>45.410000000000004</c:v>
                </c:pt>
                <c:pt idx="20">
                  <c:v>47.800000000000004</c:v>
                </c:pt>
                <c:pt idx="21">
                  <c:v>50.19</c:v>
                </c:pt>
                <c:pt idx="22">
                  <c:v>52.58</c:v>
                </c:pt>
                <c:pt idx="23">
                  <c:v>54.97</c:v>
                </c:pt>
                <c:pt idx="24">
                  <c:v>57.36</c:v>
                </c:pt>
                <c:pt idx="25">
                  <c:v>59.75</c:v>
                </c:pt>
                <c:pt idx="26">
                  <c:v>62.14</c:v>
                </c:pt>
                <c:pt idx="27">
                  <c:v>64.53</c:v>
                </c:pt>
                <c:pt idx="28">
                  <c:v>66.92</c:v>
                </c:pt>
                <c:pt idx="29">
                  <c:v>69.31</c:v>
                </c:pt>
                <c:pt idx="30">
                  <c:v>71.7</c:v>
                </c:pt>
                <c:pt idx="31">
                  <c:v>74.09</c:v>
                </c:pt>
                <c:pt idx="32">
                  <c:v>76.48</c:v>
                </c:pt>
                <c:pt idx="33">
                  <c:v>78.87</c:v>
                </c:pt>
                <c:pt idx="34">
                  <c:v>81.260000000000005</c:v>
                </c:pt>
                <c:pt idx="35">
                  <c:v>83.649999999999991</c:v>
                </c:pt>
                <c:pt idx="36">
                  <c:v>86.039999999999992</c:v>
                </c:pt>
                <c:pt idx="37">
                  <c:v>88.429999999999993</c:v>
                </c:pt>
                <c:pt idx="38">
                  <c:v>90.820000000000007</c:v>
                </c:pt>
                <c:pt idx="39">
                  <c:v>93.210000000000008</c:v>
                </c:pt>
                <c:pt idx="40">
                  <c:v>95.600000000000009</c:v>
                </c:pt>
                <c:pt idx="41">
                  <c:v>97.99</c:v>
                </c:pt>
                <c:pt idx="42">
                  <c:v>100.38</c:v>
                </c:pt>
                <c:pt idx="43">
                  <c:v>102.77</c:v>
                </c:pt>
                <c:pt idx="44">
                  <c:v>105.16</c:v>
                </c:pt>
                <c:pt idx="45">
                  <c:v>107.55</c:v>
                </c:pt>
                <c:pt idx="46">
                  <c:v>109.94</c:v>
                </c:pt>
                <c:pt idx="47">
                  <c:v>112.33</c:v>
                </c:pt>
                <c:pt idx="48">
                  <c:v>114.72</c:v>
                </c:pt>
                <c:pt idx="49">
                  <c:v>117.11</c:v>
                </c:pt>
                <c:pt idx="50">
                  <c:v>119.5</c:v>
                </c:pt>
              </c:numCache>
            </c:numRef>
          </c:xVal>
          <c:yVal>
            <c:numRef>
              <c:f>'Power Series Cylinder - simple'!$J$22:$J$72</c:f>
              <c:numCache>
                <c:formatCode>0.0000</c:formatCode>
                <c:ptCount val="51"/>
                <c:pt idx="0">
                  <c:v>0</c:v>
                </c:pt>
                <c:pt idx="1">
                  <c:v>1.3000858804523434</c:v>
                </c:pt>
                <c:pt idx="2">
                  <c:v>2.2635809911222502</c:v>
                </c:pt>
                <c:pt idx="3">
                  <c:v>3.1308989102902163</c:v>
                </c:pt>
                <c:pt idx="4">
                  <c:v>3.9411234137757476</c:v>
                </c:pt>
                <c:pt idx="5">
                  <c:v>4.7113790359318513</c:v>
                </c:pt>
                <c:pt idx="6">
                  <c:v>5.4512116199527387</c:v>
                </c:pt>
                <c:pt idx="7">
                  <c:v>6.166666666666667</c:v>
                </c:pt>
                <c:pt idx="8">
                  <c:v>6.166666666666667</c:v>
                </c:pt>
                <c:pt idx="9">
                  <c:v>6.166666666666667</c:v>
                </c:pt>
                <c:pt idx="10">
                  <c:v>6.166666666666667</c:v>
                </c:pt>
                <c:pt idx="11">
                  <c:v>6.166666666666667</c:v>
                </c:pt>
                <c:pt idx="12">
                  <c:v>6.166666666666667</c:v>
                </c:pt>
                <c:pt idx="13">
                  <c:v>6.166666666666667</c:v>
                </c:pt>
                <c:pt idx="14">
                  <c:v>6.166666666666667</c:v>
                </c:pt>
                <c:pt idx="15">
                  <c:v>6.166666666666667</c:v>
                </c:pt>
                <c:pt idx="16">
                  <c:v>6.166666666666667</c:v>
                </c:pt>
                <c:pt idx="17">
                  <c:v>6.166666666666667</c:v>
                </c:pt>
                <c:pt idx="18">
                  <c:v>6.166666666666667</c:v>
                </c:pt>
                <c:pt idx="19">
                  <c:v>6.166666666666667</c:v>
                </c:pt>
                <c:pt idx="20">
                  <c:v>6.166666666666667</c:v>
                </c:pt>
                <c:pt idx="21">
                  <c:v>6.166666666666667</c:v>
                </c:pt>
                <c:pt idx="22">
                  <c:v>6.166666666666667</c:v>
                </c:pt>
                <c:pt idx="23">
                  <c:v>6.166666666666667</c:v>
                </c:pt>
                <c:pt idx="24">
                  <c:v>6.166666666666667</c:v>
                </c:pt>
                <c:pt idx="25">
                  <c:v>6.166666666666667</c:v>
                </c:pt>
                <c:pt idx="26">
                  <c:v>6.166666666666667</c:v>
                </c:pt>
                <c:pt idx="27">
                  <c:v>6.166666666666667</c:v>
                </c:pt>
                <c:pt idx="28">
                  <c:v>6.166666666666667</c:v>
                </c:pt>
                <c:pt idx="29">
                  <c:v>6.166666666666667</c:v>
                </c:pt>
                <c:pt idx="30">
                  <c:v>6.166666666666667</c:v>
                </c:pt>
                <c:pt idx="31">
                  <c:v>6.166666666666667</c:v>
                </c:pt>
                <c:pt idx="32">
                  <c:v>6.166666666666667</c:v>
                </c:pt>
                <c:pt idx="33">
                  <c:v>6.166666666666667</c:v>
                </c:pt>
                <c:pt idx="34">
                  <c:v>6.166666666666667</c:v>
                </c:pt>
                <c:pt idx="35">
                  <c:v>6.166666666666667</c:v>
                </c:pt>
                <c:pt idx="36">
                  <c:v>6.166666666666667</c:v>
                </c:pt>
                <c:pt idx="37">
                  <c:v>6.166666666666667</c:v>
                </c:pt>
                <c:pt idx="38">
                  <c:v>6.166666666666667</c:v>
                </c:pt>
                <c:pt idx="39">
                  <c:v>6.166666666666667</c:v>
                </c:pt>
                <c:pt idx="40">
                  <c:v>6.166666666666667</c:v>
                </c:pt>
                <c:pt idx="41">
                  <c:v>6.166666666666667</c:v>
                </c:pt>
                <c:pt idx="42">
                  <c:v>6.166666666666667</c:v>
                </c:pt>
                <c:pt idx="43">
                  <c:v>6.166666666666667</c:v>
                </c:pt>
                <c:pt idx="44">
                  <c:v>5.4512116199527387</c:v>
                </c:pt>
                <c:pt idx="45">
                  <c:v>4.7113790359318513</c:v>
                </c:pt>
                <c:pt idx="46">
                  <c:v>3.9411234137757476</c:v>
                </c:pt>
                <c:pt idx="47">
                  <c:v>3.1308989102902163</c:v>
                </c:pt>
                <c:pt idx="48">
                  <c:v>2.2635809911222502</c:v>
                </c:pt>
                <c:pt idx="49">
                  <c:v>1.3000858804523434</c:v>
                </c:pt>
                <c:pt idx="50">
                  <c:v>0</c:v>
                </c:pt>
              </c:numCache>
            </c:numRef>
          </c:yVal>
          <c:smooth val="0"/>
          <c:extLst>
            <c:ext xmlns:c16="http://schemas.microsoft.com/office/drawing/2014/chart" uri="{C3380CC4-5D6E-409C-BE32-E72D297353CC}">
              <c16:uniqueId val="{00000001-1677-40EA-BDEB-6ADEA610D2AD}"/>
            </c:ext>
          </c:extLst>
        </c:ser>
        <c:ser>
          <c:idx val="1"/>
          <c:order val="2"/>
          <c:spPr>
            <a:ln w="25400">
              <a:solidFill>
                <a:schemeClr val="tx1"/>
              </a:solidFill>
            </a:ln>
          </c:spPr>
          <c:marker>
            <c:symbol val="none"/>
          </c:marker>
          <c:xVal>
            <c:numRef>
              <c:f>'Power Series Cylinder - simple'!$B$22:$B$72</c:f>
              <c:numCache>
                <c:formatCode>0.00</c:formatCode>
                <c:ptCount val="51"/>
                <c:pt idx="0">
                  <c:v>0</c:v>
                </c:pt>
                <c:pt idx="1">
                  <c:v>2.39</c:v>
                </c:pt>
                <c:pt idx="2">
                  <c:v>4.78</c:v>
                </c:pt>
                <c:pt idx="3">
                  <c:v>7.17</c:v>
                </c:pt>
                <c:pt idx="4">
                  <c:v>9.56</c:v>
                </c:pt>
                <c:pt idx="5">
                  <c:v>11.950000000000001</c:v>
                </c:pt>
                <c:pt idx="6">
                  <c:v>14.34</c:v>
                </c:pt>
                <c:pt idx="7">
                  <c:v>16.73</c:v>
                </c:pt>
                <c:pt idx="8">
                  <c:v>19.12</c:v>
                </c:pt>
                <c:pt idx="9">
                  <c:v>21.509999999999998</c:v>
                </c:pt>
                <c:pt idx="10">
                  <c:v>23.900000000000002</c:v>
                </c:pt>
                <c:pt idx="11">
                  <c:v>26.29</c:v>
                </c:pt>
                <c:pt idx="12">
                  <c:v>28.68</c:v>
                </c:pt>
                <c:pt idx="13">
                  <c:v>31.07</c:v>
                </c:pt>
                <c:pt idx="14">
                  <c:v>33.46</c:v>
                </c:pt>
                <c:pt idx="15">
                  <c:v>35.85</c:v>
                </c:pt>
                <c:pt idx="16">
                  <c:v>38.24</c:v>
                </c:pt>
                <c:pt idx="17">
                  <c:v>40.630000000000003</c:v>
                </c:pt>
                <c:pt idx="18">
                  <c:v>43.019999999999996</c:v>
                </c:pt>
                <c:pt idx="19">
                  <c:v>45.410000000000004</c:v>
                </c:pt>
                <c:pt idx="20">
                  <c:v>47.800000000000004</c:v>
                </c:pt>
                <c:pt idx="21">
                  <c:v>50.19</c:v>
                </c:pt>
                <c:pt idx="22">
                  <c:v>52.58</c:v>
                </c:pt>
                <c:pt idx="23">
                  <c:v>54.97</c:v>
                </c:pt>
                <c:pt idx="24">
                  <c:v>57.36</c:v>
                </c:pt>
                <c:pt idx="25">
                  <c:v>59.75</c:v>
                </c:pt>
                <c:pt idx="26">
                  <c:v>62.14</c:v>
                </c:pt>
                <c:pt idx="27">
                  <c:v>64.53</c:v>
                </c:pt>
                <c:pt idx="28">
                  <c:v>66.92</c:v>
                </c:pt>
                <c:pt idx="29">
                  <c:v>69.31</c:v>
                </c:pt>
                <c:pt idx="30">
                  <c:v>71.7</c:v>
                </c:pt>
                <c:pt idx="31">
                  <c:v>74.09</c:v>
                </c:pt>
                <c:pt idx="32">
                  <c:v>76.48</c:v>
                </c:pt>
                <c:pt idx="33">
                  <c:v>78.87</c:v>
                </c:pt>
                <c:pt idx="34">
                  <c:v>81.260000000000005</c:v>
                </c:pt>
                <c:pt idx="35">
                  <c:v>83.649999999999991</c:v>
                </c:pt>
                <c:pt idx="36">
                  <c:v>86.039999999999992</c:v>
                </c:pt>
                <c:pt idx="37">
                  <c:v>88.429999999999993</c:v>
                </c:pt>
                <c:pt idx="38">
                  <c:v>90.820000000000007</c:v>
                </c:pt>
                <c:pt idx="39">
                  <c:v>93.210000000000008</c:v>
                </c:pt>
                <c:pt idx="40">
                  <c:v>95.600000000000009</c:v>
                </c:pt>
                <c:pt idx="41">
                  <c:v>97.99</c:v>
                </c:pt>
                <c:pt idx="42">
                  <c:v>100.38</c:v>
                </c:pt>
                <c:pt idx="43">
                  <c:v>102.77</c:v>
                </c:pt>
                <c:pt idx="44">
                  <c:v>105.16</c:v>
                </c:pt>
                <c:pt idx="45">
                  <c:v>107.55</c:v>
                </c:pt>
                <c:pt idx="46">
                  <c:v>109.94</c:v>
                </c:pt>
                <c:pt idx="47">
                  <c:v>112.33</c:v>
                </c:pt>
                <c:pt idx="48">
                  <c:v>114.72</c:v>
                </c:pt>
                <c:pt idx="49">
                  <c:v>117.11</c:v>
                </c:pt>
                <c:pt idx="50">
                  <c:v>119.5</c:v>
                </c:pt>
              </c:numCache>
            </c:numRef>
          </c:xVal>
          <c:yVal>
            <c:numRef>
              <c:f>'Power Series Cylinder - simple'!$K$22:$K$72</c:f>
              <c:numCache>
                <c:formatCode>0.0000</c:formatCode>
                <c:ptCount val="51"/>
                <c:pt idx="0">
                  <c:v>0</c:v>
                </c:pt>
                <c:pt idx="1">
                  <c:v>-1.3000858804523434</c:v>
                </c:pt>
                <c:pt idx="2">
                  <c:v>-2.2635809911222502</c:v>
                </c:pt>
                <c:pt idx="3">
                  <c:v>-3.1308989102902163</c:v>
                </c:pt>
                <c:pt idx="4">
                  <c:v>-3.9411234137757476</c:v>
                </c:pt>
                <c:pt idx="5">
                  <c:v>-4.7113790359318513</c:v>
                </c:pt>
                <c:pt idx="6">
                  <c:v>-5.4512116199527387</c:v>
                </c:pt>
                <c:pt idx="7">
                  <c:v>-6.166666666666667</c:v>
                </c:pt>
                <c:pt idx="8">
                  <c:v>-6.166666666666667</c:v>
                </c:pt>
                <c:pt idx="9">
                  <c:v>-6.166666666666667</c:v>
                </c:pt>
                <c:pt idx="10">
                  <c:v>-6.166666666666667</c:v>
                </c:pt>
                <c:pt idx="11">
                  <c:v>-6.166666666666667</c:v>
                </c:pt>
                <c:pt idx="12">
                  <c:v>-6.166666666666667</c:v>
                </c:pt>
                <c:pt idx="13">
                  <c:v>-6.166666666666667</c:v>
                </c:pt>
                <c:pt idx="14">
                  <c:v>-6.166666666666667</c:v>
                </c:pt>
                <c:pt idx="15">
                  <c:v>-6.166666666666667</c:v>
                </c:pt>
                <c:pt idx="16">
                  <c:v>-6.166666666666667</c:v>
                </c:pt>
                <c:pt idx="17">
                  <c:v>-6.166666666666667</c:v>
                </c:pt>
                <c:pt idx="18">
                  <c:v>-6.166666666666667</c:v>
                </c:pt>
                <c:pt idx="19">
                  <c:v>-6.166666666666667</c:v>
                </c:pt>
                <c:pt idx="20">
                  <c:v>-6.166666666666667</c:v>
                </c:pt>
                <c:pt idx="21">
                  <c:v>-6.166666666666667</c:v>
                </c:pt>
                <c:pt idx="22">
                  <c:v>-6.166666666666667</c:v>
                </c:pt>
                <c:pt idx="23">
                  <c:v>-6.166666666666667</c:v>
                </c:pt>
                <c:pt idx="24">
                  <c:v>-6.166666666666667</c:v>
                </c:pt>
                <c:pt idx="25">
                  <c:v>-6.166666666666667</c:v>
                </c:pt>
                <c:pt idx="26">
                  <c:v>-6.166666666666667</c:v>
                </c:pt>
                <c:pt idx="27">
                  <c:v>-6.166666666666667</c:v>
                </c:pt>
                <c:pt idx="28">
                  <c:v>-6.166666666666667</c:v>
                </c:pt>
                <c:pt idx="29">
                  <c:v>-6.166666666666667</c:v>
                </c:pt>
                <c:pt idx="30">
                  <c:v>-6.166666666666667</c:v>
                </c:pt>
                <c:pt idx="31">
                  <c:v>-6.166666666666667</c:v>
                </c:pt>
                <c:pt idx="32">
                  <c:v>-6.166666666666667</c:v>
                </c:pt>
                <c:pt idx="33">
                  <c:v>-6.166666666666667</c:v>
                </c:pt>
                <c:pt idx="34">
                  <c:v>-6.166666666666667</c:v>
                </c:pt>
                <c:pt idx="35">
                  <c:v>-6.166666666666667</c:v>
                </c:pt>
                <c:pt idx="36">
                  <c:v>-6.166666666666667</c:v>
                </c:pt>
                <c:pt idx="37">
                  <c:v>-6.166666666666667</c:v>
                </c:pt>
                <c:pt idx="38">
                  <c:v>-6.166666666666667</c:v>
                </c:pt>
                <c:pt idx="39">
                  <c:v>-6.166666666666667</c:v>
                </c:pt>
                <c:pt idx="40">
                  <c:v>-6.166666666666667</c:v>
                </c:pt>
                <c:pt idx="41">
                  <c:v>-6.166666666666667</c:v>
                </c:pt>
                <c:pt idx="42">
                  <c:v>-6.166666666666667</c:v>
                </c:pt>
                <c:pt idx="43">
                  <c:v>-6.166666666666667</c:v>
                </c:pt>
                <c:pt idx="44">
                  <c:v>-5.4512116199527387</c:v>
                </c:pt>
                <c:pt idx="45">
                  <c:v>-4.7113790359318513</c:v>
                </c:pt>
                <c:pt idx="46">
                  <c:v>-3.9411234137757476</c:v>
                </c:pt>
                <c:pt idx="47">
                  <c:v>-3.1308989102902163</c:v>
                </c:pt>
                <c:pt idx="48">
                  <c:v>-2.2635809911222502</c:v>
                </c:pt>
                <c:pt idx="49">
                  <c:v>-1.3000858804523434</c:v>
                </c:pt>
                <c:pt idx="50">
                  <c:v>0</c:v>
                </c:pt>
              </c:numCache>
            </c:numRef>
          </c:yVal>
          <c:smooth val="0"/>
          <c:extLst>
            <c:ext xmlns:c16="http://schemas.microsoft.com/office/drawing/2014/chart" uri="{C3380CC4-5D6E-409C-BE32-E72D297353CC}">
              <c16:uniqueId val="{00000002-1677-40EA-BDEB-6ADEA610D2AD}"/>
            </c:ext>
          </c:extLst>
        </c:ser>
        <c:ser>
          <c:idx val="0"/>
          <c:order val="3"/>
          <c:spPr>
            <a:ln w="25400">
              <a:solidFill>
                <a:schemeClr val="tx1"/>
              </a:solidFill>
              <a:prstDash val="solid"/>
            </a:ln>
          </c:spPr>
          <c:marker>
            <c:symbol val="none"/>
          </c:marker>
          <c:xVal>
            <c:numRef>
              <c:f>'Power Series Cylinder - simple'!$B$22:$B$72</c:f>
              <c:numCache>
                <c:formatCode>0.00</c:formatCode>
                <c:ptCount val="51"/>
                <c:pt idx="0">
                  <c:v>0</c:v>
                </c:pt>
                <c:pt idx="1">
                  <c:v>2.39</c:v>
                </c:pt>
                <c:pt idx="2">
                  <c:v>4.78</c:v>
                </c:pt>
                <c:pt idx="3">
                  <c:v>7.17</c:v>
                </c:pt>
                <c:pt idx="4">
                  <c:v>9.56</c:v>
                </c:pt>
                <c:pt idx="5">
                  <c:v>11.950000000000001</c:v>
                </c:pt>
                <c:pt idx="6">
                  <c:v>14.34</c:v>
                </c:pt>
                <c:pt idx="7">
                  <c:v>16.73</c:v>
                </c:pt>
                <c:pt idx="8">
                  <c:v>19.12</c:v>
                </c:pt>
                <c:pt idx="9">
                  <c:v>21.509999999999998</c:v>
                </c:pt>
                <c:pt idx="10">
                  <c:v>23.900000000000002</c:v>
                </c:pt>
                <c:pt idx="11">
                  <c:v>26.29</c:v>
                </c:pt>
                <c:pt idx="12">
                  <c:v>28.68</c:v>
                </c:pt>
                <c:pt idx="13">
                  <c:v>31.07</c:v>
                </c:pt>
                <c:pt idx="14">
                  <c:v>33.46</c:v>
                </c:pt>
                <c:pt idx="15">
                  <c:v>35.85</c:v>
                </c:pt>
                <c:pt idx="16">
                  <c:v>38.24</c:v>
                </c:pt>
                <c:pt idx="17">
                  <c:v>40.630000000000003</c:v>
                </c:pt>
                <c:pt idx="18">
                  <c:v>43.019999999999996</c:v>
                </c:pt>
                <c:pt idx="19">
                  <c:v>45.410000000000004</c:v>
                </c:pt>
                <c:pt idx="20">
                  <c:v>47.800000000000004</c:v>
                </c:pt>
                <c:pt idx="21">
                  <c:v>50.19</c:v>
                </c:pt>
                <c:pt idx="22">
                  <c:v>52.58</c:v>
                </c:pt>
                <c:pt idx="23">
                  <c:v>54.97</c:v>
                </c:pt>
                <c:pt idx="24">
                  <c:v>57.36</c:v>
                </c:pt>
                <c:pt idx="25">
                  <c:v>59.75</c:v>
                </c:pt>
                <c:pt idx="26">
                  <c:v>62.14</c:v>
                </c:pt>
                <c:pt idx="27">
                  <c:v>64.53</c:v>
                </c:pt>
                <c:pt idx="28">
                  <c:v>66.92</c:v>
                </c:pt>
                <c:pt idx="29">
                  <c:v>69.31</c:v>
                </c:pt>
                <c:pt idx="30">
                  <c:v>71.7</c:v>
                </c:pt>
                <c:pt idx="31">
                  <c:v>74.09</c:v>
                </c:pt>
                <c:pt idx="32">
                  <c:v>76.48</c:v>
                </c:pt>
                <c:pt idx="33">
                  <c:v>78.87</c:v>
                </c:pt>
                <c:pt idx="34">
                  <c:v>81.260000000000005</c:v>
                </c:pt>
                <c:pt idx="35">
                  <c:v>83.649999999999991</c:v>
                </c:pt>
                <c:pt idx="36">
                  <c:v>86.039999999999992</c:v>
                </c:pt>
                <c:pt idx="37">
                  <c:v>88.429999999999993</c:v>
                </c:pt>
                <c:pt idx="38">
                  <c:v>90.820000000000007</c:v>
                </c:pt>
                <c:pt idx="39">
                  <c:v>93.210000000000008</c:v>
                </c:pt>
                <c:pt idx="40">
                  <c:v>95.600000000000009</c:v>
                </c:pt>
                <c:pt idx="41">
                  <c:v>97.99</c:v>
                </c:pt>
                <c:pt idx="42">
                  <c:v>100.38</c:v>
                </c:pt>
                <c:pt idx="43">
                  <c:v>102.77</c:v>
                </c:pt>
                <c:pt idx="44">
                  <c:v>105.16</c:v>
                </c:pt>
                <c:pt idx="45">
                  <c:v>107.55</c:v>
                </c:pt>
                <c:pt idx="46">
                  <c:v>109.94</c:v>
                </c:pt>
                <c:pt idx="47">
                  <c:v>112.33</c:v>
                </c:pt>
                <c:pt idx="48">
                  <c:v>114.72</c:v>
                </c:pt>
                <c:pt idx="49">
                  <c:v>117.11</c:v>
                </c:pt>
                <c:pt idx="50">
                  <c:v>119.5</c:v>
                </c:pt>
              </c:numCache>
            </c:numRef>
          </c:xVal>
          <c:yVal>
            <c:numRef>
              <c:f>'Power Series Cylinder - simple'!$J$22:$J$72</c:f>
              <c:numCache>
                <c:formatCode>0.0000</c:formatCode>
                <c:ptCount val="51"/>
                <c:pt idx="0">
                  <c:v>0</c:v>
                </c:pt>
                <c:pt idx="1">
                  <c:v>1.3000858804523434</c:v>
                </c:pt>
                <c:pt idx="2">
                  <c:v>2.2635809911222502</c:v>
                </c:pt>
                <c:pt idx="3">
                  <c:v>3.1308989102902163</c:v>
                </c:pt>
                <c:pt idx="4">
                  <c:v>3.9411234137757476</c:v>
                </c:pt>
                <c:pt idx="5">
                  <c:v>4.7113790359318513</c:v>
                </c:pt>
                <c:pt idx="6">
                  <c:v>5.4512116199527387</c:v>
                </c:pt>
                <c:pt idx="7">
                  <c:v>6.166666666666667</c:v>
                </c:pt>
                <c:pt idx="8">
                  <c:v>6.166666666666667</c:v>
                </c:pt>
                <c:pt idx="9">
                  <c:v>6.166666666666667</c:v>
                </c:pt>
                <c:pt idx="10">
                  <c:v>6.166666666666667</c:v>
                </c:pt>
                <c:pt idx="11">
                  <c:v>6.166666666666667</c:v>
                </c:pt>
                <c:pt idx="12">
                  <c:v>6.166666666666667</c:v>
                </c:pt>
                <c:pt idx="13">
                  <c:v>6.166666666666667</c:v>
                </c:pt>
                <c:pt idx="14">
                  <c:v>6.166666666666667</c:v>
                </c:pt>
                <c:pt idx="15">
                  <c:v>6.166666666666667</c:v>
                </c:pt>
                <c:pt idx="16">
                  <c:v>6.166666666666667</c:v>
                </c:pt>
                <c:pt idx="17">
                  <c:v>6.166666666666667</c:v>
                </c:pt>
                <c:pt idx="18">
                  <c:v>6.166666666666667</c:v>
                </c:pt>
                <c:pt idx="19">
                  <c:v>6.166666666666667</c:v>
                </c:pt>
                <c:pt idx="20">
                  <c:v>6.166666666666667</c:v>
                </c:pt>
                <c:pt idx="21">
                  <c:v>6.166666666666667</c:v>
                </c:pt>
                <c:pt idx="22">
                  <c:v>6.166666666666667</c:v>
                </c:pt>
                <c:pt idx="23">
                  <c:v>6.166666666666667</c:v>
                </c:pt>
                <c:pt idx="24">
                  <c:v>6.166666666666667</c:v>
                </c:pt>
                <c:pt idx="25">
                  <c:v>6.166666666666667</c:v>
                </c:pt>
                <c:pt idx="26">
                  <c:v>6.166666666666667</c:v>
                </c:pt>
                <c:pt idx="27">
                  <c:v>6.166666666666667</c:v>
                </c:pt>
                <c:pt idx="28">
                  <c:v>6.166666666666667</c:v>
                </c:pt>
                <c:pt idx="29">
                  <c:v>6.166666666666667</c:v>
                </c:pt>
                <c:pt idx="30">
                  <c:v>6.166666666666667</c:v>
                </c:pt>
                <c:pt idx="31">
                  <c:v>6.166666666666667</c:v>
                </c:pt>
                <c:pt idx="32">
                  <c:v>6.166666666666667</c:v>
                </c:pt>
                <c:pt idx="33">
                  <c:v>6.166666666666667</c:v>
                </c:pt>
                <c:pt idx="34">
                  <c:v>6.166666666666667</c:v>
                </c:pt>
                <c:pt idx="35">
                  <c:v>6.166666666666667</c:v>
                </c:pt>
                <c:pt idx="36">
                  <c:v>6.166666666666667</c:v>
                </c:pt>
                <c:pt idx="37">
                  <c:v>6.166666666666667</c:v>
                </c:pt>
                <c:pt idx="38">
                  <c:v>6.166666666666667</c:v>
                </c:pt>
                <c:pt idx="39">
                  <c:v>6.166666666666667</c:v>
                </c:pt>
                <c:pt idx="40">
                  <c:v>6.166666666666667</c:v>
                </c:pt>
                <c:pt idx="41">
                  <c:v>6.166666666666667</c:v>
                </c:pt>
                <c:pt idx="42">
                  <c:v>6.166666666666667</c:v>
                </c:pt>
                <c:pt idx="43">
                  <c:v>6.166666666666667</c:v>
                </c:pt>
                <c:pt idx="44">
                  <c:v>5.4512116199527387</c:v>
                </c:pt>
                <c:pt idx="45">
                  <c:v>4.7113790359318513</c:v>
                </c:pt>
                <c:pt idx="46">
                  <c:v>3.9411234137757476</c:v>
                </c:pt>
                <c:pt idx="47">
                  <c:v>3.1308989102902163</c:v>
                </c:pt>
                <c:pt idx="48">
                  <c:v>2.2635809911222502</c:v>
                </c:pt>
                <c:pt idx="49">
                  <c:v>1.3000858804523434</c:v>
                </c:pt>
                <c:pt idx="50">
                  <c:v>0</c:v>
                </c:pt>
              </c:numCache>
            </c:numRef>
          </c:yVal>
          <c:smooth val="0"/>
          <c:extLst>
            <c:ext xmlns:c16="http://schemas.microsoft.com/office/drawing/2014/chart" uri="{C3380CC4-5D6E-409C-BE32-E72D297353CC}">
              <c16:uniqueId val="{00000003-1677-40EA-BDEB-6ADEA610D2AD}"/>
            </c:ext>
          </c:extLst>
        </c:ser>
        <c:dLbls>
          <c:showLegendKey val="0"/>
          <c:showVal val="0"/>
          <c:showCatName val="0"/>
          <c:showSerName val="0"/>
          <c:showPercent val="0"/>
          <c:showBubbleSize val="0"/>
        </c:dLbls>
        <c:axId val="309605808"/>
        <c:axId val="1"/>
      </c:scatterChart>
      <c:valAx>
        <c:axId val="309605808"/>
        <c:scaling>
          <c:orientation val="minMax"/>
        </c:scaling>
        <c:delete val="0"/>
        <c:axPos val="b"/>
        <c:title>
          <c:tx>
            <c:rich>
              <a:bodyPr/>
              <a:lstStyle/>
              <a:p>
                <a:pPr>
                  <a:defRPr sz="800" b="1" i="0" u="none" strike="noStrike" baseline="0">
                    <a:solidFill>
                      <a:srgbClr val="000000"/>
                    </a:solidFill>
                    <a:latin typeface="Arial"/>
                    <a:ea typeface="Arial"/>
                    <a:cs typeface="Arial"/>
                  </a:defRPr>
                </a:pPr>
                <a:r>
                  <a:rPr lang="en-US"/>
                  <a:t>x</a:t>
                </a:r>
              </a:p>
            </c:rich>
          </c:tx>
          <c:layout>
            <c:manualLayout>
              <c:xMode val="edge"/>
              <c:yMode val="edge"/>
              <c:x val="0.56485208078631866"/>
              <c:y val="0.65236974091109889"/>
            </c:manualLayout>
          </c:layout>
          <c:overlay val="0"/>
          <c:spPr>
            <a:noFill/>
            <a:ln w="25400">
              <a:noFill/>
            </a:ln>
          </c:spPr>
        </c:title>
        <c:numFmt formatCode="0.0"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
        <c:crosses val="autoZero"/>
        <c:crossBetween val="midCat"/>
        <c:majorUnit val="10"/>
        <c:minorUnit val="5"/>
      </c:valAx>
      <c:valAx>
        <c:axId val="1"/>
        <c:scaling>
          <c:orientation val="minMax"/>
          <c:min val="-10"/>
        </c:scaling>
        <c:delete val="0"/>
        <c:axPos val="l"/>
        <c:title>
          <c:tx>
            <c:rich>
              <a:bodyPr rot="0" vert="horz"/>
              <a:lstStyle/>
              <a:p>
                <a:pPr algn="ctr">
                  <a:defRPr sz="800" b="1" i="0" u="none" strike="noStrike" baseline="0">
                    <a:solidFill>
                      <a:srgbClr val="000000"/>
                    </a:solidFill>
                    <a:latin typeface="Arial"/>
                    <a:ea typeface="Arial"/>
                    <a:cs typeface="Arial"/>
                  </a:defRPr>
                </a:pPr>
                <a:r>
                  <a:rPr lang="en-US"/>
                  <a:t>y</a:t>
                </a:r>
              </a:p>
            </c:rich>
          </c:tx>
          <c:layout>
            <c:manualLayout>
              <c:xMode val="edge"/>
              <c:yMode val="edge"/>
              <c:x val="2.7492996600180678E-2"/>
              <c:y val="0.43851822977573346"/>
            </c:manualLayout>
          </c:layout>
          <c:overlay val="0"/>
          <c:spPr>
            <a:noFill/>
            <a:ln w="25400">
              <a:noFill/>
            </a:ln>
          </c:spPr>
        </c:title>
        <c:numFmt formatCode="0.0"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309605808"/>
        <c:crosses val="autoZero"/>
        <c:crossBetween val="midCat"/>
        <c:majorUnit val="5"/>
      </c:valAx>
      <c:spPr>
        <a:solidFill>
          <a:srgbClr val="C0C0C0"/>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oddHeader>&amp;A</c:oddHeader>
      <c:oddFooter>Page &amp;P</c:oddFooter>
    </c:headerFooter>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5205912778817949E-2"/>
          <c:y val="0.21501104441152774"/>
          <c:w val="0.63018984041465287"/>
          <c:h val="0.52811673293313588"/>
        </c:manualLayout>
      </c:layout>
      <c:scatterChart>
        <c:scatterStyle val="lineMarker"/>
        <c:varyColors val="0"/>
        <c:ser>
          <c:idx val="1"/>
          <c:order val="0"/>
          <c:spPr>
            <a:ln w="25400">
              <a:solidFill>
                <a:schemeClr val="tx1"/>
              </a:solidFill>
            </a:ln>
          </c:spPr>
          <c:marker>
            <c:symbol val="none"/>
          </c:marker>
          <c:xVal>
            <c:numRef>
              <c:f>'Power Series Cylinder - simple'!$B$22:$B$72</c:f>
              <c:numCache>
                <c:formatCode>0.00</c:formatCode>
                <c:ptCount val="51"/>
                <c:pt idx="0">
                  <c:v>0</c:v>
                </c:pt>
                <c:pt idx="1">
                  <c:v>2.39</c:v>
                </c:pt>
                <c:pt idx="2">
                  <c:v>4.78</c:v>
                </c:pt>
                <c:pt idx="3">
                  <c:v>7.17</c:v>
                </c:pt>
                <c:pt idx="4">
                  <c:v>9.56</c:v>
                </c:pt>
                <c:pt idx="5">
                  <c:v>11.950000000000001</c:v>
                </c:pt>
                <c:pt idx="6">
                  <c:v>14.34</c:v>
                </c:pt>
                <c:pt idx="7">
                  <c:v>16.73</c:v>
                </c:pt>
                <c:pt idx="8">
                  <c:v>19.12</c:v>
                </c:pt>
                <c:pt idx="9">
                  <c:v>21.509999999999998</c:v>
                </c:pt>
                <c:pt idx="10">
                  <c:v>23.900000000000002</c:v>
                </c:pt>
                <c:pt idx="11">
                  <c:v>26.29</c:v>
                </c:pt>
                <c:pt idx="12">
                  <c:v>28.68</c:v>
                </c:pt>
                <c:pt idx="13">
                  <c:v>31.07</c:v>
                </c:pt>
                <c:pt idx="14">
                  <c:v>33.46</c:v>
                </c:pt>
                <c:pt idx="15">
                  <c:v>35.85</c:v>
                </c:pt>
                <c:pt idx="16">
                  <c:v>38.24</c:v>
                </c:pt>
                <c:pt idx="17">
                  <c:v>40.630000000000003</c:v>
                </c:pt>
                <c:pt idx="18">
                  <c:v>43.019999999999996</c:v>
                </c:pt>
                <c:pt idx="19">
                  <c:v>45.410000000000004</c:v>
                </c:pt>
                <c:pt idx="20">
                  <c:v>47.800000000000004</c:v>
                </c:pt>
                <c:pt idx="21">
                  <c:v>50.19</c:v>
                </c:pt>
                <c:pt idx="22">
                  <c:v>52.58</c:v>
                </c:pt>
                <c:pt idx="23">
                  <c:v>54.97</c:v>
                </c:pt>
                <c:pt idx="24">
                  <c:v>57.36</c:v>
                </c:pt>
                <c:pt idx="25">
                  <c:v>59.75</c:v>
                </c:pt>
                <c:pt idx="26">
                  <c:v>62.14</c:v>
                </c:pt>
                <c:pt idx="27">
                  <c:v>64.53</c:v>
                </c:pt>
                <c:pt idx="28">
                  <c:v>66.92</c:v>
                </c:pt>
                <c:pt idx="29">
                  <c:v>69.31</c:v>
                </c:pt>
                <c:pt idx="30">
                  <c:v>71.7</c:v>
                </c:pt>
                <c:pt idx="31">
                  <c:v>74.09</c:v>
                </c:pt>
                <c:pt idx="32">
                  <c:v>76.48</c:v>
                </c:pt>
                <c:pt idx="33">
                  <c:v>78.87</c:v>
                </c:pt>
                <c:pt idx="34">
                  <c:v>81.260000000000005</c:v>
                </c:pt>
                <c:pt idx="35">
                  <c:v>83.649999999999991</c:v>
                </c:pt>
                <c:pt idx="36">
                  <c:v>86.039999999999992</c:v>
                </c:pt>
                <c:pt idx="37">
                  <c:v>88.429999999999993</c:v>
                </c:pt>
                <c:pt idx="38">
                  <c:v>90.820000000000007</c:v>
                </c:pt>
                <c:pt idx="39">
                  <c:v>93.210000000000008</c:v>
                </c:pt>
                <c:pt idx="40">
                  <c:v>95.600000000000009</c:v>
                </c:pt>
                <c:pt idx="41">
                  <c:v>97.99</c:v>
                </c:pt>
                <c:pt idx="42">
                  <c:v>100.38</c:v>
                </c:pt>
                <c:pt idx="43">
                  <c:v>102.77</c:v>
                </c:pt>
                <c:pt idx="44">
                  <c:v>105.16</c:v>
                </c:pt>
                <c:pt idx="45">
                  <c:v>107.55</c:v>
                </c:pt>
                <c:pt idx="46">
                  <c:v>109.94</c:v>
                </c:pt>
                <c:pt idx="47">
                  <c:v>112.33</c:v>
                </c:pt>
                <c:pt idx="48">
                  <c:v>114.72</c:v>
                </c:pt>
                <c:pt idx="49">
                  <c:v>117.11</c:v>
                </c:pt>
                <c:pt idx="50">
                  <c:v>119.5</c:v>
                </c:pt>
              </c:numCache>
            </c:numRef>
          </c:xVal>
          <c:yVal>
            <c:numRef>
              <c:f>'Power Series Cylinder - simple'!$K$22:$K$72</c:f>
              <c:numCache>
                <c:formatCode>0.0000</c:formatCode>
                <c:ptCount val="51"/>
                <c:pt idx="0">
                  <c:v>0</c:v>
                </c:pt>
                <c:pt idx="1">
                  <c:v>-1.3000858804523434</c:v>
                </c:pt>
                <c:pt idx="2">
                  <c:v>-2.2635809911222502</c:v>
                </c:pt>
                <c:pt idx="3">
                  <c:v>-3.1308989102902163</c:v>
                </c:pt>
                <c:pt idx="4">
                  <c:v>-3.9411234137757476</c:v>
                </c:pt>
                <c:pt idx="5">
                  <c:v>-4.7113790359318513</c:v>
                </c:pt>
                <c:pt idx="6">
                  <c:v>-5.4512116199527387</c:v>
                </c:pt>
                <c:pt idx="7">
                  <c:v>-6.166666666666667</c:v>
                </c:pt>
                <c:pt idx="8">
                  <c:v>-6.166666666666667</c:v>
                </c:pt>
                <c:pt idx="9">
                  <c:v>-6.166666666666667</c:v>
                </c:pt>
                <c:pt idx="10">
                  <c:v>-6.166666666666667</c:v>
                </c:pt>
                <c:pt idx="11">
                  <c:v>-6.166666666666667</c:v>
                </c:pt>
                <c:pt idx="12">
                  <c:v>-6.166666666666667</c:v>
                </c:pt>
                <c:pt idx="13">
                  <c:v>-6.166666666666667</c:v>
                </c:pt>
                <c:pt idx="14">
                  <c:v>-6.166666666666667</c:v>
                </c:pt>
                <c:pt idx="15">
                  <c:v>-6.166666666666667</c:v>
                </c:pt>
                <c:pt idx="16">
                  <c:v>-6.166666666666667</c:v>
                </c:pt>
                <c:pt idx="17">
                  <c:v>-6.166666666666667</c:v>
                </c:pt>
                <c:pt idx="18">
                  <c:v>-6.166666666666667</c:v>
                </c:pt>
                <c:pt idx="19">
                  <c:v>-6.166666666666667</c:v>
                </c:pt>
                <c:pt idx="20">
                  <c:v>-6.166666666666667</c:v>
                </c:pt>
                <c:pt idx="21">
                  <c:v>-6.166666666666667</c:v>
                </c:pt>
                <c:pt idx="22">
                  <c:v>-6.166666666666667</c:v>
                </c:pt>
                <c:pt idx="23">
                  <c:v>-6.166666666666667</c:v>
                </c:pt>
                <c:pt idx="24">
                  <c:v>-6.166666666666667</c:v>
                </c:pt>
                <c:pt idx="25">
                  <c:v>-6.166666666666667</c:v>
                </c:pt>
                <c:pt idx="26">
                  <c:v>-6.166666666666667</c:v>
                </c:pt>
                <c:pt idx="27">
                  <c:v>-6.166666666666667</c:v>
                </c:pt>
                <c:pt idx="28">
                  <c:v>-6.166666666666667</c:v>
                </c:pt>
                <c:pt idx="29">
                  <c:v>-6.166666666666667</c:v>
                </c:pt>
                <c:pt idx="30">
                  <c:v>-6.166666666666667</c:v>
                </c:pt>
                <c:pt idx="31">
                  <c:v>-6.166666666666667</c:v>
                </c:pt>
                <c:pt idx="32">
                  <c:v>-6.166666666666667</c:v>
                </c:pt>
                <c:pt idx="33">
                  <c:v>-6.166666666666667</c:v>
                </c:pt>
                <c:pt idx="34">
                  <c:v>-6.166666666666667</c:v>
                </c:pt>
                <c:pt idx="35">
                  <c:v>-6.166666666666667</c:v>
                </c:pt>
                <c:pt idx="36">
                  <c:v>-6.166666666666667</c:v>
                </c:pt>
                <c:pt idx="37">
                  <c:v>-6.166666666666667</c:v>
                </c:pt>
                <c:pt idx="38">
                  <c:v>-6.166666666666667</c:v>
                </c:pt>
                <c:pt idx="39">
                  <c:v>-6.166666666666667</c:v>
                </c:pt>
                <c:pt idx="40">
                  <c:v>-6.166666666666667</c:v>
                </c:pt>
                <c:pt idx="41">
                  <c:v>-6.166666666666667</c:v>
                </c:pt>
                <c:pt idx="42">
                  <c:v>-6.166666666666667</c:v>
                </c:pt>
                <c:pt idx="43">
                  <c:v>-6.166666666666667</c:v>
                </c:pt>
                <c:pt idx="44">
                  <c:v>-5.4512116199527387</c:v>
                </c:pt>
                <c:pt idx="45">
                  <c:v>-4.7113790359318513</c:v>
                </c:pt>
                <c:pt idx="46">
                  <c:v>-3.9411234137757476</c:v>
                </c:pt>
                <c:pt idx="47">
                  <c:v>-3.1308989102902163</c:v>
                </c:pt>
                <c:pt idx="48">
                  <c:v>-2.2635809911222502</c:v>
                </c:pt>
                <c:pt idx="49">
                  <c:v>-1.3000858804523434</c:v>
                </c:pt>
                <c:pt idx="50">
                  <c:v>0</c:v>
                </c:pt>
              </c:numCache>
            </c:numRef>
          </c:yVal>
          <c:smooth val="0"/>
          <c:extLst>
            <c:ext xmlns:c16="http://schemas.microsoft.com/office/drawing/2014/chart" uri="{C3380CC4-5D6E-409C-BE32-E72D297353CC}">
              <c16:uniqueId val="{00000000-7C0A-4690-8C8D-D15F6651FFC1}"/>
            </c:ext>
          </c:extLst>
        </c:ser>
        <c:ser>
          <c:idx val="0"/>
          <c:order val="1"/>
          <c:spPr>
            <a:ln w="25400">
              <a:solidFill>
                <a:schemeClr val="tx1"/>
              </a:solidFill>
              <a:prstDash val="solid"/>
            </a:ln>
          </c:spPr>
          <c:marker>
            <c:symbol val="none"/>
          </c:marker>
          <c:xVal>
            <c:numRef>
              <c:f>'Power Series Cylinder - simple'!$B$22:$B$72</c:f>
              <c:numCache>
                <c:formatCode>0.00</c:formatCode>
                <c:ptCount val="51"/>
                <c:pt idx="0">
                  <c:v>0</c:v>
                </c:pt>
                <c:pt idx="1">
                  <c:v>2.39</c:v>
                </c:pt>
                <c:pt idx="2">
                  <c:v>4.78</c:v>
                </c:pt>
                <c:pt idx="3">
                  <c:v>7.17</c:v>
                </c:pt>
                <c:pt idx="4">
                  <c:v>9.56</c:v>
                </c:pt>
                <c:pt idx="5">
                  <c:v>11.950000000000001</c:v>
                </c:pt>
                <c:pt idx="6">
                  <c:v>14.34</c:v>
                </c:pt>
                <c:pt idx="7">
                  <c:v>16.73</c:v>
                </c:pt>
                <c:pt idx="8">
                  <c:v>19.12</c:v>
                </c:pt>
                <c:pt idx="9">
                  <c:v>21.509999999999998</c:v>
                </c:pt>
                <c:pt idx="10">
                  <c:v>23.900000000000002</c:v>
                </c:pt>
                <c:pt idx="11">
                  <c:v>26.29</c:v>
                </c:pt>
                <c:pt idx="12">
                  <c:v>28.68</c:v>
                </c:pt>
                <c:pt idx="13">
                  <c:v>31.07</c:v>
                </c:pt>
                <c:pt idx="14">
                  <c:v>33.46</c:v>
                </c:pt>
                <c:pt idx="15">
                  <c:v>35.85</c:v>
                </c:pt>
                <c:pt idx="16">
                  <c:v>38.24</c:v>
                </c:pt>
                <c:pt idx="17">
                  <c:v>40.630000000000003</c:v>
                </c:pt>
                <c:pt idx="18">
                  <c:v>43.019999999999996</c:v>
                </c:pt>
                <c:pt idx="19">
                  <c:v>45.410000000000004</c:v>
                </c:pt>
                <c:pt idx="20">
                  <c:v>47.800000000000004</c:v>
                </c:pt>
                <c:pt idx="21">
                  <c:v>50.19</c:v>
                </c:pt>
                <c:pt idx="22">
                  <c:v>52.58</c:v>
                </c:pt>
                <c:pt idx="23">
                  <c:v>54.97</c:v>
                </c:pt>
                <c:pt idx="24">
                  <c:v>57.36</c:v>
                </c:pt>
                <c:pt idx="25">
                  <c:v>59.75</c:v>
                </c:pt>
                <c:pt idx="26">
                  <c:v>62.14</c:v>
                </c:pt>
                <c:pt idx="27">
                  <c:v>64.53</c:v>
                </c:pt>
                <c:pt idx="28">
                  <c:v>66.92</c:v>
                </c:pt>
                <c:pt idx="29">
                  <c:v>69.31</c:v>
                </c:pt>
                <c:pt idx="30">
                  <c:v>71.7</c:v>
                </c:pt>
                <c:pt idx="31">
                  <c:v>74.09</c:v>
                </c:pt>
                <c:pt idx="32">
                  <c:v>76.48</c:v>
                </c:pt>
                <c:pt idx="33">
                  <c:v>78.87</c:v>
                </c:pt>
                <c:pt idx="34">
                  <c:v>81.260000000000005</c:v>
                </c:pt>
                <c:pt idx="35">
                  <c:v>83.649999999999991</c:v>
                </c:pt>
                <c:pt idx="36">
                  <c:v>86.039999999999992</c:v>
                </c:pt>
                <c:pt idx="37">
                  <c:v>88.429999999999993</c:v>
                </c:pt>
                <c:pt idx="38">
                  <c:v>90.820000000000007</c:v>
                </c:pt>
                <c:pt idx="39">
                  <c:v>93.210000000000008</c:v>
                </c:pt>
                <c:pt idx="40">
                  <c:v>95.600000000000009</c:v>
                </c:pt>
                <c:pt idx="41">
                  <c:v>97.99</c:v>
                </c:pt>
                <c:pt idx="42">
                  <c:v>100.38</c:v>
                </c:pt>
                <c:pt idx="43">
                  <c:v>102.77</c:v>
                </c:pt>
                <c:pt idx="44">
                  <c:v>105.16</c:v>
                </c:pt>
                <c:pt idx="45">
                  <c:v>107.55</c:v>
                </c:pt>
                <c:pt idx="46">
                  <c:v>109.94</c:v>
                </c:pt>
                <c:pt idx="47">
                  <c:v>112.33</c:v>
                </c:pt>
                <c:pt idx="48">
                  <c:v>114.72</c:v>
                </c:pt>
                <c:pt idx="49">
                  <c:v>117.11</c:v>
                </c:pt>
                <c:pt idx="50">
                  <c:v>119.5</c:v>
                </c:pt>
              </c:numCache>
            </c:numRef>
          </c:xVal>
          <c:yVal>
            <c:numRef>
              <c:f>'Power Series Cylinder - simple'!$J$22:$J$72</c:f>
              <c:numCache>
                <c:formatCode>0.0000</c:formatCode>
                <c:ptCount val="51"/>
                <c:pt idx="0">
                  <c:v>0</c:v>
                </c:pt>
                <c:pt idx="1">
                  <c:v>1.3000858804523434</c:v>
                </c:pt>
                <c:pt idx="2">
                  <c:v>2.2635809911222502</c:v>
                </c:pt>
                <c:pt idx="3">
                  <c:v>3.1308989102902163</c:v>
                </c:pt>
                <c:pt idx="4">
                  <c:v>3.9411234137757476</c:v>
                </c:pt>
                <c:pt idx="5">
                  <c:v>4.7113790359318513</c:v>
                </c:pt>
                <c:pt idx="6">
                  <c:v>5.4512116199527387</c:v>
                </c:pt>
                <c:pt idx="7">
                  <c:v>6.166666666666667</c:v>
                </c:pt>
                <c:pt idx="8">
                  <c:v>6.166666666666667</c:v>
                </c:pt>
                <c:pt idx="9">
                  <c:v>6.166666666666667</c:v>
                </c:pt>
                <c:pt idx="10">
                  <c:v>6.166666666666667</c:v>
                </c:pt>
                <c:pt idx="11">
                  <c:v>6.166666666666667</c:v>
                </c:pt>
                <c:pt idx="12">
                  <c:v>6.166666666666667</c:v>
                </c:pt>
                <c:pt idx="13">
                  <c:v>6.166666666666667</c:v>
                </c:pt>
                <c:pt idx="14">
                  <c:v>6.166666666666667</c:v>
                </c:pt>
                <c:pt idx="15">
                  <c:v>6.166666666666667</c:v>
                </c:pt>
                <c:pt idx="16">
                  <c:v>6.166666666666667</c:v>
                </c:pt>
                <c:pt idx="17">
                  <c:v>6.166666666666667</c:v>
                </c:pt>
                <c:pt idx="18">
                  <c:v>6.166666666666667</c:v>
                </c:pt>
                <c:pt idx="19">
                  <c:v>6.166666666666667</c:v>
                </c:pt>
                <c:pt idx="20">
                  <c:v>6.166666666666667</c:v>
                </c:pt>
                <c:pt idx="21">
                  <c:v>6.166666666666667</c:v>
                </c:pt>
                <c:pt idx="22">
                  <c:v>6.166666666666667</c:v>
                </c:pt>
                <c:pt idx="23">
                  <c:v>6.166666666666667</c:v>
                </c:pt>
                <c:pt idx="24">
                  <c:v>6.166666666666667</c:v>
                </c:pt>
                <c:pt idx="25">
                  <c:v>6.166666666666667</c:v>
                </c:pt>
                <c:pt idx="26">
                  <c:v>6.166666666666667</c:v>
                </c:pt>
                <c:pt idx="27">
                  <c:v>6.166666666666667</c:v>
                </c:pt>
                <c:pt idx="28">
                  <c:v>6.166666666666667</c:v>
                </c:pt>
                <c:pt idx="29">
                  <c:v>6.166666666666667</c:v>
                </c:pt>
                <c:pt idx="30">
                  <c:v>6.166666666666667</c:v>
                </c:pt>
                <c:pt idx="31">
                  <c:v>6.166666666666667</c:v>
                </c:pt>
                <c:pt idx="32">
                  <c:v>6.166666666666667</c:v>
                </c:pt>
                <c:pt idx="33">
                  <c:v>6.166666666666667</c:v>
                </c:pt>
                <c:pt idx="34">
                  <c:v>6.166666666666667</c:v>
                </c:pt>
                <c:pt idx="35">
                  <c:v>6.166666666666667</c:v>
                </c:pt>
                <c:pt idx="36">
                  <c:v>6.166666666666667</c:v>
                </c:pt>
                <c:pt idx="37">
                  <c:v>6.166666666666667</c:v>
                </c:pt>
                <c:pt idx="38">
                  <c:v>6.166666666666667</c:v>
                </c:pt>
                <c:pt idx="39">
                  <c:v>6.166666666666667</c:v>
                </c:pt>
                <c:pt idx="40">
                  <c:v>6.166666666666667</c:v>
                </c:pt>
                <c:pt idx="41">
                  <c:v>6.166666666666667</c:v>
                </c:pt>
                <c:pt idx="42">
                  <c:v>6.166666666666667</c:v>
                </c:pt>
                <c:pt idx="43">
                  <c:v>6.166666666666667</c:v>
                </c:pt>
                <c:pt idx="44">
                  <c:v>5.4512116199527387</c:v>
                </c:pt>
                <c:pt idx="45">
                  <c:v>4.7113790359318513</c:v>
                </c:pt>
                <c:pt idx="46">
                  <c:v>3.9411234137757476</c:v>
                </c:pt>
                <c:pt idx="47">
                  <c:v>3.1308989102902163</c:v>
                </c:pt>
                <c:pt idx="48">
                  <c:v>2.2635809911222502</c:v>
                </c:pt>
                <c:pt idx="49">
                  <c:v>1.3000858804523434</c:v>
                </c:pt>
                <c:pt idx="50">
                  <c:v>0</c:v>
                </c:pt>
              </c:numCache>
            </c:numRef>
          </c:yVal>
          <c:smooth val="0"/>
          <c:extLst>
            <c:ext xmlns:c16="http://schemas.microsoft.com/office/drawing/2014/chart" uri="{C3380CC4-5D6E-409C-BE32-E72D297353CC}">
              <c16:uniqueId val="{00000001-7C0A-4690-8C8D-D15F6651FFC1}"/>
            </c:ext>
          </c:extLst>
        </c:ser>
        <c:dLbls>
          <c:showLegendKey val="0"/>
          <c:showVal val="0"/>
          <c:showCatName val="0"/>
          <c:showSerName val="0"/>
          <c:showPercent val="0"/>
          <c:showBubbleSize val="0"/>
        </c:dLbls>
        <c:axId val="309601544"/>
        <c:axId val="1"/>
      </c:scatterChart>
      <c:valAx>
        <c:axId val="309601544"/>
        <c:scaling>
          <c:orientation val="minMax"/>
        </c:scaling>
        <c:delete val="0"/>
        <c:axPos val="b"/>
        <c:numFmt formatCode="0.00" sourceLinked="1"/>
        <c:majorTickMark val="none"/>
        <c:minorTickMark val="none"/>
        <c:tickLblPos val="none"/>
        <c:spPr>
          <a:ln w="3175">
            <a:noFill/>
            <a:prstDash val="solid"/>
          </a:ln>
        </c:spPr>
        <c:crossAx val="1"/>
        <c:crosses val="autoZero"/>
        <c:crossBetween val="midCat"/>
        <c:majorUnit val="10"/>
        <c:minorUnit val="5"/>
      </c:valAx>
      <c:valAx>
        <c:axId val="1"/>
        <c:scaling>
          <c:orientation val="minMax"/>
          <c:min val="-10"/>
        </c:scaling>
        <c:delete val="0"/>
        <c:axPos val="l"/>
        <c:numFmt formatCode="0.0000" sourceLinked="1"/>
        <c:majorTickMark val="cross"/>
        <c:minorTickMark val="none"/>
        <c:tickLblPos val="none"/>
        <c:spPr>
          <a:ln w="3175">
            <a:noFill/>
            <a:prstDash val="solid"/>
          </a:ln>
        </c:spPr>
        <c:crossAx val="309601544"/>
        <c:crosses val="autoZero"/>
        <c:crossBetween val="midCat"/>
        <c:majorUnit val="5"/>
      </c:valAx>
      <c:spPr>
        <a:noFill/>
        <a:ln w="25400">
          <a:noFill/>
        </a:ln>
      </c:spPr>
    </c:plotArea>
    <c:plotVisOnly val="1"/>
    <c:dispBlanksAs val="gap"/>
    <c:showDLblsOverMax val="0"/>
  </c:chart>
  <c:spPr>
    <a:noFill/>
    <a:ln w="3175">
      <a:no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oddHeader>&amp;A</c:oddHeader>
      <c:oddFooter>Page &amp;P</c:oddFooter>
    </c:headerFooter>
    <c:pageMargins b="1" l="0.75" r="0.75"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1509473579953445"/>
          <c:y val="0.18235121093777684"/>
          <c:w val="0.63018984041465287"/>
          <c:h val="0.67102148289377628"/>
        </c:manualLayout>
      </c:layout>
      <c:scatterChart>
        <c:scatterStyle val="lineMarker"/>
        <c:varyColors val="0"/>
        <c:ser>
          <c:idx val="2"/>
          <c:order val="0"/>
          <c:spPr>
            <a:ln w="25400">
              <a:solidFill>
                <a:schemeClr val="tx1"/>
              </a:solidFill>
            </a:ln>
          </c:spPr>
          <c:marker>
            <c:symbol val="none"/>
          </c:marker>
          <c:xVal>
            <c:numRef>
              <c:f>Ogive!$B$22:$B$32</c:f>
              <c:numCache>
                <c:formatCode>0.00</c:formatCode>
                <c:ptCount val="11"/>
                <c:pt idx="0">
                  <c:v>0</c:v>
                </c:pt>
                <c:pt idx="1">
                  <c:v>12.600000000000001</c:v>
                </c:pt>
                <c:pt idx="2">
                  <c:v>25.200000000000003</c:v>
                </c:pt>
                <c:pt idx="3">
                  <c:v>37.799999999999997</c:v>
                </c:pt>
                <c:pt idx="4">
                  <c:v>50.400000000000006</c:v>
                </c:pt>
                <c:pt idx="5">
                  <c:v>63</c:v>
                </c:pt>
                <c:pt idx="6">
                  <c:v>75.599999999999994</c:v>
                </c:pt>
                <c:pt idx="7">
                  <c:v>88.199999999999989</c:v>
                </c:pt>
                <c:pt idx="8">
                  <c:v>100.80000000000001</c:v>
                </c:pt>
                <c:pt idx="9">
                  <c:v>113.4</c:v>
                </c:pt>
                <c:pt idx="10">
                  <c:v>126</c:v>
                </c:pt>
              </c:numCache>
            </c:numRef>
          </c:xVal>
          <c:yVal>
            <c:numRef>
              <c:f>Ogive!$N$22:$N$32</c:f>
              <c:numCache>
                <c:formatCode>0.0000</c:formatCode>
                <c:ptCount val="11"/>
                <c:pt idx="0">
                  <c:v>0</c:v>
                </c:pt>
                <c:pt idx="1">
                  <c:v>-1.6979883454064406</c:v>
                </c:pt>
                <c:pt idx="2">
                  <c:v>-2.7502696760153729</c:v>
                </c:pt>
                <c:pt idx="3">
                  <c:v>-3.5617434928964631</c:v>
                </c:pt>
                <c:pt idx="4">
                  <c:v>-4.1673535461805855</c:v>
                </c:pt>
                <c:pt idx="5">
                  <c:v>-4.5</c:v>
                </c:pt>
                <c:pt idx="6">
                  <c:v>-4.1673535461805855</c:v>
                </c:pt>
                <c:pt idx="7">
                  <c:v>-3.5617434928964631</c:v>
                </c:pt>
                <c:pt idx="8">
                  <c:v>-2.7502696760153729</c:v>
                </c:pt>
                <c:pt idx="9">
                  <c:v>-1.6979883454064406</c:v>
                </c:pt>
                <c:pt idx="10">
                  <c:v>0</c:v>
                </c:pt>
              </c:numCache>
            </c:numRef>
          </c:yVal>
          <c:smooth val="0"/>
          <c:extLst>
            <c:ext xmlns:c16="http://schemas.microsoft.com/office/drawing/2014/chart" uri="{C3380CC4-5D6E-409C-BE32-E72D297353CC}">
              <c16:uniqueId val="{00000000-3A76-455A-AE76-E66C6F3DA70F}"/>
            </c:ext>
          </c:extLst>
        </c:ser>
        <c:ser>
          <c:idx val="0"/>
          <c:order val="1"/>
          <c:spPr>
            <a:ln w="25400">
              <a:solidFill>
                <a:schemeClr val="tx1"/>
              </a:solidFill>
              <a:prstDash val="solid"/>
            </a:ln>
          </c:spPr>
          <c:marker>
            <c:symbol val="none"/>
          </c:marker>
          <c:xVal>
            <c:numRef>
              <c:f>Ogive!$B$22:$B$32</c:f>
              <c:numCache>
                <c:formatCode>0.00</c:formatCode>
                <c:ptCount val="11"/>
                <c:pt idx="0">
                  <c:v>0</c:v>
                </c:pt>
                <c:pt idx="1">
                  <c:v>12.600000000000001</c:v>
                </c:pt>
                <c:pt idx="2">
                  <c:v>25.200000000000003</c:v>
                </c:pt>
                <c:pt idx="3">
                  <c:v>37.799999999999997</c:v>
                </c:pt>
                <c:pt idx="4">
                  <c:v>50.400000000000006</c:v>
                </c:pt>
                <c:pt idx="5">
                  <c:v>63</c:v>
                </c:pt>
                <c:pt idx="6">
                  <c:v>75.599999999999994</c:v>
                </c:pt>
                <c:pt idx="7">
                  <c:v>88.199999999999989</c:v>
                </c:pt>
                <c:pt idx="8">
                  <c:v>100.80000000000001</c:v>
                </c:pt>
                <c:pt idx="9">
                  <c:v>113.4</c:v>
                </c:pt>
                <c:pt idx="10">
                  <c:v>126</c:v>
                </c:pt>
              </c:numCache>
            </c:numRef>
          </c:xVal>
          <c:yVal>
            <c:numRef>
              <c:f>Ogive!$M$22:$M$32</c:f>
              <c:numCache>
                <c:formatCode>0.0000</c:formatCode>
                <c:ptCount val="11"/>
                <c:pt idx="0">
                  <c:v>0</c:v>
                </c:pt>
                <c:pt idx="1">
                  <c:v>1.6979883454064406</c:v>
                </c:pt>
                <c:pt idx="2">
                  <c:v>2.7502696760153729</c:v>
                </c:pt>
                <c:pt idx="3">
                  <c:v>3.5617434928964631</c:v>
                </c:pt>
                <c:pt idx="4">
                  <c:v>4.1673535461805855</c:v>
                </c:pt>
                <c:pt idx="5">
                  <c:v>4.5</c:v>
                </c:pt>
                <c:pt idx="6">
                  <c:v>4.1673535461805855</c:v>
                </c:pt>
                <c:pt idx="7">
                  <c:v>3.5617434928964631</c:v>
                </c:pt>
                <c:pt idx="8">
                  <c:v>2.7502696760153729</c:v>
                </c:pt>
                <c:pt idx="9">
                  <c:v>1.6979883454064406</c:v>
                </c:pt>
                <c:pt idx="10">
                  <c:v>0</c:v>
                </c:pt>
              </c:numCache>
            </c:numRef>
          </c:yVal>
          <c:smooth val="0"/>
          <c:extLst>
            <c:ext xmlns:c16="http://schemas.microsoft.com/office/drawing/2014/chart" uri="{C3380CC4-5D6E-409C-BE32-E72D297353CC}">
              <c16:uniqueId val="{00000001-3A76-455A-AE76-E66C6F3DA70F}"/>
            </c:ext>
          </c:extLst>
        </c:ser>
        <c:ser>
          <c:idx val="1"/>
          <c:order val="2"/>
          <c:yVal>
            <c:numLit>
              <c:formatCode>General</c:formatCode>
              <c:ptCount val="1"/>
              <c:pt idx="0">
                <c:v>1</c:v>
              </c:pt>
            </c:numLit>
          </c:yVal>
          <c:smooth val="0"/>
          <c:extLst>
            <c:ext xmlns:c16="http://schemas.microsoft.com/office/drawing/2014/chart" uri="{C3380CC4-5D6E-409C-BE32-E72D297353CC}">
              <c16:uniqueId val="{00000002-3A76-455A-AE76-E66C6F3DA70F}"/>
            </c:ext>
          </c:extLst>
        </c:ser>
        <c:dLbls>
          <c:showLegendKey val="0"/>
          <c:showVal val="0"/>
          <c:showCatName val="0"/>
          <c:showSerName val="0"/>
          <c:showPercent val="0"/>
          <c:showBubbleSize val="0"/>
        </c:dLbls>
        <c:axId val="309604824"/>
        <c:axId val="1"/>
      </c:scatterChart>
      <c:valAx>
        <c:axId val="309604824"/>
        <c:scaling>
          <c:orientation val="minMax"/>
        </c:scaling>
        <c:delete val="0"/>
        <c:axPos val="b"/>
        <c:title>
          <c:tx>
            <c:rich>
              <a:bodyPr/>
              <a:lstStyle/>
              <a:p>
                <a:pPr>
                  <a:defRPr sz="800" b="1" i="0" u="none" strike="noStrike" baseline="0">
                    <a:solidFill>
                      <a:srgbClr val="000000"/>
                    </a:solidFill>
                    <a:latin typeface="Arial"/>
                    <a:ea typeface="Arial"/>
                    <a:cs typeface="Arial"/>
                  </a:defRPr>
                </a:pPr>
                <a:r>
                  <a:rPr lang="en-US"/>
                  <a:t>x</a:t>
                </a:r>
              </a:p>
            </c:rich>
          </c:tx>
          <c:layout>
            <c:manualLayout>
              <c:xMode val="edge"/>
              <c:yMode val="edge"/>
              <c:x val="0.55471812681980981"/>
              <c:y val="0.77778220760379635"/>
            </c:manualLayout>
          </c:layout>
          <c:overlay val="0"/>
          <c:spPr>
            <a:noFill/>
            <a:ln w="25400">
              <a:noFill/>
            </a:ln>
          </c:spPr>
        </c:title>
        <c:numFmt formatCode="0.00" sourceLinked="1"/>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
        <c:crosses val="autoZero"/>
        <c:crossBetween val="midCat"/>
      </c:valAx>
      <c:valAx>
        <c:axId val="1"/>
        <c:scaling>
          <c:orientation val="minMax"/>
        </c:scaling>
        <c:delete val="0"/>
        <c:axPos val="l"/>
        <c:title>
          <c:tx>
            <c:rich>
              <a:bodyPr/>
              <a:lstStyle/>
              <a:p>
                <a:pPr>
                  <a:defRPr sz="800" b="1" i="0" u="none" strike="noStrike" baseline="0">
                    <a:solidFill>
                      <a:srgbClr val="000000"/>
                    </a:solidFill>
                    <a:latin typeface="Arial"/>
                    <a:ea typeface="Arial"/>
                    <a:cs typeface="Arial"/>
                  </a:defRPr>
                </a:pPr>
                <a:r>
                  <a:rPr lang="en-US"/>
                  <a:t>P</a:t>
                </a:r>
              </a:p>
            </c:rich>
          </c:tx>
          <c:layout>
            <c:manualLayout>
              <c:xMode val="edge"/>
              <c:yMode val="edge"/>
              <c:x val="6.4150936175505394E-2"/>
              <c:y val="0.33950806782063636"/>
            </c:manualLayout>
          </c:layout>
          <c:overlay val="0"/>
          <c:spPr>
            <a:noFill/>
            <a:ln w="25400">
              <a:noFill/>
            </a:ln>
          </c:spPr>
        </c:title>
        <c:numFmt formatCode="0.0000" sourceLinked="1"/>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309604824"/>
        <c:crosses val="autoZero"/>
        <c:crossBetween val="midCat"/>
        <c:majorUnit val="20"/>
      </c:valAx>
      <c:spPr>
        <a:solidFill>
          <a:srgbClr val="C0C0C0"/>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oddHeader>&amp;A</c:oddHeader>
      <c:oddFooter>Page &amp;P</c:oddFooter>
    </c:headerFooter>
    <c:pageMargins b="1" l="0.75" r="0.75" t="1"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6037783825515598"/>
          <c:y val="0.11600114342142875"/>
          <c:w val="0.63018984041465287"/>
          <c:h val="0.49511343260310281"/>
        </c:manualLayout>
      </c:layout>
      <c:scatterChart>
        <c:scatterStyle val="lineMarker"/>
        <c:varyColors val="0"/>
        <c:ser>
          <c:idx val="1"/>
          <c:order val="0"/>
          <c:spPr>
            <a:ln w="25400">
              <a:solidFill>
                <a:schemeClr val="tx1"/>
              </a:solidFill>
            </a:ln>
          </c:spPr>
          <c:marker>
            <c:symbol val="none"/>
          </c:marker>
          <c:xVal>
            <c:numRef>
              <c:f>'Sears-Haack'!$B$22:$B$72</c:f>
              <c:numCache>
                <c:formatCode>0.00</c:formatCode>
                <c:ptCount val="51"/>
                <c:pt idx="0">
                  <c:v>0</c:v>
                </c:pt>
                <c:pt idx="1">
                  <c:v>2.52</c:v>
                </c:pt>
                <c:pt idx="2">
                  <c:v>5.04</c:v>
                </c:pt>
                <c:pt idx="3">
                  <c:v>7.56</c:v>
                </c:pt>
                <c:pt idx="4">
                  <c:v>10.08</c:v>
                </c:pt>
                <c:pt idx="5">
                  <c:v>12.600000000000001</c:v>
                </c:pt>
                <c:pt idx="6">
                  <c:v>15.12</c:v>
                </c:pt>
                <c:pt idx="7">
                  <c:v>17.64</c:v>
                </c:pt>
                <c:pt idx="8">
                  <c:v>20.16</c:v>
                </c:pt>
                <c:pt idx="9">
                  <c:v>22.68</c:v>
                </c:pt>
                <c:pt idx="10">
                  <c:v>25.200000000000003</c:v>
                </c:pt>
                <c:pt idx="11">
                  <c:v>27.72</c:v>
                </c:pt>
                <c:pt idx="12">
                  <c:v>30.24</c:v>
                </c:pt>
                <c:pt idx="13">
                  <c:v>32.76</c:v>
                </c:pt>
                <c:pt idx="14">
                  <c:v>35.28</c:v>
                </c:pt>
                <c:pt idx="15">
                  <c:v>37.799999999999997</c:v>
                </c:pt>
                <c:pt idx="16">
                  <c:v>40.32</c:v>
                </c:pt>
                <c:pt idx="17">
                  <c:v>42.84</c:v>
                </c:pt>
                <c:pt idx="18">
                  <c:v>45.36</c:v>
                </c:pt>
                <c:pt idx="19">
                  <c:v>47.88</c:v>
                </c:pt>
                <c:pt idx="20">
                  <c:v>50.400000000000006</c:v>
                </c:pt>
                <c:pt idx="21">
                  <c:v>52.919999999999995</c:v>
                </c:pt>
                <c:pt idx="22">
                  <c:v>55.44</c:v>
                </c:pt>
                <c:pt idx="23">
                  <c:v>57.96</c:v>
                </c:pt>
                <c:pt idx="24">
                  <c:v>60.48</c:v>
                </c:pt>
                <c:pt idx="25">
                  <c:v>63</c:v>
                </c:pt>
                <c:pt idx="26">
                  <c:v>65.52</c:v>
                </c:pt>
                <c:pt idx="27">
                  <c:v>68.040000000000006</c:v>
                </c:pt>
                <c:pt idx="28">
                  <c:v>70.56</c:v>
                </c:pt>
                <c:pt idx="29">
                  <c:v>73.08</c:v>
                </c:pt>
                <c:pt idx="30">
                  <c:v>75.599999999999994</c:v>
                </c:pt>
                <c:pt idx="31">
                  <c:v>78.12</c:v>
                </c:pt>
                <c:pt idx="32">
                  <c:v>80.64</c:v>
                </c:pt>
                <c:pt idx="33">
                  <c:v>83.160000000000011</c:v>
                </c:pt>
                <c:pt idx="34">
                  <c:v>85.68</c:v>
                </c:pt>
                <c:pt idx="35">
                  <c:v>88.199999999999989</c:v>
                </c:pt>
                <c:pt idx="36">
                  <c:v>90.72</c:v>
                </c:pt>
                <c:pt idx="37">
                  <c:v>93.24</c:v>
                </c:pt>
                <c:pt idx="38">
                  <c:v>95.76</c:v>
                </c:pt>
                <c:pt idx="39">
                  <c:v>98.28</c:v>
                </c:pt>
                <c:pt idx="40">
                  <c:v>100.80000000000001</c:v>
                </c:pt>
                <c:pt idx="41">
                  <c:v>103.32</c:v>
                </c:pt>
                <c:pt idx="42">
                  <c:v>105.83999999999999</c:v>
                </c:pt>
                <c:pt idx="43">
                  <c:v>108.36</c:v>
                </c:pt>
                <c:pt idx="44">
                  <c:v>110.88</c:v>
                </c:pt>
                <c:pt idx="45">
                  <c:v>113.4</c:v>
                </c:pt>
                <c:pt idx="46">
                  <c:v>115.92</c:v>
                </c:pt>
                <c:pt idx="47">
                  <c:v>118.44</c:v>
                </c:pt>
                <c:pt idx="48">
                  <c:v>120.96</c:v>
                </c:pt>
                <c:pt idx="49">
                  <c:v>123.48</c:v>
                </c:pt>
                <c:pt idx="50">
                  <c:v>126</c:v>
                </c:pt>
              </c:numCache>
            </c:numRef>
          </c:xVal>
          <c:yVal>
            <c:numRef>
              <c:f>'Sears-Haack'!$K$22:$K$72</c:f>
              <c:numCache>
                <c:formatCode>0.0000</c:formatCode>
                <c:ptCount val="51"/>
                <c:pt idx="0">
                  <c:v>0</c:v>
                </c:pt>
                <c:pt idx="1">
                  <c:v>-0.66672933038827709</c:v>
                </c:pt>
                <c:pt idx="2">
                  <c:v>-1.1040936841375588</c:v>
                </c:pt>
                <c:pt idx="3">
                  <c:v>-1.4730477845667334</c:v>
                </c:pt>
                <c:pt idx="4">
                  <c:v>-1.7985224697489786</c:v>
                </c:pt>
                <c:pt idx="5">
                  <c:v>-2.0914110069520055</c:v>
                </c:pt>
                <c:pt idx="6">
                  <c:v>-2.3577917617617401</c:v>
                </c:pt>
                <c:pt idx="7">
                  <c:v>-2.6015212186682262</c:v>
                </c:pt>
                <c:pt idx="8">
                  <c:v>-2.8252504893001533</c:v>
                </c:pt>
                <c:pt idx="9">
                  <c:v>-3.0309046596628968</c:v>
                </c:pt>
                <c:pt idx="10">
                  <c:v>-3.2199378875996971</c:v>
                </c:pt>
                <c:pt idx="11">
                  <c:v>-3.3934813748545603</c:v>
                </c:pt>
                <c:pt idx="12">
                  <c:v>-3.5524349387631164</c:v>
                </c:pt>
                <c:pt idx="13">
                  <c:v>-3.6975266089713799</c:v>
                </c:pt>
                <c:pt idx="14">
                  <c:v>-3.8293530042469706</c:v>
                </c:pt>
                <c:pt idx="15">
                  <c:v>-3.9484075922123045</c:v>
                </c:pt>
                <c:pt idx="16">
                  <c:v>-4.055100999339678</c:v>
                </c:pt>
                <c:pt idx="17">
                  <c:v>-4.1497759241991723</c:v>
                </c:pt>
                <c:pt idx="18">
                  <c:v>-4.232718275529332</c:v>
                </c:pt>
                <c:pt idx="19">
                  <c:v>-4.3041655968016803</c:v>
                </c:pt>
                <c:pt idx="20">
                  <c:v>-4.364313490101507</c:v>
                </c:pt>
                <c:pt idx="21">
                  <c:v>-4.4133205276929504</c:v>
                </c:pt>
                <c:pt idx="22">
                  <c:v>-4.4513119908282679</c:v>
                </c:pt>
                <c:pt idx="23">
                  <c:v>-4.4783826737534191</c:v>
                </c:pt>
                <c:pt idx="24">
                  <c:v>-4.4945989192793512</c:v>
                </c:pt>
                <c:pt idx="25">
                  <c:v>-4.5</c:v>
                </c:pt>
                <c:pt idx="26">
                  <c:v>-4.4945989192793512</c:v>
                </c:pt>
                <c:pt idx="27">
                  <c:v>-4.4783826737534191</c:v>
                </c:pt>
                <c:pt idx="28">
                  <c:v>-4.4513119908282679</c:v>
                </c:pt>
                <c:pt idx="29">
                  <c:v>-4.4133205276929504</c:v>
                </c:pt>
                <c:pt idx="30">
                  <c:v>-4.364313490101507</c:v>
                </c:pt>
                <c:pt idx="31">
                  <c:v>-4.3041655968016803</c:v>
                </c:pt>
                <c:pt idx="32">
                  <c:v>-4.232718275529332</c:v>
                </c:pt>
                <c:pt idx="33">
                  <c:v>-4.1497759241991723</c:v>
                </c:pt>
                <c:pt idx="34">
                  <c:v>-4.0551009993396772</c:v>
                </c:pt>
                <c:pt idx="35">
                  <c:v>-3.9484075922123054</c:v>
                </c:pt>
                <c:pt idx="36">
                  <c:v>-3.8293530042469706</c:v>
                </c:pt>
                <c:pt idx="37">
                  <c:v>-3.6975266089713803</c:v>
                </c:pt>
                <c:pt idx="38">
                  <c:v>-3.5524349387631164</c:v>
                </c:pt>
                <c:pt idx="39">
                  <c:v>-3.3934813748545603</c:v>
                </c:pt>
                <c:pt idx="40">
                  <c:v>-3.2199378875996958</c:v>
                </c:pt>
                <c:pt idx="41">
                  <c:v>-3.0309046596628972</c:v>
                </c:pt>
                <c:pt idx="42">
                  <c:v>-2.8252504893001555</c:v>
                </c:pt>
                <c:pt idx="43">
                  <c:v>-2.6015212186682262</c:v>
                </c:pt>
                <c:pt idx="44">
                  <c:v>-2.3577917617617414</c:v>
                </c:pt>
                <c:pt idx="45">
                  <c:v>-2.0914110069520047</c:v>
                </c:pt>
                <c:pt idx="46">
                  <c:v>-1.7985224697489786</c:v>
                </c:pt>
                <c:pt idx="47">
                  <c:v>-1.4730477845667334</c:v>
                </c:pt>
                <c:pt idx="48">
                  <c:v>-1.1040936841375597</c:v>
                </c:pt>
                <c:pt idx="49">
                  <c:v>-0.66672933038827553</c:v>
                </c:pt>
                <c:pt idx="50">
                  <c:v>0</c:v>
                </c:pt>
              </c:numCache>
            </c:numRef>
          </c:yVal>
          <c:smooth val="0"/>
          <c:extLst>
            <c:ext xmlns:c16="http://schemas.microsoft.com/office/drawing/2014/chart" uri="{C3380CC4-5D6E-409C-BE32-E72D297353CC}">
              <c16:uniqueId val="{00000000-789C-4AC3-97D8-50C4FED57414}"/>
            </c:ext>
          </c:extLst>
        </c:ser>
        <c:ser>
          <c:idx val="0"/>
          <c:order val="1"/>
          <c:spPr>
            <a:ln w="25400">
              <a:solidFill>
                <a:schemeClr val="tx1"/>
              </a:solidFill>
              <a:prstDash val="solid"/>
            </a:ln>
          </c:spPr>
          <c:marker>
            <c:symbol val="none"/>
          </c:marker>
          <c:xVal>
            <c:numRef>
              <c:f>'Sears-Haack'!$B$22:$B$72</c:f>
              <c:numCache>
                <c:formatCode>0.00</c:formatCode>
                <c:ptCount val="51"/>
                <c:pt idx="0">
                  <c:v>0</c:v>
                </c:pt>
                <c:pt idx="1">
                  <c:v>2.52</c:v>
                </c:pt>
                <c:pt idx="2">
                  <c:v>5.04</c:v>
                </c:pt>
                <c:pt idx="3">
                  <c:v>7.56</c:v>
                </c:pt>
                <c:pt idx="4">
                  <c:v>10.08</c:v>
                </c:pt>
                <c:pt idx="5">
                  <c:v>12.600000000000001</c:v>
                </c:pt>
                <c:pt idx="6">
                  <c:v>15.12</c:v>
                </c:pt>
                <c:pt idx="7">
                  <c:v>17.64</c:v>
                </c:pt>
                <c:pt idx="8">
                  <c:v>20.16</c:v>
                </c:pt>
                <c:pt idx="9">
                  <c:v>22.68</c:v>
                </c:pt>
                <c:pt idx="10">
                  <c:v>25.200000000000003</c:v>
                </c:pt>
                <c:pt idx="11">
                  <c:v>27.72</c:v>
                </c:pt>
                <c:pt idx="12">
                  <c:v>30.24</c:v>
                </c:pt>
                <c:pt idx="13">
                  <c:v>32.76</c:v>
                </c:pt>
                <c:pt idx="14">
                  <c:v>35.28</c:v>
                </c:pt>
                <c:pt idx="15">
                  <c:v>37.799999999999997</c:v>
                </c:pt>
                <c:pt idx="16">
                  <c:v>40.32</c:v>
                </c:pt>
                <c:pt idx="17">
                  <c:v>42.84</c:v>
                </c:pt>
                <c:pt idx="18">
                  <c:v>45.36</c:v>
                </c:pt>
                <c:pt idx="19">
                  <c:v>47.88</c:v>
                </c:pt>
                <c:pt idx="20">
                  <c:v>50.400000000000006</c:v>
                </c:pt>
                <c:pt idx="21">
                  <c:v>52.919999999999995</c:v>
                </c:pt>
                <c:pt idx="22">
                  <c:v>55.44</c:v>
                </c:pt>
                <c:pt idx="23">
                  <c:v>57.96</c:v>
                </c:pt>
                <c:pt idx="24">
                  <c:v>60.48</c:v>
                </c:pt>
                <c:pt idx="25">
                  <c:v>63</c:v>
                </c:pt>
                <c:pt idx="26">
                  <c:v>65.52</c:v>
                </c:pt>
                <c:pt idx="27">
                  <c:v>68.040000000000006</c:v>
                </c:pt>
                <c:pt idx="28">
                  <c:v>70.56</c:v>
                </c:pt>
                <c:pt idx="29">
                  <c:v>73.08</c:v>
                </c:pt>
                <c:pt idx="30">
                  <c:v>75.599999999999994</c:v>
                </c:pt>
                <c:pt idx="31">
                  <c:v>78.12</c:v>
                </c:pt>
                <c:pt idx="32">
                  <c:v>80.64</c:v>
                </c:pt>
                <c:pt idx="33">
                  <c:v>83.160000000000011</c:v>
                </c:pt>
                <c:pt idx="34">
                  <c:v>85.68</c:v>
                </c:pt>
                <c:pt idx="35">
                  <c:v>88.199999999999989</c:v>
                </c:pt>
                <c:pt idx="36">
                  <c:v>90.72</c:v>
                </c:pt>
                <c:pt idx="37">
                  <c:v>93.24</c:v>
                </c:pt>
                <c:pt idx="38">
                  <c:v>95.76</c:v>
                </c:pt>
                <c:pt idx="39">
                  <c:v>98.28</c:v>
                </c:pt>
                <c:pt idx="40">
                  <c:v>100.80000000000001</c:v>
                </c:pt>
                <c:pt idx="41">
                  <c:v>103.32</c:v>
                </c:pt>
                <c:pt idx="42">
                  <c:v>105.83999999999999</c:v>
                </c:pt>
                <c:pt idx="43">
                  <c:v>108.36</c:v>
                </c:pt>
                <c:pt idx="44">
                  <c:v>110.88</c:v>
                </c:pt>
                <c:pt idx="45">
                  <c:v>113.4</c:v>
                </c:pt>
                <c:pt idx="46">
                  <c:v>115.92</c:v>
                </c:pt>
                <c:pt idx="47">
                  <c:v>118.44</c:v>
                </c:pt>
                <c:pt idx="48">
                  <c:v>120.96</c:v>
                </c:pt>
                <c:pt idx="49">
                  <c:v>123.48</c:v>
                </c:pt>
                <c:pt idx="50">
                  <c:v>126</c:v>
                </c:pt>
              </c:numCache>
            </c:numRef>
          </c:xVal>
          <c:yVal>
            <c:numRef>
              <c:f>'Sears-Haack'!$D$22:$D$72</c:f>
              <c:numCache>
                <c:formatCode>0.0000</c:formatCode>
                <c:ptCount val="51"/>
                <c:pt idx="0">
                  <c:v>0</c:v>
                </c:pt>
                <c:pt idx="1">
                  <c:v>0.66672933038827709</c:v>
                </c:pt>
                <c:pt idx="2">
                  <c:v>1.1040936841375588</c:v>
                </c:pt>
                <c:pt idx="3">
                  <c:v>1.4730477845667334</c:v>
                </c:pt>
                <c:pt idx="4">
                  <c:v>1.7985224697489786</c:v>
                </c:pt>
                <c:pt idx="5">
                  <c:v>2.0914110069520055</c:v>
                </c:pt>
                <c:pt idx="6">
                  <c:v>2.3577917617617401</c:v>
                </c:pt>
                <c:pt idx="7">
                  <c:v>2.6015212186682262</c:v>
                </c:pt>
                <c:pt idx="8">
                  <c:v>2.8252504893001533</c:v>
                </c:pt>
                <c:pt idx="9">
                  <c:v>3.0309046596628968</c:v>
                </c:pt>
                <c:pt idx="10">
                  <c:v>3.2199378875996971</c:v>
                </c:pt>
                <c:pt idx="11">
                  <c:v>3.3934813748545603</c:v>
                </c:pt>
                <c:pt idx="12">
                  <c:v>3.5524349387631164</c:v>
                </c:pt>
                <c:pt idx="13">
                  <c:v>3.6975266089713799</c:v>
                </c:pt>
                <c:pt idx="14">
                  <c:v>3.8293530042469706</c:v>
                </c:pt>
                <c:pt idx="15">
                  <c:v>3.9484075922123045</c:v>
                </c:pt>
                <c:pt idx="16">
                  <c:v>4.055100999339678</c:v>
                </c:pt>
                <c:pt idx="17">
                  <c:v>4.1497759241991723</c:v>
                </c:pt>
                <c:pt idx="18">
                  <c:v>4.232718275529332</c:v>
                </c:pt>
                <c:pt idx="19">
                  <c:v>4.3041655968016803</c:v>
                </c:pt>
                <c:pt idx="20">
                  <c:v>4.364313490101507</c:v>
                </c:pt>
                <c:pt idx="21">
                  <c:v>4.4133205276929504</c:v>
                </c:pt>
                <c:pt idx="22">
                  <c:v>4.4513119908282679</c:v>
                </c:pt>
                <c:pt idx="23">
                  <c:v>4.4783826737534191</c:v>
                </c:pt>
                <c:pt idx="24">
                  <c:v>4.4945989192793512</c:v>
                </c:pt>
                <c:pt idx="25">
                  <c:v>4.5</c:v>
                </c:pt>
                <c:pt idx="26">
                  <c:v>4.4945989192793512</c:v>
                </c:pt>
                <c:pt idx="27">
                  <c:v>4.4783826737534191</c:v>
                </c:pt>
                <c:pt idx="28">
                  <c:v>4.4513119908282679</c:v>
                </c:pt>
                <c:pt idx="29">
                  <c:v>4.4133205276929504</c:v>
                </c:pt>
                <c:pt idx="30">
                  <c:v>4.364313490101507</c:v>
                </c:pt>
                <c:pt idx="31">
                  <c:v>4.3041655968016803</c:v>
                </c:pt>
                <c:pt idx="32">
                  <c:v>4.232718275529332</c:v>
                </c:pt>
                <c:pt idx="33">
                  <c:v>4.1497759241991723</c:v>
                </c:pt>
                <c:pt idx="34">
                  <c:v>4.0551009993396772</c:v>
                </c:pt>
                <c:pt idx="35">
                  <c:v>3.9484075922123054</c:v>
                </c:pt>
                <c:pt idx="36">
                  <c:v>3.8293530042469706</c:v>
                </c:pt>
                <c:pt idx="37">
                  <c:v>3.6975266089713803</c:v>
                </c:pt>
                <c:pt idx="38">
                  <c:v>3.5524349387631164</c:v>
                </c:pt>
                <c:pt idx="39">
                  <c:v>3.3934813748545603</c:v>
                </c:pt>
                <c:pt idx="40">
                  <c:v>3.2199378875996958</c:v>
                </c:pt>
                <c:pt idx="41">
                  <c:v>3.0309046596628972</c:v>
                </c:pt>
                <c:pt idx="42">
                  <c:v>2.8252504893001555</c:v>
                </c:pt>
                <c:pt idx="43">
                  <c:v>2.6015212186682262</c:v>
                </c:pt>
                <c:pt idx="44">
                  <c:v>2.3577917617617414</c:v>
                </c:pt>
                <c:pt idx="45">
                  <c:v>2.0914110069520047</c:v>
                </c:pt>
                <c:pt idx="46">
                  <c:v>1.7985224697489786</c:v>
                </c:pt>
                <c:pt idx="47">
                  <c:v>1.4730477845667334</c:v>
                </c:pt>
                <c:pt idx="48">
                  <c:v>1.1040936841375597</c:v>
                </c:pt>
                <c:pt idx="49">
                  <c:v>0.66672933038827553</c:v>
                </c:pt>
                <c:pt idx="50">
                  <c:v>0</c:v>
                </c:pt>
              </c:numCache>
            </c:numRef>
          </c:yVal>
          <c:smooth val="0"/>
          <c:extLst>
            <c:ext xmlns:c16="http://schemas.microsoft.com/office/drawing/2014/chart" uri="{C3380CC4-5D6E-409C-BE32-E72D297353CC}">
              <c16:uniqueId val="{00000001-789C-4AC3-97D8-50C4FED57414}"/>
            </c:ext>
          </c:extLst>
        </c:ser>
        <c:dLbls>
          <c:showLegendKey val="0"/>
          <c:showVal val="0"/>
          <c:showCatName val="0"/>
          <c:showSerName val="0"/>
          <c:showPercent val="0"/>
          <c:showBubbleSize val="0"/>
        </c:dLbls>
        <c:axId val="309600888"/>
        <c:axId val="1"/>
      </c:scatterChart>
      <c:valAx>
        <c:axId val="309600888"/>
        <c:scaling>
          <c:orientation val="minMax"/>
        </c:scaling>
        <c:delete val="0"/>
        <c:axPos val="b"/>
        <c:title>
          <c:tx>
            <c:rich>
              <a:bodyPr/>
              <a:lstStyle/>
              <a:p>
                <a:pPr>
                  <a:defRPr sz="800" b="1" i="0" u="none" strike="noStrike" baseline="0">
                    <a:solidFill>
                      <a:srgbClr val="000000"/>
                    </a:solidFill>
                    <a:latin typeface="Arial"/>
                    <a:ea typeface="Arial"/>
                    <a:cs typeface="Arial"/>
                  </a:defRPr>
                </a:pPr>
                <a:r>
                  <a:rPr lang="en-US"/>
                  <a:t>x</a:t>
                </a:r>
              </a:p>
            </c:rich>
          </c:tx>
          <c:layout>
            <c:manualLayout>
              <c:xMode val="edge"/>
              <c:yMode val="edge"/>
              <c:x val="0.55471822272215976"/>
              <c:y val="0.77778228216522438"/>
            </c:manualLayout>
          </c:layout>
          <c:overlay val="0"/>
          <c:spPr>
            <a:noFill/>
            <a:ln w="25400">
              <a:noFill/>
            </a:ln>
          </c:spPr>
        </c:title>
        <c:numFmt formatCode="0.0"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
        <c:crosses val="autoZero"/>
        <c:crossBetween val="midCat"/>
        <c:majorUnit val="10"/>
        <c:minorUnit val="5"/>
      </c:valAx>
      <c:valAx>
        <c:axId val="1"/>
        <c:scaling>
          <c:orientation val="minMax"/>
        </c:scaling>
        <c:delete val="0"/>
        <c:axPos val="l"/>
        <c:title>
          <c:tx>
            <c:rich>
              <a:bodyPr/>
              <a:lstStyle/>
              <a:p>
                <a:pPr>
                  <a:defRPr sz="800" b="1" i="0" u="none" strike="noStrike" baseline="0">
                    <a:solidFill>
                      <a:srgbClr val="000000"/>
                    </a:solidFill>
                    <a:latin typeface="Arial"/>
                    <a:ea typeface="Arial"/>
                    <a:cs typeface="Arial"/>
                  </a:defRPr>
                </a:pPr>
                <a:r>
                  <a:rPr lang="en-US"/>
                  <a:t>P</a:t>
                </a:r>
              </a:p>
            </c:rich>
          </c:tx>
          <c:layout>
            <c:manualLayout>
              <c:xMode val="edge"/>
              <c:yMode val="edge"/>
              <c:x val="6.4150918635170598E-2"/>
              <c:y val="0.33950832878563447"/>
            </c:manualLayout>
          </c:layout>
          <c:overlay val="0"/>
          <c:spPr>
            <a:noFill/>
            <a:ln w="25400">
              <a:noFill/>
            </a:ln>
          </c:spPr>
        </c:title>
        <c:numFmt formatCode="0.0"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309600888"/>
        <c:crosses val="autoZero"/>
        <c:crossBetween val="midCat"/>
        <c:majorUnit val="5"/>
      </c:valAx>
      <c:spPr>
        <a:solidFill>
          <a:srgbClr val="C0C0C0"/>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oddHeader>&amp;A</c:oddHeader>
      <c:oddFooter>Page &amp;P</c:oddFooter>
    </c:headerFooter>
    <c:pageMargins b="1" l="0.75" r="0.75" t="1" header="0.5" footer="0.5"/>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8</xdr:col>
      <xdr:colOff>304800</xdr:colOff>
      <xdr:row>2</xdr:row>
      <xdr:rowOff>104775</xdr:rowOff>
    </xdr:from>
    <xdr:to>
      <xdr:col>22</xdr:col>
      <xdr:colOff>542925</xdr:colOff>
      <xdr:row>14</xdr:row>
      <xdr:rowOff>85725</xdr:rowOff>
    </xdr:to>
    <xdr:graphicFrame macro="">
      <xdr:nvGraphicFramePr>
        <xdr:cNvPr id="2" name="Chart 3">
          <a:extLst>
            <a:ext uri="{FF2B5EF4-FFF2-40B4-BE49-F238E27FC236}">
              <a16:creationId xmlns:a16="http://schemas.microsoft.com/office/drawing/2014/main" id="{640DC310-6A3C-401E-A4AF-CAE7443414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314325</xdr:colOff>
      <xdr:row>20</xdr:row>
      <xdr:rowOff>19050</xdr:rowOff>
    </xdr:from>
    <xdr:to>
      <xdr:col>26</xdr:col>
      <xdr:colOff>552450</xdr:colOff>
      <xdr:row>31</xdr:row>
      <xdr:rowOff>123825</xdr:rowOff>
    </xdr:to>
    <xdr:graphicFrame macro="">
      <xdr:nvGraphicFramePr>
        <xdr:cNvPr id="3" name="Chart 3">
          <a:extLst>
            <a:ext uri="{FF2B5EF4-FFF2-40B4-BE49-F238E27FC236}">
              <a16:creationId xmlns:a16="http://schemas.microsoft.com/office/drawing/2014/main" id="{7B664E1D-A222-49E4-AAE2-2BA147E769B9}"/>
            </a:ext>
            <a:ext uri="{147F2762-F138-4A5C-976F-8EAC2B608ADB}">
              <a16:predDERef xmlns:a16="http://schemas.microsoft.com/office/drawing/2014/main" pred="{640DC310-6A3C-401E-A4AF-CAE7443414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590550</xdr:colOff>
      <xdr:row>2</xdr:row>
      <xdr:rowOff>38100</xdr:rowOff>
    </xdr:from>
    <xdr:to>
      <xdr:col>21</xdr:col>
      <xdr:colOff>219075</xdr:colOff>
      <xdr:row>14</xdr:row>
      <xdr:rowOff>19050</xdr:rowOff>
    </xdr:to>
    <xdr:graphicFrame macro="">
      <xdr:nvGraphicFramePr>
        <xdr:cNvPr id="12314" name="Chart 3">
          <a:extLst>
            <a:ext uri="{FF2B5EF4-FFF2-40B4-BE49-F238E27FC236}">
              <a16:creationId xmlns:a16="http://schemas.microsoft.com/office/drawing/2014/main" id="{6AC8E18F-986F-4DA8-924A-A295114A06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0</xdr:colOff>
      <xdr:row>49</xdr:row>
      <xdr:rowOff>0</xdr:rowOff>
    </xdr:from>
    <xdr:to>
      <xdr:col>28</xdr:col>
      <xdr:colOff>238125</xdr:colOff>
      <xdr:row>60</xdr:row>
      <xdr:rowOff>142875</xdr:rowOff>
    </xdr:to>
    <xdr:graphicFrame macro="">
      <xdr:nvGraphicFramePr>
        <xdr:cNvPr id="12315" name="Chart 3">
          <a:extLst>
            <a:ext uri="{FF2B5EF4-FFF2-40B4-BE49-F238E27FC236}">
              <a16:creationId xmlns:a16="http://schemas.microsoft.com/office/drawing/2014/main" id="{4DCAB70E-25A8-41C4-B764-0C47EA98A3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152400</xdr:colOff>
      <xdr:row>39</xdr:row>
      <xdr:rowOff>0</xdr:rowOff>
    </xdr:from>
    <xdr:to>
      <xdr:col>15</xdr:col>
      <xdr:colOff>495300</xdr:colOff>
      <xdr:row>52</xdr:row>
      <xdr:rowOff>152400</xdr:rowOff>
    </xdr:to>
    <xdr:graphicFrame macro="">
      <xdr:nvGraphicFramePr>
        <xdr:cNvPr id="1049" name="Chart 3">
          <a:extLst>
            <a:ext uri="{FF2B5EF4-FFF2-40B4-BE49-F238E27FC236}">
              <a16:creationId xmlns:a16="http://schemas.microsoft.com/office/drawing/2014/main" id="{FBAA6655-71D4-4D80-89A6-45B6D5AA72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11</xdr:col>
      <xdr:colOff>257175</xdr:colOff>
      <xdr:row>30</xdr:row>
      <xdr:rowOff>9525</xdr:rowOff>
    </xdr:from>
    <xdr:to>
      <xdr:col>28</xdr:col>
      <xdr:colOff>561975</xdr:colOff>
      <xdr:row>41</xdr:row>
      <xdr:rowOff>152400</xdr:rowOff>
    </xdr:to>
    <xdr:graphicFrame macro="">
      <xdr:nvGraphicFramePr>
        <xdr:cNvPr id="5140" name="Chart 3">
          <a:extLst>
            <a:ext uri="{FF2B5EF4-FFF2-40B4-BE49-F238E27FC236}">
              <a16:creationId xmlns:a16="http://schemas.microsoft.com/office/drawing/2014/main" id="{7A740CBA-790A-420A-BAC8-52CDBEDD2A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138"/>
  <sheetViews>
    <sheetView tabSelected="1" topLeftCell="A120" zoomScaleNormal="100" workbookViewId="0">
      <selection activeCell="B15" sqref="B15"/>
    </sheetView>
  </sheetViews>
  <sheetFormatPr defaultRowHeight="13.15"/>
  <cols>
    <col min="1" max="1" width="13.28515625" customWidth="1"/>
    <col min="4" max="4" width="9.140625" customWidth="1"/>
    <col min="10" max="10" width="9.140625" customWidth="1"/>
  </cols>
  <sheetData>
    <row r="1" spans="1:7" ht="15.6">
      <c r="D1" s="15" t="s">
        <v>0</v>
      </c>
    </row>
    <row r="2" spans="1:7">
      <c r="A2" s="14"/>
    </row>
    <row r="3" spans="1:7">
      <c r="A3" s="14" t="s">
        <v>1</v>
      </c>
    </row>
    <row r="4" spans="1:7">
      <c r="A4" t="s">
        <v>2</v>
      </c>
      <c r="B4" s="23">
        <v>0.79</v>
      </c>
    </row>
    <row r="5" spans="1:7">
      <c r="A5" t="s">
        <v>3</v>
      </c>
      <c r="B5" s="24">
        <v>29146</v>
      </c>
      <c r="C5" s="8"/>
    </row>
    <row r="6" spans="1:7">
      <c r="A6" t="s">
        <v>4</v>
      </c>
      <c r="B6" s="9">
        <f>(1036-0.0034*(H-20000))*MC</f>
        <v>793.87384400000008</v>
      </c>
      <c r="C6" s="9"/>
    </row>
    <row r="7" spans="1:7">
      <c r="A7" s="1" t="s">
        <v>5</v>
      </c>
      <c r="B7">
        <f>IF(H&lt;10000,(1-0.00002615*H)*0.076474,IF(H&gt;40000,(-0.0000091*H+0.6211)*0.076474,(-0.00001681*H+0.9066)*0.076474))</f>
        <v>3.1863331060759996E-2</v>
      </c>
    </row>
    <row r="8" spans="1:7">
      <c r="A8" t="s">
        <v>6</v>
      </c>
      <c r="B8">
        <f>0.5*B7*(B6^2)/32.2</f>
        <v>311.82310751727266</v>
      </c>
    </row>
    <row r="9" spans="1:7">
      <c r="A9" s="1" t="s">
        <v>7</v>
      </c>
      <c r="B9">
        <f>0.0000107</f>
        <v>1.0699999999999999E-5</v>
      </c>
    </row>
    <row r="10" spans="1:7">
      <c r="A10" s="1" t="s">
        <v>8</v>
      </c>
      <c r="B10">
        <f>B9/B7</f>
        <v>3.3580920901195901E-4</v>
      </c>
    </row>
    <row r="11" spans="1:7">
      <c r="A11" s="1"/>
    </row>
    <row r="12" spans="1:7">
      <c r="A12" s="14" t="s">
        <v>9</v>
      </c>
      <c r="D12" s="14" t="s">
        <v>10</v>
      </c>
    </row>
    <row r="13" spans="1:7">
      <c r="A13" s="11" t="s">
        <v>11</v>
      </c>
      <c r="B13" s="25">
        <f>148/12</f>
        <v>12.333333333333334</v>
      </c>
      <c r="D13" s="17" t="s">
        <v>12</v>
      </c>
      <c r="E13">
        <f>1+(60/B14^3) + B14/400</f>
        <v>1.0780802559118887</v>
      </c>
    </row>
    <row r="14" spans="1:7">
      <c r="A14" t="s">
        <v>13</v>
      </c>
      <c r="B14" s="21">
        <f>LL/D</f>
        <v>10.5</v>
      </c>
      <c r="C14" s="10"/>
      <c r="D14" s="17" t="s">
        <v>14</v>
      </c>
      <c r="E14">
        <v>1</v>
      </c>
      <c r="G14" s="2"/>
    </row>
    <row r="15" spans="1:7">
      <c r="A15" t="s">
        <v>15</v>
      </c>
      <c r="B15" s="26">
        <v>129.5</v>
      </c>
      <c r="C15" s="10"/>
      <c r="D15" s="17" t="s">
        <v>16</v>
      </c>
      <c r="E15">
        <f>E13*E14</f>
        <v>1.0780802559118887</v>
      </c>
      <c r="G15" s="2"/>
    </row>
    <row r="16" spans="1:7">
      <c r="A16" t="s">
        <v>17</v>
      </c>
      <c r="B16" s="27">
        <v>1370</v>
      </c>
      <c r="C16" s="31"/>
      <c r="G16" s="2"/>
    </row>
    <row r="17" spans="1:12">
      <c r="A17" t="s">
        <v>18</v>
      </c>
      <c r="B17" s="26">
        <v>0.14000000000000001</v>
      </c>
      <c r="C17" s="31" t="s">
        <v>19</v>
      </c>
      <c r="E17" s="3"/>
      <c r="F17" s="3"/>
    </row>
    <row r="18" spans="1:12">
      <c r="A18" t="s">
        <v>20</v>
      </c>
      <c r="B18" s="26">
        <v>0.14000000000000001</v>
      </c>
      <c r="C18" s="31" t="s">
        <v>19</v>
      </c>
      <c r="G18" s="2"/>
    </row>
    <row r="19" spans="1:12">
      <c r="A19" t="s">
        <v>21</v>
      </c>
      <c r="B19" s="26">
        <v>0.8</v>
      </c>
      <c r="C19" s="31" t="s">
        <v>19</v>
      </c>
      <c r="G19" s="2"/>
    </row>
    <row r="20" spans="1:12">
      <c r="B20" s="21"/>
      <c r="C20" s="31"/>
      <c r="G20" s="2"/>
    </row>
    <row r="22" spans="1:12">
      <c r="A22" s="14" t="s">
        <v>22</v>
      </c>
      <c r="D22" s="17" t="s">
        <v>23</v>
      </c>
    </row>
    <row r="23" spans="1:12" ht="15.6">
      <c r="A23" s="20" t="s">
        <v>24</v>
      </c>
      <c r="B23" s="20" t="s">
        <v>25</v>
      </c>
      <c r="C23" s="20" t="s">
        <v>26</v>
      </c>
      <c r="D23" s="20" t="s">
        <v>27</v>
      </c>
      <c r="E23" s="20" t="s">
        <v>28</v>
      </c>
      <c r="F23" s="20" t="s">
        <v>29</v>
      </c>
      <c r="G23" s="20" t="s">
        <v>30</v>
      </c>
      <c r="H23" s="20" t="s">
        <v>31</v>
      </c>
      <c r="I23" s="20" t="s">
        <v>32</v>
      </c>
      <c r="J23" s="22" t="s">
        <v>33</v>
      </c>
      <c r="K23" s="22" t="s">
        <v>34</v>
      </c>
      <c r="L23" t="s">
        <v>35</v>
      </c>
    </row>
    <row r="24" spans="1:12">
      <c r="A24" s="3">
        <v>0</v>
      </c>
      <c r="B24" s="3">
        <f t="shared" ref="B24:B44" si="0">A24*LL</f>
        <v>0</v>
      </c>
      <c r="C24" s="3">
        <f t="shared" ref="C24:C81" si="1">B24-LL/2</f>
        <v>-64.75</v>
      </c>
      <c r="D24" s="19">
        <f t="shared" ref="D24:D49" si="2">IF(A24&lt;$B$17,(D*(B24/(LL*$B$17))^$B$19),D)</f>
        <v>0</v>
      </c>
      <c r="E24" s="4">
        <f t="shared" ref="E24:E100" si="3">PI()*D24</f>
        <v>0</v>
      </c>
      <c r="F24" s="4"/>
      <c r="G24" s="5"/>
      <c r="H24" s="6"/>
      <c r="I24" s="7"/>
      <c r="J24" s="19">
        <f>D24/2</f>
        <v>0</v>
      </c>
      <c r="K24" s="19">
        <f>-J24</f>
        <v>0</v>
      </c>
      <c r="L24" s="19">
        <f>J24-K24</f>
        <v>0</v>
      </c>
    </row>
    <row r="25" spans="1:12">
      <c r="A25" s="3">
        <v>0.01</v>
      </c>
      <c r="B25" s="3">
        <f t="shared" si="0"/>
        <v>1.2949999999999999</v>
      </c>
      <c r="C25" s="3">
        <f t="shared" si="1"/>
        <v>-63.454999999999998</v>
      </c>
      <c r="D25" s="19">
        <f t="shared" si="2"/>
        <v>1.4934065122304783</v>
      </c>
      <c r="E25" s="4">
        <f t="shared" si="3"/>
        <v>4.6916749276464262</v>
      </c>
      <c r="F25" s="4">
        <f t="shared" ref="F25:F49" si="4">E25*(B25-B24)</f>
        <v>6.0757190313021212</v>
      </c>
      <c r="G25" s="5">
        <f t="shared" ref="G25:G34" si="5">V*B25/nu</f>
        <v>3061460.4971818626</v>
      </c>
      <c r="H25" s="6">
        <f t="shared" ref="H25:H34" si="6">IF(G25&lt;1000000,1.328/SQRT(G25), 0.455/( (LOG(G25)^2.58)*(1+0.144*MC^2)^0.65))</f>
        <v>3.4580362938369572E-3</v>
      </c>
      <c r="I25" s="7">
        <f t="shared" ref="I25:I34" si="7">F25*H25*q*FQ</f>
        <v>7.0629578852218957</v>
      </c>
      <c r="J25" s="19">
        <f t="shared" ref="J25:J100" si="8">D25/2</f>
        <v>0.74670325611523913</v>
      </c>
      <c r="K25" s="19">
        <f t="shared" ref="K25:K100" si="9">-J25</f>
        <v>-0.74670325611523913</v>
      </c>
    </row>
    <row r="26" spans="1:12">
      <c r="A26" s="3">
        <v>0.02</v>
      </c>
      <c r="B26" s="3">
        <f t="shared" si="0"/>
        <v>2.59</v>
      </c>
      <c r="C26" s="3">
        <f t="shared" si="1"/>
        <v>-62.16</v>
      </c>
      <c r="D26" s="19">
        <f t="shared" si="2"/>
        <v>2.6001717609046868</v>
      </c>
      <c r="E26" s="4">
        <f t="shared" si="3"/>
        <v>8.168680502129801</v>
      </c>
      <c r="F26" s="4">
        <f t="shared" si="4"/>
        <v>10.578441250258091</v>
      </c>
      <c r="G26" s="5">
        <f t="shared" si="5"/>
        <v>6122920.9943637252</v>
      </c>
      <c r="H26" s="6">
        <f t="shared" si="6"/>
        <v>3.0760664566268294E-3</v>
      </c>
      <c r="I26" s="7">
        <f t="shared" si="7"/>
        <v>10.93897878340484</v>
      </c>
      <c r="J26" s="19">
        <f t="shared" si="8"/>
        <v>1.3000858804523434</v>
      </c>
      <c r="K26" s="19">
        <f t="shared" si="9"/>
        <v>-1.3000858804523434</v>
      </c>
    </row>
    <row r="27" spans="1:12">
      <c r="A27" s="3">
        <v>0.03</v>
      </c>
      <c r="B27" s="3">
        <f t="shared" si="0"/>
        <v>3.8849999999999998</v>
      </c>
      <c r="C27" s="3">
        <f t="shared" si="1"/>
        <v>-60.865000000000002</v>
      </c>
      <c r="D27" s="19">
        <f t="shared" si="2"/>
        <v>3.5964584279123799</v>
      </c>
      <c r="E27" s="4">
        <f t="shared" si="3"/>
        <v>11.298607376070629</v>
      </c>
      <c r="F27" s="4">
        <f t="shared" si="4"/>
        <v>14.631696552011464</v>
      </c>
      <c r="G27" s="5">
        <f t="shared" si="5"/>
        <v>9184381.4915455878</v>
      </c>
      <c r="H27" s="6">
        <f t="shared" si="6"/>
        <v>2.87935363706689E-3</v>
      </c>
      <c r="I27" s="7">
        <f t="shared" si="7"/>
        <v>14.162798645255533</v>
      </c>
      <c r="J27" s="19">
        <f t="shared" si="8"/>
        <v>1.79822921395619</v>
      </c>
      <c r="K27" s="19">
        <f t="shared" si="9"/>
        <v>-1.79822921395619</v>
      </c>
    </row>
    <row r="28" spans="1:12">
      <c r="A28" s="3">
        <v>0.04</v>
      </c>
      <c r="B28" s="3">
        <f t="shared" si="0"/>
        <v>5.18</v>
      </c>
      <c r="C28" s="3">
        <f t="shared" si="1"/>
        <v>-59.57</v>
      </c>
      <c r="D28" s="19">
        <f t="shared" si="2"/>
        <v>4.5271619822444995</v>
      </c>
      <c r="E28" s="4">
        <f t="shared" si="3"/>
        <v>14.222498825030325</v>
      </c>
      <c r="F28" s="4">
        <f t="shared" si="4"/>
        <v>18.41813597841427</v>
      </c>
      <c r="G28" s="5">
        <f t="shared" si="5"/>
        <v>12245841.98872745</v>
      </c>
      <c r="H28" s="6">
        <f t="shared" si="6"/>
        <v>2.7502258785025249E-3</v>
      </c>
      <c r="I28" s="7">
        <f t="shared" si="7"/>
        <v>17.028383674591574</v>
      </c>
      <c r="J28" s="19">
        <f t="shared" si="8"/>
        <v>2.2635809911222498</v>
      </c>
      <c r="K28" s="19">
        <f t="shared" si="9"/>
        <v>-2.2635809911222498</v>
      </c>
    </row>
    <row r="29" spans="1:12">
      <c r="A29" s="3">
        <v>0.05</v>
      </c>
      <c r="B29" s="3">
        <f t="shared" si="0"/>
        <v>6.4750000000000005</v>
      </c>
      <c r="C29" s="3">
        <f t="shared" si="1"/>
        <v>-58.274999999999999</v>
      </c>
      <c r="D29" s="19">
        <f t="shared" si="2"/>
        <v>5.4119533483424336</v>
      </c>
      <c r="E29" s="4">
        <f t="shared" si="3"/>
        <v>17.002152880723273</v>
      </c>
      <c r="F29" s="4">
        <f t="shared" si="4"/>
        <v>22.017787980536653</v>
      </c>
      <c r="G29" s="5">
        <f t="shared" si="5"/>
        <v>15307302.485909315</v>
      </c>
      <c r="H29" s="6">
        <f t="shared" si="6"/>
        <v>2.6555376874832985E-3</v>
      </c>
      <c r="I29" s="7">
        <f t="shared" si="7"/>
        <v>19.655565461746139</v>
      </c>
      <c r="J29" s="19">
        <f t="shared" si="8"/>
        <v>2.7059766741712168</v>
      </c>
      <c r="K29" s="19">
        <f t="shared" si="9"/>
        <v>-2.7059766741712168</v>
      </c>
    </row>
    <row r="30" spans="1:12">
      <c r="A30" s="3">
        <v>0.06</v>
      </c>
      <c r="B30" s="3">
        <f t="shared" si="0"/>
        <v>7.77</v>
      </c>
      <c r="C30" s="3">
        <f t="shared" si="1"/>
        <v>-56.980000000000004</v>
      </c>
      <c r="D30" s="19">
        <f t="shared" si="2"/>
        <v>6.2617978205804325</v>
      </c>
      <c r="E30" s="4">
        <f t="shared" si="3"/>
        <v>19.672018031400064</v>
      </c>
      <c r="F30" s="4">
        <f t="shared" si="4"/>
        <v>25.475263350663063</v>
      </c>
      <c r="G30" s="5">
        <f t="shared" si="5"/>
        <v>18368762.983091176</v>
      </c>
      <c r="H30" s="6">
        <f t="shared" si="6"/>
        <v>2.5814977886748866E-3</v>
      </c>
      <c r="I30" s="7">
        <f t="shared" si="7"/>
        <v>22.108018902337449</v>
      </c>
      <c r="J30" s="19">
        <f t="shared" si="8"/>
        <v>3.1308989102902163</v>
      </c>
      <c r="K30" s="19">
        <f t="shared" si="9"/>
        <v>-3.1308989102902163</v>
      </c>
    </row>
    <row r="31" spans="1:12">
      <c r="A31" s="3">
        <v>7.0000000000000007E-2</v>
      </c>
      <c r="B31" s="3">
        <f t="shared" si="0"/>
        <v>9.0650000000000013</v>
      </c>
      <c r="C31" s="3">
        <f t="shared" si="1"/>
        <v>-55.685000000000002</v>
      </c>
      <c r="D31" s="19">
        <f t="shared" si="2"/>
        <v>7.0836398558150497</v>
      </c>
      <c r="E31" s="4">
        <f t="shared" si="3"/>
        <v>22.253910931704421</v>
      </c>
      <c r="F31" s="4">
        <f t="shared" si="4"/>
        <v>28.818814656557265</v>
      </c>
      <c r="G31" s="5">
        <f t="shared" si="5"/>
        <v>21430223.480273042</v>
      </c>
      <c r="H31" s="6">
        <f t="shared" si="6"/>
        <v>2.5211143941883808E-3</v>
      </c>
      <c r="I31" s="7">
        <f t="shared" si="7"/>
        <v>24.424633380081417</v>
      </c>
      <c r="J31" s="19">
        <f t="shared" si="8"/>
        <v>3.5418199279075249</v>
      </c>
      <c r="K31" s="19">
        <f t="shared" si="9"/>
        <v>-3.5418199279075249</v>
      </c>
    </row>
    <row r="32" spans="1:12">
      <c r="A32" s="3">
        <v>0.08</v>
      </c>
      <c r="B32" s="3">
        <f t="shared" si="0"/>
        <v>10.36</v>
      </c>
      <c r="C32" s="3">
        <f t="shared" si="1"/>
        <v>-54.39</v>
      </c>
      <c r="D32" s="19">
        <f t="shared" si="2"/>
        <v>7.8822468275514952</v>
      </c>
      <c r="E32" s="4">
        <f t="shared" si="3"/>
        <v>24.76280872721723</v>
      </c>
      <c r="F32" s="4">
        <f t="shared" si="4"/>
        <v>32.067837301746266</v>
      </c>
      <c r="G32" s="5">
        <f t="shared" si="5"/>
        <v>24491683.977454901</v>
      </c>
      <c r="H32" s="6">
        <f t="shared" si="6"/>
        <v>2.4703807346290649E-3</v>
      </c>
      <c r="I32" s="7">
        <f t="shared" si="7"/>
        <v>26.631335813187217</v>
      </c>
      <c r="J32" s="19">
        <f t="shared" si="8"/>
        <v>3.9411234137757476</v>
      </c>
      <c r="K32" s="19">
        <f t="shared" si="9"/>
        <v>-3.9411234137757476</v>
      </c>
    </row>
    <row r="33" spans="1:25" ht="13.9" thickBot="1">
      <c r="A33" s="3">
        <v>0.09</v>
      </c>
      <c r="B33" s="3">
        <f t="shared" si="0"/>
        <v>11.654999999999999</v>
      </c>
      <c r="C33" s="3">
        <f t="shared" si="1"/>
        <v>-53.094999999999999</v>
      </c>
      <c r="D33" s="19">
        <f t="shared" si="2"/>
        <v>8.6610799656843849</v>
      </c>
      <c r="E33" s="4">
        <f t="shared" si="3"/>
        <v>27.209585192347802</v>
      </c>
      <c r="F33" s="4">
        <f t="shared" si="4"/>
        <v>35.236412824090401</v>
      </c>
      <c r="G33" s="5">
        <f t="shared" si="5"/>
        <v>27553144.474636763</v>
      </c>
      <c r="H33" s="6">
        <f t="shared" si="6"/>
        <v>2.4267988881070492E-3</v>
      </c>
      <c r="I33" s="7">
        <f t="shared" si="7"/>
        <v>28.746492667801199</v>
      </c>
      <c r="J33" s="19">
        <f t="shared" si="8"/>
        <v>4.3305399828421924</v>
      </c>
      <c r="K33" s="19">
        <f t="shared" si="9"/>
        <v>-4.3305399828421924</v>
      </c>
    </row>
    <row r="34" spans="1:25" ht="16.149999999999999" thickBot="1">
      <c r="A34" s="3">
        <v>0.1</v>
      </c>
      <c r="B34" s="3">
        <f t="shared" si="0"/>
        <v>12.950000000000001</v>
      </c>
      <c r="C34" s="3">
        <f t="shared" si="1"/>
        <v>-51.8</v>
      </c>
      <c r="D34" s="19">
        <f t="shared" si="2"/>
        <v>9.4227580718637007</v>
      </c>
      <c r="E34" s="4">
        <f t="shared" si="3"/>
        <v>29.602467535120926</v>
      </c>
      <c r="F34" s="4">
        <f t="shared" si="4"/>
        <v>38.335195457981648</v>
      </c>
      <c r="G34" s="5">
        <f t="shared" si="5"/>
        <v>30614604.97181863</v>
      </c>
      <c r="H34" s="6">
        <f t="shared" si="6"/>
        <v>2.3887124571022084E-3</v>
      </c>
      <c r="I34" s="7">
        <f t="shared" si="7"/>
        <v>30.783708928528732</v>
      </c>
      <c r="J34" s="19">
        <f t="shared" si="8"/>
        <v>4.7113790359318504</v>
      </c>
      <c r="K34" s="19">
        <f t="shared" si="9"/>
        <v>-4.7113790359318504</v>
      </c>
      <c r="O34" s="54" t="s">
        <v>36</v>
      </c>
      <c r="P34" s="54"/>
      <c r="Q34" s="54"/>
      <c r="R34" s="54"/>
      <c r="S34" s="54"/>
      <c r="T34" s="54"/>
      <c r="U34" s="54"/>
      <c r="V34" s="54"/>
      <c r="W34" s="54"/>
      <c r="X34" s="54"/>
      <c r="Y34" s="54"/>
    </row>
    <row r="35" spans="1:25" ht="13.9" thickBot="1">
      <c r="A35" s="3">
        <v>0.11</v>
      </c>
      <c r="B35" s="3">
        <f t="shared" si="0"/>
        <v>14.244999999999999</v>
      </c>
      <c r="C35" s="3">
        <f t="shared" si="1"/>
        <v>-50.505000000000003</v>
      </c>
      <c r="D35" s="19">
        <f t="shared" si="2"/>
        <v>10.169326447565371</v>
      </c>
      <c r="E35" s="4">
        <f t="shared" si="3"/>
        <v>31.94788125962776</v>
      </c>
      <c r="F35" s="4">
        <f t="shared" si="4"/>
        <v>41.372506231217891</v>
      </c>
      <c r="G35" s="5">
        <f t="shared" ref="G35:G44" si="10">V*B35/nu</f>
        <v>33676065.469000489</v>
      </c>
      <c r="H35" s="6">
        <f t="shared" ref="H35:H44" si="11">IF(G35&lt;1000000,1.328/SQRT(G35), 0.455/( (LOG(G35)^2.58)*(1+0.144*MC^2)^0.65))</f>
        <v>2.3549699020076502E-3</v>
      </c>
      <c r="I35" s="7">
        <f t="shared" ref="I35:I44" si="12">F35*H35*q*FQ</f>
        <v>32.753414297865213</v>
      </c>
      <c r="J35" s="19">
        <f t="shared" si="8"/>
        <v>5.0846632237826856</v>
      </c>
      <c r="K35" s="19">
        <f t="shared" si="9"/>
        <v>-5.0846632237826856</v>
      </c>
      <c r="O35" s="55"/>
      <c r="P35" s="55"/>
      <c r="Q35" s="55"/>
      <c r="R35" s="55"/>
      <c r="S35" s="55"/>
      <c r="T35" s="55"/>
      <c r="U35" s="55"/>
      <c r="V35" s="55"/>
      <c r="W35" s="55"/>
      <c r="X35" s="55"/>
      <c r="Y35" s="55"/>
    </row>
    <row r="36" spans="1:25" ht="13.9" thickBot="1">
      <c r="A36" s="3">
        <v>0.12</v>
      </c>
      <c r="B36" s="3">
        <f t="shared" si="0"/>
        <v>15.54</v>
      </c>
      <c r="C36" s="3">
        <f t="shared" si="1"/>
        <v>-49.21</v>
      </c>
      <c r="D36" s="19">
        <f t="shared" si="2"/>
        <v>10.902423239905476</v>
      </c>
      <c r="E36" s="4">
        <f t="shared" si="3"/>
        <v>34.250972756813674</v>
      </c>
      <c r="F36" s="4">
        <f t="shared" si="4"/>
        <v>44.355009720073703</v>
      </c>
      <c r="G36" s="5">
        <f t="shared" si="10"/>
        <v>36737525.966182351</v>
      </c>
      <c r="H36" s="6">
        <f t="shared" si="11"/>
        <v>2.3247401444335958E-3</v>
      </c>
      <c r="I36" s="7">
        <f t="shared" si="12"/>
        <v>34.663824850407103</v>
      </c>
      <c r="J36" s="19">
        <f t="shared" si="8"/>
        <v>5.4512116199527378</v>
      </c>
      <c r="K36" s="19">
        <f t="shared" si="9"/>
        <v>-5.4512116199527378</v>
      </c>
      <c r="O36" s="62" t="s">
        <v>37</v>
      </c>
      <c r="P36" s="62"/>
      <c r="Q36" s="62"/>
      <c r="R36" s="62"/>
      <c r="S36" s="62"/>
      <c r="T36" s="62"/>
      <c r="U36" s="62"/>
      <c r="V36" s="62"/>
      <c r="W36" s="62"/>
      <c r="X36" s="62"/>
      <c r="Y36" s="62"/>
    </row>
    <row r="37" spans="1:25" ht="13.9" thickBot="1">
      <c r="A37" s="3">
        <v>0.13</v>
      </c>
      <c r="B37" s="3">
        <f t="shared" si="0"/>
        <v>16.835000000000001</v>
      </c>
      <c r="C37" s="3">
        <f t="shared" si="1"/>
        <v>-47.914999999999999</v>
      </c>
      <c r="D37" s="19">
        <f t="shared" si="2"/>
        <v>11.623387663636533</v>
      </c>
      <c r="E37" s="4">
        <f t="shared" si="3"/>
        <v>36.515949293906765</v>
      </c>
      <c r="F37" s="4">
        <f t="shared" si="4"/>
        <v>47.28815433560932</v>
      </c>
      <c r="G37" s="5">
        <f t="shared" si="10"/>
        <v>39798986.463364221</v>
      </c>
      <c r="H37" s="6">
        <f t="shared" si="11"/>
        <v>2.2974048876577488E-3</v>
      </c>
      <c r="I37" s="7">
        <f t="shared" si="12"/>
        <v>36.521557658640788</v>
      </c>
      <c r="J37" s="19">
        <f t="shared" si="8"/>
        <v>5.8116938318182667</v>
      </c>
      <c r="K37" s="19">
        <f t="shared" si="9"/>
        <v>-5.8116938318182667</v>
      </c>
      <c r="O37" s="56"/>
      <c r="P37" s="57"/>
      <c r="Q37" s="57"/>
      <c r="R37" s="57"/>
      <c r="S37" s="57"/>
      <c r="T37" s="57"/>
      <c r="U37" s="57"/>
      <c r="V37" s="57"/>
      <c r="W37" s="57"/>
      <c r="X37" s="57"/>
      <c r="Y37" s="58"/>
    </row>
    <row r="38" spans="1:25" ht="13.9" thickBot="1">
      <c r="A38" s="3">
        <v>0.14000000000000001</v>
      </c>
      <c r="B38" s="3">
        <f t="shared" si="0"/>
        <v>18.130000000000003</v>
      </c>
      <c r="C38" s="3">
        <f t="shared" si="1"/>
        <v>-46.62</v>
      </c>
      <c r="D38" s="19">
        <f t="shared" si="2"/>
        <v>12.333333333333334</v>
      </c>
      <c r="E38" s="4">
        <f t="shared" si="3"/>
        <v>38.746309394274114</v>
      </c>
      <c r="F38" s="4">
        <f t="shared" si="4"/>
        <v>50.176470665585043</v>
      </c>
      <c r="G38" s="5">
        <f t="shared" si="10"/>
        <v>42860446.960546084</v>
      </c>
      <c r="H38" s="6">
        <f t="shared" si="11"/>
        <v>2.2724924151079446E-3</v>
      </c>
      <c r="I38" s="7">
        <f t="shared" si="12"/>
        <v>38.332040687291851</v>
      </c>
      <c r="J38" s="19">
        <f t="shared" si="8"/>
        <v>6.166666666666667</v>
      </c>
      <c r="K38" s="19">
        <f t="shared" si="9"/>
        <v>-6.166666666666667</v>
      </c>
      <c r="O38" s="59" t="s">
        <v>38</v>
      </c>
      <c r="P38" s="60"/>
      <c r="Q38" s="60"/>
      <c r="R38" s="60"/>
      <c r="S38" s="60"/>
      <c r="T38" s="60"/>
      <c r="U38" s="60"/>
      <c r="V38" s="60"/>
      <c r="W38" s="60"/>
      <c r="X38" s="60"/>
      <c r="Y38" s="61"/>
    </row>
    <row r="39" spans="1:25" ht="18" customHeight="1">
      <c r="A39" s="3">
        <v>0.15</v>
      </c>
      <c r="B39" s="3">
        <f t="shared" si="0"/>
        <v>19.425000000000001</v>
      </c>
      <c r="C39" s="3">
        <f t="shared" si="1"/>
        <v>-45.325000000000003</v>
      </c>
      <c r="D39" s="19">
        <f t="shared" si="2"/>
        <v>12.333333333333334</v>
      </c>
      <c r="E39" s="4">
        <f t="shared" si="3"/>
        <v>38.746309394274114</v>
      </c>
      <c r="F39" s="4">
        <f t="shared" si="4"/>
        <v>50.176470665584908</v>
      </c>
      <c r="G39" s="5">
        <f t="shared" si="10"/>
        <v>45921907.457727939</v>
      </c>
      <c r="H39" s="6">
        <f t="shared" si="11"/>
        <v>2.2496351302373268E-3</v>
      </c>
      <c r="I39" s="7">
        <f t="shared" si="12"/>
        <v>37.946487640849604</v>
      </c>
      <c r="J39" s="19">
        <f t="shared" si="8"/>
        <v>6.166666666666667</v>
      </c>
      <c r="K39" s="19">
        <f t="shared" si="9"/>
        <v>-6.166666666666667</v>
      </c>
      <c r="O39" s="36" t="s">
        <v>39</v>
      </c>
      <c r="P39" s="37"/>
      <c r="Q39" s="37"/>
      <c r="R39" s="37"/>
      <c r="S39" s="37"/>
      <c r="T39" s="37"/>
      <c r="U39" s="37"/>
      <c r="V39" s="37"/>
      <c r="W39" s="37"/>
      <c r="X39" s="37"/>
      <c r="Y39" s="38"/>
    </row>
    <row r="40" spans="1:25" ht="69.599999999999994" customHeight="1" thickBot="1">
      <c r="A40" s="3">
        <v>0.16</v>
      </c>
      <c r="B40" s="3">
        <f t="shared" si="0"/>
        <v>20.72</v>
      </c>
      <c r="C40" s="3">
        <f t="shared" si="1"/>
        <v>-44.03</v>
      </c>
      <c r="D40" s="19">
        <f t="shared" si="2"/>
        <v>12.333333333333334</v>
      </c>
      <c r="E40" s="4">
        <f t="shared" si="3"/>
        <v>38.746309394274114</v>
      </c>
      <c r="F40" s="4">
        <f t="shared" si="4"/>
        <v>50.176470665584908</v>
      </c>
      <c r="G40" s="5">
        <f t="shared" si="10"/>
        <v>48983367.954909801</v>
      </c>
      <c r="H40" s="6">
        <f t="shared" si="11"/>
        <v>2.2285413411178433E-3</v>
      </c>
      <c r="I40" s="7">
        <f t="shared" si="12"/>
        <v>37.590680960307267</v>
      </c>
      <c r="J40" s="19">
        <f t="shared" si="8"/>
        <v>6.166666666666667</v>
      </c>
      <c r="K40" s="19">
        <f t="shared" si="9"/>
        <v>-6.166666666666667</v>
      </c>
      <c r="O40" s="39"/>
      <c r="P40" s="40"/>
      <c r="Q40" s="40"/>
      <c r="R40" s="40"/>
      <c r="S40" s="40"/>
      <c r="T40" s="40"/>
      <c r="U40" s="40"/>
      <c r="V40" s="40"/>
      <c r="W40" s="40"/>
      <c r="X40" s="40"/>
      <c r="Y40" s="41"/>
    </row>
    <row r="41" spans="1:25" ht="13.9" thickBot="1">
      <c r="A41" s="3">
        <v>0.17</v>
      </c>
      <c r="B41" s="3">
        <f t="shared" si="0"/>
        <v>22.015000000000001</v>
      </c>
      <c r="C41" s="3">
        <f t="shared" si="1"/>
        <v>-42.734999999999999</v>
      </c>
      <c r="D41" s="19">
        <f t="shared" si="2"/>
        <v>12.333333333333334</v>
      </c>
      <c r="E41" s="4">
        <f t="shared" si="3"/>
        <v>38.746309394274114</v>
      </c>
      <c r="F41" s="4">
        <f t="shared" si="4"/>
        <v>50.176470665585043</v>
      </c>
      <c r="G41" s="5">
        <f t="shared" si="10"/>
        <v>52044828.452091672</v>
      </c>
      <c r="H41" s="6">
        <f t="shared" si="11"/>
        <v>2.2089759372630703E-3</v>
      </c>
      <c r="I41" s="7">
        <f t="shared" si="12"/>
        <v>37.260654839367007</v>
      </c>
      <c r="J41" s="19">
        <f t="shared" si="8"/>
        <v>6.166666666666667</v>
      </c>
      <c r="K41" s="19">
        <f t="shared" si="9"/>
        <v>-6.166666666666667</v>
      </c>
      <c r="O41" s="51"/>
      <c r="P41" s="52"/>
      <c r="Q41" s="52"/>
      <c r="R41" s="52"/>
      <c r="S41" s="52"/>
      <c r="T41" s="52"/>
      <c r="U41" s="52"/>
      <c r="V41" s="52"/>
      <c r="W41" s="52"/>
      <c r="X41" s="52"/>
      <c r="Y41" s="53"/>
    </row>
    <row r="42" spans="1:25">
      <c r="A42" s="3">
        <v>0.18</v>
      </c>
      <c r="B42" s="3">
        <f t="shared" si="0"/>
        <v>23.31</v>
      </c>
      <c r="C42" s="3">
        <f t="shared" si="1"/>
        <v>-41.44</v>
      </c>
      <c r="D42" s="19">
        <f t="shared" si="2"/>
        <v>12.333333333333334</v>
      </c>
      <c r="E42" s="4">
        <f t="shared" si="3"/>
        <v>38.746309394274114</v>
      </c>
      <c r="F42" s="4">
        <f t="shared" si="4"/>
        <v>50.176470665584908</v>
      </c>
      <c r="G42" s="5">
        <f t="shared" si="10"/>
        <v>55106288.949273527</v>
      </c>
      <c r="H42" s="6">
        <f t="shared" si="11"/>
        <v>2.1907468083553969E-3</v>
      </c>
      <c r="I42" s="7">
        <f t="shared" si="12"/>
        <v>36.953168791740374</v>
      </c>
      <c r="J42" s="19">
        <f t="shared" si="8"/>
        <v>6.166666666666667</v>
      </c>
      <c r="K42" s="19">
        <f t="shared" si="9"/>
        <v>-6.166666666666667</v>
      </c>
      <c r="O42" s="42" t="s">
        <v>40</v>
      </c>
      <c r="P42" s="43"/>
      <c r="Q42" s="43"/>
      <c r="R42" s="43"/>
      <c r="S42" s="43"/>
      <c r="T42" s="43"/>
      <c r="U42" s="43"/>
      <c r="V42" s="43"/>
      <c r="W42" s="43"/>
      <c r="X42" s="43"/>
      <c r="Y42" s="44"/>
    </row>
    <row r="43" spans="1:25">
      <c r="A43" s="3">
        <v>0.19</v>
      </c>
      <c r="B43" s="3">
        <f t="shared" si="0"/>
        <v>24.605</v>
      </c>
      <c r="C43" s="3">
        <f t="shared" si="1"/>
        <v>-40.144999999999996</v>
      </c>
      <c r="D43" s="19">
        <f t="shared" si="2"/>
        <v>12.333333333333334</v>
      </c>
      <c r="E43" s="4">
        <f t="shared" si="3"/>
        <v>38.746309394274114</v>
      </c>
      <c r="F43" s="4">
        <f t="shared" si="4"/>
        <v>50.176470665585043</v>
      </c>
      <c r="G43" s="5">
        <f t="shared" si="10"/>
        <v>58167749.446455389</v>
      </c>
      <c r="H43" s="6">
        <f t="shared" si="11"/>
        <v>2.1736950805951571E-3</v>
      </c>
      <c r="I43" s="7">
        <f t="shared" si="12"/>
        <v>36.665542959439037</v>
      </c>
      <c r="J43" s="19">
        <f t="shared" si="8"/>
        <v>6.166666666666667</v>
      </c>
      <c r="K43" s="19">
        <f t="shared" si="9"/>
        <v>-6.166666666666667</v>
      </c>
      <c r="O43" s="45"/>
      <c r="P43" s="46"/>
      <c r="Q43" s="46"/>
      <c r="R43" s="46"/>
      <c r="S43" s="46"/>
      <c r="T43" s="46"/>
      <c r="U43" s="46"/>
      <c r="V43" s="46"/>
      <c r="W43" s="46"/>
      <c r="X43" s="46"/>
      <c r="Y43" s="47"/>
    </row>
    <row r="44" spans="1:25" ht="13.9" thickBot="1">
      <c r="A44" s="3">
        <v>0.2</v>
      </c>
      <c r="B44" s="3">
        <f t="shared" si="0"/>
        <v>25.900000000000002</v>
      </c>
      <c r="C44" s="3">
        <f t="shared" si="1"/>
        <v>-38.849999999999994</v>
      </c>
      <c r="D44" s="19">
        <f t="shared" si="2"/>
        <v>12.333333333333334</v>
      </c>
      <c r="E44" s="4">
        <f t="shared" si="3"/>
        <v>38.746309394274114</v>
      </c>
      <c r="F44" s="4">
        <f t="shared" si="4"/>
        <v>50.176470665585043</v>
      </c>
      <c r="G44" s="5">
        <f t="shared" si="10"/>
        <v>61229209.943637259</v>
      </c>
      <c r="H44" s="6">
        <f t="shared" si="11"/>
        <v>2.1576879568699797E-3</v>
      </c>
      <c r="I44" s="7">
        <f t="shared" si="12"/>
        <v>36.395537341888549</v>
      </c>
      <c r="J44" s="19">
        <f t="shared" si="8"/>
        <v>6.166666666666667</v>
      </c>
      <c r="K44" s="19">
        <f t="shared" si="9"/>
        <v>-6.166666666666667</v>
      </c>
      <c r="O44" s="48"/>
      <c r="P44" s="49"/>
      <c r="Q44" s="49"/>
      <c r="R44" s="49"/>
      <c r="S44" s="49"/>
      <c r="T44" s="49"/>
      <c r="U44" s="49"/>
      <c r="V44" s="49"/>
      <c r="W44" s="49"/>
      <c r="X44" s="49"/>
      <c r="Y44" s="50"/>
    </row>
    <row r="45" spans="1:25">
      <c r="A45" s="3">
        <v>0.21</v>
      </c>
      <c r="B45" s="3">
        <f t="shared" ref="B45:B100" si="13">A45*LL</f>
        <v>27.195</v>
      </c>
      <c r="C45" s="3">
        <f t="shared" si="1"/>
        <v>-37.555</v>
      </c>
      <c r="D45" s="19">
        <f t="shared" si="2"/>
        <v>12.333333333333334</v>
      </c>
      <c r="E45" s="4">
        <f t="shared" si="3"/>
        <v>38.746309394274114</v>
      </c>
      <c r="F45" s="4">
        <f t="shared" si="4"/>
        <v>50.176470665584908</v>
      </c>
      <c r="G45" s="5">
        <f t="shared" ref="G45:G100" si="14">V*B45/nu</f>
        <v>64290670.440819114</v>
      </c>
      <c r="H45" s="6">
        <f t="shared" ref="H45:H100" si="15">IF(G45&lt;1000000,1.328/SQRT(G45), 0.455/( (LOG(G45)^2.58)*(1+0.144*MC^2)^0.65))</f>
        <v>2.1426133732397072E-3</v>
      </c>
      <c r="I45" s="7">
        <f t="shared" ref="I45:I100" si="16">F45*H45*q*FQ</f>
        <v>36.141261662366702</v>
      </c>
      <c r="J45" s="19">
        <f t="shared" si="8"/>
        <v>6.166666666666667</v>
      </c>
      <c r="K45" s="19">
        <f t="shared" si="9"/>
        <v>-6.166666666666667</v>
      </c>
      <c r="O45" s="36" t="s">
        <v>41</v>
      </c>
      <c r="P45" s="37"/>
      <c r="Q45" s="37"/>
      <c r="R45" s="37"/>
      <c r="S45" s="37"/>
      <c r="T45" s="37"/>
      <c r="U45" s="37"/>
      <c r="V45" s="37"/>
      <c r="W45" s="37"/>
      <c r="X45" s="37"/>
      <c r="Y45" s="38"/>
    </row>
    <row r="46" spans="1:25" ht="60.6" customHeight="1" thickBot="1">
      <c r="A46" s="3">
        <v>0.22</v>
      </c>
      <c r="B46" s="3">
        <f t="shared" si="13"/>
        <v>28.49</v>
      </c>
      <c r="C46" s="3">
        <f t="shared" si="1"/>
        <v>-36.260000000000005</v>
      </c>
      <c r="D46" s="19">
        <f t="shared" si="2"/>
        <v>12.333333333333334</v>
      </c>
      <c r="E46" s="4">
        <f t="shared" si="3"/>
        <v>38.746309394274114</v>
      </c>
      <c r="F46" s="4">
        <f t="shared" si="4"/>
        <v>50.176470665584908</v>
      </c>
      <c r="G46" s="5">
        <f t="shared" si="14"/>
        <v>67352130.938000977</v>
      </c>
      <c r="H46" s="6">
        <f t="shared" si="15"/>
        <v>2.1283759479480899E-3</v>
      </c>
      <c r="I46" s="7">
        <f t="shared" si="16"/>
        <v>35.901107036576839</v>
      </c>
      <c r="J46" s="19">
        <f t="shared" si="8"/>
        <v>6.166666666666667</v>
      </c>
      <c r="K46" s="19">
        <f t="shared" si="9"/>
        <v>-6.166666666666667</v>
      </c>
      <c r="O46" s="39"/>
      <c r="P46" s="40"/>
      <c r="Q46" s="40"/>
      <c r="R46" s="40"/>
      <c r="S46" s="40"/>
      <c r="T46" s="40"/>
      <c r="U46" s="40"/>
      <c r="V46" s="40"/>
      <c r="W46" s="40"/>
      <c r="X46" s="40"/>
      <c r="Y46" s="41"/>
    </row>
    <row r="47" spans="1:25" ht="15" customHeight="1">
      <c r="A47" s="3">
        <v>0.23</v>
      </c>
      <c r="B47" s="3">
        <f t="shared" si="13"/>
        <v>29.785</v>
      </c>
      <c r="C47" s="3">
        <f t="shared" si="1"/>
        <v>-34.965000000000003</v>
      </c>
      <c r="D47" s="19">
        <f t="shared" si="2"/>
        <v>12.333333333333334</v>
      </c>
      <c r="E47" s="4">
        <f t="shared" si="3"/>
        <v>38.746309394274114</v>
      </c>
      <c r="F47" s="4">
        <f t="shared" si="4"/>
        <v>50.176470665585043</v>
      </c>
      <c r="G47" s="5">
        <f t="shared" si="14"/>
        <v>70413591.435182855</v>
      </c>
      <c r="H47" s="6">
        <f t="shared" si="15"/>
        <v>2.1148938667823868E-3</v>
      </c>
      <c r="I47" s="7">
        <f t="shared" si="16"/>
        <v>35.6736934353885</v>
      </c>
      <c r="J47" s="19">
        <f t="shared" si="8"/>
        <v>6.166666666666667</v>
      </c>
      <c r="K47" s="19">
        <f t="shared" si="9"/>
        <v>-6.166666666666667</v>
      </c>
    </row>
    <row r="48" spans="1:25">
      <c r="A48" s="3">
        <v>0.24</v>
      </c>
      <c r="B48" s="3">
        <f t="shared" si="13"/>
        <v>31.08</v>
      </c>
      <c r="C48" s="3">
        <f t="shared" si="1"/>
        <v>-33.67</v>
      </c>
      <c r="D48" s="19">
        <f t="shared" si="2"/>
        <v>12.333333333333334</v>
      </c>
      <c r="E48" s="4">
        <f t="shared" si="3"/>
        <v>38.746309394274114</v>
      </c>
      <c r="F48" s="4">
        <f t="shared" si="4"/>
        <v>50.176470665584908</v>
      </c>
      <c r="G48" s="5">
        <f t="shared" si="14"/>
        <v>73475051.932364702</v>
      </c>
      <c r="H48" s="6">
        <f t="shared" si="15"/>
        <v>2.1020964577290247E-3</v>
      </c>
      <c r="I48" s="7">
        <f t="shared" si="16"/>
        <v>35.457828774514681</v>
      </c>
      <c r="J48" s="19">
        <f t="shared" si="8"/>
        <v>6.166666666666667</v>
      </c>
      <c r="K48" s="19">
        <f t="shared" si="9"/>
        <v>-6.166666666666667</v>
      </c>
    </row>
    <row r="49" spans="1:11">
      <c r="A49" s="3">
        <v>0.25</v>
      </c>
      <c r="B49" s="3">
        <f t="shared" si="13"/>
        <v>32.375</v>
      </c>
      <c r="C49" s="3">
        <f t="shared" si="1"/>
        <v>-32.375</v>
      </c>
      <c r="D49" s="19">
        <f t="shared" si="2"/>
        <v>12.333333333333334</v>
      </c>
      <c r="E49" s="4">
        <f t="shared" si="3"/>
        <v>38.746309394274114</v>
      </c>
      <c r="F49" s="4">
        <f t="shared" si="4"/>
        <v>50.176470665585043</v>
      </c>
      <c r="G49" s="5">
        <f t="shared" si="14"/>
        <v>76536512.429546565</v>
      </c>
      <c r="H49" s="6">
        <f t="shared" si="15"/>
        <v>2.0899222804774279E-3</v>
      </c>
      <c r="I49" s="7">
        <f t="shared" si="16"/>
        <v>35.252476688567178</v>
      </c>
      <c r="J49" s="19">
        <f t="shared" si="8"/>
        <v>6.166666666666667</v>
      </c>
      <c r="K49" s="19">
        <f t="shared" si="9"/>
        <v>-6.166666666666667</v>
      </c>
    </row>
    <row r="50" spans="1:11">
      <c r="A50" s="3">
        <v>0.26</v>
      </c>
      <c r="B50" s="3">
        <f t="shared" ref="B50:B74" si="17">A50*LL</f>
        <v>33.67</v>
      </c>
      <c r="C50" s="3">
        <f t="shared" ref="C50:C74" si="18">B50-LL/2</f>
        <v>-31.08</v>
      </c>
      <c r="D50" s="19">
        <f t="shared" ref="D50:D74" si="19">IF(A50&lt;$B$17,(D*(B50/(LL*$B$17))^$B$19),D)</f>
        <v>12.333333333333334</v>
      </c>
      <c r="E50" s="4">
        <f t="shared" ref="E50:E74" si="20">PI()*D50</f>
        <v>38.746309394274114</v>
      </c>
      <c r="F50" s="4">
        <f t="shared" ref="F50:F113" si="21">E50*(B50-B49)</f>
        <v>50.176470665585043</v>
      </c>
      <c r="G50" s="5">
        <f t="shared" ref="G50:G74" si="22">V*B50/nu</f>
        <v>79597972.926728442</v>
      </c>
      <c r="H50" s="6">
        <f t="shared" ref="H50:H74" si="23">IF(G50&lt;1000000,1.328/SQRT(G50), 0.455/( (LOG(G50)^2.58)*(1+0.144*MC^2)^0.65))</f>
        <v>2.0783176055812905E-3</v>
      </c>
      <c r="I50" s="7">
        <f t="shared" ref="I50:I74" si="24">F50*H50*q*FQ</f>
        <v>35.056730877789455</v>
      </c>
      <c r="J50" s="19">
        <f t="shared" ref="J50:J74" si="25">D50/2</f>
        <v>6.166666666666667</v>
      </c>
      <c r="K50" s="19">
        <f t="shared" ref="K50:K74" si="26">-J50</f>
        <v>-6.166666666666667</v>
      </c>
    </row>
    <row r="51" spans="1:11">
      <c r="A51" s="3">
        <v>0.27</v>
      </c>
      <c r="B51" s="3">
        <f t="shared" si="17"/>
        <v>34.965000000000003</v>
      </c>
      <c r="C51" s="3">
        <f t="shared" si="18"/>
        <v>-29.784999999999997</v>
      </c>
      <c r="D51" s="19">
        <f t="shared" si="19"/>
        <v>12.333333333333334</v>
      </c>
      <c r="E51" s="4">
        <f t="shared" si="20"/>
        <v>38.746309394274114</v>
      </c>
      <c r="F51" s="4">
        <f t="shared" si="21"/>
        <v>50.176470665585043</v>
      </c>
      <c r="G51" s="5">
        <f t="shared" si="22"/>
        <v>82659433.423910305</v>
      </c>
      <c r="H51" s="6">
        <f t="shared" si="23"/>
        <v>2.067235192102208E-3</v>
      </c>
      <c r="I51" s="7">
        <f t="shared" si="24"/>
        <v>34.86979448954483</v>
      </c>
      <c r="J51" s="19">
        <f t="shared" si="25"/>
        <v>6.166666666666667</v>
      </c>
      <c r="K51" s="19">
        <f t="shared" si="26"/>
        <v>-6.166666666666667</v>
      </c>
    </row>
    <row r="52" spans="1:11">
      <c r="A52" s="3">
        <v>0.28000000000000003</v>
      </c>
      <c r="B52" s="3">
        <f t="shared" si="17"/>
        <v>36.260000000000005</v>
      </c>
      <c r="C52" s="3">
        <f t="shared" si="18"/>
        <v>-28.489999999999995</v>
      </c>
      <c r="D52" s="19">
        <f t="shared" si="19"/>
        <v>12.333333333333334</v>
      </c>
      <c r="E52" s="4">
        <f t="shared" si="20"/>
        <v>38.746309394274114</v>
      </c>
      <c r="F52" s="4">
        <f t="shared" si="21"/>
        <v>50.176470665585043</v>
      </c>
      <c r="G52" s="5">
        <f t="shared" si="22"/>
        <v>85720893.921092167</v>
      </c>
      <c r="H52" s="6">
        <f t="shared" si="23"/>
        <v>2.0566332964331172E-3</v>
      </c>
      <c r="I52" s="7">
        <f t="shared" si="24"/>
        <v>34.690963399307414</v>
      </c>
      <c r="J52" s="19">
        <f t="shared" si="25"/>
        <v>6.166666666666667</v>
      </c>
      <c r="K52" s="19">
        <f t="shared" si="26"/>
        <v>-6.166666666666667</v>
      </c>
    </row>
    <row r="53" spans="1:11">
      <c r="A53" s="3">
        <v>0.28999999999999998</v>
      </c>
      <c r="B53" s="3">
        <f t="shared" si="17"/>
        <v>37.555</v>
      </c>
      <c r="C53" s="3">
        <f t="shared" si="18"/>
        <v>-27.195</v>
      </c>
      <c r="D53" s="19">
        <f t="shared" si="19"/>
        <v>12.333333333333334</v>
      </c>
      <c r="E53" s="4">
        <f t="shared" si="20"/>
        <v>38.746309394274114</v>
      </c>
      <c r="F53" s="4">
        <f t="shared" si="21"/>
        <v>50.176470665584766</v>
      </c>
      <c r="G53" s="5">
        <f t="shared" si="22"/>
        <v>88782354.41827403</v>
      </c>
      <c r="H53" s="6">
        <f t="shared" si="23"/>
        <v>2.0464748620030553E-3</v>
      </c>
      <c r="I53" s="7">
        <f t="shared" si="24"/>
        <v>34.519612542730734</v>
      </c>
      <c r="J53" s="19">
        <f t="shared" si="25"/>
        <v>6.166666666666667</v>
      </c>
      <c r="K53" s="19">
        <f t="shared" si="26"/>
        <v>-6.166666666666667</v>
      </c>
    </row>
    <row r="54" spans="1:11">
      <c r="A54" s="3">
        <v>0.3</v>
      </c>
      <c r="B54" s="3">
        <f t="shared" si="17"/>
        <v>38.85</v>
      </c>
      <c r="C54" s="3">
        <f t="shared" si="18"/>
        <v>-25.9</v>
      </c>
      <c r="D54" s="19">
        <f t="shared" si="19"/>
        <v>12.333333333333334</v>
      </c>
      <c r="E54" s="4">
        <f t="shared" si="20"/>
        <v>38.746309394274114</v>
      </c>
      <c r="F54" s="4">
        <f t="shared" si="21"/>
        <v>50.176470665585043</v>
      </c>
      <c r="G54" s="5">
        <f t="shared" si="22"/>
        <v>91843814.915455878</v>
      </c>
      <c r="H54" s="6">
        <f t="shared" si="23"/>
        <v>2.0367268518419065E-3</v>
      </c>
      <c r="I54" s="7">
        <f t="shared" si="24"/>
        <v>34.355184657456974</v>
      </c>
      <c r="J54" s="19">
        <f t="shared" si="25"/>
        <v>6.166666666666667</v>
      </c>
      <c r="K54" s="19">
        <f t="shared" si="26"/>
        <v>-6.166666666666667</v>
      </c>
    </row>
    <row r="55" spans="1:11">
      <c r="A55" s="3">
        <v>0.31</v>
      </c>
      <c r="B55" s="3">
        <f t="shared" si="17"/>
        <v>40.145000000000003</v>
      </c>
      <c r="C55" s="3">
        <f t="shared" si="18"/>
        <v>-24.604999999999997</v>
      </c>
      <c r="D55" s="19">
        <f t="shared" si="19"/>
        <v>12.333333333333334</v>
      </c>
      <c r="E55" s="4">
        <f t="shared" si="20"/>
        <v>38.746309394274114</v>
      </c>
      <c r="F55" s="4">
        <f t="shared" si="21"/>
        <v>50.176470665585043</v>
      </c>
      <c r="G55" s="5">
        <f t="shared" si="22"/>
        <v>94905275.412637755</v>
      </c>
      <c r="H55" s="6">
        <f t="shared" si="23"/>
        <v>2.0273596949602849E-3</v>
      </c>
      <c r="I55" s="7">
        <f t="shared" si="24"/>
        <v>34.197180944738967</v>
      </c>
      <c r="J55" s="19">
        <f t="shared" si="25"/>
        <v>6.166666666666667</v>
      </c>
      <c r="K55" s="19">
        <f t="shared" si="26"/>
        <v>-6.166666666666667</v>
      </c>
    </row>
    <row r="56" spans="1:11">
      <c r="A56" s="3">
        <v>0.32</v>
      </c>
      <c r="B56" s="3">
        <f t="shared" si="17"/>
        <v>41.44</v>
      </c>
      <c r="C56" s="3">
        <f t="shared" si="18"/>
        <v>-23.310000000000002</v>
      </c>
      <c r="D56" s="19">
        <f t="shared" si="19"/>
        <v>12.333333333333334</v>
      </c>
      <c r="E56" s="4">
        <f t="shared" si="20"/>
        <v>38.746309394274114</v>
      </c>
      <c r="F56" s="4">
        <f t="shared" si="21"/>
        <v>50.176470665584766</v>
      </c>
      <c r="G56" s="5">
        <f t="shared" si="22"/>
        <v>97966735.909819603</v>
      </c>
      <c r="H56" s="6">
        <f t="shared" si="23"/>
        <v>2.0183468241391856E-3</v>
      </c>
      <c r="I56" s="7">
        <f t="shared" si="24"/>
        <v>34.045153272951246</v>
      </c>
      <c r="J56" s="19">
        <f t="shared" si="25"/>
        <v>6.166666666666667</v>
      </c>
      <c r="K56" s="19">
        <f t="shared" si="26"/>
        <v>-6.166666666666667</v>
      </c>
    </row>
    <row r="57" spans="1:11">
      <c r="A57" s="3">
        <v>0.33</v>
      </c>
      <c r="B57" s="3">
        <f t="shared" si="17"/>
        <v>42.734999999999999</v>
      </c>
      <c r="C57" s="3">
        <f t="shared" si="18"/>
        <v>-22.015000000000001</v>
      </c>
      <c r="D57" s="19">
        <f t="shared" si="19"/>
        <v>12.333333333333334</v>
      </c>
      <c r="E57" s="4">
        <f t="shared" si="20"/>
        <v>38.746309394274114</v>
      </c>
      <c r="F57" s="4">
        <f t="shared" si="21"/>
        <v>50.176470665585043</v>
      </c>
      <c r="G57" s="5">
        <f t="shared" si="22"/>
        <v>101028196.40700147</v>
      </c>
      <c r="H57" s="6">
        <f t="shared" si="23"/>
        <v>2.0096642876882304E-3</v>
      </c>
      <c r="I57" s="7">
        <f t="shared" si="24"/>
        <v>33.898697628789876</v>
      </c>
      <c r="J57" s="19">
        <f t="shared" si="25"/>
        <v>6.166666666666667</v>
      </c>
      <c r="K57" s="19">
        <f t="shared" si="26"/>
        <v>-6.166666666666667</v>
      </c>
    </row>
    <row r="58" spans="1:11">
      <c r="A58" s="3">
        <v>0.34</v>
      </c>
      <c r="B58" s="3">
        <f t="shared" si="17"/>
        <v>44.03</v>
      </c>
      <c r="C58" s="3">
        <f t="shared" si="18"/>
        <v>-20.72</v>
      </c>
      <c r="D58" s="19">
        <f t="shared" si="19"/>
        <v>12.333333333333334</v>
      </c>
      <c r="E58" s="4">
        <f t="shared" si="20"/>
        <v>38.746309394274114</v>
      </c>
      <c r="F58" s="4">
        <f t="shared" si="21"/>
        <v>50.176470665585043</v>
      </c>
      <c r="G58" s="5">
        <f t="shared" si="22"/>
        <v>104089656.90418334</v>
      </c>
      <c r="H58" s="6">
        <f t="shared" si="23"/>
        <v>2.0012904214804748E-3</v>
      </c>
      <c r="I58" s="7">
        <f t="shared" si="24"/>
        <v>33.757448585205992</v>
      </c>
      <c r="J58" s="19">
        <f t="shared" si="25"/>
        <v>6.166666666666667</v>
      </c>
      <c r="K58" s="19">
        <f t="shared" si="26"/>
        <v>-6.166666666666667</v>
      </c>
    </row>
    <row r="59" spans="1:11">
      <c r="A59" s="3">
        <v>0.35</v>
      </c>
      <c r="B59" s="3">
        <f t="shared" si="17"/>
        <v>45.324999999999996</v>
      </c>
      <c r="C59" s="3">
        <f t="shared" si="18"/>
        <v>-19.425000000000004</v>
      </c>
      <c r="D59" s="19">
        <f t="shared" si="19"/>
        <v>12.333333333333334</v>
      </c>
      <c r="E59" s="4">
        <f t="shared" si="20"/>
        <v>38.746309394274114</v>
      </c>
      <c r="F59" s="4">
        <f t="shared" si="21"/>
        <v>50.176470665584766</v>
      </c>
      <c r="G59" s="5">
        <f t="shared" si="22"/>
        <v>107151117.40136518</v>
      </c>
      <c r="H59" s="6">
        <f t="shared" si="23"/>
        <v>1.9932055704294251E-3</v>
      </c>
      <c r="I59" s="7">
        <f t="shared" si="24"/>
        <v>33.621074603326171</v>
      </c>
      <c r="J59" s="19">
        <f t="shared" si="25"/>
        <v>6.166666666666667</v>
      </c>
      <c r="K59" s="19">
        <f t="shared" si="26"/>
        <v>-6.166666666666667</v>
      </c>
    </row>
    <row r="60" spans="1:11">
      <c r="A60" s="3">
        <v>0.36</v>
      </c>
      <c r="B60" s="3">
        <f t="shared" si="17"/>
        <v>46.62</v>
      </c>
      <c r="C60" s="3">
        <f t="shared" si="18"/>
        <v>-18.130000000000003</v>
      </c>
      <c r="D60" s="19">
        <f t="shared" si="19"/>
        <v>12.333333333333334</v>
      </c>
      <c r="E60" s="4">
        <f t="shared" si="20"/>
        <v>38.746309394274114</v>
      </c>
      <c r="F60" s="4">
        <f t="shared" si="21"/>
        <v>50.176470665585043</v>
      </c>
      <c r="G60" s="5">
        <f t="shared" si="22"/>
        <v>110212577.89854705</v>
      </c>
      <c r="H60" s="6">
        <f t="shared" si="23"/>
        <v>1.9853918507718032E-3</v>
      </c>
      <c r="I60" s="7">
        <f t="shared" si="24"/>
        <v>33.489274022675872</v>
      </c>
      <c r="J60" s="19">
        <f t="shared" si="25"/>
        <v>6.166666666666667</v>
      </c>
      <c r="K60" s="19">
        <f t="shared" si="26"/>
        <v>-6.166666666666667</v>
      </c>
    </row>
    <row r="61" spans="1:11">
      <c r="A61" s="3">
        <v>0.37</v>
      </c>
      <c r="B61" s="3">
        <f t="shared" si="17"/>
        <v>47.914999999999999</v>
      </c>
      <c r="C61" s="3">
        <f t="shared" si="18"/>
        <v>-16.835000000000001</v>
      </c>
      <c r="D61" s="19">
        <f t="shared" si="19"/>
        <v>12.333333333333334</v>
      </c>
      <c r="E61" s="4">
        <f t="shared" si="20"/>
        <v>38.746309394274114</v>
      </c>
      <c r="F61" s="4">
        <f t="shared" si="21"/>
        <v>50.176470665585043</v>
      </c>
      <c r="G61" s="5">
        <f t="shared" si="22"/>
        <v>113274038.39572892</v>
      </c>
      <c r="H61" s="6">
        <f t="shared" si="23"/>
        <v>1.9778329462232977E-3</v>
      </c>
      <c r="I61" s="7">
        <f t="shared" si="24"/>
        <v>33.361771622765374</v>
      </c>
      <c r="J61" s="19">
        <f t="shared" si="25"/>
        <v>6.166666666666667</v>
      </c>
      <c r="K61" s="19">
        <f t="shared" si="26"/>
        <v>-6.166666666666667</v>
      </c>
    </row>
    <row r="62" spans="1:11">
      <c r="A62" s="3">
        <v>0.38</v>
      </c>
      <c r="B62" s="3">
        <f t="shared" si="17"/>
        <v>49.21</v>
      </c>
      <c r="C62" s="3">
        <f t="shared" si="18"/>
        <v>-15.54</v>
      </c>
      <c r="D62" s="19">
        <f t="shared" si="19"/>
        <v>12.333333333333334</v>
      </c>
      <c r="E62" s="4">
        <f t="shared" si="20"/>
        <v>38.746309394274114</v>
      </c>
      <c r="F62" s="4">
        <f t="shared" si="21"/>
        <v>50.176470665585043</v>
      </c>
      <c r="G62" s="5">
        <f t="shared" si="22"/>
        <v>116335498.89291078</v>
      </c>
      <c r="H62" s="6">
        <f t="shared" si="23"/>
        <v>1.9705139324059889E-3</v>
      </c>
      <c r="I62" s="7">
        <f t="shared" si="24"/>
        <v>33.23831566156138</v>
      </c>
      <c r="J62" s="19">
        <f t="shared" si="25"/>
        <v>6.166666666666667</v>
      </c>
      <c r="K62" s="19">
        <f t="shared" si="26"/>
        <v>-6.166666666666667</v>
      </c>
    </row>
    <row r="63" spans="1:11">
      <c r="A63" s="3">
        <v>0.39</v>
      </c>
      <c r="B63" s="3">
        <f t="shared" si="17"/>
        <v>50.505000000000003</v>
      </c>
      <c r="C63" s="3">
        <f t="shared" si="18"/>
        <v>-14.244999999999997</v>
      </c>
      <c r="D63" s="19">
        <f t="shared" si="19"/>
        <v>12.333333333333334</v>
      </c>
      <c r="E63" s="4">
        <f t="shared" si="20"/>
        <v>38.746309394274114</v>
      </c>
      <c r="F63" s="4">
        <f t="shared" si="21"/>
        <v>50.176470665585043</v>
      </c>
      <c r="G63" s="5">
        <f t="shared" si="22"/>
        <v>119396959.39009266</v>
      </c>
      <c r="H63" s="6">
        <f t="shared" si="23"/>
        <v>1.9634211249936967E-3</v>
      </c>
      <c r="I63" s="7">
        <f t="shared" si="24"/>
        <v>33.118675314025957</v>
      </c>
      <c r="J63" s="19">
        <f t="shared" si="25"/>
        <v>6.166666666666667</v>
      </c>
      <c r="K63" s="19">
        <f t="shared" si="26"/>
        <v>-6.166666666666667</v>
      </c>
    </row>
    <row r="64" spans="1:11">
      <c r="A64" s="3">
        <v>0.4</v>
      </c>
      <c r="B64" s="3">
        <f t="shared" si="17"/>
        <v>51.800000000000004</v>
      </c>
      <c r="C64" s="3">
        <f t="shared" si="18"/>
        <v>-12.949999999999996</v>
      </c>
      <c r="D64" s="19">
        <f t="shared" si="19"/>
        <v>12.333333333333334</v>
      </c>
      <c r="E64" s="4">
        <f t="shared" si="20"/>
        <v>38.746309394274114</v>
      </c>
      <c r="F64" s="4">
        <f t="shared" si="21"/>
        <v>50.176470665585043</v>
      </c>
      <c r="G64" s="5">
        <f t="shared" si="22"/>
        <v>122458419.88727452</v>
      </c>
      <c r="H64" s="6">
        <f t="shared" si="23"/>
        <v>1.9565419478517988E-3</v>
      </c>
      <c r="I64" s="7">
        <f t="shared" si="24"/>
        <v>33.00263844792017</v>
      </c>
      <c r="J64" s="19">
        <f t="shared" si="25"/>
        <v>6.166666666666667</v>
      </c>
      <c r="K64" s="19">
        <f t="shared" si="26"/>
        <v>-6.166666666666667</v>
      </c>
    </row>
    <row r="65" spans="1:11">
      <c r="A65" s="3">
        <v>0.41</v>
      </c>
      <c r="B65" s="3">
        <f t="shared" si="17"/>
        <v>53.094999999999999</v>
      </c>
      <c r="C65" s="3">
        <f t="shared" si="18"/>
        <v>-11.655000000000001</v>
      </c>
      <c r="D65" s="19">
        <f t="shared" si="19"/>
        <v>12.333333333333334</v>
      </c>
      <c r="E65" s="4">
        <f t="shared" si="20"/>
        <v>38.746309394274114</v>
      </c>
      <c r="F65" s="4">
        <f t="shared" si="21"/>
        <v>50.176470665584766</v>
      </c>
      <c r="G65" s="5">
        <f t="shared" si="22"/>
        <v>125519880.38445638</v>
      </c>
      <c r="H65" s="6">
        <f t="shared" si="23"/>
        <v>1.9498648181099979E-3</v>
      </c>
      <c r="I65" s="7">
        <f t="shared" si="24"/>
        <v>32.890009685229536</v>
      </c>
      <c r="J65" s="19">
        <f t="shared" si="25"/>
        <v>6.166666666666667</v>
      </c>
      <c r="K65" s="19">
        <f t="shared" si="26"/>
        <v>-6.166666666666667</v>
      </c>
    </row>
    <row r="66" spans="1:11">
      <c r="A66" s="3">
        <v>0.42</v>
      </c>
      <c r="B66" s="3">
        <f t="shared" si="17"/>
        <v>54.39</v>
      </c>
      <c r="C66" s="3">
        <f t="shared" si="18"/>
        <v>-10.36</v>
      </c>
      <c r="D66" s="19">
        <f t="shared" si="19"/>
        <v>12.333333333333334</v>
      </c>
      <c r="E66" s="4">
        <f t="shared" si="20"/>
        <v>38.746309394274114</v>
      </c>
      <c r="F66" s="4">
        <f t="shared" si="21"/>
        <v>50.176470665585043</v>
      </c>
      <c r="G66" s="5">
        <f t="shared" si="22"/>
        <v>128581340.88163823</v>
      </c>
      <c r="H66" s="6">
        <f t="shared" si="23"/>
        <v>1.9433790456378876E-3</v>
      </c>
      <c r="I66" s="7">
        <f t="shared" si="24"/>
        <v>32.780608706534863</v>
      </c>
      <c r="J66" s="19">
        <f t="shared" si="25"/>
        <v>6.166666666666667</v>
      </c>
      <c r="K66" s="19">
        <f t="shared" si="26"/>
        <v>-6.166666666666667</v>
      </c>
    </row>
    <row r="67" spans="1:11">
      <c r="A67" s="3">
        <v>0.43</v>
      </c>
      <c r="B67" s="3">
        <f t="shared" si="17"/>
        <v>55.685000000000002</v>
      </c>
      <c r="C67" s="3">
        <f t="shared" si="18"/>
        <v>-9.0649999999999977</v>
      </c>
      <c r="D67" s="19">
        <f t="shared" si="19"/>
        <v>12.333333333333334</v>
      </c>
      <c r="E67" s="4">
        <f t="shared" si="20"/>
        <v>38.746309394274114</v>
      </c>
      <c r="F67" s="4">
        <f t="shared" si="21"/>
        <v>50.176470665585043</v>
      </c>
      <c r="G67" s="5">
        <f t="shared" si="22"/>
        <v>131642801.37882009</v>
      </c>
      <c r="H67" s="6">
        <f t="shared" si="23"/>
        <v>1.937074744821793E-3</v>
      </c>
      <c r="I67" s="7">
        <f t="shared" si="24"/>
        <v>32.674268762876132</v>
      </c>
      <c r="J67" s="19">
        <f t="shared" si="25"/>
        <v>6.166666666666667</v>
      </c>
      <c r="K67" s="19">
        <f t="shared" si="26"/>
        <v>-6.166666666666667</v>
      </c>
    </row>
    <row r="68" spans="1:11">
      <c r="A68" s="3">
        <v>0.44</v>
      </c>
      <c r="B68" s="3">
        <f t="shared" si="17"/>
        <v>56.98</v>
      </c>
      <c r="C68" s="3">
        <f t="shared" si="18"/>
        <v>-7.7700000000000031</v>
      </c>
      <c r="D68" s="19">
        <f t="shared" si="19"/>
        <v>12.333333333333334</v>
      </c>
      <c r="E68" s="4">
        <f t="shared" si="20"/>
        <v>38.746309394274114</v>
      </c>
      <c r="F68" s="4">
        <f t="shared" si="21"/>
        <v>50.176470665584766</v>
      </c>
      <c r="G68" s="5">
        <f t="shared" si="22"/>
        <v>134704261.87600195</v>
      </c>
      <c r="H68" s="6">
        <f t="shared" si="23"/>
        <v>1.930942756889273E-3</v>
      </c>
      <c r="I68" s="7">
        <f t="shared" si="24"/>
        <v>32.57083536553624</v>
      </c>
      <c r="J68" s="19">
        <f t="shared" si="25"/>
        <v>6.166666666666667</v>
      </c>
      <c r="K68" s="19">
        <f t="shared" si="26"/>
        <v>-6.166666666666667</v>
      </c>
    </row>
    <row r="69" spans="1:11">
      <c r="A69" s="3">
        <v>0.45</v>
      </c>
      <c r="B69" s="3">
        <f t="shared" si="17"/>
        <v>58.274999999999999</v>
      </c>
      <c r="C69" s="3">
        <f t="shared" si="18"/>
        <v>-6.4750000000000014</v>
      </c>
      <c r="D69" s="19">
        <f t="shared" si="19"/>
        <v>12.333333333333334</v>
      </c>
      <c r="E69" s="4">
        <f t="shared" si="20"/>
        <v>38.746309394274114</v>
      </c>
      <c r="F69" s="4">
        <f t="shared" si="21"/>
        <v>50.176470665585043</v>
      </c>
      <c r="G69" s="5">
        <f t="shared" si="22"/>
        <v>137765722.37318382</v>
      </c>
      <c r="H69" s="6">
        <f t="shared" si="23"/>
        <v>1.9249745813114925E-3</v>
      </c>
      <c r="I69" s="7">
        <f t="shared" si="24"/>
        <v>32.470165128947087</v>
      </c>
      <c r="J69" s="19">
        <f t="shared" si="25"/>
        <v>6.166666666666667</v>
      </c>
      <c r="K69" s="19">
        <f t="shared" si="26"/>
        <v>-6.166666666666667</v>
      </c>
    </row>
    <row r="70" spans="1:11">
      <c r="A70" s="3">
        <v>0.46</v>
      </c>
      <c r="B70" s="3">
        <f t="shared" si="17"/>
        <v>59.57</v>
      </c>
      <c r="C70" s="3">
        <f t="shared" si="18"/>
        <v>-5.18</v>
      </c>
      <c r="D70" s="19">
        <f t="shared" si="19"/>
        <v>12.333333333333334</v>
      </c>
      <c r="E70" s="4">
        <f t="shared" si="20"/>
        <v>38.746309394274114</v>
      </c>
      <c r="F70" s="4">
        <f t="shared" si="21"/>
        <v>50.176470665585043</v>
      </c>
      <c r="G70" s="5">
        <f t="shared" si="22"/>
        <v>140827182.87036571</v>
      </c>
      <c r="H70" s="6">
        <f t="shared" si="23"/>
        <v>1.9191623150462452E-3</v>
      </c>
      <c r="I70" s="7">
        <f t="shared" si="24"/>
        <v>32.372124745848936</v>
      </c>
      <c r="J70" s="19">
        <f t="shared" si="25"/>
        <v>6.166666666666667</v>
      </c>
      <c r="K70" s="19">
        <f t="shared" si="26"/>
        <v>-6.166666666666667</v>
      </c>
    </row>
    <row r="71" spans="1:11">
      <c r="A71" s="3">
        <v>0.47</v>
      </c>
      <c r="B71" s="3">
        <f t="shared" si="17"/>
        <v>60.864999999999995</v>
      </c>
      <c r="C71" s="3">
        <f t="shared" si="18"/>
        <v>-3.8850000000000051</v>
      </c>
      <c r="D71" s="19">
        <f t="shared" si="19"/>
        <v>12.333333333333334</v>
      </c>
      <c r="E71" s="4">
        <f t="shared" si="20"/>
        <v>38.746309394274114</v>
      </c>
      <c r="F71" s="4">
        <f t="shared" si="21"/>
        <v>50.176470665584766</v>
      </c>
      <c r="G71" s="5">
        <f t="shared" si="22"/>
        <v>143888643.36754754</v>
      </c>
      <c r="H71" s="6">
        <f t="shared" si="23"/>
        <v>1.9134985985760325E-3</v>
      </c>
      <c r="I71" s="7">
        <f t="shared" si="24"/>
        <v>32.276590077070921</v>
      </c>
      <c r="J71" s="19">
        <f t="shared" si="25"/>
        <v>6.166666666666667</v>
      </c>
      <c r="K71" s="19">
        <f t="shared" si="26"/>
        <v>-6.166666666666667</v>
      </c>
    </row>
    <row r="72" spans="1:11">
      <c r="A72" s="3">
        <v>0.48</v>
      </c>
      <c r="B72" s="3">
        <f t="shared" si="17"/>
        <v>62.16</v>
      </c>
      <c r="C72" s="3">
        <f t="shared" si="18"/>
        <v>-2.5900000000000034</v>
      </c>
      <c r="D72" s="19">
        <f t="shared" si="19"/>
        <v>12.333333333333334</v>
      </c>
      <c r="E72" s="4">
        <f t="shared" si="20"/>
        <v>38.746309394274114</v>
      </c>
      <c r="F72" s="4">
        <f t="shared" si="21"/>
        <v>50.176470665585043</v>
      </c>
      <c r="G72" s="5">
        <f t="shared" si="22"/>
        <v>146950103.8647294</v>
      </c>
      <c r="H72" s="6">
        <f t="shared" si="23"/>
        <v>1.9079765678541366E-3</v>
      </c>
      <c r="I72" s="7">
        <f t="shared" si="24"/>
        <v>32.183445340965065</v>
      </c>
      <c r="J72" s="19">
        <f t="shared" si="25"/>
        <v>6.166666666666667</v>
      </c>
      <c r="K72" s="19">
        <f t="shared" si="26"/>
        <v>-6.166666666666667</v>
      </c>
    </row>
    <row r="73" spans="1:11">
      <c r="A73" s="3">
        <v>0.49</v>
      </c>
      <c r="B73" s="3">
        <f t="shared" si="17"/>
        <v>63.454999999999998</v>
      </c>
      <c r="C73" s="3">
        <f t="shared" si="18"/>
        <v>-1.2950000000000017</v>
      </c>
      <c r="D73" s="19">
        <f t="shared" si="19"/>
        <v>12.333333333333334</v>
      </c>
      <c r="E73" s="4">
        <f t="shared" si="20"/>
        <v>38.746309394274114</v>
      </c>
      <c r="F73" s="4">
        <f t="shared" si="21"/>
        <v>50.176470665585043</v>
      </c>
      <c r="G73" s="5">
        <f t="shared" si="22"/>
        <v>150011564.36191127</v>
      </c>
      <c r="H73" s="6">
        <f t="shared" si="23"/>
        <v>1.9025898114032993E-3</v>
      </c>
      <c r="I73" s="7">
        <f t="shared" si="24"/>
        <v>32.092582389751989</v>
      </c>
      <c r="J73" s="19">
        <f t="shared" si="25"/>
        <v>6.166666666666667</v>
      </c>
      <c r="K73" s="19">
        <f t="shared" si="26"/>
        <v>-6.166666666666667</v>
      </c>
    </row>
    <row r="74" spans="1:11">
      <c r="A74" s="3">
        <v>0.5</v>
      </c>
      <c r="B74" s="3">
        <f t="shared" si="17"/>
        <v>64.75</v>
      </c>
      <c r="C74" s="3">
        <f t="shared" si="18"/>
        <v>0</v>
      </c>
      <c r="D74" s="19">
        <f t="shared" si="19"/>
        <v>12.333333333333334</v>
      </c>
      <c r="E74" s="4">
        <f t="shared" si="20"/>
        <v>38.746309394274114</v>
      </c>
      <c r="F74" s="4">
        <f t="shared" si="21"/>
        <v>50.176470665585043</v>
      </c>
      <c r="G74" s="5">
        <f t="shared" si="22"/>
        <v>153073024.85909313</v>
      </c>
      <c r="H74" s="6">
        <f t="shared" si="23"/>
        <v>1.8973323319215368E-3</v>
      </c>
      <c r="I74" s="7">
        <f t="shared" si="24"/>
        <v>32.003900061895713</v>
      </c>
      <c r="J74" s="19">
        <f t="shared" si="25"/>
        <v>6.166666666666667</v>
      </c>
      <c r="K74" s="19">
        <f t="shared" si="26"/>
        <v>-6.166666666666667</v>
      </c>
    </row>
    <row r="75" spans="1:11">
      <c r="A75" s="3">
        <v>0.51</v>
      </c>
      <c r="B75" s="3">
        <f t="shared" ref="B75" si="27">A75*LL</f>
        <v>66.045000000000002</v>
      </c>
      <c r="C75" s="3">
        <f t="shared" ref="C75" si="28">B75-LL/2</f>
        <v>1.2950000000000017</v>
      </c>
      <c r="D75" s="19">
        <f t="shared" ref="D75" si="29">IF(A75&gt;(1-$B$18),(D*((LL-B75)/(LL*$B$18))^$B$19),D)</f>
        <v>12.333333333333334</v>
      </c>
      <c r="E75" s="4">
        <f t="shared" ref="E75" si="30">PI()*D75</f>
        <v>38.746309394274114</v>
      </c>
      <c r="F75" s="4">
        <f t="shared" si="21"/>
        <v>50.176470665585043</v>
      </c>
      <c r="G75" s="5">
        <f t="shared" ref="G75" si="31">V*B75/nu</f>
        <v>156134485.35627502</v>
      </c>
      <c r="H75" s="6">
        <f t="shared" ref="H75" si="32">IF(G75&lt;1000000,1.328/SQRT(G75), 0.455/( (LOG(G75)^2.58)*(1+0.144*MC^2)^0.65))</f>
        <v>1.8921985118416685E-3</v>
      </c>
      <c r="I75" s="7">
        <f t="shared" ref="I75" si="33">F75*H75*q*FQ</f>
        <v>31.917303601166317</v>
      </c>
      <c r="J75" s="19">
        <f t="shared" ref="J75" si="34">D75/2</f>
        <v>6.166666666666667</v>
      </c>
      <c r="K75" s="19">
        <f t="shared" ref="K75" si="35">-J75</f>
        <v>-6.166666666666667</v>
      </c>
    </row>
    <row r="76" spans="1:11">
      <c r="A76" s="3">
        <v>0.52</v>
      </c>
      <c r="B76" s="3">
        <f t="shared" si="13"/>
        <v>67.34</v>
      </c>
      <c r="C76" s="3">
        <f t="shared" si="1"/>
        <v>2.5900000000000034</v>
      </c>
      <c r="D76" s="19">
        <f t="shared" ref="D76:D100" si="36">IF(A76&gt;(1-$B$18),(D*((LL-B76)/(LL*$B$18))^$B$19),D)</f>
        <v>12.333333333333334</v>
      </c>
      <c r="E76" s="4">
        <f t="shared" si="3"/>
        <v>38.746309394274114</v>
      </c>
      <c r="F76" s="4">
        <f t="shared" si="21"/>
        <v>50.176470665585043</v>
      </c>
      <c r="G76" s="5">
        <f t="shared" si="14"/>
        <v>159195945.85345688</v>
      </c>
      <c r="H76" s="6">
        <f t="shared" si="15"/>
        <v>1.887183082368502E-3</v>
      </c>
      <c r="I76" s="7">
        <f t="shared" si="16"/>
        <v>31.832704134364338</v>
      </c>
      <c r="J76" s="19">
        <f t="shared" si="8"/>
        <v>6.166666666666667</v>
      </c>
      <c r="K76" s="19">
        <f t="shared" si="9"/>
        <v>-6.166666666666667</v>
      </c>
    </row>
    <row r="77" spans="1:11">
      <c r="A77" s="3">
        <v>0.53</v>
      </c>
      <c r="B77" s="3">
        <f t="shared" si="13"/>
        <v>68.635000000000005</v>
      </c>
      <c r="C77" s="3">
        <f t="shared" si="1"/>
        <v>3.8850000000000051</v>
      </c>
      <c r="D77" s="19">
        <f t="shared" si="36"/>
        <v>12.333333333333334</v>
      </c>
      <c r="E77" s="4">
        <f t="shared" si="3"/>
        <v>38.746309394274114</v>
      </c>
      <c r="F77" s="4">
        <f t="shared" si="21"/>
        <v>50.176470665585043</v>
      </c>
      <c r="G77" s="5">
        <f t="shared" si="14"/>
        <v>162257406.35063872</v>
      </c>
      <c r="H77" s="6">
        <f t="shared" si="15"/>
        <v>1.8822810955829235E-3</v>
      </c>
      <c r="I77" s="7">
        <f t="shared" si="16"/>
        <v>31.750018200776996</v>
      </c>
      <c r="J77" s="19">
        <f t="shared" si="8"/>
        <v>6.166666666666667</v>
      </c>
      <c r="K77" s="19">
        <f t="shared" si="9"/>
        <v>-6.166666666666667</v>
      </c>
    </row>
    <row r="78" spans="1:11">
      <c r="A78" s="3">
        <v>0.54</v>
      </c>
      <c r="B78" s="3">
        <f t="shared" si="13"/>
        <v>69.930000000000007</v>
      </c>
      <c r="C78" s="3">
        <f t="shared" si="1"/>
        <v>5.1800000000000068</v>
      </c>
      <c r="D78" s="19">
        <f t="shared" si="36"/>
        <v>12.333333333333334</v>
      </c>
      <c r="E78" s="4">
        <f t="shared" si="3"/>
        <v>38.746309394274114</v>
      </c>
      <c r="F78" s="4">
        <f t="shared" si="21"/>
        <v>50.176470665585043</v>
      </c>
      <c r="G78" s="5">
        <f t="shared" si="14"/>
        <v>165318866.84782061</v>
      </c>
      <c r="H78" s="6">
        <f t="shared" si="15"/>
        <v>1.8774878992574373E-3</v>
      </c>
      <c r="I78" s="7">
        <f t="shared" si="16"/>
        <v>31.669167327370673</v>
      </c>
      <c r="J78" s="19">
        <f t="shared" si="8"/>
        <v>6.166666666666667</v>
      </c>
      <c r="K78" s="19">
        <f t="shared" si="9"/>
        <v>-6.166666666666667</v>
      </c>
    </row>
    <row r="79" spans="1:11">
      <c r="A79" s="3">
        <v>0.55000000000000004</v>
      </c>
      <c r="B79" s="3">
        <f t="shared" si="13"/>
        <v>71.225000000000009</v>
      </c>
      <c r="C79" s="3">
        <f t="shared" si="1"/>
        <v>6.4750000000000085</v>
      </c>
      <c r="D79" s="19">
        <f t="shared" si="36"/>
        <v>12.333333333333334</v>
      </c>
      <c r="E79" s="4">
        <f t="shared" si="3"/>
        <v>38.746309394274114</v>
      </c>
      <c r="F79" s="4">
        <f t="shared" si="21"/>
        <v>50.176470665585043</v>
      </c>
      <c r="G79" s="5">
        <f t="shared" si="14"/>
        <v>168380327.34500247</v>
      </c>
      <c r="H79" s="6">
        <f t="shared" si="15"/>
        <v>1.8727991140746602E-3</v>
      </c>
      <c r="I79" s="7">
        <f t="shared" si="16"/>
        <v>31.590077644516153</v>
      </c>
      <c r="J79" s="19">
        <f t="shared" si="8"/>
        <v>6.166666666666667</v>
      </c>
      <c r="K79" s="19">
        <f t="shared" si="9"/>
        <v>-6.166666666666667</v>
      </c>
    </row>
    <row r="80" spans="1:11">
      <c r="A80" s="3">
        <v>0.56000000000000005</v>
      </c>
      <c r="B80" s="3">
        <f t="shared" si="13"/>
        <v>72.52000000000001</v>
      </c>
      <c r="C80" s="3">
        <f t="shared" si="1"/>
        <v>7.7700000000000102</v>
      </c>
      <c r="D80" s="19">
        <f t="shared" si="36"/>
        <v>12.333333333333334</v>
      </c>
      <c r="E80" s="4">
        <f t="shared" si="3"/>
        <v>38.746309394274114</v>
      </c>
      <c r="F80" s="4">
        <f t="shared" si="21"/>
        <v>50.176470665585043</v>
      </c>
      <c r="G80" s="5">
        <f t="shared" si="14"/>
        <v>171441787.84218433</v>
      </c>
      <c r="H80" s="6">
        <f t="shared" si="15"/>
        <v>1.8682106129802943E-3</v>
      </c>
      <c r="I80" s="7">
        <f t="shared" si="16"/>
        <v>31.512679537717826</v>
      </c>
      <c r="J80" s="19">
        <f t="shared" si="8"/>
        <v>6.166666666666667</v>
      </c>
      <c r="K80" s="19">
        <f t="shared" si="9"/>
        <v>-6.166666666666667</v>
      </c>
    </row>
    <row r="81" spans="1:11">
      <c r="A81" s="3">
        <v>0.56999999999999995</v>
      </c>
      <c r="B81" s="3">
        <f t="shared" si="13"/>
        <v>73.814999999999998</v>
      </c>
      <c r="C81" s="3">
        <f t="shared" si="1"/>
        <v>9.0649999999999977</v>
      </c>
      <c r="D81" s="19">
        <f t="shared" si="36"/>
        <v>12.333333333333334</v>
      </c>
      <c r="E81" s="4">
        <f t="shared" si="3"/>
        <v>38.746309394274114</v>
      </c>
      <c r="F81" s="4">
        <f t="shared" si="21"/>
        <v>50.176470665584496</v>
      </c>
      <c r="G81" s="5">
        <f t="shared" si="14"/>
        <v>174503248.33936617</v>
      </c>
      <c r="H81" s="6">
        <f t="shared" si="15"/>
        <v>1.8637185024363288E-3</v>
      </c>
      <c r="I81" s="7">
        <f t="shared" si="16"/>
        <v>31.436907331395325</v>
      </c>
      <c r="J81" s="19">
        <f t="shared" si="8"/>
        <v>6.166666666666667</v>
      </c>
      <c r="K81" s="19">
        <f t="shared" si="9"/>
        <v>-6.166666666666667</v>
      </c>
    </row>
    <row r="82" spans="1:11">
      <c r="A82" s="3">
        <v>0.57999999999999996</v>
      </c>
      <c r="B82" s="3">
        <f t="shared" si="13"/>
        <v>75.11</v>
      </c>
      <c r="C82" s="3">
        <f t="shared" ref="C82:C100" si="37">B82-LL/2</f>
        <v>10.36</v>
      </c>
      <c r="D82" s="19">
        <f t="shared" si="36"/>
        <v>12.333333333333334</v>
      </c>
      <c r="E82" s="4">
        <f t="shared" si="3"/>
        <v>38.746309394274114</v>
      </c>
      <c r="F82" s="4">
        <f t="shared" si="21"/>
        <v>50.176470665585043</v>
      </c>
      <c r="G82" s="5">
        <f t="shared" si="14"/>
        <v>177564708.83654806</v>
      </c>
      <c r="H82" s="6">
        <f t="shared" si="15"/>
        <v>1.859319105369571E-3</v>
      </c>
      <c r="I82" s="7">
        <f t="shared" si="16"/>
        <v>31.362699001263799</v>
      </c>
      <c r="J82" s="19">
        <f t="shared" si="8"/>
        <v>6.166666666666667</v>
      </c>
      <c r="K82" s="19">
        <f t="shared" si="9"/>
        <v>-6.166666666666667</v>
      </c>
    </row>
    <row r="83" spans="1:11">
      <c r="A83" s="3">
        <v>0.59</v>
      </c>
      <c r="B83" s="3">
        <f t="shared" si="13"/>
        <v>76.405000000000001</v>
      </c>
      <c r="C83" s="3">
        <f t="shared" si="37"/>
        <v>11.655000000000001</v>
      </c>
      <c r="D83" s="19">
        <f t="shared" si="36"/>
        <v>12.333333333333334</v>
      </c>
      <c r="E83" s="4">
        <f t="shared" si="3"/>
        <v>38.746309394274114</v>
      </c>
      <c r="F83" s="4">
        <f t="shared" si="21"/>
        <v>50.176470665585043</v>
      </c>
      <c r="G83" s="5">
        <f t="shared" si="14"/>
        <v>180626169.33372989</v>
      </c>
      <c r="H83" s="6">
        <f t="shared" si="15"/>
        <v>1.8550089456357954E-3</v>
      </c>
      <c r="I83" s="7">
        <f t="shared" si="16"/>
        <v>31.289995912274179</v>
      </c>
      <c r="J83" s="19">
        <f t="shared" si="8"/>
        <v>6.166666666666667</v>
      </c>
      <c r="K83" s="19">
        <f t="shared" si="9"/>
        <v>-6.166666666666667</v>
      </c>
    </row>
    <row r="84" spans="1:11">
      <c r="A84" s="3">
        <v>0.6</v>
      </c>
      <c r="B84" s="3">
        <f t="shared" si="13"/>
        <v>77.7</v>
      </c>
      <c r="C84" s="3">
        <f t="shared" si="37"/>
        <v>12.950000000000003</v>
      </c>
      <c r="D84" s="19">
        <f t="shared" si="36"/>
        <v>12.333333333333334</v>
      </c>
      <c r="E84" s="4">
        <f t="shared" si="3"/>
        <v>38.746309394274114</v>
      </c>
      <c r="F84" s="4">
        <f t="shared" si="21"/>
        <v>50.176470665585043</v>
      </c>
      <c r="G84" s="5">
        <f t="shared" si="14"/>
        <v>183687629.83091176</v>
      </c>
      <c r="H84" s="6">
        <f t="shared" si="15"/>
        <v>1.8507847338415807E-3</v>
      </c>
      <c r="I84" s="7">
        <f t="shared" si="16"/>
        <v>31.218742579461679</v>
      </c>
      <c r="J84" s="19">
        <f t="shared" si="8"/>
        <v>6.166666666666667</v>
      </c>
      <c r="K84" s="19">
        <f t="shared" si="9"/>
        <v>-6.166666666666667</v>
      </c>
    </row>
    <row r="85" spans="1:11">
      <c r="A85" s="3">
        <v>0.61</v>
      </c>
      <c r="B85" s="3">
        <f t="shared" si="13"/>
        <v>78.995000000000005</v>
      </c>
      <c r="C85" s="3">
        <f t="shared" si="37"/>
        <v>14.245000000000005</v>
      </c>
      <c r="D85" s="19">
        <f t="shared" si="36"/>
        <v>12.333333333333334</v>
      </c>
      <c r="E85" s="4">
        <f t="shared" si="3"/>
        <v>38.746309394274114</v>
      </c>
      <c r="F85" s="4">
        <f t="shared" si="21"/>
        <v>50.176470665585043</v>
      </c>
      <c r="G85" s="5">
        <f t="shared" si="14"/>
        <v>186749090.32809365</v>
      </c>
      <c r="H85" s="6">
        <f t="shared" si="15"/>
        <v>1.8466433543846774E-3</v>
      </c>
      <c r="I85" s="7">
        <f t="shared" si="16"/>
        <v>31.148886449342985</v>
      </c>
      <c r="J85" s="19">
        <f t="shared" si="8"/>
        <v>6.166666666666667</v>
      </c>
      <c r="K85" s="19">
        <f t="shared" si="9"/>
        <v>-6.166666666666667</v>
      </c>
    </row>
    <row r="86" spans="1:11">
      <c r="A86" s="3">
        <v>0.62</v>
      </c>
      <c r="B86" s="3">
        <f t="shared" si="13"/>
        <v>80.290000000000006</v>
      </c>
      <c r="C86" s="3">
        <f t="shared" si="37"/>
        <v>15.540000000000006</v>
      </c>
      <c r="D86" s="19">
        <f t="shared" si="36"/>
        <v>12.333333333333334</v>
      </c>
      <c r="E86" s="4">
        <f t="shared" si="3"/>
        <v>38.746309394274114</v>
      </c>
      <c r="F86" s="4">
        <f t="shared" si="21"/>
        <v>50.176470665585043</v>
      </c>
      <c r="G86" s="5">
        <f t="shared" si="14"/>
        <v>189810550.82527551</v>
      </c>
      <c r="H86" s="6">
        <f t="shared" si="15"/>
        <v>1.8425818535900789E-3</v>
      </c>
      <c r="I86" s="7">
        <f t="shared" si="16"/>
        <v>31.080377699797772</v>
      </c>
      <c r="J86" s="19">
        <f t="shared" si="8"/>
        <v>6.166666666666667</v>
      </c>
      <c r="K86" s="19">
        <f t="shared" si="9"/>
        <v>-6.166666666666667</v>
      </c>
    </row>
    <row r="87" spans="1:11">
      <c r="A87" s="3">
        <v>0.63</v>
      </c>
      <c r="B87" s="3">
        <f t="shared" si="13"/>
        <v>81.584999999999994</v>
      </c>
      <c r="C87" s="3">
        <f t="shared" si="37"/>
        <v>16.834999999999994</v>
      </c>
      <c r="D87" s="19">
        <f t="shared" si="36"/>
        <v>12.333333333333334</v>
      </c>
      <c r="E87" s="4">
        <f t="shared" si="3"/>
        <v>38.746309394274114</v>
      </c>
      <c r="F87" s="4">
        <f t="shared" si="21"/>
        <v>50.176470665584496</v>
      </c>
      <c r="G87" s="5">
        <f t="shared" si="14"/>
        <v>192872011.32245734</v>
      </c>
      <c r="H87" s="6">
        <f t="shared" si="15"/>
        <v>1.8385974288330637E-3</v>
      </c>
      <c r="I87" s="7">
        <f t="shared" si="16"/>
        <v>31.013169056597583</v>
      </c>
      <c r="J87" s="19">
        <f t="shared" si="8"/>
        <v>6.166666666666667</v>
      </c>
      <c r="K87" s="19">
        <f t="shared" si="9"/>
        <v>-6.166666666666667</v>
      </c>
    </row>
    <row r="88" spans="1:11">
      <c r="A88" s="3">
        <v>0.64</v>
      </c>
      <c r="B88" s="3">
        <f t="shared" si="13"/>
        <v>82.88</v>
      </c>
      <c r="C88" s="3">
        <f t="shared" si="37"/>
        <v>18.129999999999995</v>
      </c>
      <c r="D88" s="19">
        <f t="shared" si="36"/>
        <v>12.333333333333334</v>
      </c>
      <c r="E88" s="4">
        <f t="shared" si="3"/>
        <v>38.746309394274114</v>
      </c>
      <c r="F88" s="4">
        <f t="shared" si="21"/>
        <v>50.176470665585043</v>
      </c>
      <c r="G88" s="5">
        <f t="shared" si="14"/>
        <v>195933471.81963921</v>
      </c>
      <c r="H88" s="6">
        <f t="shared" si="15"/>
        <v>1.8346874185528551E-3</v>
      </c>
      <c r="I88" s="7">
        <f t="shared" si="16"/>
        <v>30.947215624959487</v>
      </c>
      <c r="J88" s="19">
        <f t="shared" si="8"/>
        <v>6.166666666666667</v>
      </c>
      <c r="K88" s="19">
        <f t="shared" si="9"/>
        <v>-6.166666666666667</v>
      </c>
    </row>
    <row r="89" spans="1:11">
      <c r="A89" s="3">
        <v>0.65</v>
      </c>
      <c r="B89" s="3">
        <f t="shared" si="13"/>
        <v>84.174999999999997</v>
      </c>
      <c r="C89" s="3">
        <f t="shared" si="37"/>
        <v>19.424999999999997</v>
      </c>
      <c r="D89" s="19">
        <f t="shared" si="36"/>
        <v>12.333333333333334</v>
      </c>
      <c r="E89" s="4">
        <f t="shared" si="3"/>
        <v>38.746309394274114</v>
      </c>
      <c r="F89" s="4">
        <f t="shared" si="21"/>
        <v>50.176470665585043</v>
      </c>
      <c r="G89" s="5">
        <f t="shared" si="14"/>
        <v>198994932.31682107</v>
      </c>
      <c r="H89" s="6">
        <f t="shared" si="15"/>
        <v>1.830849293071304E-3</v>
      </c>
      <c r="I89" s="7">
        <f t="shared" si="16"/>
        <v>30.882474734673714</v>
      </c>
      <c r="J89" s="19">
        <f t="shared" si="8"/>
        <v>6.166666666666667</v>
      </c>
      <c r="K89" s="19">
        <f t="shared" si="9"/>
        <v>-6.166666666666667</v>
      </c>
    </row>
    <row r="90" spans="1:11">
      <c r="A90" s="3">
        <v>0.66</v>
      </c>
      <c r="B90" s="3">
        <f t="shared" si="13"/>
        <v>85.47</v>
      </c>
      <c r="C90" s="3">
        <f t="shared" si="37"/>
        <v>20.72</v>
      </c>
      <c r="D90" s="19">
        <f t="shared" si="36"/>
        <v>12.333333333333334</v>
      </c>
      <c r="E90" s="4">
        <f t="shared" si="3"/>
        <v>38.746309394274114</v>
      </c>
      <c r="F90" s="4">
        <f t="shared" si="21"/>
        <v>50.176470665585043</v>
      </c>
      <c r="G90" s="5">
        <f t="shared" si="14"/>
        <v>202056392.81400293</v>
      </c>
      <c r="H90" s="6">
        <f t="shared" si="15"/>
        <v>1.8270806461403463E-3</v>
      </c>
      <c r="I90" s="7">
        <f t="shared" si="16"/>
        <v>30.818905797530903</v>
      </c>
      <c r="J90" s="19">
        <f t="shared" si="8"/>
        <v>6.166666666666667</v>
      </c>
      <c r="K90" s="19">
        <f t="shared" si="9"/>
        <v>-6.166666666666667</v>
      </c>
    </row>
    <row r="91" spans="1:11">
      <c r="A91" s="3">
        <v>0.67</v>
      </c>
      <c r="B91" s="3">
        <f t="shared" si="13"/>
        <v>86.765000000000001</v>
      </c>
      <c r="C91" s="3">
        <f t="shared" si="37"/>
        <v>22.015000000000001</v>
      </c>
      <c r="D91" s="19">
        <f t="shared" si="36"/>
        <v>12.333333333333334</v>
      </c>
      <c r="E91" s="4">
        <f t="shared" si="3"/>
        <v>38.746309394274114</v>
      </c>
      <c r="F91" s="4">
        <f t="shared" si="21"/>
        <v>50.176470665585043</v>
      </c>
      <c r="G91" s="5">
        <f t="shared" si="14"/>
        <v>205117853.31118479</v>
      </c>
      <c r="H91" s="6">
        <f t="shared" si="15"/>
        <v>1.8233791871503351E-3</v>
      </c>
      <c r="I91" s="7">
        <f t="shared" si="16"/>
        <v>30.756470175891785</v>
      </c>
      <c r="J91" s="19">
        <f t="shared" si="8"/>
        <v>6.166666666666667</v>
      </c>
      <c r="K91" s="19">
        <f t="shared" si="9"/>
        <v>-6.166666666666667</v>
      </c>
    </row>
    <row r="92" spans="1:11">
      <c r="A92" s="3">
        <v>0.68</v>
      </c>
      <c r="B92" s="3">
        <f t="shared" si="13"/>
        <v>88.06</v>
      </c>
      <c r="C92" s="3">
        <f t="shared" si="37"/>
        <v>23.310000000000002</v>
      </c>
      <c r="D92" s="19">
        <f t="shared" si="36"/>
        <v>12.333333333333334</v>
      </c>
      <c r="E92" s="4">
        <f t="shared" si="3"/>
        <v>38.746309394274114</v>
      </c>
      <c r="F92" s="4">
        <f t="shared" si="21"/>
        <v>50.176470665585043</v>
      </c>
      <c r="G92" s="5">
        <f t="shared" si="14"/>
        <v>208179313.80836669</v>
      </c>
      <c r="H92" s="6">
        <f t="shared" si="15"/>
        <v>1.8197427339385064E-3</v>
      </c>
      <c r="I92" s="7">
        <f t="shared" si="16"/>
        <v>30.695131061381858</v>
      </c>
      <c r="J92" s="19">
        <f t="shared" si="8"/>
        <v>6.166666666666667</v>
      </c>
      <c r="K92" s="19">
        <f t="shared" si="9"/>
        <v>-6.166666666666667</v>
      </c>
    </row>
    <row r="93" spans="1:11">
      <c r="A93" s="3">
        <v>0.69</v>
      </c>
      <c r="B93" s="3">
        <f t="shared" si="13"/>
        <v>89.35499999999999</v>
      </c>
      <c r="C93" s="3">
        <f t="shared" si="37"/>
        <v>24.60499999999999</v>
      </c>
      <c r="D93" s="19">
        <f t="shared" si="36"/>
        <v>12.333333333333334</v>
      </c>
      <c r="E93" s="4">
        <f t="shared" si="3"/>
        <v>38.746309394274114</v>
      </c>
      <c r="F93" s="4">
        <f t="shared" si="21"/>
        <v>50.176470665584496</v>
      </c>
      <c r="G93" s="5">
        <f t="shared" si="14"/>
        <v>211240774.30554852</v>
      </c>
      <c r="H93" s="6">
        <f t="shared" si="15"/>
        <v>1.8161692061432963E-3</v>
      </c>
      <c r="I93" s="7">
        <f t="shared" si="16"/>
        <v>30.634853362792747</v>
      </c>
      <c r="J93" s="19">
        <f t="shared" si="8"/>
        <v>6.166666666666667</v>
      </c>
      <c r="K93" s="19">
        <f t="shared" si="9"/>
        <v>-6.166666666666667</v>
      </c>
    </row>
    <row r="94" spans="1:11">
      <c r="A94" s="3">
        <v>0.7</v>
      </c>
      <c r="B94" s="3">
        <f t="shared" si="13"/>
        <v>90.649999999999991</v>
      </c>
      <c r="C94" s="3">
        <f t="shared" si="37"/>
        <v>25.899999999999991</v>
      </c>
      <c r="D94" s="19">
        <f t="shared" si="36"/>
        <v>12.333333333333334</v>
      </c>
      <c r="E94" s="4">
        <f t="shared" si="3"/>
        <v>38.746309394274114</v>
      </c>
      <c r="F94" s="4">
        <f t="shared" si="21"/>
        <v>50.176470665585043</v>
      </c>
      <c r="G94" s="5">
        <f t="shared" si="14"/>
        <v>214302234.80273035</v>
      </c>
      <c r="H94" s="6">
        <f t="shared" si="15"/>
        <v>1.8126566190557725E-3</v>
      </c>
      <c r="I94" s="7">
        <f t="shared" si="16"/>
        <v>30.575603602370787</v>
      </c>
      <c r="J94" s="19">
        <f t="shared" si="8"/>
        <v>6.166666666666667</v>
      </c>
      <c r="K94" s="19">
        <f t="shared" si="9"/>
        <v>-6.166666666666667</v>
      </c>
    </row>
    <row r="95" spans="1:11">
      <c r="A95" s="3">
        <v>0.71</v>
      </c>
      <c r="B95" s="3">
        <f t="shared" si="13"/>
        <v>91.944999999999993</v>
      </c>
      <c r="C95" s="3">
        <f t="shared" si="37"/>
        <v>27.194999999999993</v>
      </c>
      <c r="D95" s="19">
        <f t="shared" si="36"/>
        <v>12.333333333333334</v>
      </c>
      <c r="E95" s="4">
        <f t="shared" si="3"/>
        <v>38.746309394274114</v>
      </c>
      <c r="F95" s="4">
        <f t="shared" si="21"/>
        <v>50.176470665585043</v>
      </c>
      <c r="G95" s="5">
        <f t="shared" si="14"/>
        <v>217363695.29991224</v>
      </c>
      <c r="H95" s="6">
        <f t="shared" si="15"/>
        <v>1.8092030779245146E-3</v>
      </c>
      <c r="I95" s="7">
        <f t="shared" si="16"/>
        <v>30.517349819749331</v>
      </c>
      <c r="J95" s="19">
        <f t="shared" si="8"/>
        <v>6.166666666666667</v>
      </c>
      <c r="K95" s="19">
        <f t="shared" si="9"/>
        <v>-6.166666666666667</v>
      </c>
    </row>
    <row r="96" spans="1:11">
      <c r="A96" s="3">
        <v>0.72</v>
      </c>
      <c r="B96" s="3">
        <f t="shared" si="13"/>
        <v>93.24</v>
      </c>
      <c r="C96" s="3">
        <f t="shared" si="37"/>
        <v>28.489999999999995</v>
      </c>
      <c r="D96" s="19">
        <f t="shared" si="36"/>
        <v>12.333333333333334</v>
      </c>
      <c r="E96" s="4">
        <f t="shared" si="3"/>
        <v>38.746309394274114</v>
      </c>
      <c r="F96" s="4">
        <f t="shared" si="21"/>
        <v>50.176470665585043</v>
      </c>
      <c r="G96" s="5">
        <f t="shared" si="14"/>
        <v>220425155.79709411</v>
      </c>
      <c r="H96" s="6">
        <f t="shared" si="15"/>
        <v>1.805806772674554E-3</v>
      </c>
      <c r="I96" s="7">
        <f t="shared" si="16"/>
        <v>30.460061482871964</v>
      </c>
      <c r="J96" s="19">
        <f t="shared" si="8"/>
        <v>6.166666666666667</v>
      </c>
      <c r="K96" s="19">
        <f t="shared" si="9"/>
        <v>-6.166666666666667</v>
      </c>
    </row>
    <row r="97" spans="1:11">
      <c r="A97" s="3">
        <v>0.73</v>
      </c>
      <c r="B97" s="3">
        <f t="shared" si="13"/>
        <v>94.534999999999997</v>
      </c>
      <c r="C97" s="3">
        <f t="shared" si="37"/>
        <v>29.784999999999997</v>
      </c>
      <c r="D97" s="19">
        <f t="shared" si="36"/>
        <v>12.333333333333334</v>
      </c>
      <c r="E97" s="4">
        <f t="shared" si="3"/>
        <v>38.746309394274114</v>
      </c>
      <c r="F97" s="4">
        <f t="shared" si="21"/>
        <v>50.176470665585043</v>
      </c>
      <c r="G97" s="5">
        <f t="shared" si="14"/>
        <v>223486616.29427597</v>
      </c>
      <c r="H97" s="6">
        <f t="shared" si="15"/>
        <v>1.8024659730050592E-3</v>
      </c>
      <c r="I97" s="7">
        <f t="shared" si="16"/>
        <v>30.403709405299423</v>
      </c>
      <c r="J97" s="19">
        <f t="shared" si="8"/>
        <v>6.166666666666667</v>
      </c>
      <c r="K97" s="19">
        <f t="shared" si="9"/>
        <v>-6.166666666666667</v>
      </c>
    </row>
    <row r="98" spans="1:11">
      <c r="A98" s="3">
        <v>0.74</v>
      </c>
      <c r="B98" s="3">
        <f t="shared" si="13"/>
        <v>95.83</v>
      </c>
      <c r="C98" s="3">
        <f t="shared" si="37"/>
        <v>31.08</v>
      </c>
      <c r="D98" s="19">
        <f t="shared" si="36"/>
        <v>12.333333333333334</v>
      </c>
      <c r="E98" s="4">
        <f t="shared" si="3"/>
        <v>38.746309394274114</v>
      </c>
      <c r="F98" s="4">
        <f t="shared" si="21"/>
        <v>50.176470665585043</v>
      </c>
      <c r="G98" s="5">
        <f t="shared" si="14"/>
        <v>226548076.79145783</v>
      </c>
      <c r="H98" s="6">
        <f t="shared" si="15"/>
        <v>1.7991790238337222E-3</v>
      </c>
      <c r="I98" s="7">
        <f t="shared" si="16"/>
        <v>30.348265669366537</v>
      </c>
      <c r="J98" s="19">
        <f t="shared" si="8"/>
        <v>6.166666666666667</v>
      </c>
      <c r="K98" s="19">
        <f t="shared" si="9"/>
        <v>-6.166666666666667</v>
      </c>
    </row>
    <row r="99" spans="1:11">
      <c r="A99" s="3">
        <v>0.75</v>
      </c>
      <c r="B99" s="3">
        <f t="shared" si="13"/>
        <v>97.125</v>
      </c>
      <c r="C99" s="3">
        <f t="shared" si="37"/>
        <v>32.375</v>
      </c>
      <c r="D99" s="19">
        <f t="shared" si="36"/>
        <v>12.333333333333334</v>
      </c>
      <c r="E99" s="4">
        <f t="shared" si="3"/>
        <v>38.746309394274114</v>
      </c>
      <c r="F99" s="4">
        <f t="shared" si="21"/>
        <v>50.176470665585043</v>
      </c>
      <c r="G99" s="5">
        <f t="shared" si="14"/>
        <v>229609537.28863972</v>
      </c>
      <c r="H99" s="6">
        <f t="shared" si="15"/>
        <v>1.7959443410590582E-3</v>
      </c>
      <c r="I99" s="7">
        <f t="shared" si="16"/>
        <v>30.293703554701338</v>
      </c>
      <c r="J99" s="19">
        <f t="shared" si="8"/>
        <v>6.166666666666667</v>
      </c>
      <c r="K99" s="19">
        <f t="shared" si="9"/>
        <v>-6.166666666666667</v>
      </c>
    </row>
    <row r="100" spans="1:11">
      <c r="A100" s="3">
        <v>0.76</v>
      </c>
      <c r="B100" s="3">
        <f t="shared" si="13"/>
        <v>98.42</v>
      </c>
      <c r="C100" s="3">
        <f t="shared" si="37"/>
        <v>33.67</v>
      </c>
      <c r="D100" s="19">
        <f t="shared" si="36"/>
        <v>12.333333333333334</v>
      </c>
      <c r="E100" s="4">
        <f t="shared" si="3"/>
        <v>38.746309394274114</v>
      </c>
      <c r="F100" s="4">
        <f t="shared" si="21"/>
        <v>50.176470665585043</v>
      </c>
      <c r="G100" s="5">
        <f t="shared" si="14"/>
        <v>232670997.78582156</v>
      </c>
      <c r="H100" s="6">
        <f t="shared" si="15"/>
        <v>1.7927604076145092E-3</v>
      </c>
      <c r="I100" s="7">
        <f t="shared" si="16"/>
        <v>30.239997471666388</v>
      </c>
      <c r="J100" s="19">
        <f t="shared" si="8"/>
        <v>6.166666666666667</v>
      </c>
      <c r="K100" s="19">
        <f t="shared" si="9"/>
        <v>-6.166666666666667</v>
      </c>
    </row>
    <row r="101" spans="1:11">
      <c r="A101" s="3">
        <v>0.77</v>
      </c>
      <c r="B101" s="3">
        <f t="shared" ref="B101:B124" si="38">A101*LL</f>
        <v>99.715000000000003</v>
      </c>
      <c r="C101" s="3">
        <f t="shared" ref="C101:C124" si="39">B101-LL/2</f>
        <v>34.965000000000003</v>
      </c>
      <c r="D101" s="19">
        <f t="shared" ref="D101:D124" si="40">IF(A101&gt;(1-$B$18),(D*((LL-B101)/(LL*$B$18))^$B$19),D)</f>
        <v>12.333333333333334</v>
      </c>
      <c r="E101" s="4">
        <f t="shared" ref="E101:E124" si="41">PI()*D101</f>
        <v>38.746309394274114</v>
      </c>
      <c r="F101" s="4">
        <f t="shared" si="21"/>
        <v>50.176470665585043</v>
      </c>
      <c r="G101" s="5">
        <f t="shared" ref="G101:G124" si="42">V*B101/nu</f>
        <v>235732458.28300345</v>
      </c>
      <c r="H101" s="6">
        <f t="shared" ref="H101:H124" si="43">IF(G101&lt;1000000,1.328/SQRT(G101), 0.455/( (LOG(G101)^2.58)*(1+0.144*MC^2)^0.65))</f>
        <v>1.7896257697906511E-3</v>
      </c>
      <c r="I101" s="7">
        <f t="shared" ref="I101:I124" si="44">F101*H101*q*FQ</f>
        <v>30.187122899322286</v>
      </c>
      <c r="J101" s="19">
        <f t="shared" ref="J101:J124" si="45">D101/2</f>
        <v>6.166666666666667</v>
      </c>
      <c r="K101" s="19">
        <f t="shared" ref="K101:K124" si="46">-J101</f>
        <v>-6.166666666666667</v>
      </c>
    </row>
    <row r="102" spans="1:11">
      <c r="A102" s="3">
        <v>0.78</v>
      </c>
      <c r="B102" s="3">
        <f t="shared" si="38"/>
        <v>101.01</v>
      </c>
      <c r="C102" s="3">
        <f t="shared" si="39"/>
        <v>36.260000000000005</v>
      </c>
      <c r="D102" s="19">
        <f t="shared" si="40"/>
        <v>12.333333333333334</v>
      </c>
      <c r="E102" s="4">
        <f t="shared" si="41"/>
        <v>38.746309394274114</v>
      </c>
      <c r="F102" s="4">
        <f t="shared" si="21"/>
        <v>50.176470665585043</v>
      </c>
      <c r="G102" s="5">
        <f t="shared" si="42"/>
        <v>238793918.78018531</v>
      </c>
      <c r="H102" s="6">
        <f t="shared" si="43"/>
        <v>1.786539033804137E-3</v>
      </c>
      <c r="I102" s="7">
        <f t="shared" si="44"/>
        <v>30.135056327553173</v>
      </c>
      <c r="J102" s="19">
        <f t="shared" si="45"/>
        <v>6.166666666666667</v>
      </c>
      <c r="K102" s="19">
        <f t="shared" si="46"/>
        <v>-6.166666666666667</v>
      </c>
    </row>
    <row r="103" spans="1:11">
      <c r="A103" s="3">
        <v>0.79</v>
      </c>
      <c r="B103" s="3">
        <f t="shared" si="38"/>
        <v>102.30500000000001</v>
      </c>
      <c r="C103" s="3">
        <f t="shared" si="39"/>
        <v>37.555000000000007</v>
      </c>
      <c r="D103" s="19">
        <f t="shared" si="40"/>
        <v>12.333333333333334</v>
      </c>
      <c r="E103" s="4">
        <f t="shared" si="41"/>
        <v>38.746309394274114</v>
      </c>
      <c r="F103" s="4">
        <f t="shared" si="21"/>
        <v>50.176470665585043</v>
      </c>
      <c r="G103" s="5">
        <f t="shared" si="42"/>
        <v>241855379.27736714</v>
      </c>
      <c r="H103" s="6">
        <f t="shared" si="43"/>
        <v>1.7834988625938216E-3</v>
      </c>
      <c r="I103" s="7">
        <f t="shared" si="44"/>
        <v>30.083775203024267</v>
      </c>
      <c r="J103" s="19">
        <f t="shared" si="45"/>
        <v>6.166666666666667</v>
      </c>
      <c r="K103" s="19">
        <f t="shared" si="46"/>
        <v>-6.166666666666667</v>
      </c>
    </row>
    <row r="104" spans="1:11">
      <c r="A104" s="3">
        <v>0.8</v>
      </c>
      <c r="B104" s="3">
        <f t="shared" si="38"/>
        <v>103.60000000000001</v>
      </c>
      <c r="C104" s="3">
        <f t="shared" si="39"/>
        <v>38.850000000000009</v>
      </c>
      <c r="D104" s="19">
        <f t="shared" si="40"/>
        <v>12.333333333333334</v>
      </c>
      <c r="E104" s="4">
        <f t="shared" si="41"/>
        <v>38.746309394274114</v>
      </c>
      <c r="F104" s="4">
        <f t="shared" si="21"/>
        <v>50.176470665585043</v>
      </c>
      <c r="G104" s="5">
        <f t="shared" si="42"/>
        <v>244916839.77454904</v>
      </c>
      <c r="H104" s="6">
        <f t="shared" si="43"/>
        <v>1.7805039728263951E-3</v>
      </c>
      <c r="I104" s="7">
        <f t="shared" si="44"/>
        <v>30.033257878673375</v>
      </c>
      <c r="J104" s="19">
        <f t="shared" si="45"/>
        <v>6.166666666666667</v>
      </c>
      <c r="K104" s="19">
        <f t="shared" si="46"/>
        <v>-6.166666666666667</v>
      </c>
    </row>
    <row r="105" spans="1:11">
      <c r="A105" s="3">
        <v>0.81</v>
      </c>
      <c r="B105" s="3">
        <f t="shared" si="38"/>
        <v>104.89500000000001</v>
      </c>
      <c r="C105" s="3">
        <f t="shared" si="39"/>
        <v>40.14500000000001</v>
      </c>
      <c r="D105" s="19">
        <f t="shared" si="40"/>
        <v>12.333333333333334</v>
      </c>
      <c r="E105" s="4">
        <f t="shared" si="41"/>
        <v>38.746309394274114</v>
      </c>
      <c r="F105" s="4">
        <f t="shared" si="21"/>
        <v>50.176470665585043</v>
      </c>
      <c r="G105" s="5">
        <f t="shared" si="42"/>
        <v>247978300.27173093</v>
      </c>
      <c r="H105" s="6">
        <f t="shared" si="43"/>
        <v>1.777553132095372E-3</v>
      </c>
      <c r="I105" s="7">
        <f t="shared" si="44"/>
        <v>29.983483566463882</v>
      </c>
      <c r="J105" s="19">
        <f t="shared" si="45"/>
        <v>6.166666666666667</v>
      </c>
      <c r="K105" s="19">
        <f t="shared" si="46"/>
        <v>-6.166666666666667</v>
      </c>
    </row>
    <row r="106" spans="1:11">
      <c r="A106" s="3">
        <v>0.82</v>
      </c>
      <c r="B106" s="3">
        <f t="shared" si="38"/>
        <v>106.19</v>
      </c>
      <c r="C106" s="3">
        <f t="shared" si="39"/>
        <v>41.44</v>
      </c>
      <c r="D106" s="19">
        <f t="shared" si="40"/>
        <v>12.333333333333334</v>
      </c>
      <c r="E106" s="4">
        <f t="shared" si="41"/>
        <v>38.746309394274114</v>
      </c>
      <c r="F106" s="4">
        <f t="shared" si="21"/>
        <v>50.176470665584496</v>
      </c>
      <c r="G106" s="5">
        <f t="shared" si="42"/>
        <v>251039760.76891276</v>
      </c>
      <c r="H106" s="6">
        <f t="shared" si="43"/>
        <v>1.7746451562987227E-3</v>
      </c>
      <c r="I106" s="7">
        <f t="shared" si="44"/>
        <v>29.93443229315071</v>
      </c>
      <c r="J106" s="19">
        <f t="shared" si="45"/>
        <v>6.166666666666667</v>
      </c>
      <c r="K106" s="19">
        <f t="shared" si="46"/>
        <v>-6.166666666666667</v>
      </c>
    </row>
    <row r="107" spans="1:11">
      <c r="A107" s="3">
        <v>0.83</v>
      </c>
      <c r="B107" s="3">
        <f t="shared" si="38"/>
        <v>107.485</v>
      </c>
      <c r="C107" s="3">
        <f t="shared" si="39"/>
        <v>42.734999999999999</v>
      </c>
      <c r="D107" s="19">
        <f t="shared" si="40"/>
        <v>12.333333333333334</v>
      </c>
      <c r="E107" s="4">
        <f t="shared" si="41"/>
        <v>38.746309394274114</v>
      </c>
      <c r="F107" s="4">
        <f t="shared" si="21"/>
        <v>50.176470665585043</v>
      </c>
      <c r="G107" s="5">
        <f t="shared" si="42"/>
        <v>254101221.2660946</v>
      </c>
      <c r="H107" s="6">
        <f t="shared" si="43"/>
        <v>1.7717789071817558E-3</v>
      </c>
      <c r="I107" s="7">
        <f t="shared" si="44"/>
        <v>29.886084858835719</v>
      </c>
      <c r="J107" s="19">
        <f t="shared" si="45"/>
        <v>6.166666666666667</v>
      </c>
      <c r="K107" s="19">
        <f t="shared" si="46"/>
        <v>-6.166666666666667</v>
      </c>
    </row>
    <row r="108" spans="1:11">
      <c r="A108" s="3">
        <v>0.84</v>
      </c>
      <c r="B108" s="3">
        <f t="shared" si="38"/>
        <v>108.78</v>
      </c>
      <c r="C108" s="3">
        <f t="shared" si="39"/>
        <v>44.03</v>
      </c>
      <c r="D108" s="19">
        <f t="shared" si="40"/>
        <v>12.333333333333334</v>
      </c>
      <c r="E108" s="4">
        <f t="shared" si="41"/>
        <v>38.746309394274114</v>
      </c>
      <c r="F108" s="4">
        <f t="shared" si="21"/>
        <v>50.176470665585043</v>
      </c>
      <c r="G108" s="5">
        <f t="shared" si="42"/>
        <v>257162681.76327646</v>
      </c>
      <c r="H108" s="6">
        <f t="shared" si="43"/>
        <v>1.7689532900329395E-3</v>
      </c>
      <c r="I108" s="7">
        <f t="shared" si="44"/>
        <v>29.838422798097888</v>
      </c>
      <c r="J108" s="19">
        <f t="shared" si="45"/>
        <v>6.166666666666667</v>
      </c>
      <c r="K108" s="19">
        <f t="shared" si="46"/>
        <v>-6.166666666666667</v>
      </c>
    </row>
    <row r="109" spans="1:11">
      <c r="A109" s="3">
        <v>0.85</v>
      </c>
      <c r="B109" s="3">
        <f t="shared" si="38"/>
        <v>110.075</v>
      </c>
      <c r="C109" s="3">
        <f t="shared" si="39"/>
        <v>45.325000000000003</v>
      </c>
      <c r="D109" s="19">
        <f t="shared" si="40"/>
        <v>12.333333333333334</v>
      </c>
      <c r="E109" s="4">
        <f t="shared" si="41"/>
        <v>38.746309394274114</v>
      </c>
      <c r="F109" s="4">
        <f t="shared" si="21"/>
        <v>50.176470665585043</v>
      </c>
      <c r="G109" s="5">
        <f t="shared" si="42"/>
        <v>260224142.26045835</v>
      </c>
      <c r="H109" s="6">
        <f t="shared" si="43"/>
        <v>1.76616725152147E-3</v>
      </c>
      <c r="I109" s="7">
        <f t="shared" si="44"/>
        <v>29.791428343521048</v>
      </c>
      <c r="J109" s="19">
        <f t="shared" si="45"/>
        <v>6.166666666666667</v>
      </c>
      <c r="K109" s="19">
        <f t="shared" si="46"/>
        <v>-6.166666666666667</v>
      </c>
    </row>
    <row r="110" spans="1:11">
      <c r="A110" s="3">
        <v>0.86</v>
      </c>
      <c r="B110" s="3">
        <f t="shared" si="38"/>
        <v>111.37</v>
      </c>
      <c r="C110" s="3">
        <f t="shared" si="39"/>
        <v>46.620000000000005</v>
      </c>
      <c r="D110" s="19">
        <f t="shared" si="40"/>
        <v>12.333333333333334</v>
      </c>
      <c r="E110" s="4">
        <f t="shared" si="41"/>
        <v>38.746309394274114</v>
      </c>
      <c r="F110" s="4">
        <f t="shared" si="21"/>
        <v>50.176470665585043</v>
      </c>
      <c r="G110" s="5">
        <f t="shared" si="42"/>
        <v>263285602.75764018</v>
      </c>
      <c r="H110" s="6">
        <f t="shared" si="43"/>
        <v>1.7634197776663111E-3</v>
      </c>
      <c r="I110" s="7">
        <f t="shared" si="44"/>
        <v>29.745084391434315</v>
      </c>
      <c r="J110" s="19">
        <f t="shared" si="45"/>
        <v>6.166666666666667</v>
      </c>
      <c r="K110" s="19">
        <f t="shared" si="46"/>
        <v>-6.166666666666667</v>
      </c>
    </row>
    <row r="111" spans="1:11">
      <c r="A111" s="3">
        <v>0.87</v>
      </c>
      <c r="B111" s="3">
        <f t="shared" si="38"/>
        <v>112.66500000000001</v>
      </c>
      <c r="C111" s="3">
        <f t="shared" si="39"/>
        <v>47.915000000000006</v>
      </c>
      <c r="D111" s="19">
        <f t="shared" si="40"/>
        <v>11.623387663636528</v>
      </c>
      <c r="E111" s="4">
        <f t="shared" si="41"/>
        <v>36.515949293906743</v>
      </c>
      <c r="F111" s="4">
        <f t="shared" si="21"/>
        <v>47.288154335609292</v>
      </c>
      <c r="G111" s="5">
        <f t="shared" si="42"/>
        <v>266347063.25482208</v>
      </c>
      <c r="H111" s="6">
        <f t="shared" si="43"/>
        <v>1.7607098919272667E-3</v>
      </c>
      <c r="I111" s="7">
        <f t="shared" si="44"/>
        <v>27.989784553701341</v>
      </c>
      <c r="J111" s="19">
        <f t="shared" si="45"/>
        <v>5.811693831818264</v>
      </c>
      <c r="K111" s="19">
        <f t="shared" si="46"/>
        <v>-5.811693831818264</v>
      </c>
    </row>
    <row r="112" spans="1:11">
      <c r="A112" s="3">
        <v>0.88</v>
      </c>
      <c r="B112" s="3">
        <f t="shared" si="38"/>
        <v>113.96</v>
      </c>
      <c r="C112" s="3">
        <f t="shared" si="39"/>
        <v>49.209999999999994</v>
      </c>
      <c r="D112" s="19">
        <f t="shared" si="40"/>
        <v>10.902423239905477</v>
      </c>
      <c r="E112" s="4">
        <f t="shared" si="41"/>
        <v>34.250972756813681</v>
      </c>
      <c r="F112" s="4">
        <f t="shared" si="21"/>
        <v>44.355009720073291</v>
      </c>
      <c r="G112" s="5">
        <f t="shared" si="42"/>
        <v>269408523.75200391</v>
      </c>
      <c r="H112" s="6">
        <f t="shared" si="43"/>
        <v>1.7580366534094465E-3</v>
      </c>
      <c r="I112" s="7">
        <f t="shared" si="44"/>
        <v>26.213800617801073</v>
      </c>
      <c r="J112" s="19">
        <f t="shared" si="45"/>
        <v>5.4512116199527387</v>
      </c>
      <c r="K112" s="19">
        <f t="shared" si="46"/>
        <v>-5.4512116199527387</v>
      </c>
    </row>
    <row r="113" spans="1:11">
      <c r="A113" s="3">
        <v>0.89</v>
      </c>
      <c r="B113" s="3">
        <f t="shared" si="38"/>
        <v>115.255</v>
      </c>
      <c r="C113" s="3">
        <f t="shared" si="39"/>
        <v>50.504999999999995</v>
      </c>
      <c r="D113" s="19">
        <f t="shared" si="40"/>
        <v>10.169326447565375</v>
      </c>
      <c r="E113" s="4">
        <f t="shared" si="41"/>
        <v>31.947881259627771</v>
      </c>
      <c r="F113" s="4">
        <f t="shared" si="21"/>
        <v>41.372506231218019</v>
      </c>
      <c r="G113" s="5">
        <f t="shared" si="42"/>
        <v>272469984.2491858</v>
      </c>
      <c r="H113" s="6">
        <f t="shared" si="43"/>
        <v>1.7553991551732013E-3</v>
      </c>
      <c r="I113" s="7">
        <f t="shared" si="44"/>
        <v>24.414458859323396</v>
      </c>
      <c r="J113" s="19">
        <f t="shared" si="45"/>
        <v>5.0846632237826874</v>
      </c>
      <c r="K113" s="19">
        <f t="shared" si="46"/>
        <v>-5.0846632237826874</v>
      </c>
    </row>
    <row r="114" spans="1:11">
      <c r="A114" s="3">
        <v>0.9</v>
      </c>
      <c r="B114" s="3">
        <f t="shared" si="38"/>
        <v>116.55</v>
      </c>
      <c r="C114" s="3">
        <f t="shared" si="39"/>
        <v>51.8</v>
      </c>
      <c r="D114" s="19">
        <f t="shared" si="40"/>
        <v>9.4227580718637025</v>
      </c>
      <c r="E114" s="4">
        <f t="shared" si="41"/>
        <v>29.602467535120933</v>
      </c>
      <c r="F114" s="4">
        <f t="shared" ref="F114:F124" si="47">E114*(B114-B113)</f>
        <v>38.335195457981662</v>
      </c>
      <c r="G114" s="5">
        <f t="shared" si="42"/>
        <v>275531444.74636763</v>
      </c>
      <c r="H114" s="6">
        <f t="shared" si="43"/>
        <v>1.7527965226421889E-3</v>
      </c>
      <c r="I114" s="7">
        <f t="shared" si="44"/>
        <v>22.588561383152591</v>
      </c>
      <c r="J114" s="19">
        <f t="shared" si="45"/>
        <v>4.7113790359318513</v>
      </c>
      <c r="K114" s="19">
        <f t="shared" si="46"/>
        <v>-4.7113790359318513</v>
      </c>
    </row>
    <row r="115" spans="1:11">
      <c r="A115" s="3">
        <v>0.91</v>
      </c>
      <c r="B115" s="3">
        <f t="shared" si="38"/>
        <v>117.845</v>
      </c>
      <c r="C115" s="3">
        <f t="shared" si="39"/>
        <v>53.094999999999999</v>
      </c>
      <c r="D115" s="19">
        <f t="shared" si="40"/>
        <v>8.6610799656843849</v>
      </c>
      <c r="E115" s="4">
        <f t="shared" si="41"/>
        <v>27.209585192347802</v>
      </c>
      <c r="F115" s="4">
        <f t="shared" si="47"/>
        <v>35.236412824090451</v>
      </c>
      <c r="G115" s="5">
        <f t="shared" si="42"/>
        <v>278592905.24354953</v>
      </c>
      <c r="H115" s="6">
        <f t="shared" si="43"/>
        <v>1.7502279121028729E-3</v>
      </c>
      <c r="I115" s="7">
        <f t="shared" si="44"/>
        <v>20.732213983125469</v>
      </c>
      <c r="J115" s="19">
        <f t="shared" si="45"/>
        <v>4.3305399828421924</v>
      </c>
      <c r="K115" s="19">
        <f t="shared" si="46"/>
        <v>-4.3305399828421924</v>
      </c>
    </row>
    <row r="116" spans="1:11">
      <c r="A116" s="3">
        <v>0.92</v>
      </c>
      <c r="B116" s="3">
        <f t="shared" si="38"/>
        <v>119.14</v>
      </c>
      <c r="C116" s="3">
        <f t="shared" si="39"/>
        <v>54.39</v>
      </c>
      <c r="D116" s="19">
        <f t="shared" si="40"/>
        <v>7.8822468275514952</v>
      </c>
      <c r="E116" s="4">
        <f t="shared" si="41"/>
        <v>24.76280872721723</v>
      </c>
      <c r="F116" s="4">
        <f t="shared" si="47"/>
        <v>32.067837301746358</v>
      </c>
      <c r="G116" s="5">
        <f t="shared" si="42"/>
        <v>281654365.74073142</v>
      </c>
      <c r="H116" s="6">
        <f t="shared" si="43"/>
        <v>1.7476925092892628E-3</v>
      </c>
      <c r="I116" s="7">
        <f t="shared" si="44"/>
        <v>18.840572006024384</v>
      </c>
      <c r="J116" s="19">
        <f t="shared" si="45"/>
        <v>3.9411234137757476</v>
      </c>
      <c r="K116" s="19">
        <f t="shared" si="46"/>
        <v>-3.9411234137757476</v>
      </c>
    </row>
    <row r="117" spans="1:11">
      <c r="A117" s="3">
        <v>0.93</v>
      </c>
      <c r="B117" s="3">
        <f t="shared" si="38"/>
        <v>120.435</v>
      </c>
      <c r="C117" s="3">
        <f t="shared" si="39"/>
        <v>55.685000000000002</v>
      </c>
      <c r="D117" s="19">
        <f t="shared" si="40"/>
        <v>7.0836398558150471</v>
      </c>
      <c r="E117" s="4">
        <f t="shared" si="41"/>
        <v>22.253910931704414</v>
      </c>
      <c r="F117" s="4">
        <f t="shared" si="47"/>
        <v>28.818814656557254</v>
      </c>
      <c r="G117" s="5">
        <f t="shared" si="42"/>
        <v>284715826.23791325</v>
      </c>
      <c r="H117" s="6">
        <f t="shared" si="43"/>
        <v>1.745189528047169E-3</v>
      </c>
      <c r="I117" s="7">
        <f t="shared" si="44"/>
        <v>16.90744953881072</v>
      </c>
      <c r="J117" s="19">
        <f t="shared" si="45"/>
        <v>3.5418199279075235</v>
      </c>
      <c r="K117" s="19">
        <f t="shared" si="46"/>
        <v>-3.5418199279075235</v>
      </c>
    </row>
    <row r="118" spans="1:11">
      <c r="A118" s="3">
        <v>0.94</v>
      </c>
      <c r="B118" s="3">
        <f t="shared" si="38"/>
        <v>121.72999999999999</v>
      </c>
      <c r="C118" s="3">
        <f t="shared" si="39"/>
        <v>56.97999999999999</v>
      </c>
      <c r="D118" s="19">
        <f t="shared" si="40"/>
        <v>6.2617978205804388</v>
      </c>
      <c r="E118" s="4">
        <f t="shared" si="41"/>
        <v>19.672018031400086</v>
      </c>
      <c r="F118" s="4">
        <f t="shared" si="47"/>
        <v>25.475263350662864</v>
      </c>
      <c r="G118" s="5">
        <f t="shared" si="42"/>
        <v>287777286.73509508</v>
      </c>
      <c r="H118" s="6">
        <f t="shared" si="43"/>
        <v>1.7427182090727078E-3</v>
      </c>
      <c r="I118" s="7">
        <f t="shared" si="44"/>
        <v>14.924687240349602</v>
      </c>
      <c r="J118" s="19">
        <f t="shared" si="45"/>
        <v>3.1308989102902194</v>
      </c>
      <c r="K118" s="19">
        <f t="shared" si="46"/>
        <v>-3.1308989102902194</v>
      </c>
    </row>
    <row r="119" spans="1:11">
      <c r="A119" s="3">
        <v>0.95</v>
      </c>
      <c r="B119" s="3">
        <f t="shared" si="38"/>
        <v>123.02499999999999</v>
      </c>
      <c r="C119" s="3">
        <f t="shared" si="39"/>
        <v>58.274999999999991</v>
      </c>
      <c r="D119" s="19">
        <f t="shared" si="40"/>
        <v>5.411953348342438</v>
      </c>
      <c r="E119" s="4">
        <f t="shared" si="41"/>
        <v>17.002152880723287</v>
      </c>
      <c r="F119" s="4">
        <f t="shared" si="47"/>
        <v>22.017787980536685</v>
      </c>
      <c r="G119" s="5">
        <f t="shared" si="42"/>
        <v>290838747.23227692</v>
      </c>
      <c r="H119" s="6">
        <f t="shared" si="43"/>
        <v>1.7402778187201853E-3</v>
      </c>
      <c r="I119" s="7">
        <f t="shared" si="44"/>
        <v>12.881061620291756</v>
      </c>
      <c r="J119" s="19">
        <f t="shared" si="45"/>
        <v>2.705976674171219</v>
      </c>
      <c r="K119" s="19">
        <f t="shared" si="46"/>
        <v>-2.705976674171219</v>
      </c>
    </row>
    <row r="120" spans="1:11">
      <c r="A120" s="3">
        <v>0.96</v>
      </c>
      <c r="B120" s="3">
        <f t="shared" si="38"/>
        <v>124.32</v>
      </c>
      <c r="C120" s="3">
        <f t="shared" si="39"/>
        <v>59.569999999999993</v>
      </c>
      <c r="D120" s="19">
        <f t="shared" si="40"/>
        <v>4.5271619822445039</v>
      </c>
      <c r="E120" s="4">
        <f t="shared" si="41"/>
        <v>14.222498825030339</v>
      </c>
      <c r="F120" s="4">
        <f t="shared" si="47"/>
        <v>18.418135978414313</v>
      </c>
      <c r="G120" s="5">
        <f t="shared" si="42"/>
        <v>293900207.72945881</v>
      </c>
      <c r="H120" s="6">
        <f t="shared" si="43"/>
        <v>1.7378676478748531E-3</v>
      </c>
      <c r="I120" s="7">
        <f t="shared" si="44"/>
        <v>10.760235119228193</v>
      </c>
      <c r="J120" s="19">
        <f t="shared" si="45"/>
        <v>2.263580991122252</v>
      </c>
      <c r="K120" s="19">
        <f t="shared" si="46"/>
        <v>-2.263580991122252</v>
      </c>
    </row>
    <row r="121" spans="1:11">
      <c r="A121" s="3">
        <v>0.97</v>
      </c>
      <c r="B121" s="3">
        <f t="shared" si="38"/>
        <v>125.61499999999999</v>
      </c>
      <c r="C121" s="3">
        <f t="shared" si="39"/>
        <v>60.864999999999995</v>
      </c>
      <c r="D121" s="19">
        <f t="shared" si="40"/>
        <v>3.5964584279123839</v>
      </c>
      <c r="E121" s="4">
        <f t="shared" si="41"/>
        <v>11.298607376070642</v>
      </c>
      <c r="F121" s="4">
        <f t="shared" si="47"/>
        <v>14.631696552011501</v>
      </c>
      <c r="G121" s="5">
        <f t="shared" si="42"/>
        <v>296961668.22664064</v>
      </c>
      <c r="H121" s="6">
        <f t="shared" si="43"/>
        <v>1.7354870108863948E-3</v>
      </c>
      <c r="I121" s="7">
        <f t="shared" si="44"/>
        <v>8.5364134402326179</v>
      </c>
      <c r="J121" s="19">
        <f t="shared" si="45"/>
        <v>1.798229213956192</v>
      </c>
      <c r="K121" s="19">
        <f t="shared" si="46"/>
        <v>-1.798229213956192</v>
      </c>
    </row>
    <row r="122" spans="1:11">
      <c r="A122" s="3">
        <v>0.98</v>
      </c>
      <c r="B122" s="3">
        <f t="shared" si="38"/>
        <v>126.91</v>
      </c>
      <c r="C122" s="3">
        <f t="shared" si="39"/>
        <v>62.16</v>
      </c>
      <c r="D122" s="19">
        <f t="shared" si="40"/>
        <v>2.6001717609046895</v>
      </c>
      <c r="E122" s="4">
        <f t="shared" si="41"/>
        <v>8.1686805021298081</v>
      </c>
      <c r="F122" s="4">
        <f t="shared" si="47"/>
        <v>10.578441250258116</v>
      </c>
      <c r="G122" s="5">
        <f t="shared" si="42"/>
        <v>300023128.72382253</v>
      </c>
      <c r="H122" s="6">
        <f t="shared" si="43"/>
        <v>1.7331352445592314E-3</v>
      </c>
      <c r="I122" s="7">
        <f t="shared" si="44"/>
        <v>6.1633030158244733</v>
      </c>
      <c r="J122" s="19">
        <f t="shared" si="45"/>
        <v>1.3000858804523447</v>
      </c>
      <c r="K122" s="19">
        <f t="shared" si="46"/>
        <v>-1.3000858804523447</v>
      </c>
    </row>
    <row r="123" spans="1:11">
      <c r="A123" s="3">
        <v>0.99</v>
      </c>
      <c r="B123" s="3">
        <f t="shared" si="38"/>
        <v>128.20500000000001</v>
      </c>
      <c r="C123" s="3">
        <f t="shared" si="39"/>
        <v>63.455000000000013</v>
      </c>
      <c r="D123" s="19">
        <f t="shared" si="40"/>
        <v>1.4934065122304676</v>
      </c>
      <c r="E123" s="4">
        <f t="shared" si="41"/>
        <v>4.6916749276463925</v>
      </c>
      <c r="F123" s="4">
        <f t="shared" si="47"/>
        <v>6.0757190313021532</v>
      </c>
      <c r="G123" s="5">
        <f t="shared" si="42"/>
        <v>303084589.22100443</v>
      </c>
      <c r="H123" s="6">
        <f t="shared" si="43"/>
        <v>1.7308117071961199E-3</v>
      </c>
      <c r="I123" s="7">
        <f t="shared" si="44"/>
        <v>3.5351422473391918</v>
      </c>
      <c r="J123" s="19">
        <f t="shared" si="45"/>
        <v>0.7467032561152338</v>
      </c>
      <c r="K123" s="19">
        <f t="shared" si="46"/>
        <v>-0.7467032561152338</v>
      </c>
    </row>
    <row r="124" spans="1:11">
      <c r="A124" s="3">
        <v>1</v>
      </c>
      <c r="B124" s="3">
        <f t="shared" si="38"/>
        <v>129.5</v>
      </c>
      <c r="C124" s="3">
        <f t="shared" si="39"/>
        <v>64.75</v>
      </c>
      <c r="D124" s="19">
        <f t="shared" si="40"/>
        <v>0</v>
      </c>
      <c r="E124" s="4">
        <f t="shared" si="41"/>
        <v>0</v>
      </c>
      <c r="F124" s="4">
        <f t="shared" si="47"/>
        <v>0</v>
      </c>
      <c r="G124" s="5">
        <f t="shared" si="42"/>
        <v>306146049.71818626</v>
      </c>
      <c r="H124" s="6">
        <f t="shared" si="43"/>
        <v>1.7285157776917048E-3</v>
      </c>
      <c r="I124" s="7">
        <f t="shared" si="44"/>
        <v>0</v>
      </c>
      <c r="J124" s="19">
        <f t="shared" si="45"/>
        <v>0</v>
      </c>
      <c r="K124" s="19">
        <f t="shared" si="46"/>
        <v>0</v>
      </c>
    </row>
    <row r="125" spans="1:11">
      <c r="A125" s="3"/>
      <c r="B125" s="3"/>
      <c r="C125" s="3"/>
      <c r="D125" s="19"/>
      <c r="E125" s="4"/>
      <c r="F125" s="4"/>
      <c r="G125" s="5"/>
      <c r="H125" s="6"/>
      <c r="I125" s="7"/>
      <c r="K125" s="19"/>
    </row>
    <row r="126" spans="1:11">
      <c r="A126" s="13" t="s">
        <v>42</v>
      </c>
      <c r="E126" s="4"/>
      <c r="F126" s="12">
        <f>SUM(F25:F124)</f>
        <v>4392.2243079286245</v>
      </c>
      <c r="G126" s="5"/>
      <c r="H126" s="6"/>
      <c r="I126" s="12">
        <f>SUM(I25:I124)</f>
        <v>2899.0915005273969</v>
      </c>
    </row>
    <row r="127" spans="1:11">
      <c r="F127" s="32" t="s">
        <v>43</v>
      </c>
      <c r="I127" s="32" t="s">
        <v>44</v>
      </c>
    </row>
    <row r="128" spans="1:11">
      <c r="A128" s="14" t="s">
        <v>45</v>
      </c>
      <c r="K128" s="14"/>
    </row>
    <row r="129" spans="1:11">
      <c r="A129" s="11" t="s">
        <v>46</v>
      </c>
      <c r="B129">
        <f>PI()*D^2/4</f>
        <v>119.46778729901186</v>
      </c>
      <c r="K129" s="14"/>
    </row>
    <row r="130" spans="1:11">
      <c r="A130" t="s">
        <v>47</v>
      </c>
      <c r="B130">
        <f>4*B129/(PI()*(LL/2)^2)</f>
        <v>3.6281179138321996E-2</v>
      </c>
      <c r="J130" s="14"/>
      <c r="K130" s="33"/>
    </row>
    <row r="131" spans="1:11">
      <c r="A131" t="s">
        <v>32</v>
      </c>
      <c r="B131" s="12">
        <f>q*B129*B130</f>
        <v>1351.5761155116711</v>
      </c>
    </row>
    <row r="133" spans="1:11" ht="13.9" thickBot="1">
      <c r="B133" s="28"/>
    </row>
    <row r="134" spans="1:11" ht="14.45" thickTop="1" thickBot="1">
      <c r="A134" s="29" t="s">
        <v>48</v>
      </c>
      <c r="B134" s="30">
        <f>B131+I126</f>
        <v>4250.667616039068</v>
      </c>
    </row>
    <row r="135" spans="1:11" ht="13.9" thickTop="1">
      <c r="A135" s="14" t="s">
        <v>49</v>
      </c>
    </row>
    <row r="138" spans="1:11">
      <c r="A138" s="14" t="s">
        <v>50</v>
      </c>
      <c r="B138" s="34">
        <f>B134/(q*S)</f>
        <v>9.9501192092617905E-3</v>
      </c>
    </row>
  </sheetData>
  <mergeCells count="9">
    <mergeCell ref="O45:Y46"/>
    <mergeCell ref="O42:Y44"/>
    <mergeCell ref="O41:Y41"/>
    <mergeCell ref="O34:Y34"/>
    <mergeCell ref="O35:Y35"/>
    <mergeCell ref="O37:Y37"/>
    <mergeCell ref="O38:Y38"/>
    <mergeCell ref="O36:Y36"/>
    <mergeCell ref="O39:Y40"/>
  </mergeCells>
  <printOptions gridLines="1" gridLinesSet="0"/>
  <pageMargins left="0.75" right="0.75" top="1" bottom="1" header="0.5" footer="0.5"/>
  <pageSetup orientation="portrait" r:id="rId1"/>
  <headerFooter alignWithMargins="0">
    <oddHeader>&amp;A</oddHeader>
    <oddFooter>Page &amp;P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86"/>
  <sheetViews>
    <sheetView zoomScaleNormal="100" workbookViewId="0">
      <selection activeCell="D66" sqref="D66"/>
    </sheetView>
  </sheetViews>
  <sheetFormatPr defaultRowHeight="13.15"/>
  <cols>
    <col min="1" max="1" width="13.28515625" customWidth="1"/>
    <col min="4" max="4" width="9.140625" customWidth="1"/>
    <col min="10" max="10" width="9.140625" customWidth="1"/>
  </cols>
  <sheetData>
    <row r="1" spans="1:7" ht="15.6">
      <c r="D1" s="15" t="s">
        <v>0</v>
      </c>
    </row>
    <row r="2" spans="1:7">
      <c r="A2" s="14"/>
    </row>
    <row r="3" spans="1:7">
      <c r="A3" s="14" t="s">
        <v>1</v>
      </c>
    </row>
    <row r="4" spans="1:7">
      <c r="A4" t="s">
        <v>2</v>
      </c>
      <c r="B4" s="23">
        <v>0.74</v>
      </c>
    </row>
    <row r="5" spans="1:7">
      <c r="A5" t="s">
        <v>3</v>
      </c>
      <c r="B5" s="24">
        <v>36000</v>
      </c>
      <c r="C5" s="8"/>
    </row>
    <row r="6" spans="1:7">
      <c r="A6" t="s">
        <v>4</v>
      </c>
      <c r="B6" s="9">
        <f>(1036-0.0034*(H-20000))*MC</f>
        <v>726.38400000000001</v>
      </c>
      <c r="C6" s="9"/>
    </row>
    <row r="7" spans="1:7">
      <c r="A7" s="1" t="s">
        <v>5</v>
      </c>
      <c r="B7">
        <f>IF(H&lt;10000,(1-0.00002615*H)*0.076474,IF(H&gt;40000,(-0.0000091*H+0.6211)*0.076474,(-0.00001681*H+0.9066)*0.076474))</f>
        <v>2.3052322559999994E-2</v>
      </c>
    </row>
    <row r="8" spans="1:7">
      <c r="A8" t="s">
        <v>6</v>
      </c>
      <c r="B8">
        <f>0.5*B7*(B6^2)/32.2</f>
        <v>188.86929506557402</v>
      </c>
    </row>
    <row r="9" spans="1:7">
      <c r="A9" s="1" t="s">
        <v>7</v>
      </c>
      <c r="B9">
        <f>0.0000107</f>
        <v>1.0699999999999999E-5</v>
      </c>
    </row>
    <row r="10" spans="1:7">
      <c r="A10" s="1" t="s">
        <v>8</v>
      </c>
      <c r="B10">
        <f>B9/B7</f>
        <v>4.6416147319430887E-4</v>
      </c>
    </row>
    <row r="11" spans="1:7">
      <c r="A11" s="1"/>
    </row>
    <row r="12" spans="1:7">
      <c r="A12" s="14" t="s">
        <v>9</v>
      </c>
      <c r="D12" s="14" t="s">
        <v>10</v>
      </c>
    </row>
    <row r="13" spans="1:7">
      <c r="A13" s="11" t="s">
        <v>11</v>
      </c>
      <c r="B13" s="25">
        <f>148/12</f>
        <v>12.333333333333334</v>
      </c>
      <c r="D13" s="17" t="s">
        <v>12</v>
      </c>
      <c r="E13">
        <f>1+(60/B14^3) + B14/400</f>
        <v>1.0901842329085014</v>
      </c>
    </row>
    <row r="14" spans="1:7">
      <c r="A14" t="s">
        <v>13</v>
      </c>
      <c r="B14" s="21">
        <f>LL/D</f>
        <v>9.6891891891891895</v>
      </c>
      <c r="C14" s="10"/>
      <c r="D14" s="17" t="s">
        <v>14</v>
      </c>
      <c r="E14">
        <v>1</v>
      </c>
      <c r="G14" s="2"/>
    </row>
    <row r="15" spans="1:7">
      <c r="A15" t="s">
        <v>15</v>
      </c>
      <c r="B15" s="26">
        <v>119.5</v>
      </c>
      <c r="C15" s="10"/>
      <c r="D15" s="17" t="s">
        <v>16</v>
      </c>
      <c r="E15">
        <f>E13*E14</f>
        <v>1.0901842329085014</v>
      </c>
      <c r="G15" s="2"/>
    </row>
    <row r="16" spans="1:7">
      <c r="A16" t="s">
        <v>17</v>
      </c>
      <c r="B16" s="27">
        <v>1135</v>
      </c>
      <c r="C16" s="31"/>
      <c r="G16" s="2"/>
    </row>
    <row r="17" spans="1:11">
      <c r="A17" t="s">
        <v>51</v>
      </c>
      <c r="B17" s="21">
        <v>0.14000000000000001</v>
      </c>
      <c r="C17" s="31"/>
      <c r="E17" s="3"/>
      <c r="F17" s="3"/>
    </row>
    <row r="18" spans="1:11">
      <c r="A18" t="s">
        <v>52</v>
      </c>
      <c r="B18" s="21">
        <v>0.14000000000000001</v>
      </c>
      <c r="C18" s="31"/>
      <c r="G18" s="2"/>
    </row>
    <row r="20" spans="1:11">
      <c r="A20" s="14" t="s">
        <v>22</v>
      </c>
      <c r="D20" s="17" t="s">
        <v>23</v>
      </c>
    </row>
    <row r="21" spans="1:11" ht="15.6">
      <c r="A21" s="20" t="s">
        <v>24</v>
      </c>
      <c r="B21" s="20" t="s">
        <v>25</v>
      </c>
      <c r="C21" s="20" t="s">
        <v>26</v>
      </c>
      <c r="D21" s="20" t="s">
        <v>27</v>
      </c>
      <c r="E21" s="20" t="s">
        <v>28</v>
      </c>
      <c r="F21" s="20" t="s">
        <v>29</v>
      </c>
      <c r="G21" s="20" t="s">
        <v>30</v>
      </c>
      <c r="H21" s="20" t="s">
        <v>31</v>
      </c>
      <c r="I21" s="20" t="s">
        <v>32</v>
      </c>
      <c r="J21" s="22" t="s">
        <v>33</v>
      </c>
      <c r="K21" s="22" t="s">
        <v>34</v>
      </c>
    </row>
    <row r="22" spans="1:11">
      <c r="A22" s="3">
        <v>0</v>
      </c>
      <c r="B22" s="3">
        <f t="shared" ref="B22:B42" si="0">A22*LL</f>
        <v>0</v>
      </c>
      <c r="C22" s="3">
        <f t="shared" ref="C22:C53" si="1">B22-LL/2</f>
        <v>-59.75</v>
      </c>
      <c r="D22" s="19">
        <f t="shared" ref="D22:D29" si="2">D*(B22/(LL*0.14))^0.8</f>
        <v>0</v>
      </c>
      <c r="E22" s="4">
        <f t="shared" ref="E22:E72" si="3">PI()*D22</f>
        <v>0</v>
      </c>
      <c r="F22" s="4"/>
      <c r="G22" s="5"/>
      <c r="H22" s="6"/>
      <c r="I22" s="7"/>
      <c r="J22" s="19">
        <f>D22/2</f>
        <v>0</v>
      </c>
      <c r="K22" s="19">
        <f>-J22</f>
        <v>0</v>
      </c>
    </row>
    <row r="23" spans="1:11">
      <c r="A23" s="3">
        <v>0.02</v>
      </c>
      <c r="B23" s="3">
        <f t="shared" si="0"/>
        <v>2.39</v>
      </c>
      <c r="C23" s="3">
        <f t="shared" si="1"/>
        <v>-57.36</v>
      </c>
      <c r="D23" s="19">
        <f t="shared" si="2"/>
        <v>2.6001717609046868</v>
      </c>
      <c r="E23" s="4">
        <f t="shared" si="3"/>
        <v>8.168680502129801</v>
      </c>
      <c r="F23" s="4">
        <f t="shared" ref="F23:F72" si="4">E23*(B23-B22)</f>
        <v>19.523146400090226</v>
      </c>
      <c r="G23" s="5">
        <f t="shared" ref="G23:G32" si="5">V*B23/nu</f>
        <v>3740202.1931131836</v>
      </c>
      <c r="H23" s="6">
        <f t="shared" ref="H23:H32" si="6">IF(G23&lt;1000000,1.328/SQRT(G23), 0.455/( (LOG(G23)^2.58)*(1+0.144*MC^2)^0.65))</f>
        <v>3.3633593170802087E-3</v>
      </c>
      <c r="I23" s="7">
        <f t="shared" ref="I23:I32" si="7">F23*H23*q*FQ</f>
        <v>13.52023790658879</v>
      </c>
      <c r="J23" s="19">
        <f t="shared" ref="J23:J72" si="8">D23/2</f>
        <v>1.3000858804523434</v>
      </c>
      <c r="K23" s="19">
        <f t="shared" ref="K23:K72" si="9">-J23</f>
        <v>-1.3000858804523434</v>
      </c>
    </row>
    <row r="24" spans="1:11">
      <c r="A24" s="3">
        <v>0.04</v>
      </c>
      <c r="B24" s="3">
        <f t="shared" si="0"/>
        <v>4.78</v>
      </c>
      <c r="C24" s="3">
        <f t="shared" si="1"/>
        <v>-54.97</v>
      </c>
      <c r="D24" s="19">
        <f t="shared" si="2"/>
        <v>4.5271619822445004</v>
      </c>
      <c r="E24" s="4">
        <f t="shared" si="3"/>
        <v>14.222498825030328</v>
      </c>
      <c r="F24" s="4">
        <f t="shared" si="4"/>
        <v>33.991772191822484</v>
      </c>
      <c r="G24" s="5">
        <f t="shared" si="5"/>
        <v>7480404.3862263672</v>
      </c>
      <c r="H24" s="6">
        <f t="shared" si="6"/>
        <v>2.9963820285463347E-3</v>
      </c>
      <c r="I24" s="7">
        <f t="shared" si="7"/>
        <v>20.971632908683013</v>
      </c>
      <c r="J24" s="19">
        <f t="shared" si="8"/>
        <v>2.2635809911222502</v>
      </c>
      <c r="K24" s="19">
        <f t="shared" si="9"/>
        <v>-2.2635809911222502</v>
      </c>
    </row>
    <row r="25" spans="1:11">
      <c r="A25" s="3">
        <v>0.06</v>
      </c>
      <c r="B25" s="3">
        <f t="shared" si="0"/>
        <v>7.17</v>
      </c>
      <c r="C25" s="3">
        <f t="shared" si="1"/>
        <v>-52.58</v>
      </c>
      <c r="D25" s="19">
        <f t="shared" si="2"/>
        <v>6.2617978205804325</v>
      </c>
      <c r="E25" s="4">
        <f t="shared" si="3"/>
        <v>19.672018031400064</v>
      </c>
      <c r="F25" s="4">
        <f t="shared" si="4"/>
        <v>47.016123095046147</v>
      </c>
      <c r="G25" s="5">
        <f t="shared" si="5"/>
        <v>11220606.579339549</v>
      </c>
      <c r="H25" s="6">
        <f t="shared" si="6"/>
        <v>2.8070815805918479E-3</v>
      </c>
      <c r="I25" s="7">
        <f t="shared" si="7"/>
        <v>27.174596562727849</v>
      </c>
      <c r="J25" s="19">
        <f t="shared" si="8"/>
        <v>3.1308989102902163</v>
      </c>
      <c r="K25" s="19">
        <f t="shared" si="9"/>
        <v>-3.1308989102902163</v>
      </c>
    </row>
    <row r="26" spans="1:11">
      <c r="A26" s="3">
        <v>0.08</v>
      </c>
      <c r="B26" s="3">
        <f t="shared" si="0"/>
        <v>9.56</v>
      </c>
      <c r="C26" s="3">
        <f t="shared" si="1"/>
        <v>-50.19</v>
      </c>
      <c r="D26" s="19">
        <f t="shared" si="2"/>
        <v>7.8822468275514952</v>
      </c>
      <c r="E26" s="4">
        <f t="shared" si="3"/>
        <v>24.76280872721723</v>
      </c>
      <c r="F26" s="4">
        <f t="shared" si="4"/>
        <v>59.183112858049192</v>
      </c>
      <c r="G26" s="5">
        <f t="shared" si="5"/>
        <v>14960808.772452734</v>
      </c>
      <c r="H26" s="6">
        <f t="shared" si="6"/>
        <v>2.6826996510393255E-3</v>
      </c>
      <c r="I26" s="7">
        <f t="shared" si="7"/>
        <v>32.691218836057608</v>
      </c>
      <c r="J26" s="19">
        <f t="shared" si="8"/>
        <v>3.9411234137757476</v>
      </c>
      <c r="K26" s="19">
        <f t="shared" si="9"/>
        <v>-3.9411234137757476</v>
      </c>
    </row>
    <row r="27" spans="1:11">
      <c r="A27" s="3">
        <v>0.1</v>
      </c>
      <c r="B27" s="3">
        <f t="shared" si="0"/>
        <v>11.950000000000001</v>
      </c>
      <c r="C27" s="3">
        <f t="shared" si="1"/>
        <v>-47.8</v>
      </c>
      <c r="D27" s="19">
        <f t="shared" si="2"/>
        <v>9.4227580718637025</v>
      </c>
      <c r="E27" s="4">
        <f t="shared" si="3"/>
        <v>29.602467535120933</v>
      </c>
      <c r="F27" s="4">
        <f t="shared" si="4"/>
        <v>70.749897408939049</v>
      </c>
      <c r="G27" s="5">
        <f t="shared" si="5"/>
        <v>18701010.965565916</v>
      </c>
      <c r="H27" s="6">
        <f t="shared" si="6"/>
        <v>2.5914292442554203E-3</v>
      </c>
      <c r="I27" s="7">
        <f t="shared" si="7"/>
        <v>37.75082316128767</v>
      </c>
      <c r="J27" s="19">
        <f t="shared" si="8"/>
        <v>4.7113790359318513</v>
      </c>
      <c r="K27" s="19">
        <f t="shared" si="9"/>
        <v>-4.7113790359318513</v>
      </c>
    </row>
    <row r="28" spans="1:11">
      <c r="A28" s="3">
        <v>0.12</v>
      </c>
      <c r="B28" s="3">
        <f t="shared" si="0"/>
        <v>14.34</v>
      </c>
      <c r="C28" s="3">
        <f t="shared" si="1"/>
        <v>-45.41</v>
      </c>
      <c r="D28" s="19">
        <f t="shared" si="2"/>
        <v>10.902423239905477</v>
      </c>
      <c r="E28" s="4">
        <f t="shared" si="3"/>
        <v>34.250972756813681</v>
      </c>
      <c r="F28" s="4">
        <f t="shared" si="4"/>
        <v>81.859824888784658</v>
      </c>
      <c r="G28" s="5">
        <f t="shared" si="5"/>
        <v>22441213.158679098</v>
      </c>
      <c r="H28" s="6">
        <f t="shared" si="6"/>
        <v>2.5200242491280282E-3</v>
      </c>
      <c r="I28" s="7">
        <f t="shared" si="7"/>
        <v>42.475332487583387</v>
      </c>
      <c r="J28" s="19">
        <f t="shared" si="8"/>
        <v>5.4512116199527387</v>
      </c>
      <c r="K28" s="19">
        <f t="shared" si="9"/>
        <v>-5.4512116199527387</v>
      </c>
    </row>
    <row r="29" spans="1:11">
      <c r="A29" s="3">
        <v>0.14000000000000001</v>
      </c>
      <c r="B29" s="3">
        <f t="shared" si="0"/>
        <v>16.73</v>
      </c>
      <c r="C29" s="3">
        <f t="shared" si="1"/>
        <v>-43.019999999999996</v>
      </c>
      <c r="D29" s="19">
        <f t="shared" si="2"/>
        <v>12.333333333333334</v>
      </c>
      <c r="E29" s="4">
        <f t="shared" si="3"/>
        <v>38.746309394274114</v>
      </c>
      <c r="F29" s="4">
        <f t="shared" si="4"/>
        <v>92.603679452315149</v>
      </c>
      <c r="G29" s="5">
        <f t="shared" si="5"/>
        <v>26181415.351792287</v>
      </c>
      <c r="H29" s="6">
        <f t="shared" si="6"/>
        <v>2.4617648867028869E-3</v>
      </c>
      <c r="I29" s="7">
        <f t="shared" si="7"/>
        <v>46.939241971691132</v>
      </c>
      <c r="J29" s="19">
        <f t="shared" si="8"/>
        <v>6.166666666666667</v>
      </c>
      <c r="K29" s="19">
        <f t="shared" si="9"/>
        <v>-6.166666666666667</v>
      </c>
    </row>
    <row r="30" spans="1:11">
      <c r="A30" s="3">
        <v>0.16</v>
      </c>
      <c r="B30" s="3">
        <f t="shared" si="0"/>
        <v>19.12</v>
      </c>
      <c r="C30" s="3">
        <f t="shared" si="1"/>
        <v>-40.629999999999995</v>
      </c>
      <c r="D30" s="19">
        <f t="shared" ref="D30:D63" si="10">D</f>
        <v>12.333333333333334</v>
      </c>
      <c r="E30" s="4">
        <f t="shared" si="3"/>
        <v>38.746309394274114</v>
      </c>
      <c r="F30" s="4">
        <f t="shared" si="4"/>
        <v>92.603679452315149</v>
      </c>
      <c r="G30" s="5">
        <f t="shared" si="5"/>
        <v>29921617.544905469</v>
      </c>
      <c r="H30" s="6">
        <f t="shared" si="6"/>
        <v>2.4127982842984735E-3</v>
      </c>
      <c r="I30" s="7">
        <f t="shared" si="7"/>
        <v>46.00558043024688</v>
      </c>
      <c r="J30" s="19">
        <f t="shared" si="8"/>
        <v>6.166666666666667</v>
      </c>
      <c r="K30" s="19">
        <f t="shared" si="9"/>
        <v>-6.166666666666667</v>
      </c>
    </row>
    <row r="31" spans="1:11">
      <c r="A31" s="3">
        <v>0.18</v>
      </c>
      <c r="B31" s="3">
        <f t="shared" si="0"/>
        <v>21.509999999999998</v>
      </c>
      <c r="C31" s="3">
        <f t="shared" si="1"/>
        <v>-38.24</v>
      </c>
      <c r="D31" s="19">
        <f t="shared" si="10"/>
        <v>12.333333333333334</v>
      </c>
      <c r="E31" s="4">
        <f t="shared" si="3"/>
        <v>38.746309394274114</v>
      </c>
      <c r="F31" s="4">
        <f t="shared" si="4"/>
        <v>92.603679452315021</v>
      </c>
      <c r="G31" s="5">
        <f t="shared" si="5"/>
        <v>33661819.738018647</v>
      </c>
      <c r="H31" s="6">
        <f t="shared" si="6"/>
        <v>2.3707214409219718E-3</v>
      </c>
      <c r="I31" s="7">
        <f t="shared" si="7"/>
        <v>45.203288081646534</v>
      </c>
      <c r="J31" s="19">
        <f t="shared" si="8"/>
        <v>6.166666666666667</v>
      </c>
      <c r="K31" s="19">
        <f t="shared" si="9"/>
        <v>-6.166666666666667</v>
      </c>
    </row>
    <row r="32" spans="1:11">
      <c r="A32" s="3">
        <v>0.2</v>
      </c>
      <c r="B32" s="3">
        <f t="shared" si="0"/>
        <v>23.900000000000002</v>
      </c>
      <c r="C32" s="3">
        <f t="shared" si="1"/>
        <v>-35.849999999999994</v>
      </c>
      <c r="D32" s="19">
        <f t="shared" si="10"/>
        <v>12.333333333333334</v>
      </c>
      <c r="E32" s="4">
        <f t="shared" si="3"/>
        <v>38.746309394274114</v>
      </c>
      <c r="F32" s="4">
        <f t="shared" si="4"/>
        <v>92.603679452315291</v>
      </c>
      <c r="G32" s="5">
        <f t="shared" si="5"/>
        <v>37402021.931131832</v>
      </c>
      <c r="H32" s="6">
        <f t="shared" si="6"/>
        <v>2.3339403247240494E-3</v>
      </c>
      <c r="I32" s="7">
        <f t="shared" si="7"/>
        <v>44.501971021464087</v>
      </c>
      <c r="J32" s="19">
        <f t="shared" si="8"/>
        <v>6.166666666666667</v>
      </c>
      <c r="K32" s="19">
        <f t="shared" si="9"/>
        <v>-6.166666666666667</v>
      </c>
    </row>
    <row r="33" spans="1:11">
      <c r="A33" s="3">
        <v>0.22</v>
      </c>
      <c r="B33" s="3">
        <f t="shared" si="0"/>
        <v>26.29</v>
      </c>
      <c r="C33" s="3">
        <f t="shared" si="1"/>
        <v>-33.46</v>
      </c>
      <c r="D33" s="19">
        <f t="shared" si="10"/>
        <v>12.333333333333334</v>
      </c>
      <c r="E33" s="4">
        <f t="shared" si="3"/>
        <v>38.746309394274114</v>
      </c>
      <c r="F33" s="4">
        <f t="shared" si="4"/>
        <v>92.603679452315021</v>
      </c>
      <c r="G33" s="5">
        <f t="shared" ref="G33:G42" si="11">V*B33/nu</f>
        <v>41142224.124245018</v>
      </c>
      <c r="H33" s="6">
        <f t="shared" ref="H33:H42" si="12">IF(G33&lt;1000000,1.328/SQRT(G33), 0.455/( (LOG(G33)^2.58)*(1+0.144*MC^2)^0.65))</f>
        <v>2.3013464039467412E-3</v>
      </c>
      <c r="I33" s="7">
        <f t="shared" ref="I33:I42" si="13">F33*H33*q*FQ</f>
        <v>43.880492527544391</v>
      </c>
      <c r="J33" s="19">
        <f t="shared" si="8"/>
        <v>6.166666666666667</v>
      </c>
      <c r="K33" s="19">
        <f t="shared" si="9"/>
        <v>-6.166666666666667</v>
      </c>
    </row>
    <row r="34" spans="1:11">
      <c r="A34" s="3">
        <v>0.24</v>
      </c>
      <c r="B34" s="3">
        <f t="shared" si="0"/>
        <v>28.68</v>
      </c>
      <c r="C34" s="3">
        <f t="shared" si="1"/>
        <v>-31.07</v>
      </c>
      <c r="D34" s="19">
        <f t="shared" si="10"/>
        <v>12.333333333333334</v>
      </c>
      <c r="E34" s="4">
        <f t="shared" si="3"/>
        <v>38.746309394274114</v>
      </c>
      <c r="F34" s="4">
        <f t="shared" si="4"/>
        <v>92.603679452315149</v>
      </c>
      <c r="G34" s="5">
        <f t="shared" si="11"/>
        <v>44882426.317358196</v>
      </c>
      <c r="H34" s="6">
        <f t="shared" si="12"/>
        <v>2.272139416570684E-3</v>
      </c>
      <c r="I34" s="7">
        <f t="shared" si="13"/>
        <v>43.32359375337068</v>
      </c>
      <c r="J34" s="19">
        <f t="shared" si="8"/>
        <v>6.166666666666667</v>
      </c>
      <c r="K34" s="19">
        <f t="shared" si="9"/>
        <v>-6.166666666666667</v>
      </c>
    </row>
    <row r="35" spans="1:11">
      <c r="A35" s="3">
        <v>0.26</v>
      </c>
      <c r="B35" s="3">
        <f t="shared" si="0"/>
        <v>31.07</v>
      </c>
      <c r="C35" s="3">
        <f t="shared" si="1"/>
        <v>-28.68</v>
      </c>
      <c r="D35" s="19">
        <f t="shared" si="10"/>
        <v>12.333333333333334</v>
      </c>
      <c r="E35" s="4">
        <f t="shared" si="3"/>
        <v>38.746309394274114</v>
      </c>
      <c r="F35" s="4">
        <f t="shared" si="4"/>
        <v>92.603679452315149</v>
      </c>
      <c r="G35" s="5">
        <f t="shared" si="11"/>
        <v>48622628.510471381</v>
      </c>
      <c r="H35" s="6">
        <f t="shared" si="12"/>
        <v>2.2457238438344427E-3</v>
      </c>
      <c r="I35" s="7">
        <f t="shared" si="13"/>
        <v>42.819919756237709</v>
      </c>
      <c r="J35" s="19">
        <f t="shared" si="8"/>
        <v>6.166666666666667</v>
      </c>
      <c r="K35" s="19">
        <f t="shared" si="9"/>
        <v>-6.166666666666667</v>
      </c>
    </row>
    <row r="36" spans="1:11">
      <c r="A36" s="3">
        <v>0.28000000000000003</v>
      </c>
      <c r="B36" s="3">
        <f t="shared" si="0"/>
        <v>33.46</v>
      </c>
      <c r="C36" s="3">
        <f t="shared" si="1"/>
        <v>-26.29</v>
      </c>
      <c r="D36" s="19">
        <f t="shared" si="10"/>
        <v>12.333333333333334</v>
      </c>
      <c r="E36" s="4">
        <f t="shared" si="3"/>
        <v>38.746309394274114</v>
      </c>
      <c r="F36" s="4">
        <f t="shared" si="4"/>
        <v>92.603679452315149</v>
      </c>
      <c r="G36" s="5">
        <f t="shared" si="11"/>
        <v>52362830.703584574</v>
      </c>
      <c r="H36" s="6">
        <f t="shared" si="12"/>
        <v>2.2216452446543584E-3</v>
      </c>
      <c r="I36" s="7">
        <f t="shared" si="13"/>
        <v>42.360805565699756</v>
      </c>
      <c r="J36" s="19">
        <f t="shared" si="8"/>
        <v>6.166666666666667</v>
      </c>
      <c r="K36" s="19">
        <f t="shared" si="9"/>
        <v>-6.166666666666667</v>
      </c>
    </row>
    <row r="37" spans="1:11">
      <c r="A37" s="3">
        <v>0.3</v>
      </c>
      <c r="B37" s="3">
        <f t="shared" si="0"/>
        <v>35.85</v>
      </c>
      <c r="C37" s="3">
        <f t="shared" si="1"/>
        <v>-23.9</v>
      </c>
      <c r="D37" s="19">
        <f t="shared" si="10"/>
        <v>12.333333333333334</v>
      </c>
      <c r="E37" s="4">
        <f t="shared" si="3"/>
        <v>38.746309394274114</v>
      </c>
      <c r="F37" s="4">
        <f t="shared" si="4"/>
        <v>92.603679452315149</v>
      </c>
      <c r="G37" s="5">
        <f t="shared" si="11"/>
        <v>56103032.896697752</v>
      </c>
      <c r="H37" s="6">
        <f t="shared" si="12"/>
        <v>2.1995494119574181E-3</v>
      </c>
      <c r="I37" s="7">
        <f t="shared" si="13"/>
        <v>41.939497404579306</v>
      </c>
      <c r="J37" s="19">
        <f t="shared" si="8"/>
        <v>6.166666666666667</v>
      </c>
      <c r="K37" s="19">
        <f t="shared" si="9"/>
        <v>-6.166666666666667</v>
      </c>
    </row>
    <row r="38" spans="1:11">
      <c r="A38" s="3">
        <v>0.32</v>
      </c>
      <c r="B38" s="3">
        <f t="shared" si="0"/>
        <v>38.24</v>
      </c>
      <c r="C38" s="3">
        <f t="shared" si="1"/>
        <v>-21.509999999999998</v>
      </c>
      <c r="D38" s="19">
        <f t="shared" si="10"/>
        <v>12.333333333333334</v>
      </c>
      <c r="E38" s="4">
        <f t="shared" si="3"/>
        <v>38.746309394274114</v>
      </c>
      <c r="F38" s="4">
        <f t="shared" si="4"/>
        <v>92.603679452315149</v>
      </c>
      <c r="G38" s="5">
        <f t="shared" si="11"/>
        <v>59843235.089810938</v>
      </c>
      <c r="H38" s="6">
        <f t="shared" si="12"/>
        <v>2.1791552253745002E-3</v>
      </c>
      <c r="I38" s="7">
        <f t="shared" si="13"/>
        <v>41.550635062768301</v>
      </c>
      <c r="J38" s="19">
        <f t="shared" si="8"/>
        <v>6.166666666666667</v>
      </c>
      <c r="K38" s="19">
        <f t="shared" si="9"/>
        <v>-6.166666666666667</v>
      </c>
    </row>
    <row r="39" spans="1:11">
      <c r="A39" s="3">
        <v>0.34</v>
      </c>
      <c r="B39" s="3">
        <f t="shared" si="0"/>
        <v>40.630000000000003</v>
      </c>
      <c r="C39" s="3">
        <f t="shared" si="1"/>
        <v>-19.119999999999997</v>
      </c>
      <c r="D39" s="19">
        <f t="shared" si="10"/>
        <v>12.333333333333334</v>
      </c>
      <c r="E39" s="4">
        <f t="shared" si="3"/>
        <v>38.746309394274114</v>
      </c>
      <c r="F39" s="4">
        <f t="shared" si="4"/>
        <v>92.603679452315149</v>
      </c>
      <c r="G39" s="5">
        <f t="shared" si="11"/>
        <v>63583437.282924116</v>
      </c>
      <c r="H39" s="6">
        <f t="shared" si="12"/>
        <v>2.1602360557423914E-3</v>
      </c>
      <c r="I39" s="7">
        <f t="shared" si="13"/>
        <v>41.189897331045096</v>
      </c>
      <c r="J39" s="19">
        <f t="shared" si="8"/>
        <v>6.166666666666667</v>
      </c>
      <c r="K39" s="19">
        <f t="shared" si="9"/>
        <v>-6.166666666666667</v>
      </c>
    </row>
    <row r="40" spans="1:11">
      <c r="A40" s="3">
        <v>0.36</v>
      </c>
      <c r="B40" s="3">
        <f t="shared" si="0"/>
        <v>43.019999999999996</v>
      </c>
      <c r="C40" s="3">
        <f t="shared" si="1"/>
        <v>-16.730000000000004</v>
      </c>
      <c r="D40" s="19">
        <f t="shared" si="10"/>
        <v>12.333333333333334</v>
      </c>
      <c r="E40" s="4">
        <f t="shared" si="3"/>
        <v>38.746309394274114</v>
      </c>
      <c r="F40" s="4">
        <f t="shared" si="4"/>
        <v>92.603679452314879</v>
      </c>
      <c r="G40" s="5">
        <f t="shared" si="11"/>
        <v>67323639.476037294</v>
      </c>
      <c r="H40" s="6">
        <f t="shared" si="12"/>
        <v>2.1426066928136875E-3</v>
      </c>
      <c r="I40" s="7">
        <f t="shared" si="13"/>
        <v>40.853752747625599</v>
      </c>
      <c r="J40" s="19">
        <f t="shared" si="8"/>
        <v>6.166666666666667</v>
      </c>
      <c r="K40" s="19">
        <f t="shared" si="9"/>
        <v>-6.166666666666667</v>
      </c>
    </row>
    <row r="41" spans="1:11">
      <c r="A41" s="3">
        <v>0.38</v>
      </c>
      <c r="B41" s="3">
        <f t="shared" si="0"/>
        <v>45.410000000000004</v>
      </c>
      <c r="C41" s="3">
        <f t="shared" si="1"/>
        <v>-14.339999999999996</v>
      </c>
      <c r="D41" s="19">
        <f t="shared" si="10"/>
        <v>12.333333333333334</v>
      </c>
      <c r="E41" s="4">
        <f t="shared" si="3"/>
        <v>38.746309394274114</v>
      </c>
      <c r="F41" s="4">
        <f t="shared" si="4"/>
        <v>92.603679452315433</v>
      </c>
      <c r="G41" s="5">
        <f t="shared" si="11"/>
        <v>71063841.669150487</v>
      </c>
      <c r="H41" s="6">
        <f t="shared" si="12"/>
        <v>2.1261139458720064E-3</v>
      </c>
      <c r="I41" s="7">
        <f t="shared" si="13"/>
        <v>40.539280377150902</v>
      </c>
      <c r="J41" s="19">
        <f t="shared" si="8"/>
        <v>6.166666666666667</v>
      </c>
      <c r="K41" s="19">
        <f t="shared" si="9"/>
        <v>-6.166666666666667</v>
      </c>
    </row>
    <row r="42" spans="1:11">
      <c r="A42" s="3">
        <v>0.4</v>
      </c>
      <c r="B42" s="3">
        <f t="shared" si="0"/>
        <v>47.800000000000004</v>
      </c>
      <c r="C42" s="3">
        <f t="shared" si="1"/>
        <v>-11.949999999999996</v>
      </c>
      <c r="D42" s="19">
        <f t="shared" si="10"/>
        <v>12.333333333333334</v>
      </c>
      <c r="E42" s="4">
        <f t="shared" si="3"/>
        <v>38.746309394274114</v>
      </c>
      <c r="F42" s="4">
        <f t="shared" si="4"/>
        <v>92.603679452315149</v>
      </c>
      <c r="G42" s="5">
        <f t="shared" si="11"/>
        <v>74804043.862263665</v>
      </c>
      <c r="H42" s="6">
        <f t="shared" si="12"/>
        <v>2.1106297498989343E-3</v>
      </c>
      <c r="I42" s="7">
        <f t="shared" si="13"/>
        <v>40.244038363811896</v>
      </c>
      <c r="J42" s="19">
        <f t="shared" si="8"/>
        <v>6.166666666666667</v>
      </c>
      <c r="K42" s="19">
        <f t="shared" si="9"/>
        <v>-6.166666666666667</v>
      </c>
    </row>
    <row r="43" spans="1:11">
      <c r="A43" s="3">
        <v>0.42</v>
      </c>
      <c r="B43" s="3">
        <f t="shared" ref="B43:B72" si="14">A43*LL</f>
        <v>50.19</v>
      </c>
      <c r="C43" s="3">
        <f t="shared" si="1"/>
        <v>-9.5600000000000023</v>
      </c>
      <c r="D43" s="19">
        <f t="shared" si="10"/>
        <v>12.333333333333334</v>
      </c>
      <c r="E43" s="4">
        <f t="shared" si="3"/>
        <v>38.746309394274114</v>
      </c>
      <c r="F43" s="4">
        <f t="shared" si="4"/>
        <v>92.603679452314879</v>
      </c>
      <c r="G43" s="5">
        <f t="shared" ref="G43:G72" si="15">V*B43/nu</f>
        <v>78544246.055376843</v>
      </c>
      <c r="H43" s="6">
        <f t="shared" ref="H43:H72" si="16">IF(G43&lt;1000000,1.328/SQRT(G43), 0.455/( (LOG(G43)^2.58)*(1+0.144*MC^2)^0.65))</f>
        <v>2.0960460197925412E-3</v>
      </c>
      <c r="I43" s="7">
        <f t="shared" ref="I43:I72" si="17">F43*H43*q*FQ</f>
        <v>39.965965815124697</v>
      </c>
      <c r="J43" s="19">
        <f t="shared" si="8"/>
        <v>6.166666666666667</v>
      </c>
      <c r="K43" s="19">
        <f t="shared" si="9"/>
        <v>-6.166666666666667</v>
      </c>
    </row>
    <row r="44" spans="1:11">
      <c r="A44" s="3">
        <v>0.44</v>
      </c>
      <c r="B44" s="3">
        <f t="shared" si="14"/>
        <v>52.58</v>
      </c>
      <c r="C44" s="3">
        <f t="shared" si="1"/>
        <v>-7.1700000000000017</v>
      </c>
      <c r="D44" s="19">
        <f t="shared" si="10"/>
        <v>12.333333333333334</v>
      </c>
      <c r="E44" s="4">
        <f t="shared" si="3"/>
        <v>38.746309394274114</v>
      </c>
      <c r="F44" s="4">
        <f t="shared" si="4"/>
        <v>92.603679452315149</v>
      </c>
      <c r="G44" s="5">
        <f t="shared" si="15"/>
        <v>82284448.248490036</v>
      </c>
      <c r="H44" s="6">
        <f t="shared" si="16"/>
        <v>2.0822707487238323E-3</v>
      </c>
      <c r="I44" s="7">
        <f t="shared" si="17"/>
        <v>39.703308408070086</v>
      </c>
      <c r="J44" s="19">
        <f t="shared" si="8"/>
        <v>6.166666666666667</v>
      </c>
      <c r="K44" s="19">
        <f t="shared" si="9"/>
        <v>-6.166666666666667</v>
      </c>
    </row>
    <row r="45" spans="1:11">
      <c r="A45" s="3">
        <v>0.46</v>
      </c>
      <c r="B45" s="3">
        <f t="shared" si="14"/>
        <v>54.97</v>
      </c>
      <c r="C45" s="3">
        <f t="shared" si="1"/>
        <v>-4.7800000000000011</v>
      </c>
      <c r="D45" s="19">
        <f t="shared" si="10"/>
        <v>12.333333333333334</v>
      </c>
      <c r="E45" s="4">
        <f t="shared" si="3"/>
        <v>38.746309394274114</v>
      </c>
      <c r="F45" s="4">
        <f t="shared" si="4"/>
        <v>92.603679452315149</v>
      </c>
      <c r="G45" s="5">
        <f t="shared" si="15"/>
        <v>86024650.441603199</v>
      </c>
      <c r="H45" s="6">
        <f t="shared" si="16"/>
        <v>2.0692250079158226E-3</v>
      </c>
      <c r="I45" s="7">
        <f t="shared" si="17"/>
        <v>39.45456118294117</v>
      </c>
      <c r="J45" s="19">
        <f t="shared" si="8"/>
        <v>6.166666666666667</v>
      </c>
      <c r="K45" s="19">
        <f t="shared" si="9"/>
        <v>-6.166666666666667</v>
      </c>
    </row>
    <row r="46" spans="1:11">
      <c r="A46" s="3">
        <v>0.48</v>
      </c>
      <c r="B46" s="3">
        <f t="shared" si="14"/>
        <v>57.36</v>
      </c>
      <c r="C46" s="3">
        <f t="shared" si="1"/>
        <v>-2.3900000000000006</v>
      </c>
      <c r="D46" s="19">
        <f t="shared" si="10"/>
        <v>12.333333333333334</v>
      </c>
      <c r="E46" s="4">
        <f t="shared" si="3"/>
        <v>38.746309394274114</v>
      </c>
      <c r="F46" s="4">
        <f t="shared" si="4"/>
        <v>92.603679452315149</v>
      </c>
      <c r="G46" s="5">
        <f t="shared" si="15"/>
        <v>89764852.634716392</v>
      </c>
      <c r="H46" s="6">
        <f t="shared" si="16"/>
        <v>2.0568406100978731E-3</v>
      </c>
      <c r="I46" s="7">
        <f t="shared" si="17"/>
        <v>39.218423991696653</v>
      </c>
      <c r="J46" s="19">
        <f t="shared" si="8"/>
        <v>6.166666666666667</v>
      </c>
      <c r="K46" s="19">
        <f t="shared" si="9"/>
        <v>-6.166666666666667</v>
      </c>
    </row>
    <row r="47" spans="1:11">
      <c r="A47" s="3">
        <v>0.5</v>
      </c>
      <c r="B47" s="3">
        <f t="shared" si="14"/>
        <v>59.75</v>
      </c>
      <c r="C47" s="3">
        <f t="shared" si="1"/>
        <v>0</v>
      </c>
      <c r="D47" s="19">
        <f t="shared" si="10"/>
        <v>12.333333333333334</v>
      </c>
      <c r="E47" s="4">
        <f t="shared" si="3"/>
        <v>38.746309394274114</v>
      </c>
      <c r="F47" s="4">
        <f t="shared" si="4"/>
        <v>92.603679452315149</v>
      </c>
      <c r="G47" s="5">
        <f t="shared" si="15"/>
        <v>93505054.827829584</v>
      </c>
      <c r="H47" s="6">
        <f t="shared" si="16"/>
        <v>2.0450582687349165E-3</v>
      </c>
      <c r="I47" s="7">
        <f t="shared" si="17"/>
        <v>38.993766399407399</v>
      </c>
      <c r="J47" s="19">
        <f t="shared" si="8"/>
        <v>6.166666666666667</v>
      </c>
      <c r="K47" s="19">
        <f t="shared" si="9"/>
        <v>-6.166666666666667</v>
      </c>
    </row>
    <row r="48" spans="1:11">
      <c r="A48" s="3">
        <v>0.52</v>
      </c>
      <c r="B48" s="3">
        <f t="shared" si="14"/>
        <v>62.14</v>
      </c>
      <c r="C48" s="3">
        <f t="shared" si="1"/>
        <v>2.3900000000000006</v>
      </c>
      <c r="D48" s="19">
        <f t="shared" si="10"/>
        <v>12.333333333333334</v>
      </c>
      <c r="E48" s="4">
        <f t="shared" si="3"/>
        <v>38.746309394274114</v>
      </c>
      <c r="F48" s="4">
        <f t="shared" si="4"/>
        <v>92.603679452315149</v>
      </c>
      <c r="G48" s="5">
        <f t="shared" si="15"/>
        <v>97245257.020942762</v>
      </c>
      <c r="H48" s="6">
        <f t="shared" si="16"/>
        <v>2.0338261325243282E-3</v>
      </c>
      <c r="I48" s="7">
        <f t="shared" si="17"/>
        <v>38.779599741049573</v>
      </c>
      <c r="J48" s="19">
        <f t="shared" si="8"/>
        <v>6.166666666666667</v>
      </c>
      <c r="K48" s="19">
        <f t="shared" si="9"/>
        <v>-6.166666666666667</v>
      </c>
    </row>
    <row r="49" spans="1:11">
      <c r="A49" s="3">
        <v>0.54</v>
      </c>
      <c r="B49" s="3">
        <f t="shared" si="14"/>
        <v>64.53</v>
      </c>
      <c r="C49" s="3">
        <f t="shared" si="1"/>
        <v>4.7800000000000011</v>
      </c>
      <c r="D49" s="19">
        <f t="shared" si="10"/>
        <v>12.333333333333334</v>
      </c>
      <c r="E49" s="4">
        <f t="shared" si="3"/>
        <v>38.746309394274114</v>
      </c>
      <c r="F49" s="4">
        <f t="shared" si="4"/>
        <v>92.603679452315149</v>
      </c>
      <c r="G49" s="5">
        <f t="shared" si="15"/>
        <v>100985459.21405596</v>
      </c>
      <c r="H49" s="6">
        <f t="shared" si="16"/>
        <v>2.0230986073854771E-3</v>
      </c>
      <c r="I49" s="7">
        <f t="shared" si="17"/>
        <v>38.575054660010437</v>
      </c>
      <c r="J49" s="19">
        <f t="shared" si="8"/>
        <v>6.166666666666667</v>
      </c>
      <c r="K49" s="19">
        <f t="shared" si="9"/>
        <v>-6.166666666666667</v>
      </c>
    </row>
    <row r="50" spans="1:11">
      <c r="A50" s="3">
        <v>0.56000000000000005</v>
      </c>
      <c r="B50" s="3">
        <f t="shared" si="14"/>
        <v>66.92</v>
      </c>
      <c r="C50" s="3">
        <f t="shared" si="1"/>
        <v>7.1700000000000017</v>
      </c>
      <c r="D50" s="19">
        <f t="shared" si="10"/>
        <v>12.333333333333334</v>
      </c>
      <c r="E50" s="4">
        <f t="shared" si="3"/>
        <v>38.746309394274114</v>
      </c>
      <c r="F50" s="4">
        <f t="shared" si="4"/>
        <v>92.603679452315149</v>
      </c>
      <c r="G50" s="5">
        <f t="shared" si="15"/>
        <v>104725661.40716915</v>
      </c>
      <c r="H50" s="6">
        <f t="shared" si="16"/>
        <v>2.0128354011419779E-3</v>
      </c>
      <c r="I50" s="7">
        <f t="shared" si="17"/>
        <v>38.379362892745782</v>
      </c>
      <c r="J50" s="19">
        <f t="shared" si="8"/>
        <v>6.166666666666667</v>
      </c>
      <c r="K50" s="19">
        <f t="shared" si="9"/>
        <v>-6.166666666666667</v>
      </c>
    </row>
    <row r="51" spans="1:11">
      <c r="A51" s="3">
        <v>0.57999999999999996</v>
      </c>
      <c r="B51" s="3">
        <f t="shared" si="14"/>
        <v>69.31</v>
      </c>
      <c r="C51" s="3">
        <f t="shared" si="1"/>
        <v>9.5600000000000023</v>
      </c>
      <c r="D51" s="19">
        <f t="shared" si="10"/>
        <v>12.333333333333334</v>
      </c>
      <c r="E51" s="4">
        <f t="shared" si="3"/>
        <v>38.746309394274114</v>
      </c>
      <c r="F51" s="4">
        <f t="shared" si="4"/>
        <v>92.603679452315149</v>
      </c>
      <c r="G51" s="5">
        <f t="shared" si="15"/>
        <v>108465863.60028231</v>
      </c>
      <c r="H51" s="6">
        <f t="shared" si="16"/>
        <v>2.0030007424629735E-3</v>
      </c>
      <c r="I51" s="7">
        <f t="shared" si="17"/>
        <v>38.191842376088694</v>
      </c>
      <c r="J51" s="19">
        <f t="shared" si="8"/>
        <v>6.166666666666667</v>
      </c>
      <c r="K51" s="19">
        <f t="shared" si="9"/>
        <v>-6.166666666666667</v>
      </c>
    </row>
    <row r="52" spans="1:11">
      <c r="A52" s="3">
        <v>0.6</v>
      </c>
      <c r="B52" s="3">
        <f t="shared" si="14"/>
        <v>71.7</v>
      </c>
      <c r="C52" s="3">
        <f t="shared" si="1"/>
        <v>11.950000000000003</v>
      </c>
      <c r="D52" s="19">
        <f t="shared" si="10"/>
        <v>12.333333333333334</v>
      </c>
      <c r="E52" s="4">
        <f t="shared" si="3"/>
        <v>38.746309394274114</v>
      </c>
      <c r="F52" s="4">
        <f t="shared" si="4"/>
        <v>92.603679452315149</v>
      </c>
      <c r="G52" s="5">
        <f t="shared" si="15"/>
        <v>112206065.7933955</v>
      </c>
      <c r="H52" s="6">
        <f t="shared" si="16"/>
        <v>1.9935627374480466E-3</v>
      </c>
      <c r="I52" s="7">
        <f t="shared" si="17"/>
        <v>38.011884979052695</v>
      </c>
      <c r="J52" s="19">
        <f t="shared" si="8"/>
        <v>6.166666666666667</v>
      </c>
      <c r="K52" s="19">
        <f t="shared" si="9"/>
        <v>-6.166666666666667</v>
      </c>
    </row>
    <row r="53" spans="1:11">
      <c r="A53" s="3">
        <v>0.62</v>
      </c>
      <c r="B53" s="3">
        <f t="shared" si="14"/>
        <v>74.09</v>
      </c>
      <c r="C53" s="3">
        <f t="shared" si="1"/>
        <v>14.340000000000003</v>
      </c>
      <c r="D53" s="19">
        <f t="shared" si="10"/>
        <v>12.333333333333334</v>
      </c>
      <c r="E53" s="4">
        <f t="shared" si="3"/>
        <v>38.746309394274114</v>
      </c>
      <c r="F53" s="4">
        <f t="shared" si="4"/>
        <v>92.603679452315149</v>
      </c>
      <c r="G53" s="5">
        <f t="shared" si="15"/>
        <v>115946267.98650868</v>
      </c>
      <c r="H53" s="6">
        <f t="shared" si="16"/>
        <v>1.9844928358819349E-3</v>
      </c>
      <c r="I53" s="7">
        <f t="shared" si="17"/>
        <v>37.838946325743144</v>
      </c>
      <c r="J53" s="19">
        <f t="shared" si="8"/>
        <v>6.166666666666667</v>
      </c>
      <c r="K53" s="19">
        <f t="shared" si="9"/>
        <v>-6.166666666666667</v>
      </c>
    </row>
    <row r="54" spans="1:11">
      <c r="A54" s="3">
        <v>0.64</v>
      </c>
      <c r="B54" s="3">
        <f t="shared" si="14"/>
        <v>76.48</v>
      </c>
      <c r="C54" s="3">
        <f t="shared" ref="C54:C72" si="18">B54-LL/2</f>
        <v>16.730000000000004</v>
      </c>
      <c r="D54" s="19">
        <f t="shared" si="10"/>
        <v>12.333333333333334</v>
      </c>
      <c r="E54" s="4">
        <f t="shared" si="3"/>
        <v>38.746309394274114</v>
      </c>
      <c r="F54" s="4">
        <f t="shared" si="4"/>
        <v>92.603679452315149</v>
      </c>
      <c r="G54" s="5">
        <f t="shared" si="15"/>
        <v>119686470.17962188</v>
      </c>
      <c r="H54" s="6">
        <f t="shared" si="16"/>
        <v>1.9757653855779558E-3</v>
      </c>
      <c r="I54" s="7">
        <f t="shared" si="17"/>
        <v>37.672537297883842</v>
      </c>
      <c r="J54" s="19">
        <f t="shared" si="8"/>
        <v>6.166666666666667</v>
      </c>
      <c r="K54" s="19">
        <f t="shared" si="9"/>
        <v>-6.166666666666667</v>
      </c>
    </row>
    <row r="55" spans="1:11">
      <c r="A55" s="3">
        <v>0.66</v>
      </c>
      <c r="B55" s="3">
        <f t="shared" si="14"/>
        <v>78.87</v>
      </c>
      <c r="C55" s="3">
        <f t="shared" si="18"/>
        <v>19.120000000000005</v>
      </c>
      <c r="D55" s="19">
        <f t="shared" si="10"/>
        <v>12.333333333333334</v>
      </c>
      <c r="E55" s="4">
        <f t="shared" si="3"/>
        <v>38.746309394274114</v>
      </c>
      <c r="F55" s="4">
        <f t="shared" si="4"/>
        <v>92.603679452315149</v>
      </c>
      <c r="G55" s="5">
        <f t="shared" si="15"/>
        <v>123426672.37273507</v>
      </c>
      <c r="H55" s="6">
        <f t="shared" si="16"/>
        <v>1.9673572580089548E-3</v>
      </c>
      <c r="I55" s="7">
        <f t="shared" si="17"/>
        <v>37.512216896605075</v>
      </c>
      <c r="J55" s="19">
        <f t="shared" si="8"/>
        <v>6.166666666666667</v>
      </c>
      <c r="K55" s="19">
        <f t="shared" si="9"/>
        <v>-6.166666666666667</v>
      </c>
    </row>
    <row r="56" spans="1:11">
      <c r="A56" s="3">
        <v>0.68</v>
      </c>
      <c r="B56" s="3">
        <f t="shared" si="14"/>
        <v>81.260000000000005</v>
      </c>
      <c r="C56" s="3">
        <f t="shared" si="18"/>
        <v>21.510000000000005</v>
      </c>
      <c r="D56" s="19">
        <f t="shared" si="10"/>
        <v>12.333333333333334</v>
      </c>
      <c r="E56" s="4">
        <f t="shared" si="3"/>
        <v>38.746309394274114</v>
      </c>
      <c r="F56" s="4">
        <f t="shared" si="4"/>
        <v>92.603679452315149</v>
      </c>
      <c r="G56" s="5">
        <f t="shared" si="15"/>
        <v>127166874.56584823</v>
      </c>
      <c r="H56" s="6">
        <f t="shared" si="16"/>
        <v>1.9592475320349897E-3</v>
      </c>
      <c r="I56" s="7">
        <f t="shared" si="17"/>
        <v>37.357586211980319</v>
      </c>
      <c r="J56" s="19">
        <f t="shared" si="8"/>
        <v>6.166666666666667</v>
      </c>
      <c r="K56" s="19">
        <f t="shared" si="9"/>
        <v>-6.166666666666667</v>
      </c>
    </row>
    <row r="57" spans="1:11">
      <c r="A57" s="3">
        <v>0.7</v>
      </c>
      <c r="B57" s="3">
        <f t="shared" si="14"/>
        <v>83.649999999999991</v>
      </c>
      <c r="C57" s="3">
        <f t="shared" si="18"/>
        <v>23.899999999999991</v>
      </c>
      <c r="D57" s="19">
        <f t="shared" si="10"/>
        <v>12.333333333333334</v>
      </c>
      <c r="E57" s="4">
        <f t="shared" si="3"/>
        <v>38.746309394274114</v>
      </c>
      <c r="F57" s="4">
        <f t="shared" si="4"/>
        <v>92.603679452314609</v>
      </c>
      <c r="G57" s="5">
        <f t="shared" si="15"/>
        <v>130907076.75896139</v>
      </c>
      <c r="H57" s="6">
        <f t="shared" si="16"/>
        <v>1.9514172252891866E-3</v>
      </c>
      <c r="I57" s="7">
        <f t="shared" si="17"/>
        <v>37.208283301276033</v>
      </c>
      <c r="J57" s="19">
        <f t="shared" si="8"/>
        <v>6.166666666666667</v>
      </c>
      <c r="K57" s="19">
        <f t="shared" si="9"/>
        <v>-6.166666666666667</v>
      </c>
    </row>
    <row r="58" spans="1:11">
      <c r="A58" s="3">
        <v>0.72</v>
      </c>
      <c r="B58" s="3">
        <f t="shared" si="14"/>
        <v>86.039999999999992</v>
      </c>
      <c r="C58" s="3">
        <f t="shared" si="18"/>
        <v>26.289999999999992</v>
      </c>
      <c r="D58" s="19">
        <f t="shared" si="10"/>
        <v>12.333333333333334</v>
      </c>
      <c r="E58" s="4">
        <f t="shared" si="3"/>
        <v>38.746309394274114</v>
      </c>
      <c r="F58" s="4">
        <f t="shared" si="4"/>
        <v>92.603679452315149</v>
      </c>
      <c r="G58" s="5">
        <f t="shared" si="15"/>
        <v>134647278.95207459</v>
      </c>
      <c r="H58" s="6">
        <f t="shared" si="16"/>
        <v>1.9438490649000347E-3</v>
      </c>
      <c r="I58" s="7">
        <f t="shared" si="17"/>
        <v>37.063978817242948</v>
      </c>
      <c r="J58" s="19">
        <f t="shared" si="8"/>
        <v>6.166666666666667</v>
      </c>
      <c r="K58" s="19">
        <f t="shared" si="9"/>
        <v>-6.166666666666667</v>
      </c>
    </row>
    <row r="59" spans="1:11">
      <c r="A59" s="3">
        <v>0.74</v>
      </c>
      <c r="B59" s="3">
        <f t="shared" si="14"/>
        <v>88.429999999999993</v>
      </c>
      <c r="C59" s="3">
        <f t="shared" si="18"/>
        <v>28.679999999999993</v>
      </c>
      <c r="D59" s="19">
        <f t="shared" si="10"/>
        <v>12.333333333333334</v>
      </c>
      <c r="E59" s="4">
        <f t="shared" si="3"/>
        <v>38.746309394274114</v>
      </c>
      <c r="F59" s="4">
        <f t="shared" si="4"/>
        <v>92.603679452315149</v>
      </c>
      <c r="G59" s="5">
        <f t="shared" si="15"/>
        <v>138387481.14518777</v>
      </c>
      <c r="H59" s="6">
        <f t="shared" si="16"/>
        <v>1.9365272908695537E-3</v>
      </c>
      <c r="I59" s="7">
        <f t="shared" si="17"/>
        <v>36.924372259063823</v>
      </c>
      <c r="J59" s="19">
        <f t="shared" si="8"/>
        <v>6.166666666666667</v>
      </c>
      <c r="K59" s="19">
        <f t="shared" si="9"/>
        <v>-6.166666666666667</v>
      </c>
    </row>
    <row r="60" spans="1:11">
      <c r="A60" s="3">
        <v>0.76</v>
      </c>
      <c r="B60" s="3">
        <f t="shared" si="14"/>
        <v>90.820000000000007</v>
      </c>
      <c r="C60" s="3">
        <f t="shared" si="18"/>
        <v>31.070000000000007</v>
      </c>
      <c r="D60" s="19">
        <f t="shared" si="10"/>
        <v>12.333333333333334</v>
      </c>
      <c r="E60" s="4">
        <f t="shared" si="3"/>
        <v>38.746309394274114</v>
      </c>
      <c r="F60" s="4">
        <f t="shared" si="4"/>
        <v>92.603679452315703</v>
      </c>
      <c r="G60" s="5">
        <f t="shared" si="15"/>
        <v>142127683.33830097</v>
      </c>
      <c r="H60" s="6">
        <f t="shared" si="16"/>
        <v>1.9294374867092816E-3</v>
      </c>
      <c r="I60" s="7">
        <f t="shared" si="17"/>
        <v>36.78918874303924</v>
      </c>
      <c r="J60" s="19">
        <f t="shared" si="8"/>
        <v>6.166666666666667</v>
      </c>
      <c r="K60" s="19">
        <f t="shared" si="9"/>
        <v>-6.166666666666667</v>
      </c>
    </row>
    <row r="61" spans="1:11">
      <c r="A61" s="3">
        <v>0.78</v>
      </c>
      <c r="B61" s="3">
        <f t="shared" si="14"/>
        <v>93.210000000000008</v>
      </c>
      <c r="C61" s="3">
        <f t="shared" si="18"/>
        <v>33.460000000000008</v>
      </c>
      <c r="D61" s="19">
        <f t="shared" si="10"/>
        <v>12.333333333333334</v>
      </c>
      <c r="E61" s="4">
        <f t="shared" si="3"/>
        <v>38.746309394274114</v>
      </c>
      <c r="F61" s="4">
        <f t="shared" si="4"/>
        <v>92.603679452315149</v>
      </c>
      <c r="G61" s="5">
        <f t="shared" si="15"/>
        <v>145867885.53141415</v>
      </c>
      <c r="H61" s="6">
        <f t="shared" si="16"/>
        <v>1.9225664329452984E-3</v>
      </c>
      <c r="I61" s="7">
        <f t="shared" si="17"/>
        <v>36.658176209319741</v>
      </c>
      <c r="J61" s="19">
        <f t="shared" si="8"/>
        <v>6.166666666666667</v>
      </c>
      <c r="K61" s="19">
        <f t="shared" si="9"/>
        <v>-6.166666666666667</v>
      </c>
    </row>
    <row r="62" spans="1:11">
      <c r="A62" s="3">
        <v>0.8</v>
      </c>
      <c r="B62" s="3">
        <f t="shared" si="14"/>
        <v>95.600000000000009</v>
      </c>
      <c r="C62" s="3">
        <f t="shared" si="18"/>
        <v>35.850000000000009</v>
      </c>
      <c r="D62" s="19">
        <f t="shared" si="10"/>
        <v>12.333333333333334</v>
      </c>
      <c r="E62" s="4">
        <f t="shared" si="3"/>
        <v>38.746309394274114</v>
      </c>
      <c r="F62" s="4">
        <f t="shared" si="4"/>
        <v>92.603679452315149</v>
      </c>
      <c r="G62" s="5">
        <f t="shared" si="15"/>
        <v>149608087.72452733</v>
      </c>
      <c r="H62" s="6">
        <f t="shared" si="16"/>
        <v>1.9159019799034572E-3</v>
      </c>
      <c r="I62" s="7">
        <f t="shared" si="17"/>
        <v>36.53110299626448</v>
      </c>
      <c r="J62" s="19">
        <f t="shared" si="8"/>
        <v>6.166666666666667</v>
      </c>
      <c r="K62" s="19">
        <f t="shared" si="9"/>
        <v>-6.166666666666667</v>
      </c>
    </row>
    <row r="63" spans="1:11">
      <c r="A63" s="3">
        <v>0.82</v>
      </c>
      <c r="B63" s="3">
        <f t="shared" si="14"/>
        <v>97.99</v>
      </c>
      <c r="C63" s="3">
        <f t="shared" si="18"/>
        <v>38.239999999999995</v>
      </c>
      <c r="D63" s="19">
        <f t="shared" si="10"/>
        <v>12.333333333333334</v>
      </c>
      <c r="E63" s="4">
        <f t="shared" si="3"/>
        <v>38.746309394274114</v>
      </c>
      <c r="F63" s="4">
        <f t="shared" si="4"/>
        <v>92.603679452314609</v>
      </c>
      <c r="G63" s="5">
        <f t="shared" si="15"/>
        <v>153348289.91764051</v>
      </c>
      <c r="H63" s="6">
        <f t="shared" si="16"/>
        <v>1.909432936823773E-3</v>
      </c>
      <c r="I63" s="7">
        <f t="shared" si="17"/>
        <v>36.407755726148118</v>
      </c>
      <c r="J63" s="19">
        <f t="shared" si="8"/>
        <v>6.166666666666667</v>
      </c>
      <c r="K63" s="19">
        <f t="shared" si="9"/>
        <v>-6.166666666666667</v>
      </c>
    </row>
    <row r="64" spans="1:11">
      <c r="A64" s="3">
        <v>0.84</v>
      </c>
      <c r="B64" s="3">
        <f t="shared" si="14"/>
        <v>100.38</v>
      </c>
      <c r="C64" s="3">
        <f t="shared" si="18"/>
        <v>40.629999999999995</v>
      </c>
      <c r="D64" s="19">
        <f>D30</f>
        <v>12.333333333333334</v>
      </c>
      <c r="E64" s="4">
        <f t="shared" si="3"/>
        <v>38.746309394274114</v>
      </c>
      <c r="F64" s="4">
        <f t="shared" si="4"/>
        <v>92.603679452315149</v>
      </c>
      <c r="G64" s="5">
        <f t="shared" si="15"/>
        <v>157088492.11075369</v>
      </c>
      <c r="H64" s="6">
        <f t="shared" si="16"/>
        <v>1.9031489748649372E-3</v>
      </c>
      <c r="I64" s="7">
        <f t="shared" si="17"/>
        <v>36.287937455719685</v>
      </c>
      <c r="J64" s="19">
        <f t="shared" si="8"/>
        <v>6.166666666666667</v>
      </c>
      <c r="K64" s="19">
        <f t="shared" si="9"/>
        <v>-6.166666666666667</v>
      </c>
    </row>
    <row r="65" spans="1:11">
      <c r="A65" s="3">
        <v>0.86</v>
      </c>
      <c r="B65" s="3">
        <f t="shared" si="14"/>
        <v>102.77</v>
      </c>
      <c r="C65" s="3">
        <f t="shared" si="18"/>
        <v>43.019999999999996</v>
      </c>
      <c r="D65" s="19">
        <f>D29</f>
        <v>12.333333333333334</v>
      </c>
      <c r="E65" s="4">
        <f t="shared" si="3"/>
        <v>38.746309394274114</v>
      </c>
      <c r="F65" s="4">
        <f t="shared" si="4"/>
        <v>92.603679452315149</v>
      </c>
      <c r="G65" s="5">
        <f t="shared" si="15"/>
        <v>160828694.30386689</v>
      </c>
      <c r="H65" s="6">
        <f t="shared" si="16"/>
        <v>1.8970405419730214E-3</v>
      </c>
      <c r="I65" s="7">
        <f t="shared" si="17"/>
        <v>36.171466052975177</v>
      </c>
      <c r="J65" s="19">
        <f t="shared" si="8"/>
        <v>6.166666666666667</v>
      </c>
      <c r="K65" s="19">
        <f t="shared" si="9"/>
        <v>-6.166666666666667</v>
      </c>
    </row>
    <row r="66" spans="1:11">
      <c r="A66" s="3">
        <v>0.88</v>
      </c>
      <c r="B66" s="3">
        <f t="shared" si="14"/>
        <v>105.16</v>
      </c>
      <c r="C66" s="3">
        <f t="shared" si="18"/>
        <v>45.41</v>
      </c>
      <c r="D66" s="19">
        <f>D28</f>
        <v>10.902423239905477</v>
      </c>
      <c r="E66" s="4">
        <f t="shared" si="3"/>
        <v>34.250972756813681</v>
      </c>
      <c r="F66" s="4">
        <f t="shared" si="4"/>
        <v>81.859824888784715</v>
      </c>
      <c r="G66" s="5">
        <f t="shared" si="15"/>
        <v>164568896.49698007</v>
      </c>
      <c r="H66" s="6">
        <f t="shared" si="16"/>
        <v>1.891098787923693E-3</v>
      </c>
      <c r="I66" s="7">
        <f t="shared" si="17"/>
        <v>31.874713035685545</v>
      </c>
      <c r="J66" s="19">
        <f t="shared" si="8"/>
        <v>5.4512116199527387</v>
      </c>
      <c r="K66" s="19">
        <f t="shared" si="9"/>
        <v>-5.4512116199527387</v>
      </c>
    </row>
    <row r="67" spans="1:11">
      <c r="A67" s="3">
        <v>0.9</v>
      </c>
      <c r="B67" s="3">
        <f t="shared" si="14"/>
        <v>107.55</v>
      </c>
      <c r="C67" s="3">
        <f t="shared" si="18"/>
        <v>47.8</v>
      </c>
      <c r="D67" s="19">
        <f>D27</f>
        <v>9.4227580718637025</v>
      </c>
      <c r="E67" s="4">
        <f t="shared" si="3"/>
        <v>29.602467535120933</v>
      </c>
      <c r="F67" s="4">
        <f t="shared" si="4"/>
        <v>70.749897408939049</v>
      </c>
      <c r="G67" s="5">
        <f t="shared" si="15"/>
        <v>168309098.69009325</v>
      </c>
      <c r="H67" s="6">
        <f t="shared" si="16"/>
        <v>1.8853154981208018E-3</v>
      </c>
      <c r="I67" s="7">
        <f t="shared" si="17"/>
        <v>27.464462759523588</v>
      </c>
      <c r="J67" s="19">
        <f t="shared" si="8"/>
        <v>4.7113790359318513</v>
      </c>
      <c r="K67" s="19">
        <f t="shared" si="9"/>
        <v>-4.7113790359318513</v>
      </c>
    </row>
    <row r="68" spans="1:11">
      <c r="A68" s="3">
        <v>0.92</v>
      </c>
      <c r="B68" s="3">
        <f t="shared" si="14"/>
        <v>109.94</v>
      </c>
      <c r="C68" s="3">
        <f t="shared" si="18"/>
        <v>50.19</v>
      </c>
      <c r="D68" s="19">
        <f>D26</f>
        <v>7.8822468275514952</v>
      </c>
      <c r="E68" s="4">
        <f t="shared" si="3"/>
        <v>24.76280872721723</v>
      </c>
      <c r="F68" s="4">
        <f t="shared" si="4"/>
        <v>59.183112858049192</v>
      </c>
      <c r="G68" s="5">
        <f t="shared" si="15"/>
        <v>172049300.8832064</v>
      </c>
      <c r="H68" s="6">
        <f t="shared" si="16"/>
        <v>1.879683034958416E-3</v>
      </c>
      <c r="I68" s="7">
        <f t="shared" si="17"/>
        <v>22.905705979588138</v>
      </c>
      <c r="J68" s="19">
        <f t="shared" si="8"/>
        <v>3.9411234137757476</v>
      </c>
      <c r="K68" s="19">
        <f t="shared" si="9"/>
        <v>-3.9411234137757476</v>
      </c>
    </row>
    <row r="69" spans="1:11">
      <c r="A69" s="3">
        <v>0.94</v>
      </c>
      <c r="B69" s="3">
        <f t="shared" si="14"/>
        <v>112.33</v>
      </c>
      <c r="C69" s="3">
        <f t="shared" si="18"/>
        <v>52.58</v>
      </c>
      <c r="D69" s="19">
        <f>D25</f>
        <v>6.2617978205804325</v>
      </c>
      <c r="E69" s="4">
        <f t="shared" si="3"/>
        <v>19.672018031400064</v>
      </c>
      <c r="F69" s="4">
        <f t="shared" si="4"/>
        <v>47.016123095046161</v>
      </c>
      <c r="G69" s="5">
        <f t="shared" si="15"/>
        <v>175789503.07631961</v>
      </c>
      <c r="H69" s="6">
        <f t="shared" si="16"/>
        <v>1.8741942857380116E-3</v>
      </c>
      <c r="I69" s="7">
        <f t="shared" si="17"/>
        <v>18.143567307495971</v>
      </c>
      <c r="J69" s="19">
        <f t="shared" si="8"/>
        <v>3.1308989102902163</v>
      </c>
      <c r="K69" s="19">
        <f t="shared" si="9"/>
        <v>-3.1308989102902163</v>
      </c>
    </row>
    <row r="70" spans="1:11">
      <c r="A70" s="3">
        <v>0.96</v>
      </c>
      <c r="B70" s="3">
        <f t="shared" si="14"/>
        <v>114.72</v>
      </c>
      <c r="C70" s="3">
        <f t="shared" si="18"/>
        <v>54.97</v>
      </c>
      <c r="D70" s="19">
        <f>D24</f>
        <v>4.5271619822445004</v>
      </c>
      <c r="E70" s="4">
        <f t="shared" si="3"/>
        <v>14.222498825030328</v>
      </c>
      <c r="F70" s="4">
        <f t="shared" si="4"/>
        <v>33.991772191822491</v>
      </c>
      <c r="G70" s="5">
        <f t="shared" si="15"/>
        <v>179529705.26943278</v>
      </c>
      <c r="H70" s="6">
        <f t="shared" si="16"/>
        <v>1.8688426162854288E-3</v>
      </c>
      <c r="I70" s="7">
        <f t="shared" si="17"/>
        <v>13.08000146158089</v>
      </c>
      <c r="J70" s="19">
        <f t="shared" si="8"/>
        <v>2.2635809911222502</v>
      </c>
      <c r="K70" s="19">
        <f t="shared" si="9"/>
        <v>-2.2635809911222502</v>
      </c>
    </row>
    <row r="71" spans="1:11">
      <c r="A71" s="3">
        <v>0.98</v>
      </c>
      <c r="B71" s="3">
        <f t="shared" si="14"/>
        <v>117.11</v>
      </c>
      <c r="C71" s="3">
        <f t="shared" si="18"/>
        <v>57.36</v>
      </c>
      <c r="D71" s="19">
        <f>D23</f>
        <v>2.6001717609046868</v>
      </c>
      <c r="E71" s="4">
        <f t="shared" si="3"/>
        <v>8.168680502129801</v>
      </c>
      <c r="F71" s="4">
        <f t="shared" si="4"/>
        <v>19.52314640009023</v>
      </c>
      <c r="G71" s="5">
        <f t="shared" si="15"/>
        <v>183269907.46254596</v>
      </c>
      <c r="H71" s="6">
        <f t="shared" si="16"/>
        <v>1.8636218295390861E-3</v>
      </c>
      <c r="I71" s="7">
        <f t="shared" si="17"/>
        <v>7.4915012426190399</v>
      </c>
      <c r="J71" s="19">
        <f t="shared" si="8"/>
        <v>1.3000858804523434</v>
      </c>
      <c r="K71" s="19">
        <f t="shared" si="9"/>
        <v>-1.3000858804523434</v>
      </c>
    </row>
    <row r="72" spans="1:11">
      <c r="A72" s="3">
        <v>1</v>
      </c>
      <c r="B72" s="3">
        <f t="shared" si="14"/>
        <v>119.5</v>
      </c>
      <c r="C72" s="3">
        <f t="shared" si="18"/>
        <v>59.75</v>
      </c>
      <c r="D72" s="19">
        <f>D22</f>
        <v>0</v>
      </c>
      <c r="E72" s="4">
        <f t="shared" si="3"/>
        <v>0</v>
      </c>
      <c r="F72" s="4">
        <f t="shared" si="4"/>
        <v>0</v>
      </c>
      <c r="G72" s="5">
        <f t="shared" si="15"/>
        <v>187010109.65565917</v>
      </c>
      <c r="H72" s="6">
        <f t="shared" si="16"/>
        <v>1.8585261284869226E-3</v>
      </c>
      <c r="I72" s="7">
        <f t="shared" si="17"/>
        <v>0</v>
      </c>
      <c r="J72" s="19">
        <f t="shared" si="8"/>
        <v>0</v>
      </c>
      <c r="K72" s="19">
        <f t="shared" si="9"/>
        <v>0</v>
      </c>
    </row>
    <row r="73" spans="1:11">
      <c r="A73" s="3"/>
      <c r="B73" s="3"/>
      <c r="C73" s="3"/>
      <c r="D73" s="19"/>
      <c r="E73" s="4"/>
      <c r="F73" s="4"/>
      <c r="G73" s="5"/>
      <c r="H73" s="6"/>
      <c r="I73" s="7"/>
      <c r="K73" s="19"/>
    </row>
    <row r="74" spans="1:11">
      <c r="A74" s="13" t="s">
        <v>42</v>
      </c>
      <c r="E74" s="4"/>
      <c r="F74" s="12">
        <f>SUM(F23:F72)</f>
        <v>4050.9838934211243</v>
      </c>
      <c r="G74" s="5"/>
      <c r="H74" s="6"/>
      <c r="I74" s="35">
        <f>SUM(I23:I72)</f>
        <v>1766.5931067837519</v>
      </c>
    </row>
    <row r="75" spans="1:11">
      <c r="F75" s="32" t="s">
        <v>43</v>
      </c>
      <c r="I75" s="32" t="s">
        <v>44</v>
      </c>
    </row>
    <row r="76" spans="1:11">
      <c r="A76" s="14" t="s">
        <v>45</v>
      </c>
      <c r="K76" s="14"/>
    </row>
    <row r="77" spans="1:11">
      <c r="A77" s="11" t="s">
        <v>46</v>
      </c>
      <c r="B77">
        <f>PI()*D^2/4</f>
        <v>119.46778729901186</v>
      </c>
      <c r="K77" s="14"/>
    </row>
    <row r="78" spans="1:11">
      <c r="A78" t="s">
        <v>47</v>
      </c>
      <c r="B78">
        <f>4*B77/(PI()*(LL/2)^2)</f>
        <v>4.260740844484126E-2</v>
      </c>
      <c r="J78" s="14"/>
      <c r="K78" s="33"/>
    </row>
    <row r="79" spans="1:11">
      <c r="A79" t="s">
        <v>32</v>
      </c>
      <c r="B79" s="14">
        <f>q*B77*B78</f>
        <v>961.38490505465541</v>
      </c>
    </row>
    <row r="82" spans="1:2">
      <c r="A82" s="14" t="s">
        <v>48</v>
      </c>
      <c r="B82" s="16">
        <f>B79+I74</f>
        <v>2727.9780118384074</v>
      </c>
    </row>
    <row r="83" spans="1:2">
      <c r="A83" s="14" t="s">
        <v>49</v>
      </c>
    </row>
    <row r="86" spans="1:2">
      <c r="A86" s="14" t="s">
        <v>50</v>
      </c>
      <c r="B86" s="34">
        <f>B82/(q*S)</f>
        <v>1.2725757542594807E-2</v>
      </c>
    </row>
  </sheetData>
  <printOptions gridLines="1" gridLinesSet="0"/>
  <pageMargins left="0.75" right="0.75" top="1" bottom="1" header="0.5" footer="0.5"/>
  <pageSetup orientation="portrait" r:id="rId1"/>
  <headerFooter alignWithMargins="0">
    <oddHeader>&amp;A</oddHeader>
    <oddFooter>Page &amp;P</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46"/>
  <sheetViews>
    <sheetView zoomScaleNormal="100" workbookViewId="0"/>
  </sheetViews>
  <sheetFormatPr defaultRowHeight="13.15"/>
  <cols>
    <col min="1" max="1" width="13.28515625" customWidth="1"/>
    <col min="4" max="4" width="9.5703125" bestFit="1" customWidth="1"/>
    <col min="10" max="10" width="21" customWidth="1"/>
  </cols>
  <sheetData>
    <row r="1" spans="1:7" ht="15.6">
      <c r="D1" s="15" t="s">
        <v>0</v>
      </c>
    </row>
    <row r="2" spans="1:7">
      <c r="A2" s="14"/>
    </row>
    <row r="3" spans="1:7">
      <c r="A3" s="14" t="s">
        <v>1</v>
      </c>
    </row>
    <row r="4" spans="1:7">
      <c r="A4" t="s">
        <v>2</v>
      </c>
      <c r="B4">
        <v>2.1</v>
      </c>
    </row>
    <row r="5" spans="1:7">
      <c r="A5" t="s">
        <v>3</v>
      </c>
      <c r="B5" s="8">
        <v>55000</v>
      </c>
      <c r="C5" s="8"/>
    </row>
    <row r="6" spans="1:7">
      <c r="A6" t="s">
        <v>53</v>
      </c>
      <c r="B6" s="9">
        <f>(1036-0.0034*(H-20000))*MC</f>
        <v>1925.7</v>
      </c>
      <c r="C6" s="9"/>
    </row>
    <row r="7" spans="1:7">
      <c r="A7" s="1" t="s">
        <v>5</v>
      </c>
      <c r="B7">
        <f>IF(H&lt;10000,(1-0.00002615*H)*0.076474,IF(H&gt;40000,(-0.0000091*H+0.6211)*0.076474,(-0.00001681*H+0.9066)*0.076474))</f>
        <v>9.2227644000000032E-3</v>
      </c>
    </row>
    <row r="8" spans="1:7">
      <c r="A8" t="s">
        <v>6</v>
      </c>
      <c r="B8">
        <f>0.5*B7*(B6^2)/32.2</f>
        <v>531.07090371059883</v>
      </c>
    </row>
    <row r="9" spans="1:7">
      <c r="A9" s="1" t="s">
        <v>7</v>
      </c>
      <c r="B9">
        <f>0.0000107</f>
        <v>1.0699999999999999E-5</v>
      </c>
    </row>
    <row r="10" spans="1:7">
      <c r="A10" s="1" t="s">
        <v>8</v>
      </c>
      <c r="B10">
        <f>B9/B7</f>
        <v>1.1601727568797046E-3</v>
      </c>
    </row>
    <row r="11" spans="1:7">
      <c r="A11" s="1"/>
    </row>
    <row r="12" spans="1:7">
      <c r="A12" s="14" t="s">
        <v>9</v>
      </c>
      <c r="D12" s="14" t="s">
        <v>10</v>
      </c>
    </row>
    <row r="13" spans="1:7">
      <c r="A13" s="11" t="s">
        <v>11</v>
      </c>
      <c r="B13">
        <v>9</v>
      </c>
      <c r="D13" s="17" t="s">
        <v>12</v>
      </c>
      <c r="E13">
        <f>1+(60/B14^3) + B14/400</f>
        <v>1.056865889212828</v>
      </c>
    </row>
    <row r="14" spans="1:7">
      <c r="A14" t="s">
        <v>13</v>
      </c>
      <c r="B14" s="10">
        <v>14</v>
      </c>
      <c r="C14" s="10"/>
      <c r="D14" s="17" t="s">
        <v>14</v>
      </c>
      <c r="E14">
        <v>1</v>
      </c>
      <c r="G14" s="2"/>
    </row>
    <row r="15" spans="1:7">
      <c r="A15" t="s">
        <v>15</v>
      </c>
      <c r="B15" s="10">
        <f>D*FIN</f>
        <v>126</v>
      </c>
      <c r="C15" s="10"/>
      <c r="D15" s="17" t="s">
        <v>16</v>
      </c>
      <c r="E15">
        <f>E13*E14</f>
        <v>1.056865889212828</v>
      </c>
      <c r="G15" s="2"/>
    </row>
    <row r="16" spans="1:7">
      <c r="A16" t="s">
        <v>17</v>
      </c>
      <c r="B16" s="10">
        <v>519</v>
      </c>
      <c r="C16" s="31"/>
      <c r="G16" s="2"/>
    </row>
    <row r="17" spans="1:14">
      <c r="B17" s="31"/>
      <c r="C17" s="31"/>
      <c r="E17" s="3"/>
      <c r="F17" s="3"/>
    </row>
    <row r="18" spans="1:14">
      <c r="B18" s="31"/>
      <c r="C18" s="31"/>
      <c r="G18" s="2"/>
    </row>
    <row r="20" spans="1:14">
      <c r="A20" s="14" t="s">
        <v>22</v>
      </c>
      <c r="D20" s="17" t="s">
        <v>54</v>
      </c>
    </row>
    <row r="21" spans="1:14" ht="15.6">
      <c r="A21" t="s">
        <v>24</v>
      </c>
      <c r="B21" t="s">
        <v>25</v>
      </c>
      <c r="C21" t="s">
        <v>55</v>
      </c>
      <c r="D21" t="s">
        <v>27</v>
      </c>
      <c r="E21" t="s">
        <v>28</v>
      </c>
      <c r="F21" t="s">
        <v>29</v>
      </c>
      <c r="G21" t="s">
        <v>30</v>
      </c>
      <c r="H21" t="s">
        <v>31</v>
      </c>
      <c r="I21" t="s">
        <v>32</v>
      </c>
    </row>
    <row r="22" spans="1:14">
      <c r="A22" s="3">
        <v>0</v>
      </c>
      <c r="B22" s="3">
        <f t="shared" ref="B22:B32" si="0">A22*LL</f>
        <v>0</v>
      </c>
      <c r="C22" s="3">
        <f t="shared" ref="C22:C27" si="1">B22-LL/4</f>
        <v>-31.5</v>
      </c>
      <c r="D22" s="18">
        <f t="shared" ref="D22:D27" si="2">D*SQRT(  (1/PI())*( (2*C22/(LL/2))*SQRT(1-(2*C22/(LL/2))^2) + ACOS(-2*C22/(LL/2)))  )</f>
        <v>0</v>
      </c>
      <c r="E22" s="4">
        <f t="shared" ref="E22:E32" si="3">PI()*D22</f>
        <v>0</v>
      </c>
      <c r="F22" s="4"/>
      <c r="G22" s="5"/>
      <c r="H22" s="6"/>
      <c r="I22" s="7"/>
      <c r="K22" s="19">
        <f>-E22</f>
        <v>0</v>
      </c>
      <c r="M22" s="19">
        <f>D22/2</f>
        <v>0</v>
      </c>
      <c r="N22" s="19">
        <f>-M22</f>
        <v>0</v>
      </c>
    </row>
    <row r="23" spans="1:14">
      <c r="A23" s="3">
        <f>0.1</f>
        <v>0.1</v>
      </c>
      <c r="B23" s="3">
        <f t="shared" si="0"/>
        <v>12.600000000000001</v>
      </c>
      <c r="C23" s="3">
        <f t="shared" si="1"/>
        <v>-18.899999999999999</v>
      </c>
      <c r="D23" s="18">
        <f t="shared" si="2"/>
        <v>3.3959766908128812</v>
      </c>
      <c r="E23" s="4">
        <f t="shared" si="3"/>
        <v>10.668775423619923</v>
      </c>
      <c r="F23" s="4">
        <f t="shared" ref="F23:F32" si="4">E23*(B23-B22)</f>
        <v>134.42657033761105</v>
      </c>
      <c r="G23" s="5">
        <f t="shared" ref="G23:G32" si="5">V*B23/nu</f>
        <v>20913971.523739077</v>
      </c>
      <c r="H23" s="6">
        <f t="shared" ref="H23:H32" si="6">IF(G23&lt;1000000,1.328/SQRT(G23), 0.455/( (LOG(G23)^2.58)*(1+0.144*MC^2)^0.65))</f>
        <v>1.9440728893943891E-3</v>
      </c>
      <c r="I23" s="7">
        <f t="shared" ref="I23:I32" si="7">F23*H23*q*FQ</f>
        <v>146.67971299427629</v>
      </c>
      <c r="K23" s="19">
        <f t="shared" ref="K23:K32" si="8">-E23</f>
        <v>-10.668775423619923</v>
      </c>
      <c r="M23" s="19">
        <f t="shared" ref="M23:M32" si="9">D23/2</f>
        <v>1.6979883454064406</v>
      </c>
      <c r="N23" s="19">
        <f t="shared" ref="N23:N32" si="10">-M23</f>
        <v>-1.6979883454064406</v>
      </c>
    </row>
    <row r="24" spans="1:14">
      <c r="A24" s="3">
        <f>0.2</f>
        <v>0.2</v>
      </c>
      <c r="B24" s="3">
        <f t="shared" si="0"/>
        <v>25.200000000000003</v>
      </c>
      <c r="C24" s="3">
        <f t="shared" si="1"/>
        <v>-6.2999999999999972</v>
      </c>
      <c r="D24" s="18">
        <f t="shared" si="2"/>
        <v>5.5005393520307457</v>
      </c>
      <c r="E24" s="4">
        <f t="shared" si="3"/>
        <v>17.28045401912135</v>
      </c>
      <c r="F24" s="4">
        <f t="shared" si="4"/>
        <v>217.73372064092905</v>
      </c>
      <c r="G24" s="5">
        <f t="shared" si="5"/>
        <v>41827943.047478154</v>
      </c>
      <c r="H24" s="6">
        <f t="shared" si="6"/>
        <v>1.7520984325871134E-3</v>
      </c>
      <c r="I24" s="7">
        <f t="shared" si="7"/>
        <v>214.11967919819838</v>
      </c>
      <c r="K24" s="19">
        <f t="shared" si="8"/>
        <v>-17.28045401912135</v>
      </c>
      <c r="M24" s="19">
        <f t="shared" si="9"/>
        <v>2.7502696760153729</v>
      </c>
      <c r="N24" s="19">
        <f t="shared" si="10"/>
        <v>-2.7502696760153729</v>
      </c>
    </row>
    <row r="25" spans="1:14">
      <c r="A25" s="3">
        <f>0.3</f>
        <v>0.3</v>
      </c>
      <c r="B25" s="3">
        <f t="shared" si="0"/>
        <v>37.799999999999997</v>
      </c>
      <c r="C25" s="3">
        <f t="shared" si="1"/>
        <v>6.2999999999999972</v>
      </c>
      <c r="D25" s="18">
        <f t="shared" si="2"/>
        <v>7.1234869857929262</v>
      </c>
      <c r="E25" s="4">
        <f t="shared" si="3"/>
        <v>22.379094382509557</v>
      </c>
      <c r="F25" s="4">
        <f t="shared" si="4"/>
        <v>281.97658921962028</v>
      </c>
      <c r="G25" s="5">
        <f t="shared" si="5"/>
        <v>62741914.571217217</v>
      </c>
      <c r="H25" s="6">
        <f t="shared" si="6"/>
        <v>1.6518277518746927E-3</v>
      </c>
      <c r="I25" s="7">
        <f t="shared" si="7"/>
        <v>261.42685623561528</v>
      </c>
      <c r="K25" s="19">
        <f t="shared" si="8"/>
        <v>-22.379094382509557</v>
      </c>
      <c r="M25" s="19">
        <f t="shared" si="9"/>
        <v>3.5617434928964631</v>
      </c>
      <c r="N25" s="19">
        <f t="shared" si="10"/>
        <v>-3.5617434928964631</v>
      </c>
    </row>
    <row r="26" spans="1:14">
      <c r="A26" s="3">
        <v>0.4</v>
      </c>
      <c r="B26" s="3">
        <f t="shared" si="0"/>
        <v>50.400000000000006</v>
      </c>
      <c r="C26" s="3">
        <f t="shared" si="1"/>
        <v>18.900000000000006</v>
      </c>
      <c r="D26" s="18">
        <f t="shared" si="2"/>
        <v>8.334707092361171</v>
      </c>
      <c r="E26" s="4">
        <f t="shared" si="3"/>
        <v>26.184254571184599</v>
      </c>
      <c r="F26" s="4">
        <f t="shared" si="4"/>
        <v>329.92160759692615</v>
      </c>
      <c r="G26" s="5">
        <f t="shared" si="5"/>
        <v>83655886.094956309</v>
      </c>
      <c r="H26" s="6">
        <f t="shared" si="6"/>
        <v>1.5854547208453227E-3</v>
      </c>
      <c r="I26" s="7">
        <f t="shared" si="7"/>
        <v>293.58711570507808</v>
      </c>
      <c r="K26" s="19">
        <f t="shared" si="8"/>
        <v>-26.184254571184599</v>
      </c>
      <c r="M26" s="19">
        <f t="shared" si="9"/>
        <v>4.1673535461805855</v>
      </c>
      <c r="N26" s="19">
        <f t="shared" si="10"/>
        <v>-4.1673535461805855</v>
      </c>
    </row>
    <row r="27" spans="1:14">
      <c r="A27" s="3">
        <v>0.5</v>
      </c>
      <c r="B27" s="3">
        <f t="shared" si="0"/>
        <v>63</v>
      </c>
      <c r="C27" s="3">
        <f t="shared" si="1"/>
        <v>31.5</v>
      </c>
      <c r="D27" s="18">
        <f t="shared" si="2"/>
        <v>9</v>
      </c>
      <c r="E27" s="4">
        <f t="shared" si="3"/>
        <v>28.274333882308138</v>
      </c>
      <c r="F27" s="4">
        <f t="shared" si="4"/>
        <v>356.25660691708237</v>
      </c>
      <c r="G27" s="5">
        <f t="shared" si="5"/>
        <v>104569857.61869538</v>
      </c>
      <c r="H27" s="6">
        <f t="shared" si="6"/>
        <v>1.5364944552008967E-3</v>
      </c>
      <c r="I27" s="7">
        <f t="shared" si="7"/>
        <v>307.23190494770233</v>
      </c>
      <c r="J27" s="7"/>
      <c r="K27" s="19">
        <f t="shared" si="8"/>
        <v>-28.274333882308138</v>
      </c>
      <c r="M27" s="19">
        <f t="shared" si="9"/>
        <v>4.5</v>
      </c>
      <c r="N27" s="19">
        <f t="shared" si="10"/>
        <v>-4.5</v>
      </c>
    </row>
    <row r="28" spans="1:14">
      <c r="A28" s="3">
        <v>0.6</v>
      </c>
      <c r="B28" s="3">
        <f t="shared" si="0"/>
        <v>75.599999999999994</v>
      </c>
      <c r="C28" s="3" t="s">
        <v>56</v>
      </c>
      <c r="D28" s="18">
        <f>D26</f>
        <v>8.334707092361171</v>
      </c>
      <c r="E28" s="4">
        <f t="shared" si="3"/>
        <v>26.184254571184599</v>
      </c>
      <c r="F28" s="4">
        <f t="shared" si="4"/>
        <v>329.92160759692581</v>
      </c>
      <c r="G28" s="5">
        <f t="shared" si="5"/>
        <v>125483829.14243443</v>
      </c>
      <c r="H28" s="6">
        <f t="shared" si="6"/>
        <v>1.4980350429616904E-3</v>
      </c>
      <c r="I28" s="7">
        <f t="shared" si="7"/>
        <v>277.39914720097664</v>
      </c>
      <c r="J28" s="7"/>
      <c r="K28" s="19">
        <f t="shared" si="8"/>
        <v>-26.184254571184599</v>
      </c>
      <c r="M28" s="19">
        <f t="shared" si="9"/>
        <v>4.1673535461805855</v>
      </c>
      <c r="N28" s="19">
        <f t="shared" si="10"/>
        <v>-4.1673535461805855</v>
      </c>
    </row>
    <row r="29" spans="1:14">
      <c r="A29" s="3">
        <v>0.7</v>
      </c>
      <c r="B29" s="3">
        <f t="shared" si="0"/>
        <v>88.199999999999989</v>
      </c>
      <c r="C29" s="3" t="s">
        <v>56</v>
      </c>
      <c r="D29" s="18">
        <f>D25</f>
        <v>7.1234869857929262</v>
      </c>
      <c r="E29" s="4">
        <f t="shared" si="3"/>
        <v>22.379094382509557</v>
      </c>
      <c r="F29" s="4">
        <f t="shared" si="4"/>
        <v>281.97658921962028</v>
      </c>
      <c r="G29" s="5">
        <f t="shared" si="5"/>
        <v>146397800.66617352</v>
      </c>
      <c r="H29" s="6">
        <f t="shared" si="6"/>
        <v>1.4665525408250695E-3</v>
      </c>
      <c r="I29" s="7">
        <f t="shared" si="7"/>
        <v>232.10423715010697</v>
      </c>
      <c r="J29" s="7"/>
      <c r="K29" s="19">
        <f t="shared" si="8"/>
        <v>-22.379094382509557</v>
      </c>
      <c r="M29" s="19">
        <f t="shared" si="9"/>
        <v>3.5617434928964631</v>
      </c>
      <c r="N29" s="19">
        <f t="shared" si="10"/>
        <v>-3.5617434928964631</v>
      </c>
    </row>
    <row r="30" spans="1:14">
      <c r="A30" s="3">
        <v>0.8</v>
      </c>
      <c r="B30" s="3">
        <f t="shared" si="0"/>
        <v>100.80000000000001</v>
      </c>
      <c r="C30" s="3" t="s">
        <v>56</v>
      </c>
      <c r="D30" s="18">
        <f>D24</f>
        <v>5.5005393520307457</v>
      </c>
      <c r="E30" s="4">
        <f t="shared" si="3"/>
        <v>17.28045401912135</v>
      </c>
      <c r="F30" s="4">
        <f t="shared" si="4"/>
        <v>217.73372064092942</v>
      </c>
      <c r="G30" s="5">
        <f t="shared" si="5"/>
        <v>167311772.18991262</v>
      </c>
      <c r="H30" s="6">
        <f t="shared" si="6"/>
        <v>1.4400184624979613E-3</v>
      </c>
      <c r="I30" s="7">
        <f t="shared" si="7"/>
        <v>175.98114666095771</v>
      </c>
      <c r="J30" s="7"/>
      <c r="K30" s="19">
        <f t="shared" si="8"/>
        <v>-17.28045401912135</v>
      </c>
      <c r="M30" s="19">
        <f t="shared" si="9"/>
        <v>2.7502696760153729</v>
      </c>
      <c r="N30" s="19">
        <f t="shared" si="10"/>
        <v>-2.7502696760153729</v>
      </c>
    </row>
    <row r="31" spans="1:14">
      <c r="A31" s="3">
        <v>0.9</v>
      </c>
      <c r="B31" s="3">
        <f t="shared" si="0"/>
        <v>113.4</v>
      </c>
      <c r="C31" s="3" t="s">
        <v>56</v>
      </c>
      <c r="D31" s="18">
        <f>D23</f>
        <v>3.3959766908128812</v>
      </c>
      <c r="E31" s="4">
        <f t="shared" si="3"/>
        <v>10.668775423619923</v>
      </c>
      <c r="F31" s="4">
        <f t="shared" si="4"/>
        <v>134.42657033761097</v>
      </c>
      <c r="G31" s="5">
        <f t="shared" si="5"/>
        <v>188225743.71365169</v>
      </c>
      <c r="H31" s="6">
        <f t="shared" si="6"/>
        <v>1.4171635226367784E-3</v>
      </c>
      <c r="I31" s="7">
        <f t="shared" si="7"/>
        <v>106.92456023656332</v>
      </c>
      <c r="J31" s="7"/>
      <c r="K31" s="19">
        <f t="shared" si="8"/>
        <v>-10.668775423619923</v>
      </c>
      <c r="M31" s="19">
        <f t="shared" si="9"/>
        <v>1.6979883454064406</v>
      </c>
      <c r="N31" s="19">
        <f t="shared" si="10"/>
        <v>-1.6979883454064406</v>
      </c>
    </row>
    <row r="32" spans="1:14">
      <c r="A32">
        <v>1</v>
      </c>
      <c r="B32" s="3">
        <f t="shared" si="0"/>
        <v>126</v>
      </c>
      <c r="C32" s="3" t="s">
        <v>56</v>
      </c>
      <c r="D32" s="18">
        <f>D22</f>
        <v>0</v>
      </c>
      <c r="E32" s="4">
        <f t="shared" si="3"/>
        <v>0</v>
      </c>
      <c r="F32" s="4">
        <f t="shared" si="4"/>
        <v>0</v>
      </c>
      <c r="G32" s="5">
        <f t="shared" si="5"/>
        <v>209139715.23739076</v>
      </c>
      <c r="H32" s="6">
        <f t="shared" si="6"/>
        <v>1.3971433942971808E-3</v>
      </c>
      <c r="I32" s="7">
        <f t="shared" si="7"/>
        <v>0</v>
      </c>
      <c r="K32" s="19">
        <f t="shared" si="8"/>
        <v>0</v>
      </c>
      <c r="M32" s="19">
        <f t="shared" si="9"/>
        <v>0</v>
      </c>
      <c r="N32" s="19">
        <f t="shared" si="10"/>
        <v>0</v>
      </c>
    </row>
    <row r="33" spans="1:11">
      <c r="B33" s="3"/>
      <c r="C33" s="3"/>
      <c r="E33" s="4"/>
      <c r="F33" s="4"/>
      <c r="G33" s="5"/>
      <c r="H33" s="6"/>
      <c r="I33" s="7"/>
    </row>
    <row r="34" spans="1:11">
      <c r="A34" s="13" t="s">
        <v>42</v>
      </c>
      <c r="E34" s="4"/>
      <c r="F34" s="12">
        <f>SUM(F23:F32)</f>
        <v>2284.3735825072554</v>
      </c>
      <c r="G34" s="5"/>
      <c r="H34" s="6"/>
      <c r="I34" s="35">
        <f>SUM(I23:I32)</f>
        <v>2015.4543603294749</v>
      </c>
    </row>
    <row r="35" spans="1:11">
      <c r="I35" s="14"/>
    </row>
    <row r="36" spans="1:11">
      <c r="A36" s="14" t="s">
        <v>45</v>
      </c>
      <c r="K36" s="14"/>
    </row>
    <row r="37" spans="1:11">
      <c r="A37" s="11" t="s">
        <v>46</v>
      </c>
      <c r="B37">
        <f>PI()*D^2/4</f>
        <v>63.617251235193308</v>
      </c>
      <c r="K37" s="14"/>
    </row>
    <row r="38" spans="1:11">
      <c r="A38" t="s">
        <v>47</v>
      </c>
      <c r="B38">
        <f>4*B37/(PI()*(LL/2)^2)</f>
        <v>2.0408163265306121E-2</v>
      </c>
      <c r="J38" s="14"/>
      <c r="K38" s="33"/>
    </row>
    <row r="39" spans="1:11">
      <c r="A39" t="s">
        <v>32</v>
      </c>
      <c r="B39" s="14">
        <f>q*B37*B38</f>
        <v>689.4953286746595</v>
      </c>
    </row>
    <row r="42" spans="1:11">
      <c r="A42" s="14" t="s">
        <v>48</v>
      </c>
      <c r="B42" s="16">
        <f>B39+I34</f>
        <v>2704.9496890041346</v>
      </c>
    </row>
    <row r="43" spans="1:11">
      <c r="A43" s="14" t="s">
        <v>49</v>
      </c>
    </row>
    <row r="46" spans="1:11">
      <c r="A46" t="s">
        <v>50</v>
      </c>
      <c r="B46">
        <f>B42/(q*S)</f>
        <v>9.8138479727397712E-3</v>
      </c>
    </row>
  </sheetData>
  <phoneticPr fontId="9" type="noConversion"/>
  <printOptions gridLines="1" gridLinesSet="0"/>
  <pageMargins left="0.75" right="0.75" top="1" bottom="1" header="0.5" footer="0.5"/>
  <pageSetup orientation="portrait" r:id="rId1"/>
  <headerFooter alignWithMargins="0">
    <oddHeader>&amp;A</oddHeader>
    <oddFooter>Page &amp;P</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86"/>
  <sheetViews>
    <sheetView zoomScaleNormal="100" workbookViewId="0">
      <selection activeCell="A2" sqref="A2"/>
    </sheetView>
  </sheetViews>
  <sheetFormatPr defaultRowHeight="13.15"/>
  <cols>
    <col min="1" max="1" width="13.28515625" customWidth="1"/>
    <col min="4" max="4" width="9.140625" customWidth="1"/>
    <col min="10" max="10" width="21" customWidth="1"/>
  </cols>
  <sheetData>
    <row r="1" spans="1:7" ht="15.6">
      <c r="D1" s="15" t="s">
        <v>0</v>
      </c>
    </row>
    <row r="2" spans="1:7">
      <c r="A2" s="14"/>
    </row>
    <row r="3" spans="1:7">
      <c r="A3" s="14" t="s">
        <v>1</v>
      </c>
    </row>
    <row r="4" spans="1:7">
      <c r="A4" t="s">
        <v>2</v>
      </c>
      <c r="B4">
        <v>2.1</v>
      </c>
    </row>
    <row r="5" spans="1:7">
      <c r="A5" t="s">
        <v>3</v>
      </c>
      <c r="B5" s="8">
        <v>55000</v>
      </c>
      <c r="C5" s="8"/>
    </row>
    <row r="6" spans="1:7">
      <c r="A6" t="s">
        <v>53</v>
      </c>
      <c r="B6" s="9">
        <f>(1036-0.0034*(H-20000))*MC</f>
        <v>1925.7</v>
      </c>
      <c r="C6" s="9"/>
    </row>
    <row r="7" spans="1:7">
      <c r="A7" s="1" t="s">
        <v>5</v>
      </c>
      <c r="B7">
        <f>IF(H&lt;10000,(1-0.00002615*H)*0.076474,IF(H&gt;40000,(-0.0000091*H+0.6211)*0.076474,(-0.00001681*H+0.9066)*0.076474))</f>
        <v>9.2227644000000032E-3</v>
      </c>
    </row>
    <row r="8" spans="1:7">
      <c r="A8" t="s">
        <v>6</v>
      </c>
      <c r="B8">
        <f>0.5*B7*(B6^2)/32.2</f>
        <v>531.07090371059883</v>
      </c>
    </row>
    <row r="9" spans="1:7">
      <c r="A9" s="1" t="s">
        <v>7</v>
      </c>
      <c r="B9">
        <f>0.0000107</f>
        <v>1.0699999999999999E-5</v>
      </c>
    </row>
    <row r="10" spans="1:7">
      <c r="A10" s="1" t="s">
        <v>8</v>
      </c>
      <c r="B10">
        <f>B9/B7</f>
        <v>1.1601727568797046E-3</v>
      </c>
    </row>
    <row r="11" spans="1:7">
      <c r="A11" s="1"/>
    </row>
    <row r="12" spans="1:7">
      <c r="A12" s="14" t="s">
        <v>9</v>
      </c>
      <c r="D12" s="14" t="s">
        <v>10</v>
      </c>
    </row>
    <row r="13" spans="1:7">
      <c r="A13" s="11" t="s">
        <v>11</v>
      </c>
      <c r="B13">
        <v>9</v>
      </c>
      <c r="D13" s="17" t="s">
        <v>12</v>
      </c>
      <c r="E13">
        <f>1+(60/B14^3) + B14/400</f>
        <v>1.056865889212828</v>
      </c>
    </row>
    <row r="14" spans="1:7">
      <c r="A14" t="s">
        <v>13</v>
      </c>
      <c r="B14" s="10">
        <v>14</v>
      </c>
      <c r="C14" s="10"/>
      <c r="D14" s="17" t="s">
        <v>14</v>
      </c>
      <c r="E14">
        <v>1</v>
      </c>
      <c r="G14" s="2"/>
    </row>
    <row r="15" spans="1:7">
      <c r="A15" t="s">
        <v>15</v>
      </c>
      <c r="B15" s="10">
        <f>D*FIN</f>
        <v>126</v>
      </c>
      <c r="C15" s="10"/>
      <c r="D15" s="17" t="s">
        <v>16</v>
      </c>
      <c r="E15">
        <f>E13*E14</f>
        <v>1.056865889212828</v>
      </c>
      <c r="G15" s="2"/>
    </row>
    <row r="16" spans="1:7">
      <c r="A16" t="s">
        <v>17</v>
      </c>
      <c r="B16" s="10">
        <v>519</v>
      </c>
      <c r="C16" s="31"/>
      <c r="G16" s="2"/>
    </row>
    <row r="17" spans="1:11">
      <c r="B17" s="31"/>
      <c r="C17" s="31"/>
      <c r="E17" s="3"/>
      <c r="F17" s="3"/>
    </row>
    <row r="18" spans="1:11">
      <c r="B18" s="31"/>
      <c r="C18" s="31"/>
      <c r="G18" s="2"/>
    </row>
    <row r="20" spans="1:11">
      <c r="A20" s="14" t="s">
        <v>22</v>
      </c>
      <c r="D20" s="17" t="s">
        <v>57</v>
      </c>
    </row>
    <row r="21" spans="1:11" ht="15.6">
      <c r="A21" s="20" t="s">
        <v>24</v>
      </c>
      <c r="B21" s="20" t="s">
        <v>25</v>
      </c>
      <c r="C21" s="20" t="s">
        <v>26</v>
      </c>
      <c r="D21" s="20" t="s">
        <v>27</v>
      </c>
      <c r="E21" s="20" t="s">
        <v>28</v>
      </c>
      <c r="F21" s="20" t="s">
        <v>29</v>
      </c>
      <c r="G21" s="20" t="s">
        <v>30</v>
      </c>
      <c r="H21" s="20" t="s">
        <v>31</v>
      </c>
      <c r="I21" s="20" t="s">
        <v>32</v>
      </c>
    </row>
    <row r="22" spans="1:11">
      <c r="A22" s="3">
        <v>0</v>
      </c>
      <c r="B22" s="3">
        <f t="shared" ref="B22:B42" si="0">A22*LL</f>
        <v>0</v>
      </c>
      <c r="C22" s="3">
        <f t="shared" ref="C22:C53" si="1">B22-LL/2</f>
        <v>-63</v>
      </c>
      <c r="D22" s="19">
        <f t="shared" ref="D22:D53" si="2">D/2*SQRT(((1-(2*C22/LL)^2)^1.5))</f>
        <v>0</v>
      </c>
      <c r="E22" s="4">
        <f t="shared" ref="E22:E42" si="3">PI()*D22</f>
        <v>0</v>
      </c>
      <c r="F22" s="4"/>
      <c r="G22" s="5"/>
      <c r="H22" s="6"/>
      <c r="I22" s="7"/>
      <c r="K22" s="19">
        <f>-D22</f>
        <v>0</v>
      </c>
    </row>
    <row r="23" spans="1:11">
      <c r="A23" s="3">
        <v>0.02</v>
      </c>
      <c r="B23" s="3">
        <f t="shared" si="0"/>
        <v>2.52</v>
      </c>
      <c r="C23" s="3">
        <f t="shared" si="1"/>
        <v>-60.48</v>
      </c>
      <c r="D23" s="19">
        <f t="shared" si="2"/>
        <v>0.66672933038827709</v>
      </c>
      <c r="E23" s="4">
        <f t="shared" si="3"/>
        <v>2.0945919662806531</v>
      </c>
      <c r="F23" s="4">
        <f t="shared" ref="F23:F32" si="4">E23*(B23-B22)</f>
        <v>5.278371755027246</v>
      </c>
      <c r="G23" s="5">
        <f t="shared" ref="G23:G32" si="5">V*B23/nu</f>
        <v>4182794.3047478152</v>
      </c>
      <c r="H23" s="6">
        <f t="shared" ref="H23:H32" si="6">IF(G23&lt;1000000,1.328/SQRT(G23), 0.455/( (LOG(G23)^2.58)*(1+0.144*MC^2)^0.65))</f>
        <v>2.5185822994382178E-3</v>
      </c>
      <c r="I23" s="7">
        <f t="shared" ref="I23:I32" si="7">F23*H23*q*FQ</f>
        <v>7.4615406637658603</v>
      </c>
      <c r="K23" s="19">
        <f t="shared" ref="K23:K42" si="8">-D23</f>
        <v>-0.66672933038827709</v>
      </c>
    </row>
    <row r="24" spans="1:11">
      <c r="A24" s="3">
        <v>0.04</v>
      </c>
      <c r="B24" s="3">
        <f t="shared" si="0"/>
        <v>5.04</v>
      </c>
      <c r="C24" s="3">
        <f t="shared" si="1"/>
        <v>-57.96</v>
      </c>
      <c r="D24" s="19">
        <f t="shared" si="2"/>
        <v>1.1040936841375588</v>
      </c>
      <c r="E24" s="4">
        <f t="shared" si="3"/>
        <v>3.4686126069614445</v>
      </c>
      <c r="F24" s="4">
        <f t="shared" si="4"/>
        <v>8.7409037695428395</v>
      </c>
      <c r="G24" s="5">
        <f t="shared" si="5"/>
        <v>8365588.6094956305</v>
      </c>
      <c r="H24" s="6">
        <f t="shared" si="6"/>
        <v>2.245639641793291E-3</v>
      </c>
      <c r="I24" s="7">
        <f t="shared" si="7"/>
        <v>11.017138123459759</v>
      </c>
      <c r="K24" s="19">
        <f t="shared" si="8"/>
        <v>-1.1040936841375588</v>
      </c>
    </row>
    <row r="25" spans="1:11">
      <c r="A25" s="3">
        <v>0.06</v>
      </c>
      <c r="B25" s="3">
        <f t="shared" si="0"/>
        <v>7.56</v>
      </c>
      <c r="C25" s="3">
        <f t="shared" si="1"/>
        <v>-55.44</v>
      </c>
      <c r="D25" s="19">
        <f t="shared" si="2"/>
        <v>1.4730477845667334</v>
      </c>
      <c r="E25" s="4">
        <f t="shared" si="3"/>
        <v>4.6277160983815699</v>
      </c>
      <c r="F25" s="4">
        <f t="shared" si="4"/>
        <v>11.661844567921554</v>
      </c>
      <c r="G25" s="5">
        <f t="shared" si="5"/>
        <v>12548382.914243445</v>
      </c>
      <c r="H25" s="6">
        <f t="shared" si="6"/>
        <v>2.1047198734960612E-3</v>
      </c>
      <c r="I25" s="7">
        <f t="shared" si="7"/>
        <v>13.776342759792618</v>
      </c>
      <c r="K25" s="19">
        <f t="shared" si="8"/>
        <v>-1.4730477845667334</v>
      </c>
    </row>
    <row r="26" spans="1:11">
      <c r="A26" s="3">
        <v>0.08</v>
      </c>
      <c r="B26" s="3">
        <f t="shared" si="0"/>
        <v>10.08</v>
      </c>
      <c r="C26" s="3">
        <f t="shared" si="1"/>
        <v>-52.92</v>
      </c>
      <c r="D26" s="19">
        <f t="shared" si="2"/>
        <v>1.7985224697489786</v>
      </c>
      <c r="E26" s="4">
        <f t="shared" si="3"/>
        <v>5.6502249782795619</v>
      </c>
      <c r="F26" s="4">
        <f t="shared" si="4"/>
        <v>14.238566945264498</v>
      </c>
      <c r="G26" s="5">
        <f t="shared" si="5"/>
        <v>16731177.218991261</v>
      </c>
      <c r="H26" s="6">
        <f t="shared" si="6"/>
        <v>2.0120780857944367E-3</v>
      </c>
      <c r="I26" s="7">
        <f t="shared" si="7"/>
        <v>16.07990585110343</v>
      </c>
      <c r="K26" s="19">
        <f t="shared" si="8"/>
        <v>-1.7985224697489786</v>
      </c>
    </row>
    <row r="27" spans="1:11">
      <c r="A27" s="3">
        <v>0.1</v>
      </c>
      <c r="B27" s="3">
        <f t="shared" si="0"/>
        <v>12.600000000000001</v>
      </c>
      <c r="C27" s="3">
        <f t="shared" si="1"/>
        <v>-50.4</v>
      </c>
      <c r="D27" s="19">
        <f t="shared" si="2"/>
        <v>2.0914110069520055</v>
      </c>
      <c r="E27" s="4">
        <f t="shared" si="3"/>
        <v>6.5703614550772524</v>
      </c>
      <c r="F27" s="4">
        <f t="shared" si="4"/>
        <v>16.557310866794683</v>
      </c>
      <c r="G27" s="5">
        <f t="shared" si="5"/>
        <v>20913971.523739077</v>
      </c>
      <c r="H27" s="6">
        <f t="shared" si="6"/>
        <v>1.9440728893943891E-3</v>
      </c>
      <c r="I27" s="7">
        <f t="shared" si="7"/>
        <v>18.066529554380473</v>
      </c>
      <c r="J27" s="7"/>
      <c r="K27" s="19">
        <f t="shared" si="8"/>
        <v>-2.0914110069520055</v>
      </c>
    </row>
    <row r="28" spans="1:11">
      <c r="A28" s="3">
        <v>0.12</v>
      </c>
      <c r="B28" s="3">
        <f t="shared" si="0"/>
        <v>15.12</v>
      </c>
      <c r="C28" s="3">
        <f t="shared" si="1"/>
        <v>-47.88</v>
      </c>
      <c r="D28" s="19">
        <f t="shared" si="2"/>
        <v>2.3577917617617401</v>
      </c>
      <c r="E28" s="4">
        <f t="shared" si="3"/>
        <v>7.4072212774452186</v>
      </c>
      <c r="F28" s="4">
        <f t="shared" si="4"/>
        <v>18.666197619161935</v>
      </c>
      <c r="G28" s="5">
        <f t="shared" si="5"/>
        <v>25096765.82848689</v>
      </c>
      <c r="H28" s="6">
        <f t="shared" si="6"/>
        <v>1.8908539739554311E-3</v>
      </c>
      <c r="I28" s="7">
        <f t="shared" si="7"/>
        <v>19.81008044300793</v>
      </c>
      <c r="J28" s="7"/>
      <c r="K28" s="19">
        <f t="shared" si="8"/>
        <v>-2.3577917617617401</v>
      </c>
    </row>
    <row r="29" spans="1:11">
      <c r="A29" s="3">
        <v>0.14000000000000001</v>
      </c>
      <c r="B29" s="3">
        <f t="shared" si="0"/>
        <v>17.64</v>
      </c>
      <c r="C29" s="3">
        <f t="shared" si="1"/>
        <v>-45.36</v>
      </c>
      <c r="D29" s="19">
        <f t="shared" si="2"/>
        <v>2.6015212186682262</v>
      </c>
      <c r="E29" s="4">
        <f t="shared" si="3"/>
        <v>8.1729199487260651</v>
      </c>
      <c r="F29" s="4">
        <f t="shared" si="4"/>
        <v>20.595758270789695</v>
      </c>
      <c r="G29" s="5">
        <f t="shared" si="5"/>
        <v>29279560.13323471</v>
      </c>
      <c r="H29" s="6">
        <f t="shared" si="6"/>
        <v>1.8474224752005866E-3</v>
      </c>
      <c r="I29" s="7">
        <f t="shared" si="7"/>
        <v>21.355827184867248</v>
      </c>
      <c r="J29" s="7"/>
      <c r="K29" s="19">
        <f t="shared" si="8"/>
        <v>-2.6015212186682262</v>
      </c>
    </row>
    <row r="30" spans="1:11">
      <c r="A30" s="3">
        <v>0.16</v>
      </c>
      <c r="B30" s="3">
        <f t="shared" si="0"/>
        <v>20.16</v>
      </c>
      <c r="C30" s="3">
        <f t="shared" si="1"/>
        <v>-42.84</v>
      </c>
      <c r="D30" s="19">
        <f t="shared" si="2"/>
        <v>2.8252504893001533</v>
      </c>
      <c r="E30" s="4">
        <f t="shared" si="3"/>
        <v>8.8757861817363306</v>
      </c>
      <c r="F30" s="4">
        <f t="shared" si="4"/>
        <v>22.36698117797555</v>
      </c>
      <c r="G30" s="5">
        <f t="shared" si="5"/>
        <v>33462354.437982522</v>
      </c>
      <c r="H30" s="6">
        <f t="shared" si="6"/>
        <v>1.810911421038341E-3</v>
      </c>
      <c r="I30" s="7">
        <f t="shared" si="7"/>
        <v>22.734058284543568</v>
      </c>
      <c r="J30" s="7"/>
      <c r="K30" s="19">
        <f t="shared" si="8"/>
        <v>-2.8252504893001533</v>
      </c>
    </row>
    <row r="31" spans="1:11">
      <c r="A31" s="3">
        <v>0.18</v>
      </c>
      <c r="B31" s="3">
        <f t="shared" si="0"/>
        <v>22.68</v>
      </c>
      <c r="C31" s="3">
        <f t="shared" si="1"/>
        <v>-40.32</v>
      </c>
      <c r="D31" s="19">
        <f t="shared" si="2"/>
        <v>3.0309046596628968</v>
      </c>
      <c r="E31" s="4">
        <f t="shared" si="3"/>
        <v>9.5218678125280292</v>
      </c>
      <c r="F31" s="4">
        <f t="shared" si="4"/>
        <v>23.995106887570628</v>
      </c>
      <c r="G31" s="5">
        <f t="shared" si="5"/>
        <v>37645148.742730342</v>
      </c>
      <c r="H31" s="6">
        <f t="shared" si="6"/>
        <v>1.7795322907031411E-3</v>
      </c>
      <c r="I31" s="7">
        <f t="shared" si="7"/>
        <v>23.96629776717333</v>
      </c>
      <c r="J31" s="7"/>
      <c r="K31" s="19">
        <f t="shared" si="8"/>
        <v>-3.0309046596628968</v>
      </c>
    </row>
    <row r="32" spans="1:11">
      <c r="A32" s="3">
        <v>0.2</v>
      </c>
      <c r="B32" s="3">
        <f t="shared" si="0"/>
        <v>25.200000000000003</v>
      </c>
      <c r="C32" s="3">
        <f t="shared" si="1"/>
        <v>-37.799999999999997</v>
      </c>
      <c r="D32" s="19">
        <f t="shared" si="2"/>
        <v>3.2199378875996971</v>
      </c>
      <c r="E32" s="4">
        <f t="shared" si="3"/>
        <v>10.115733212698645</v>
      </c>
      <c r="F32" s="4">
        <f t="shared" si="4"/>
        <v>25.491647696000616</v>
      </c>
      <c r="G32" s="5">
        <f t="shared" si="5"/>
        <v>41827943.047478154</v>
      </c>
      <c r="H32" s="6">
        <f t="shared" si="6"/>
        <v>1.7520984325871134E-3</v>
      </c>
      <c r="I32" s="7">
        <f t="shared" si="7"/>
        <v>25.068525953784274</v>
      </c>
      <c r="K32" s="19">
        <f t="shared" si="8"/>
        <v>-3.2199378875996971</v>
      </c>
    </row>
    <row r="33" spans="1:11">
      <c r="A33" s="3">
        <v>0.22</v>
      </c>
      <c r="B33" s="3">
        <f t="shared" si="0"/>
        <v>27.72</v>
      </c>
      <c r="C33" s="3">
        <f t="shared" si="1"/>
        <v>-35.28</v>
      </c>
      <c r="D33" s="19">
        <f t="shared" si="2"/>
        <v>3.3934813748545603</v>
      </c>
      <c r="E33" s="4">
        <f t="shared" si="3"/>
        <v>10.660936157336877</v>
      </c>
      <c r="F33" s="4">
        <f t="shared" ref="F33:F42" si="9">E33*(B33-B32)</f>
        <v>26.865559116488889</v>
      </c>
      <c r="G33" s="5">
        <f t="shared" ref="G33:G42" si="10">V*B33/nu</f>
        <v>46010737.352225967</v>
      </c>
      <c r="H33" s="6">
        <f t="shared" ref="H33:H42" si="11">IF(G33&lt;1000000,1.328/SQRT(G33), 0.455/( (LOG(G33)^2.58)*(1+0.144*MC^2)^0.65))</f>
        <v>1.7277844753925823E-3</v>
      </c>
      <c r="I33" s="7">
        <f t="shared" ref="I33:I42" si="12">F33*H33*q*FQ</f>
        <v>26.05300602264105</v>
      </c>
      <c r="K33" s="19">
        <f t="shared" si="8"/>
        <v>-3.3934813748545603</v>
      </c>
    </row>
    <row r="34" spans="1:11">
      <c r="A34" s="3">
        <v>0.24</v>
      </c>
      <c r="B34" s="3">
        <f t="shared" si="0"/>
        <v>30.24</v>
      </c>
      <c r="C34" s="3">
        <f t="shared" si="1"/>
        <v>-32.760000000000005</v>
      </c>
      <c r="D34" s="19">
        <f t="shared" si="2"/>
        <v>3.5524349387631164</v>
      </c>
      <c r="E34" s="4">
        <f t="shared" si="3"/>
        <v>11.160303505973912</v>
      </c>
      <c r="F34" s="4">
        <f t="shared" si="9"/>
        <v>28.123964835054256</v>
      </c>
      <c r="G34" s="5">
        <f t="shared" si="10"/>
        <v>50193531.656973779</v>
      </c>
      <c r="H34" s="6">
        <f t="shared" si="11"/>
        <v>1.7059944829853387E-3</v>
      </c>
      <c r="I34" s="7">
        <f t="shared" si="12"/>
        <v>26.92939258621692</v>
      </c>
      <c r="K34" s="19">
        <f t="shared" si="8"/>
        <v>-3.5524349387631164</v>
      </c>
    </row>
    <row r="35" spans="1:11">
      <c r="A35" s="3">
        <v>0.26</v>
      </c>
      <c r="B35" s="3">
        <f t="shared" si="0"/>
        <v>32.76</v>
      </c>
      <c r="C35" s="3">
        <f t="shared" si="1"/>
        <v>-30.240000000000002</v>
      </c>
      <c r="D35" s="19">
        <f t="shared" si="2"/>
        <v>3.6975266089713799</v>
      </c>
      <c r="E35" s="4">
        <f t="shared" si="3"/>
        <v>11.616122431197267</v>
      </c>
      <c r="F35" s="4">
        <f t="shared" si="9"/>
        <v>29.272628526617108</v>
      </c>
      <c r="G35" s="5">
        <f t="shared" si="10"/>
        <v>54376325.961721599</v>
      </c>
      <c r="H35" s="6">
        <f t="shared" si="11"/>
        <v>1.6862849260638195E-3</v>
      </c>
      <c r="I35" s="7">
        <f t="shared" si="12"/>
        <v>27.705441062376849</v>
      </c>
      <c r="K35" s="19">
        <f t="shared" si="8"/>
        <v>-3.6975266089713799</v>
      </c>
    </row>
    <row r="36" spans="1:11">
      <c r="A36" s="3">
        <v>0.28000000000000003</v>
      </c>
      <c r="B36" s="3">
        <f t="shared" si="0"/>
        <v>35.28</v>
      </c>
      <c r="C36" s="3">
        <f t="shared" si="1"/>
        <v>-27.72</v>
      </c>
      <c r="D36" s="19">
        <f t="shared" si="2"/>
        <v>3.8293530042469706</v>
      </c>
      <c r="E36" s="4">
        <f t="shared" si="3"/>
        <v>12.030267266144287</v>
      </c>
      <c r="F36" s="4">
        <f t="shared" si="9"/>
        <v>30.31627351068364</v>
      </c>
      <c r="G36" s="5">
        <f t="shared" si="10"/>
        <v>58559120.266469419</v>
      </c>
      <c r="H36" s="6">
        <f t="shared" si="11"/>
        <v>1.6683173050371885E-3</v>
      </c>
      <c r="I36" s="7">
        <f t="shared" si="12"/>
        <v>28.387481243792145</v>
      </c>
      <c r="K36" s="19">
        <f t="shared" si="8"/>
        <v>-3.8293530042469706</v>
      </c>
    </row>
    <row r="37" spans="1:11">
      <c r="A37" s="3">
        <v>0.3</v>
      </c>
      <c r="B37" s="3">
        <f t="shared" si="0"/>
        <v>37.799999999999997</v>
      </c>
      <c r="C37" s="3">
        <f t="shared" si="1"/>
        <v>-25.200000000000003</v>
      </c>
      <c r="D37" s="19">
        <f t="shared" si="2"/>
        <v>3.9484075922123045</v>
      </c>
      <c r="E37" s="4">
        <f t="shared" si="3"/>
        <v>12.40428828507234</v>
      </c>
      <c r="F37" s="4">
        <f t="shared" si="9"/>
        <v>31.258806478382247</v>
      </c>
      <c r="G37" s="5">
        <f t="shared" si="10"/>
        <v>62741914.571217217</v>
      </c>
      <c r="H37" s="6">
        <f t="shared" si="11"/>
        <v>1.6518277518746927E-3</v>
      </c>
      <c r="I37" s="7">
        <f t="shared" si="12"/>
        <v>28.980744571515459</v>
      </c>
      <c r="K37" s="19">
        <f t="shared" si="8"/>
        <v>-3.9484075922123045</v>
      </c>
    </row>
    <row r="38" spans="1:11">
      <c r="A38" s="3">
        <v>0.32</v>
      </c>
      <c r="B38" s="3">
        <f t="shared" si="0"/>
        <v>40.32</v>
      </c>
      <c r="C38" s="3">
        <f t="shared" si="1"/>
        <v>-22.68</v>
      </c>
      <c r="D38" s="19">
        <f t="shared" si="2"/>
        <v>4.055100999339678</v>
      </c>
      <c r="E38" s="4">
        <f t="shared" si="3"/>
        <v>12.739475509090161</v>
      </c>
      <c r="F38" s="4">
        <f t="shared" si="9"/>
        <v>32.103478282907247</v>
      </c>
      <c r="G38" s="5">
        <f t="shared" si="10"/>
        <v>66924708.875965044</v>
      </c>
      <c r="H38" s="6">
        <f t="shared" si="11"/>
        <v>1.6366068230833082E-3</v>
      </c>
      <c r="I38" s="7">
        <f t="shared" si="12"/>
        <v>29.489596858286564</v>
      </c>
      <c r="K38" s="19">
        <f t="shared" si="8"/>
        <v>-4.055100999339678</v>
      </c>
    </row>
    <row r="39" spans="1:11">
      <c r="A39" s="3">
        <v>0.34</v>
      </c>
      <c r="B39" s="3">
        <f t="shared" si="0"/>
        <v>42.84</v>
      </c>
      <c r="C39" s="3">
        <f t="shared" si="1"/>
        <v>-20.159999999999997</v>
      </c>
      <c r="D39" s="19">
        <f t="shared" si="2"/>
        <v>4.1497759241991723</v>
      </c>
      <c r="E39" s="4">
        <f t="shared" si="3"/>
        <v>13.036905557507914</v>
      </c>
      <c r="F39" s="4">
        <f t="shared" si="9"/>
        <v>32.853002004919986</v>
      </c>
      <c r="G39" s="5">
        <f t="shared" si="10"/>
        <v>71107503.180712864</v>
      </c>
      <c r="H39" s="6">
        <f t="shared" si="11"/>
        <v>1.6224856566488107E-3</v>
      </c>
      <c r="I39" s="7">
        <f t="shared" si="12"/>
        <v>29.917707745750029</v>
      </c>
      <c r="K39" s="19">
        <f t="shared" si="8"/>
        <v>-4.1497759241991723</v>
      </c>
    </row>
    <row r="40" spans="1:11">
      <c r="A40" s="3">
        <v>0.36</v>
      </c>
      <c r="B40" s="3">
        <f t="shared" si="0"/>
        <v>45.36</v>
      </c>
      <c r="C40" s="3">
        <f t="shared" si="1"/>
        <v>-17.64</v>
      </c>
      <c r="D40" s="19">
        <f t="shared" si="2"/>
        <v>4.232718275529332</v>
      </c>
      <c r="E40" s="4">
        <f t="shared" si="3"/>
        <v>13.297476639118207</v>
      </c>
      <c r="F40" s="4">
        <f t="shared" si="9"/>
        <v>33.509641130577826</v>
      </c>
      <c r="G40" s="5">
        <f t="shared" si="10"/>
        <v>75290297.485460684</v>
      </c>
      <c r="H40" s="6">
        <f t="shared" si="11"/>
        <v>1.6093262396161109E-3</v>
      </c>
      <c r="I40" s="7">
        <f t="shared" si="12"/>
        <v>30.268176534418142</v>
      </c>
      <c r="K40" s="19">
        <f t="shared" si="8"/>
        <v>-4.232718275529332</v>
      </c>
    </row>
    <row r="41" spans="1:11">
      <c r="A41" s="3">
        <v>0.38</v>
      </c>
      <c r="B41" s="3">
        <f t="shared" si="0"/>
        <v>47.88</v>
      </c>
      <c r="C41" s="3">
        <f t="shared" si="1"/>
        <v>-15.119999999999997</v>
      </c>
      <c r="D41" s="19">
        <f t="shared" si="2"/>
        <v>4.3041655968016803</v>
      </c>
      <c r="E41" s="4">
        <f t="shared" si="3"/>
        <v>13.521935018746086</v>
      </c>
      <c r="F41" s="4">
        <f t="shared" si="9"/>
        <v>34.075276247240183</v>
      </c>
      <c r="G41" s="5">
        <f t="shared" si="10"/>
        <v>79473091.790208489</v>
      </c>
      <c r="H41" s="6">
        <f t="shared" si="11"/>
        <v>1.5970144095044864E-3</v>
      </c>
      <c r="I41" s="7">
        <f t="shared" si="12"/>
        <v>30.543627114413393</v>
      </c>
      <c r="K41" s="19">
        <f t="shared" si="8"/>
        <v>-4.3041655968016803</v>
      </c>
    </row>
    <row r="42" spans="1:11">
      <c r="A42" s="3">
        <v>0.4</v>
      </c>
      <c r="B42" s="3">
        <f t="shared" si="0"/>
        <v>50.400000000000006</v>
      </c>
      <c r="C42" s="3">
        <f t="shared" si="1"/>
        <v>-12.599999999999994</v>
      </c>
      <c r="D42" s="19">
        <f t="shared" si="2"/>
        <v>4.364313490101507</v>
      </c>
      <c r="E42" s="4">
        <f t="shared" si="3"/>
        <v>13.710895198465725</v>
      </c>
      <c r="F42" s="4">
        <f t="shared" si="9"/>
        <v>34.551455900133668</v>
      </c>
      <c r="G42" s="5">
        <f t="shared" si="10"/>
        <v>83655886.094956309</v>
      </c>
      <c r="H42" s="6">
        <f t="shared" si="11"/>
        <v>1.5854547208453227E-3</v>
      </c>
      <c r="I42" s="7">
        <f t="shared" si="12"/>
        <v>30.74628047255537</v>
      </c>
      <c r="K42" s="19">
        <f t="shared" si="8"/>
        <v>-4.364313490101507</v>
      </c>
    </row>
    <row r="43" spans="1:11">
      <c r="A43" s="3">
        <v>0.42</v>
      </c>
      <c r="B43" s="3">
        <f t="shared" ref="B43:B72" si="13">A43*LL</f>
        <v>52.919999999999995</v>
      </c>
      <c r="C43" s="3">
        <f t="shared" si="1"/>
        <v>-10.080000000000005</v>
      </c>
      <c r="D43" s="19">
        <f t="shared" si="2"/>
        <v>4.4133205276929504</v>
      </c>
      <c r="E43" s="4">
        <f t="shared" ref="E43:E72" si="14">PI()*D43</f>
        <v>13.864855347737201</v>
      </c>
      <c r="F43" s="4">
        <f t="shared" ref="F43:F72" si="15">E43*(B43-B42)</f>
        <v>34.939435476297596</v>
      </c>
      <c r="G43" s="5">
        <f t="shared" ref="G43:G72" si="16">V*B43/nu</f>
        <v>87838680.399704114</v>
      </c>
      <c r="H43" s="6">
        <f t="shared" ref="H43:H72" si="17">IF(G43&lt;1000000,1.328/SQRT(G43), 0.455/( (LOG(G43)^2.58)*(1+0.144*MC^2)^0.65))</f>
        <v>1.5745666130780325E-3</v>
      </c>
      <c r="I43" s="7">
        <f t="shared" ref="I43:I72" si="18">F43*H43*q*FQ</f>
        <v>30.878010549473142</v>
      </c>
      <c r="K43" s="19">
        <f t="shared" ref="K43:K72" si="19">-D43</f>
        <v>-4.4133205276929504</v>
      </c>
    </row>
    <row r="44" spans="1:11">
      <c r="A44" s="3">
        <v>0.44</v>
      </c>
      <c r="B44" s="3">
        <f t="shared" si="13"/>
        <v>55.44</v>
      </c>
      <c r="C44" s="3">
        <f t="shared" si="1"/>
        <v>-7.5600000000000023</v>
      </c>
      <c r="D44" s="19">
        <f t="shared" si="2"/>
        <v>4.4513119908282679</v>
      </c>
      <c r="E44" s="4">
        <f t="shared" si="14"/>
        <v>13.984209049222242</v>
      </c>
      <c r="F44" s="4">
        <f t="shared" si="15"/>
        <v>35.240206804040092</v>
      </c>
      <c r="G44" s="5">
        <f t="shared" si="16"/>
        <v>92021474.704451934</v>
      </c>
      <c r="H44" s="6">
        <f t="shared" si="17"/>
        <v>1.5642815047369031E-3</v>
      </c>
      <c r="I44" s="7">
        <f t="shared" si="18"/>
        <v>30.940387453145405</v>
      </c>
      <c r="K44" s="19">
        <f t="shared" si="19"/>
        <v>-4.4513119908282679</v>
      </c>
    </row>
    <row r="45" spans="1:11">
      <c r="A45" s="3">
        <v>0.46</v>
      </c>
      <c r="B45" s="3">
        <f t="shared" si="13"/>
        <v>57.96</v>
      </c>
      <c r="C45" s="3">
        <f t="shared" si="1"/>
        <v>-5.0399999999999991</v>
      </c>
      <c r="D45" s="19">
        <f t="shared" si="2"/>
        <v>4.4783826737534191</v>
      </c>
      <c r="E45" s="4">
        <f t="shared" si="14"/>
        <v>14.069254107827557</v>
      </c>
      <c r="F45" s="4">
        <f t="shared" si="15"/>
        <v>35.454520351725492</v>
      </c>
      <c r="G45" s="5">
        <f t="shared" si="16"/>
        <v>96204269.009199739</v>
      </c>
      <c r="H45" s="6">
        <f t="shared" si="17"/>
        <v>1.5545405588215455E-3</v>
      </c>
      <c r="I45" s="7">
        <f t="shared" si="18"/>
        <v>30.934710847297726</v>
      </c>
      <c r="K45" s="19">
        <f t="shared" si="19"/>
        <v>-4.4783826737534191</v>
      </c>
    </row>
    <row r="46" spans="1:11">
      <c r="A46" s="3">
        <v>0.48</v>
      </c>
      <c r="B46" s="3">
        <f t="shared" si="13"/>
        <v>60.48</v>
      </c>
      <c r="C46" s="3">
        <f t="shared" si="1"/>
        <v>-2.5200000000000031</v>
      </c>
      <c r="D46" s="19">
        <f t="shared" si="2"/>
        <v>4.4945989192793512</v>
      </c>
      <c r="E46" s="4">
        <f t="shared" si="14"/>
        <v>14.120198945640633</v>
      </c>
      <c r="F46" s="4">
        <f t="shared" si="15"/>
        <v>35.582901343014335</v>
      </c>
      <c r="G46" s="5">
        <f t="shared" si="16"/>
        <v>100387063.31394756</v>
      </c>
      <c r="H46" s="6">
        <f t="shared" si="17"/>
        <v>1.5452929423650779E-3</v>
      </c>
      <c r="I46" s="7">
        <f t="shared" si="18"/>
        <v>30.862035512557593</v>
      </c>
      <c r="K46" s="19">
        <f t="shared" si="19"/>
        <v>-4.4945989192793512</v>
      </c>
    </row>
    <row r="47" spans="1:11">
      <c r="A47" s="3">
        <v>0.5</v>
      </c>
      <c r="B47" s="3">
        <f t="shared" si="13"/>
        <v>63</v>
      </c>
      <c r="C47" s="3">
        <f t="shared" si="1"/>
        <v>0</v>
      </c>
      <c r="D47" s="19">
        <f t="shared" si="2"/>
        <v>4.5</v>
      </c>
      <c r="E47" s="4">
        <f t="shared" si="14"/>
        <v>14.137166941154069</v>
      </c>
      <c r="F47" s="4">
        <f t="shared" si="15"/>
        <v>35.625660691708298</v>
      </c>
      <c r="G47" s="5">
        <f t="shared" si="16"/>
        <v>104569857.61869538</v>
      </c>
      <c r="H47" s="6">
        <f t="shared" si="17"/>
        <v>1.5364944552008967E-3</v>
      </c>
      <c r="I47" s="7">
        <f t="shared" si="18"/>
        <v>30.723190494770293</v>
      </c>
      <c r="K47" s="19">
        <f t="shared" si="19"/>
        <v>-4.5</v>
      </c>
    </row>
    <row r="48" spans="1:11">
      <c r="A48" s="3">
        <v>0.52</v>
      </c>
      <c r="B48" s="3">
        <f t="shared" si="13"/>
        <v>65.52</v>
      </c>
      <c r="C48" s="3">
        <f t="shared" si="1"/>
        <v>2.519999999999996</v>
      </c>
      <c r="D48" s="19">
        <f t="shared" si="2"/>
        <v>4.4945989192793512</v>
      </c>
      <c r="E48" s="4">
        <f t="shared" si="14"/>
        <v>14.120198945640633</v>
      </c>
      <c r="F48" s="4">
        <f t="shared" si="15"/>
        <v>35.582901343014335</v>
      </c>
      <c r="G48" s="5">
        <f t="shared" si="16"/>
        <v>108752651.9234432</v>
      </c>
      <c r="H48" s="6">
        <f t="shared" si="17"/>
        <v>1.5281064382060797E-3</v>
      </c>
      <c r="I48" s="7">
        <f t="shared" si="18"/>
        <v>30.51879282558853</v>
      </c>
      <c r="K48" s="19">
        <f t="shared" si="19"/>
        <v>-4.4945989192793512</v>
      </c>
    </row>
    <row r="49" spans="1:11">
      <c r="A49" s="3">
        <v>0.54</v>
      </c>
      <c r="B49" s="3">
        <f t="shared" si="13"/>
        <v>68.040000000000006</v>
      </c>
      <c r="C49" s="3">
        <f t="shared" si="1"/>
        <v>5.0400000000000063</v>
      </c>
      <c r="D49" s="19">
        <f t="shared" si="2"/>
        <v>4.4783826737534191</v>
      </c>
      <c r="E49" s="4">
        <f t="shared" si="14"/>
        <v>14.069254107827557</v>
      </c>
      <c r="F49" s="4">
        <f t="shared" si="15"/>
        <v>35.454520351725591</v>
      </c>
      <c r="G49" s="5">
        <f t="shared" si="16"/>
        <v>112935446.22819102</v>
      </c>
      <c r="H49" s="6">
        <f t="shared" si="17"/>
        <v>1.5200948956655233E-3</v>
      </c>
      <c r="I49" s="7">
        <f t="shared" si="18"/>
        <v>30.249256470679459</v>
      </c>
      <c r="K49" s="19">
        <f t="shared" si="19"/>
        <v>-4.4783826737534191</v>
      </c>
    </row>
    <row r="50" spans="1:11">
      <c r="A50" s="3">
        <v>0.56000000000000005</v>
      </c>
      <c r="B50" s="3">
        <f t="shared" si="13"/>
        <v>70.56</v>
      </c>
      <c r="C50" s="3">
        <f t="shared" si="1"/>
        <v>7.5600000000000023</v>
      </c>
      <c r="D50" s="19">
        <f t="shared" si="2"/>
        <v>4.4513119908282679</v>
      </c>
      <c r="E50" s="4">
        <f t="shared" si="14"/>
        <v>13.984209049222242</v>
      </c>
      <c r="F50" s="4">
        <f t="shared" si="15"/>
        <v>35.240206804039993</v>
      </c>
      <c r="G50" s="5">
        <f t="shared" si="16"/>
        <v>117118240.53293884</v>
      </c>
      <c r="H50" s="6">
        <f t="shared" si="17"/>
        <v>1.5124297835046288E-3</v>
      </c>
      <c r="I50" s="7">
        <f t="shared" si="18"/>
        <v>29.914796892762855</v>
      </c>
      <c r="K50" s="19">
        <f t="shared" si="19"/>
        <v>-4.4513119908282679</v>
      </c>
    </row>
    <row r="51" spans="1:11">
      <c r="A51" s="3">
        <v>0.57999999999999996</v>
      </c>
      <c r="B51" s="3">
        <f t="shared" si="13"/>
        <v>73.08</v>
      </c>
      <c r="C51" s="3">
        <f t="shared" si="1"/>
        <v>10.079999999999998</v>
      </c>
      <c r="D51" s="19">
        <f t="shared" si="2"/>
        <v>4.4133205276929504</v>
      </c>
      <c r="E51" s="4">
        <f t="shared" si="14"/>
        <v>13.864855347737201</v>
      </c>
      <c r="F51" s="4">
        <f t="shared" si="15"/>
        <v>34.939435476297689</v>
      </c>
      <c r="G51" s="5">
        <f t="shared" si="16"/>
        <v>121301034.83768663</v>
      </c>
      <c r="H51" s="6">
        <f t="shared" si="17"/>
        <v>1.5050844273231149E-3</v>
      </c>
      <c r="I51" s="7">
        <f t="shared" si="18"/>
        <v>29.515431382024257</v>
      </c>
      <c r="K51" s="19">
        <f t="shared" si="19"/>
        <v>-4.4133205276929504</v>
      </c>
    </row>
    <row r="52" spans="1:11">
      <c r="A52" s="3">
        <v>0.6</v>
      </c>
      <c r="B52" s="3">
        <f t="shared" si="13"/>
        <v>75.599999999999994</v>
      </c>
      <c r="C52" s="3">
        <f t="shared" si="1"/>
        <v>12.599999999999994</v>
      </c>
      <c r="D52" s="19">
        <f t="shared" si="2"/>
        <v>4.364313490101507</v>
      </c>
      <c r="E52" s="4">
        <f t="shared" si="14"/>
        <v>13.710895198465725</v>
      </c>
      <c r="F52" s="4">
        <f t="shared" si="15"/>
        <v>34.551455900133568</v>
      </c>
      <c r="G52" s="5">
        <f t="shared" si="16"/>
        <v>125483829.14243443</v>
      </c>
      <c r="H52" s="6">
        <f t="shared" si="17"/>
        <v>1.4980350429616904E-3</v>
      </c>
      <c r="I52" s="7">
        <f t="shared" si="18"/>
        <v>29.050975081810652</v>
      </c>
      <c r="K52" s="19">
        <f t="shared" si="19"/>
        <v>-4.364313490101507</v>
      </c>
    </row>
    <row r="53" spans="1:11">
      <c r="A53" s="3">
        <v>0.62</v>
      </c>
      <c r="B53" s="3">
        <f t="shared" si="13"/>
        <v>78.12</v>
      </c>
      <c r="C53" s="3">
        <f t="shared" si="1"/>
        <v>15.120000000000005</v>
      </c>
      <c r="D53" s="19">
        <f t="shared" si="2"/>
        <v>4.3041655968016803</v>
      </c>
      <c r="E53" s="4">
        <f t="shared" si="14"/>
        <v>13.521935018746086</v>
      </c>
      <c r="F53" s="4">
        <f t="shared" si="15"/>
        <v>34.075276247240275</v>
      </c>
      <c r="G53" s="5">
        <f t="shared" si="16"/>
        <v>129666623.44718227</v>
      </c>
      <c r="H53" s="6">
        <f t="shared" si="17"/>
        <v>1.4912603387678431E-3</v>
      </c>
      <c r="I53" s="7">
        <f t="shared" si="18"/>
        <v>28.521032400685399</v>
      </c>
      <c r="K53" s="19">
        <f t="shared" si="19"/>
        <v>-4.3041655968016803</v>
      </c>
    </row>
    <row r="54" spans="1:11">
      <c r="A54" s="3">
        <v>0.64</v>
      </c>
      <c r="B54" s="3">
        <f t="shared" si="13"/>
        <v>80.64</v>
      </c>
      <c r="C54" s="3">
        <f t="shared" ref="C54:C72" si="20">B54-LL/2</f>
        <v>17.64</v>
      </c>
      <c r="D54" s="19">
        <f t="shared" ref="D54:D72" si="21">D/2*SQRT(((1-(2*C54/LL)^2)^1.5))</f>
        <v>4.232718275529332</v>
      </c>
      <c r="E54" s="4">
        <f t="shared" si="14"/>
        <v>13.297476639118207</v>
      </c>
      <c r="F54" s="4">
        <f t="shared" si="15"/>
        <v>33.509641130577826</v>
      </c>
      <c r="G54" s="5">
        <f t="shared" si="16"/>
        <v>133849417.75193009</v>
      </c>
      <c r="H54" s="6">
        <f t="shared" si="17"/>
        <v>1.4847411834870436E-3</v>
      </c>
      <c r="I54" s="7">
        <f t="shared" si="18"/>
        <v>27.924983228028925</v>
      </c>
      <c r="K54" s="19">
        <f t="shared" si="19"/>
        <v>-4.232718275529332</v>
      </c>
    </row>
    <row r="55" spans="1:11">
      <c r="A55" s="3">
        <v>0.66</v>
      </c>
      <c r="B55" s="3">
        <f t="shared" si="13"/>
        <v>83.160000000000011</v>
      </c>
      <c r="C55" s="3">
        <f t="shared" si="20"/>
        <v>20.160000000000011</v>
      </c>
      <c r="D55" s="19">
        <f t="shared" si="21"/>
        <v>4.1497759241991723</v>
      </c>
      <c r="E55" s="4">
        <f t="shared" si="14"/>
        <v>13.036905557507914</v>
      </c>
      <c r="F55" s="4">
        <f t="shared" si="15"/>
        <v>32.853002004920079</v>
      </c>
      <c r="G55" s="5">
        <f t="shared" si="16"/>
        <v>138032212.05667791</v>
      </c>
      <c r="H55" s="6">
        <f t="shared" si="17"/>
        <v>1.4784603272652648E-3</v>
      </c>
      <c r="I55" s="7">
        <f t="shared" si="18"/>
        <v>27.261963027869381</v>
      </c>
      <c r="K55" s="19">
        <f t="shared" si="19"/>
        <v>-4.1497759241991723</v>
      </c>
    </row>
    <row r="56" spans="1:11">
      <c r="A56" s="3">
        <v>0.68</v>
      </c>
      <c r="B56" s="3">
        <f t="shared" si="13"/>
        <v>85.68</v>
      </c>
      <c r="C56" s="3">
        <f t="shared" si="20"/>
        <v>22.680000000000007</v>
      </c>
      <c r="D56" s="19">
        <f t="shared" si="21"/>
        <v>4.0551009993396772</v>
      </c>
      <c r="E56" s="4">
        <f t="shared" si="14"/>
        <v>12.739475509090159</v>
      </c>
      <c r="F56" s="4">
        <f t="shared" si="15"/>
        <v>32.103478282907147</v>
      </c>
      <c r="G56" s="5">
        <f t="shared" si="16"/>
        <v>142215006.36142573</v>
      </c>
      <c r="H56" s="6">
        <f t="shared" si="17"/>
        <v>1.4724021659372967E-3</v>
      </c>
      <c r="I56" s="7">
        <f t="shared" si="18"/>
        <v>26.530835429951317</v>
      </c>
      <c r="K56" s="19">
        <f t="shared" si="19"/>
        <v>-4.0551009993396772</v>
      </c>
    </row>
    <row r="57" spans="1:11">
      <c r="A57" s="3">
        <v>0.7</v>
      </c>
      <c r="B57" s="3">
        <f t="shared" si="13"/>
        <v>88.199999999999989</v>
      </c>
      <c r="C57" s="3">
        <f t="shared" si="20"/>
        <v>25.199999999999989</v>
      </c>
      <c r="D57" s="19">
        <f t="shared" si="21"/>
        <v>3.9484075922123054</v>
      </c>
      <c r="E57" s="4">
        <f t="shared" si="14"/>
        <v>12.404288285072342</v>
      </c>
      <c r="F57" s="4">
        <f t="shared" si="15"/>
        <v>31.258806478382077</v>
      </c>
      <c r="G57" s="5">
        <f t="shared" si="16"/>
        <v>146397800.66617352</v>
      </c>
      <c r="H57" s="6">
        <f t="shared" si="17"/>
        <v>1.4665525408250695E-3</v>
      </c>
      <c r="I57" s="7">
        <f t="shared" si="18"/>
        <v>25.73015530107299</v>
      </c>
      <c r="K57" s="19">
        <f t="shared" si="19"/>
        <v>-3.9484075922123054</v>
      </c>
    </row>
    <row r="58" spans="1:11">
      <c r="A58" s="3">
        <v>0.72</v>
      </c>
      <c r="B58" s="3">
        <f t="shared" si="13"/>
        <v>90.72</v>
      </c>
      <c r="C58" s="3">
        <f t="shared" si="20"/>
        <v>27.72</v>
      </c>
      <c r="D58" s="19">
        <f t="shared" si="21"/>
        <v>3.8293530042469706</v>
      </c>
      <c r="E58" s="4">
        <f t="shared" si="14"/>
        <v>12.030267266144287</v>
      </c>
      <c r="F58" s="4">
        <f t="shared" si="15"/>
        <v>30.316273510683729</v>
      </c>
      <c r="G58" s="5">
        <f t="shared" si="16"/>
        <v>150580594.97092137</v>
      </c>
      <c r="H58" s="6">
        <f t="shared" si="17"/>
        <v>1.4608985678467698E-3</v>
      </c>
      <c r="I58" s="7">
        <f t="shared" si="18"/>
        <v>24.858119356922138</v>
      </c>
      <c r="K58" s="19">
        <f t="shared" si="19"/>
        <v>-3.8293530042469706</v>
      </c>
    </row>
    <row r="59" spans="1:11">
      <c r="A59" s="3">
        <v>0.74</v>
      </c>
      <c r="B59" s="3">
        <f t="shared" si="13"/>
        <v>93.24</v>
      </c>
      <c r="C59" s="3">
        <f t="shared" si="20"/>
        <v>30.239999999999995</v>
      </c>
      <c r="D59" s="19">
        <f t="shared" si="21"/>
        <v>3.6975266089713803</v>
      </c>
      <c r="E59" s="4">
        <f t="shared" si="14"/>
        <v>11.616122431197269</v>
      </c>
      <c r="F59" s="4">
        <f t="shared" si="15"/>
        <v>29.272628526617073</v>
      </c>
      <c r="G59" s="5">
        <f t="shared" si="16"/>
        <v>154763389.27566913</v>
      </c>
      <c r="H59" s="6">
        <f t="shared" si="17"/>
        <v>1.4554284909598738E-3</v>
      </c>
      <c r="I59" s="7">
        <f t="shared" si="18"/>
        <v>23.912499989498652</v>
      </c>
      <c r="K59" s="19">
        <f t="shared" si="19"/>
        <v>-3.6975266089713803</v>
      </c>
    </row>
    <row r="60" spans="1:11">
      <c r="A60" s="3">
        <v>0.76</v>
      </c>
      <c r="B60" s="3">
        <f t="shared" si="13"/>
        <v>95.76</v>
      </c>
      <c r="C60" s="3">
        <f t="shared" si="20"/>
        <v>32.760000000000005</v>
      </c>
      <c r="D60" s="19">
        <f t="shared" si="21"/>
        <v>3.5524349387631164</v>
      </c>
      <c r="E60" s="4">
        <f t="shared" si="14"/>
        <v>11.160303505973912</v>
      </c>
      <c r="F60" s="4">
        <f t="shared" si="15"/>
        <v>28.123964835054373</v>
      </c>
      <c r="G60" s="5">
        <f t="shared" si="16"/>
        <v>158946183.58041698</v>
      </c>
      <c r="H60" s="6">
        <f t="shared" si="17"/>
        <v>1.4501315559165059E-3</v>
      </c>
      <c r="I60" s="7">
        <f t="shared" si="18"/>
        <v>22.890555837320914</v>
      </c>
      <c r="K60" s="19">
        <f t="shared" si="19"/>
        <v>-3.5524349387631164</v>
      </c>
    </row>
    <row r="61" spans="1:11">
      <c r="A61" s="3">
        <v>0.78</v>
      </c>
      <c r="B61" s="3">
        <f t="shared" si="13"/>
        <v>98.28</v>
      </c>
      <c r="C61" s="3">
        <f t="shared" si="20"/>
        <v>35.28</v>
      </c>
      <c r="D61" s="19">
        <f t="shared" si="21"/>
        <v>3.3934813748545603</v>
      </c>
      <c r="E61" s="4">
        <f t="shared" si="14"/>
        <v>10.660936157336877</v>
      </c>
      <c r="F61" s="4">
        <f t="shared" si="15"/>
        <v>26.865559116488889</v>
      </c>
      <c r="G61" s="5">
        <f t="shared" si="16"/>
        <v>163128977.8851648</v>
      </c>
      <c r="H61" s="6">
        <f t="shared" si="17"/>
        <v>1.4449979010613219E-3</v>
      </c>
      <c r="I61" s="7">
        <f t="shared" si="18"/>
        <v>21.788909181222014</v>
      </c>
      <c r="K61" s="19">
        <f t="shared" si="19"/>
        <v>-3.3934813748545603</v>
      </c>
    </row>
    <row r="62" spans="1:11">
      <c r="A62" s="3">
        <v>0.8</v>
      </c>
      <c r="B62" s="3">
        <f t="shared" si="13"/>
        <v>100.80000000000001</v>
      </c>
      <c r="C62" s="3">
        <f t="shared" si="20"/>
        <v>37.800000000000011</v>
      </c>
      <c r="D62" s="19">
        <f t="shared" si="21"/>
        <v>3.2199378875996958</v>
      </c>
      <c r="E62" s="4">
        <f t="shared" si="14"/>
        <v>10.115733212698641</v>
      </c>
      <c r="F62" s="4">
        <f t="shared" si="15"/>
        <v>25.49164769600068</v>
      </c>
      <c r="G62" s="5">
        <f t="shared" si="16"/>
        <v>167311772.18991262</v>
      </c>
      <c r="H62" s="6">
        <f t="shared" si="17"/>
        <v>1.4400184624979613E-3</v>
      </c>
      <c r="I62" s="7">
        <f t="shared" si="18"/>
        <v>20.603374519178981</v>
      </c>
      <c r="K62" s="19">
        <f t="shared" si="19"/>
        <v>-3.2199378875996958</v>
      </c>
    </row>
    <row r="63" spans="1:11">
      <c r="A63" s="3">
        <v>0.82</v>
      </c>
      <c r="B63" s="3">
        <f t="shared" si="13"/>
        <v>103.32</v>
      </c>
      <c r="C63" s="3">
        <f t="shared" si="20"/>
        <v>40.319999999999993</v>
      </c>
      <c r="D63" s="19">
        <f t="shared" si="21"/>
        <v>3.0309046596628972</v>
      </c>
      <c r="E63" s="4">
        <f t="shared" si="14"/>
        <v>9.5218678125280309</v>
      </c>
      <c r="F63" s="4">
        <f t="shared" si="15"/>
        <v>23.995106887570465</v>
      </c>
      <c r="G63" s="5">
        <f t="shared" si="16"/>
        <v>171494566.49466041</v>
      </c>
      <c r="H63" s="6">
        <f t="shared" si="17"/>
        <v>1.4351848914252922E-3</v>
      </c>
      <c r="I63" s="7">
        <f t="shared" si="18"/>
        <v>19.328712740163784</v>
      </c>
      <c r="K63" s="19">
        <f t="shared" si="19"/>
        <v>-3.0309046596628972</v>
      </c>
    </row>
    <row r="64" spans="1:11">
      <c r="A64" s="3">
        <v>0.84</v>
      </c>
      <c r="B64" s="3">
        <f t="shared" si="13"/>
        <v>105.83999999999999</v>
      </c>
      <c r="C64" s="3">
        <f t="shared" si="20"/>
        <v>42.839999999999989</v>
      </c>
      <c r="D64" s="19">
        <f t="shared" si="21"/>
        <v>2.8252504893001555</v>
      </c>
      <c r="E64" s="4">
        <f t="shared" si="14"/>
        <v>8.8757861817363377</v>
      </c>
      <c r="F64" s="4">
        <f t="shared" si="15"/>
        <v>22.366981177975536</v>
      </c>
      <c r="G64" s="5">
        <f t="shared" si="16"/>
        <v>175677360.79940823</v>
      </c>
      <c r="H64" s="6">
        <f t="shared" si="17"/>
        <v>1.4304894818260292E-3</v>
      </c>
      <c r="I64" s="7">
        <f t="shared" si="18"/>
        <v>17.95826724457492</v>
      </c>
      <c r="K64" s="19">
        <f t="shared" si="19"/>
        <v>-2.8252504893001555</v>
      </c>
    </row>
    <row r="65" spans="1:11">
      <c r="A65" s="3">
        <v>0.86</v>
      </c>
      <c r="B65" s="3">
        <f t="shared" si="13"/>
        <v>108.36</v>
      </c>
      <c r="C65" s="3">
        <f t="shared" si="20"/>
        <v>45.36</v>
      </c>
      <c r="D65" s="19">
        <f t="shared" si="21"/>
        <v>2.6015212186682262</v>
      </c>
      <c r="E65" s="4">
        <f t="shared" si="14"/>
        <v>8.1729199487260651</v>
      </c>
      <c r="F65" s="4">
        <f t="shared" si="15"/>
        <v>20.595758270789769</v>
      </c>
      <c r="G65" s="5">
        <f t="shared" si="16"/>
        <v>179860155.10415605</v>
      </c>
      <c r="H65" s="6">
        <f t="shared" si="17"/>
        <v>1.4259251069981198E-3</v>
      </c>
      <c r="I65" s="7">
        <f t="shared" si="18"/>
        <v>16.483403537844772</v>
      </c>
      <c r="K65" s="19">
        <f t="shared" si="19"/>
        <v>-2.6015212186682262</v>
      </c>
    </row>
    <row r="66" spans="1:11">
      <c r="A66" s="3">
        <v>0.88</v>
      </c>
      <c r="B66" s="3">
        <f t="shared" si="13"/>
        <v>110.88</v>
      </c>
      <c r="C66" s="3">
        <f t="shared" si="20"/>
        <v>47.879999999999995</v>
      </c>
      <c r="D66" s="19">
        <f t="shared" si="21"/>
        <v>2.3577917617617414</v>
      </c>
      <c r="E66" s="4">
        <f t="shared" si="14"/>
        <v>7.4072212774452222</v>
      </c>
      <c r="F66" s="4">
        <f t="shared" si="15"/>
        <v>18.666197619161931</v>
      </c>
      <c r="G66" s="5">
        <f t="shared" si="16"/>
        <v>184042949.40890387</v>
      </c>
      <c r="H66" s="6">
        <f t="shared" si="17"/>
        <v>1.421485163669011E-3</v>
      </c>
      <c r="I66" s="7">
        <f t="shared" si="18"/>
        <v>14.892601876557784</v>
      </c>
      <c r="K66" s="19">
        <f t="shared" si="19"/>
        <v>-2.3577917617617414</v>
      </c>
    </row>
    <row r="67" spans="1:11">
      <c r="A67" s="3">
        <v>0.9</v>
      </c>
      <c r="B67" s="3">
        <f t="shared" si="13"/>
        <v>113.4</v>
      </c>
      <c r="C67" s="3">
        <f t="shared" si="20"/>
        <v>50.400000000000006</v>
      </c>
      <c r="D67" s="19">
        <f t="shared" si="21"/>
        <v>2.0914110069520047</v>
      </c>
      <c r="E67" s="4">
        <f t="shared" si="14"/>
        <v>6.5703614550772498</v>
      </c>
      <c r="F67" s="4">
        <f t="shared" si="15"/>
        <v>16.557310866794737</v>
      </c>
      <c r="G67" s="5">
        <f t="shared" si="16"/>
        <v>188225743.71365169</v>
      </c>
      <c r="H67" s="6">
        <f t="shared" si="17"/>
        <v>1.4171635226367784E-3</v>
      </c>
      <c r="I67" s="7">
        <f t="shared" si="18"/>
        <v>13.169890287952738</v>
      </c>
      <c r="K67" s="19">
        <f t="shared" si="19"/>
        <v>-2.0914110069520047</v>
      </c>
    </row>
    <row r="68" spans="1:11">
      <c r="A68" s="3">
        <v>0.92</v>
      </c>
      <c r="B68" s="3">
        <f t="shared" si="13"/>
        <v>115.92</v>
      </c>
      <c r="C68" s="3">
        <f t="shared" si="20"/>
        <v>52.92</v>
      </c>
      <c r="D68" s="19">
        <f t="shared" si="21"/>
        <v>1.7985224697489786</v>
      </c>
      <c r="E68" s="4">
        <f t="shared" si="14"/>
        <v>5.6502249782795619</v>
      </c>
      <c r="F68" s="4">
        <f t="shared" si="15"/>
        <v>14.238566945264473</v>
      </c>
      <c r="G68" s="5">
        <f t="shared" si="16"/>
        <v>192408538.01839948</v>
      </c>
      <c r="H68" s="6">
        <f t="shared" si="17"/>
        <v>1.4129544850490739E-3</v>
      </c>
      <c r="I68" s="7">
        <f t="shared" si="18"/>
        <v>11.29189530560028</v>
      </c>
      <c r="K68" s="19">
        <f t="shared" si="19"/>
        <v>-1.7985224697489786</v>
      </c>
    </row>
    <row r="69" spans="1:11">
      <c r="A69" s="3">
        <v>0.94</v>
      </c>
      <c r="B69" s="3">
        <f t="shared" si="13"/>
        <v>118.44</v>
      </c>
      <c r="C69" s="3">
        <f t="shared" si="20"/>
        <v>55.44</v>
      </c>
      <c r="D69" s="19">
        <f t="shared" si="21"/>
        <v>1.4730477845667334</v>
      </c>
      <c r="E69" s="4">
        <f t="shared" si="14"/>
        <v>4.6277160983815699</v>
      </c>
      <c r="F69" s="4">
        <f t="shared" si="15"/>
        <v>11.661844567921538</v>
      </c>
      <c r="G69" s="5">
        <f t="shared" si="16"/>
        <v>196591332.3231473</v>
      </c>
      <c r="H69" s="6">
        <f t="shared" si="17"/>
        <v>1.4088527435685064E-3</v>
      </c>
      <c r="I69" s="7">
        <f t="shared" si="18"/>
        <v>9.2215779106198728</v>
      </c>
      <c r="K69" s="19">
        <f t="shared" si="19"/>
        <v>-1.4730477845667334</v>
      </c>
    </row>
    <row r="70" spans="1:11">
      <c r="A70" s="3">
        <v>0.96</v>
      </c>
      <c r="B70" s="3">
        <f t="shared" si="13"/>
        <v>120.96</v>
      </c>
      <c r="C70" s="3">
        <f t="shared" si="20"/>
        <v>57.959999999999994</v>
      </c>
      <c r="D70" s="19">
        <f t="shared" si="21"/>
        <v>1.1040936841375597</v>
      </c>
      <c r="E70" s="4">
        <f t="shared" si="14"/>
        <v>3.4686126069614471</v>
      </c>
      <c r="F70" s="4">
        <f t="shared" si="15"/>
        <v>8.7409037695428324</v>
      </c>
      <c r="G70" s="5">
        <f t="shared" si="16"/>
        <v>200774126.62789512</v>
      </c>
      <c r="H70" s="6">
        <f t="shared" si="17"/>
        <v>1.4048533477868984E-3</v>
      </c>
      <c r="I70" s="7">
        <f t="shared" si="18"/>
        <v>6.8922293175290248</v>
      </c>
      <c r="K70" s="19">
        <f t="shared" si="19"/>
        <v>-1.1040936841375597</v>
      </c>
    </row>
    <row r="71" spans="1:11">
      <c r="A71" s="3">
        <v>0.98</v>
      </c>
      <c r="B71" s="3">
        <f t="shared" si="13"/>
        <v>123.48</v>
      </c>
      <c r="C71" s="3">
        <f t="shared" si="20"/>
        <v>60.480000000000004</v>
      </c>
      <c r="D71" s="19">
        <f t="shared" si="21"/>
        <v>0.66672933038827553</v>
      </c>
      <c r="E71" s="4">
        <f t="shared" si="14"/>
        <v>2.0945919662806483</v>
      </c>
      <c r="F71" s="4">
        <f t="shared" si="15"/>
        <v>5.2783717550272549</v>
      </c>
      <c r="G71" s="5">
        <f t="shared" si="16"/>
        <v>204956920.93264294</v>
      </c>
      <c r="H71" s="6">
        <f t="shared" si="17"/>
        <v>1.4009516733455001E-3</v>
      </c>
      <c r="I71" s="7">
        <f t="shared" si="18"/>
        <v>4.1504531660410482</v>
      </c>
      <c r="K71" s="19">
        <f t="shared" si="19"/>
        <v>-0.66672933038827553</v>
      </c>
    </row>
    <row r="72" spans="1:11">
      <c r="A72" s="3">
        <v>1</v>
      </c>
      <c r="B72" s="3">
        <f t="shared" si="13"/>
        <v>126</v>
      </c>
      <c r="C72" s="3">
        <f t="shared" si="20"/>
        <v>63</v>
      </c>
      <c r="D72" s="19">
        <f t="shared" si="21"/>
        <v>0</v>
      </c>
      <c r="E72" s="4">
        <f t="shared" si="14"/>
        <v>0</v>
      </c>
      <c r="F72" s="4">
        <f t="shared" si="15"/>
        <v>0</v>
      </c>
      <c r="G72" s="5">
        <f t="shared" si="16"/>
        <v>209139715.23739076</v>
      </c>
      <c r="H72" s="6">
        <f t="shared" si="17"/>
        <v>1.3971433942971808E-3</v>
      </c>
      <c r="I72" s="7">
        <f t="shared" si="18"/>
        <v>0</v>
      </c>
      <c r="K72" s="19">
        <f t="shared" si="19"/>
        <v>0</v>
      </c>
    </row>
    <row r="73" spans="1:11">
      <c r="A73" s="3"/>
      <c r="B73" s="3"/>
      <c r="C73" s="3"/>
      <c r="D73" s="19"/>
      <c r="E73" s="4"/>
      <c r="F73" s="4"/>
      <c r="G73" s="5"/>
      <c r="H73" s="6"/>
      <c r="I73" s="7"/>
      <c r="K73" s="19"/>
    </row>
    <row r="74" spans="1:11">
      <c r="A74" s="13" t="s">
        <v>42</v>
      </c>
      <c r="E74" s="4"/>
      <c r="F74" s="12">
        <f>SUM(F23:F72)</f>
        <v>1279.105339819972</v>
      </c>
      <c r="G74" s="5"/>
      <c r="H74" s="6"/>
      <c r="I74" s="35">
        <f>SUM(I23:I72)</f>
        <v>1135.3567479665892</v>
      </c>
    </row>
    <row r="75" spans="1:11">
      <c r="I75" s="14"/>
    </row>
    <row r="76" spans="1:11">
      <c r="A76" s="14" t="s">
        <v>45</v>
      </c>
      <c r="K76" s="14"/>
    </row>
    <row r="77" spans="1:11">
      <c r="A77" s="11" t="s">
        <v>46</v>
      </c>
      <c r="B77">
        <f>PI()*D^2/4</f>
        <v>63.617251235193308</v>
      </c>
      <c r="K77" s="14"/>
    </row>
    <row r="78" spans="1:11">
      <c r="A78" t="s">
        <v>47</v>
      </c>
      <c r="B78">
        <f>4*B77/(PI()*(LL/2)^2)</f>
        <v>2.0408163265306121E-2</v>
      </c>
      <c r="J78" s="14"/>
      <c r="K78" s="33"/>
    </row>
    <row r="79" spans="1:11">
      <c r="A79" t="s">
        <v>32</v>
      </c>
      <c r="B79" s="14">
        <f>q*B77*B78</f>
        <v>689.4953286746595</v>
      </c>
    </row>
    <row r="82" spans="1:2">
      <c r="A82" s="14" t="s">
        <v>48</v>
      </c>
      <c r="B82" s="16">
        <f>B79+I74</f>
        <v>1824.8520766412487</v>
      </c>
    </row>
    <row r="83" spans="1:2">
      <c r="A83" s="14" t="s">
        <v>49</v>
      </c>
    </row>
    <row r="86" spans="1:2">
      <c r="A86" t="s">
        <v>50</v>
      </c>
      <c r="B86">
        <f>B82/(q*S)</f>
        <v>6.6207593160407599E-3</v>
      </c>
    </row>
  </sheetData>
  <printOptions gridLines="1" gridLinesSet="0"/>
  <pageMargins left="0.75" right="0.75" top="1" bottom="1" header="0.5" footer="0.5"/>
  <pageSetup orientation="portrait" r:id="rId1"/>
  <headerFooter alignWithMargins="0">
    <oddHeader>&amp;A</oddHeader>
    <oddFooter>Page &amp;P</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
  <sheetViews>
    <sheetView workbookViewId="0"/>
  </sheetViews>
  <sheetFormatPr defaultRowHeight="13.15"/>
  <sheetData/>
  <phoneticPr fontId="9" type="noConversion"/>
  <printOptions gridLines="1" gridLinesSet="0"/>
  <pageMargins left="0.75" right="0.75" top="1" bottom="1" header="0.5" footer="0.5"/>
  <headerFooter alignWithMargins="0">
    <oddHeader>&amp;A</oddHeader>
    <oddFooter>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
  <sheetViews>
    <sheetView workbookViewId="0"/>
  </sheetViews>
  <sheetFormatPr defaultRowHeight="13.15"/>
  <sheetData/>
  <phoneticPr fontId="9" type="noConversion"/>
  <printOptions gridLines="1" gridLinesSet="0"/>
  <pageMargins left="0.75" right="0.75" top="1" bottom="1" header="0.5" footer="0.5"/>
  <headerFooter alignWithMargins="0">
    <oddHeader>&amp;A</oddHeader>
    <oddFooter>Page &amp;P</oddFooter>
  </headerFooter>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Hassan M. Nagib</dc:creator>
  <cp:keywords/>
  <dc:description/>
  <cp:lastModifiedBy>Long, Nathan (longnm)</cp:lastModifiedBy>
  <cp:revision/>
  <dcterms:created xsi:type="dcterms:W3CDTF">2002-08-27T17:55:07Z</dcterms:created>
  <dcterms:modified xsi:type="dcterms:W3CDTF">2023-04-16T05:38:03Z</dcterms:modified>
  <cp:category/>
  <cp:contentStatus/>
</cp:coreProperties>
</file>