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ailuc-my.sharepoint.com/personal/marti2bc_mail_uc_edu/Documents/Spring 2023/Aircraft Performance and Design/Assignments/Team Assignments/Project 1/"/>
    </mc:Choice>
  </mc:AlternateContent>
  <xr:revisionPtr revIDLastSave="358" documentId="13_ncr:1_{9FF3842C-C19F-479B-959B-57C45F294BBA}" xr6:coauthVersionLast="47" xr6:coauthVersionMax="47" xr10:uidLastSave="{06D98339-EC2B-450E-8054-455AA4A6DB9C}"/>
  <bookViews>
    <workbookView xWindow="-90" yWindow="0" windowWidth="13210" windowHeight="13770" xr2:uid="{00000000-000D-0000-FFFF-FFFF00000000}"/>
    <workbookView xWindow="12940" yWindow="0" windowWidth="12750" windowHeight="13770" firstSheet="2" activeTab="1" xr2:uid="{EB313390-553E-4F9F-BAB0-E1A0D3E5F67B}"/>
  </bookViews>
  <sheets>
    <sheet name="Project Assignment" sheetId="37" r:id="rId1"/>
    <sheet name="Mission Worksheet" sheetId="42" r:id="rId2"/>
    <sheet name="Mission Summary" sheetId="41" r:id="rId3"/>
    <sheet name="Atmospheric Table" sheetId="43" r:id="rId4"/>
  </sheets>
  <definedNames>
    <definedName name="AR" localSheetId="3">#REF!</definedName>
    <definedName name="AR">#REF!</definedName>
    <definedName name="atmos_aspeed" localSheetId="3">#REF!</definedName>
    <definedName name="atmos_aspeed">#REF!</definedName>
    <definedName name="atmos_dr" localSheetId="3">#REF!</definedName>
    <definedName name="atmos_dr">#REF!</definedName>
    <definedName name="atmos_h">#REF!</definedName>
    <definedName name="atmos_qms">#REF!</definedName>
    <definedName name="atmos_rho">#REF!</definedName>
    <definedName name="atmos_sqrtdr">#REF!</definedName>
    <definedName name="atmos_vela">#REF!</definedName>
    <definedName name="b">#REF!</definedName>
    <definedName name="CD0">#REF!</definedName>
    <definedName name="CLmax">#REF!</definedName>
    <definedName name="CLmaxLND">#REF!</definedName>
    <definedName name="CLmaxTO">#REF!</definedName>
    <definedName name="gmax">#REF!</definedName>
    <definedName name="K">#REF!</definedName>
    <definedName name="maxKEAS">#REF!</definedName>
    <definedName name="numeng">#REF!</definedName>
    <definedName name="_xlnm.Print_Area" localSheetId="1">'Mission Worksheet'!$A$1:$F$71</definedName>
    <definedName name="S" localSheetId="3">#REF!</definedName>
    <definedName name="S">#REF!</definedName>
    <definedName name="sfcSLS" localSheetId="3">#REF!</definedName>
    <definedName name="sfcSLS">#REF!</definedName>
    <definedName name="TSLS" localSheetId="3">#REF!</definedName>
    <definedName name="TSLS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2" i="41" l="1"/>
  <c r="K39" i="41"/>
  <c r="J39" i="41"/>
  <c r="I39" i="41"/>
  <c r="K36" i="41"/>
  <c r="J36" i="41"/>
  <c r="I36" i="41"/>
  <c r="K33" i="41"/>
  <c r="J33" i="41"/>
  <c r="I33" i="41"/>
  <c r="K30" i="41"/>
  <c r="J30" i="41"/>
  <c r="I30" i="41"/>
  <c r="K27" i="41"/>
  <c r="J27" i="41"/>
  <c r="I27" i="41"/>
  <c r="K24" i="41"/>
  <c r="J24" i="41"/>
  <c r="I24" i="41"/>
  <c r="K21" i="41"/>
  <c r="J21" i="41"/>
  <c r="I21" i="41"/>
  <c r="K18" i="41"/>
  <c r="J18" i="41"/>
  <c r="I18" i="41"/>
  <c r="K15" i="41"/>
  <c r="J15" i="41"/>
  <c r="I15" i="41"/>
  <c r="K12" i="41"/>
  <c r="J12" i="41"/>
  <c r="I12" i="41"/>
  <c r="K9" i="41"/>
  <c r="J9" i="41"/>
  <c r="I9" i="41"/>
  <c r="J6" i="41"/>
  <c r="K6" i="41"/>
  <c r="I6" i="41"/>
  <c r="E21" i="41"/>
  <c r="F39" i="41"/>
  <c r="H36" i="41"/>
  <c r="F36" i="41"/>
  <c r="H33" i="41"/>
  <c r="G33" i="41"/>
  <c r="F33" i="41"/>
  <c r="H30" i="41"/>
  <c r="G30" i="41"/>
  <c r="F30" i="41"/>
  <c r="H27" i="41"/>
  <c r="G27" i="41"/>
  <c r="F27" i="41"/>
  <c r="H24" i="41"/>
  <c r="G24" i="41"/>
  <c r="F24" i="41"/>
  <c r="G21" i="41"/>
  <c r="F21" i="41"/>
  <c r="H18" i="41"/>
  <c r="F18" i="41"/>
  <c r="H15" i="41"/>
  <c r="G15" i="41"/>
  <c r="F15" i="41"/>
  <c r="H12" i="41"/>
  <c r="G12" i="41"/>
  <c r="F12" i="41"/>
  <c r="H9" i="41"/>
  <c r="G9" i="41"/>
  <c r="F9" i="41"/>
  <c r="G6" i="41"/>
  <c r="F6" i="41"/>
  <c r="E39" i="41"/>
  <c r="D40" i="41"/>
  <c r="D39" i="41"/>
  <c r="C40" i="41"/>
  <c r="C39" i="41"/>
  <c r="E37" i="41"/>
  <c r="D37" i="41"/>
  <c r="C37" i="41"/>
  <c r="E36" i="41"/>
  <c r="D36" i="41"/>
  <c r="C36" i="41"/>
  <c r="E34" i="41"/>
  <c r="E33" i="41"/>
  <c r="D34" i="41"/>
  <c r="D33" i="41"/>
  <c r="C34" i="41"/>
  <c r="C33" i="41"/>
  <c r="E31" i="41"/>
  <c r="E30" i="41"/>
  <c r="D31" i="41"/>
  <c r="D30" i="41"/>
  <c r="C31" i="41"/>
  <c r="C30" i="41"/>
  <c r="E28" i="41"/>
  <c r="E27" i="41"/>
  <c r="D28" i="41"/>
  <c r="D27" i="41"/>
  <c r="C28" i="41"/>
  <c r="C27" i="41"/>
  <c r="E25" i="41"/>
  <c r="E24" i="41"/>
  <c r="D25" i="41"/>
  <c r="D24" i="41"/>
  <c r="C25" i="41"/>
  <c r="C24" i="41"/>
  <c r="E22" i="41"/>
  <c r="D22" i="41"/>
  <c r="D21" i="41"/>
  <c r="C22" i="41"/>
  <c r="C21" i="41"/>
  <c r="E19" i="41"/>
  <c r="E18" i="41"/>
  <c r="D19" i="41"/>
  <c r="D18" i="41"/>
  <c r="C19" i="41"/>
  <c r="C18" i="41"/>
  <c r="E16" i="41"/>
  <c r="E15" i="41"/>
  <c r="D16" i="41"/>
  <c r="D15" i="41"/>
  <c r="C16" i="41"/>
  <c r="C15" i="41"/>
  <c r="E13" i="41"/>
  <c r="E12" i="41"/>
  <c r="D13" i="41"/>
  <c r="D12" i="41"/>
  <c r="C13" i="41"/>
  <c r="C12" i="41"/>
  <c r="E10" i="41"/>
  <c r="E9" i="41"/>
  <c r="D10" i="41"/>
  <c r="D9" i="41"/>
  <c r="C10" i="41"/>
  <c r="C9" i="41"/>
  <c r="D7" i="41"/>
  <c r="D6" i="41"/>
  <c r="C7" i="41"/>
  <c r="C6" i="41"/>
  <c r="H1" i="41"/>
  <c r="F57" i="42"/>
  <c r="F56" i="42"/>
  <c r="F55" i="42"/>
  <c r="F60" i="42"/>
  <c r="F54" i="42"/>
  <c r="F53" i="42"/>
  <c r="F48" i="42"/>
  <c r="F46" i="42"/>
  <c r="F49" i="42"/>
  <c r="F44" i="42"/>
  <c r="F43" i="42"/>
  <c r="F39" i="42"/>
  <c r="F37" i="42"/>
  <c r="F40" i="42"/>
  <c r="F34" i="42"/>
  <c r="F33" i="42"/>
  <c r="F29" i="42"/>
  <c r="F24" i="42"/>
  <c r="F23" i="42"/>
  <c r="F21" i="42"/>
  <c r="F20" i="42"/>
  <c r="F19" i="42"/>
  <c r="F17" i="42"/>
  <c r="F16" i="42"/>
  <c r="F15" i="42"/>
  <c r="F13" i="42"/>
  <c r="F9" i="42"/>
  <c r="F8" i="42"/>
  <c r="F7" i="42"/>
  <c r="F6" i="42"/>
  <c r="F3" i="42"/>
  <c r="C71" i="42"/>
  <c r="C69" i="42"/>
  <c r="C67" i="42"/>
  <c r="C66" i="42"/>
  <c r="C64" i="42"/>
  <c r="C63" i="42"/>
  <c r="C62" i="42"/>
  <c r="C17" i="42"/>
  <c r="C19" i="42" s="1"/>
  <c r="C23" i="42" s="1"/>
  <c r="C29" i="42" s="1"/>
  <c r="C33" i="42" s="1"/>
  <c r="C61" i="42"/>
  <c r="C60" i="42"/>
  <c r="C56" i="42"/>
  <c r="C58" i="42"/>
  <c r="C46" i="42"/>
  <c r="C37" i="42"/>
  <c r="C35" i="42"/>
  <c r="C41" i="42" s="1"/>
  <c r="C54" i="42"/>
  <c r="C48" i="42"/>
  <c r="C44" i="42"/>
  <c r="C40" i="42"/>
  <c r="C36" i="42"/>
  <c r="C34" i="42"/>
  <c r="C28" i="42"/>
  <c r="C27" i="42"/>
  <c r="C26" i="42"/>
  <c r="C24" i="42"/>
  <c r="C21" i="42"/>
  <c r="C20" i="42"/>
  <c r="C18" i="42"/>
  <c r="C39" i="42" l="1"/>
  <c r="C43" i="42" s="1"/>
  <c r="C49" i="42" s="1"/>
  <c r="C53" i="42" s="1"/>
  <c r="C16" i="42" l="1"/>
  <c r="C14" i="42"/>
  <c r="C12" i="42"/>
  <c r="C13" i="42"/>
  <c r="C11" i="42"/>
  <c r="C10" i="42" l="1"/>
  <c r="C9" i="42"/>
  <c r="C6" i="42"/>
  <c r="C7" i="42" s="1"/>
  <c r="E1" i="42" l="1"/>
  <c r="A1" i="41"/>
  <c r="B1" i="42" l="1"/>
  <c r="B1" i="41" s="1"/>
  <c r="A1" i="42"/>
  <c r="C21" i="37" l="1"/>
</calcChain>
</file>

<file path=xl/sharedStrings.xml><?xml version="1.0" encoding="utf-8"?>
<sst xmlns="http://schemas.openxmlformats.org/spreadsheetml/2006/main" count="386" uniqueCount="142">
  <si>
    <t>AEEM 3042 Integrated Aircraft Engineering</t>
  </si>
  <si>
    <t>Project #1 - Flight Manual</t>
  </si>
  <si>
    <t>Name:</t>
  </si>
  <si>
    <t>Long-Martinelli</t>
  </si>
  <si>
    <t>Flight Profile #</t>
  </si>
  <si>
    <t>The pilot of the BD-5J will be performing a flight soon and needs to plan it out. He plans each segment of the flight</t>
  </si>
  <si>
    <t xml:space="preserve">    by using the BD-5J Flight Manual (posted on Canvas).  Below are the details for each segment of his flight.</t>
  </si>
  <si>
    <t>Your assignment is to use the Flight Manual to calculate the time, fuel, and distance of each flight segment and</t>
  </si>
  <si>
    <t xml:space="preserve">    determine how much total time the entire flight will take, how much fuel he will use during the flight, and what</t>
  </si>
  <si>
    <t xml:space="preserve">    the total range of the flight will be.  Also calculate how much fuel he will have left onboard when he lands the aircraft.</t>
  </si>
  <si>
    <t>Your submittal should include the Mission Worksheet, the Mission Time History, and any Excel/hand calculations done</t>
  </si>
  <si>
    <t>Instructor help is available via e-mail anytime</t>
  </si>
  <si>
    <t>Flight Segment</t>
  </si>
  <si>
    <t>Segment Details</t>
  </si>
  <si>
    <t>Warm-up &amp; Taxi</t>
  </si>
  <si>
    <t>Fuel allowance is the fuel burned for 20 minutes at 10% power. No range credit.</t>
  </si>
  <si>
    <t>Departure Airport Altitude:</t>
  </si>
  <si>
    <t xml:space="preserve"> ft</t>
  </si>
  <si>
    <t>Takeoff Gross Weight:</t>
  </si>
  <si>
    <t xml:space="preserve"> lb</t>
  </si>
  <si>
    <t>Total Fuel Onboard:</t>
  </si>
  <si>
    <t>Takeoff</t>
  </si>
  <si>
    <t>Take off at Max Power.  No range credit.</t>
  </si>
  <si>
    <t>Takeoff Speed: 1.1 x Stall Speed</t>
  </si>
  <si>
    <t>Climb to Altitude</t>
  </si>
  <si>
    <t>Climb at Max Rate of Climb Speed from Takeoff Altitude to Cruise Altitude.</t>
  </si>
  <si>
    <t>Cruise Altitude:</t>
  </si>
  <si>
    <t>Initial Cruise</t>
  </si>
  <si>
    <t>Cruise at Max Range Speed at the Cruise Altitude.</t>
  </si>
  <si>
    <t>Cruise Distance:</t>
  </si>
  <si>
    <t xml:space="preserve"> NM</t>
  </si>
  <si>
    <t>Descent</t>
  </si>
  <si>
    <t>Descend at Max Range Glide Speed to the Maneuver Altitude.</t>
  </si>
  <si>
    <t>Maneuver Altitude:</t>
  </si>
  <si>
    <t>Maneuver</t>
  </si>
  <si>
    <t>Turn at Max Sustained g Speed and Load Factor, accelerate from 0.2M to 0.4M.  No range credit.</t>
  </si>
  <si>
    <t>Number of 360 degree Turns:</t>
  </si>
  <si>
    <t xml:space="preserve"> turns</t>
  </si>
  <si>
    <t>Climb at Max Rate of Climb Speed from Maneuver Altitude to Cruise Altitude.</t>
  </si>
  <si>
    <t>Final Cruise</t>
  </si>
  <si>
    <t>Initial Descent</t>
  </si>
  <si>
    <t>Descend at Max Range Glide Speed to the Holding Pattern Altitude.</t>
  </si>
  <si>
    <t>Holding Pattern Altitude:</t>
  </si>
  <si>
    <t>Hold</t>
  </si>
  <si>
    <t>Cruise at Max Endurance Speed at the Holding Pattern Altitude.  No range credit.</t>
  </si>
  <si>
    <t>Hold Time:</t>
  </si>
  <si>
    <t xml:space="preserve"> min</t>
  </si>
  <si>
    <t>Final Descent</t>
  </si>
  <si>
    <t>Descend at Min Sink Speed to the Destination Airport Altitude.</t>
  </si>
  <si>
    <t>Destination Airport Altitude:</t>
  </si>
  <si>
    <t>Landing</t>
  </si>
  <si>
    <t>Land at the Destination Airport.</t>
  </si>
  <si>
    <t>MISSION WORKSHEET</t>
  </si>
  <si>
    <t xml:space="preserve">Name:  </t>
  </si>
  <si>
    <t>Warm-up and Taxi</t>
  </si>
  <si>
    <t xml:space="preserve">   Initial Weight</t>
  </si>
  <si>
    <t>lb</t>
  </si>
  <si>
    <t xml:space="preserve">   Airfield Altitude</t>
  </si>
  <si>
    <t>ft</t>
  </si>
  <si>
    <t xml:space="preserve">   Initial Altitude</t>
  </si>
  <si>
    <t xml:space="preserve">   Time of Warm-up</t>
  </si>
  <si>
    <t>min</t>
  </si>
  <si>
    <t xml:space="preserve">   Initial Speed</t>
  </si>
  <si>
    <t>ft/sec</t>
  </si>
  <si>
    <t xml:space="preserve">   Fuel for Warm-up and Taxi</t>
  </si>
  <si>
    <t xml:space="preserve">   Time to Climb</t>
  </si>
  <si>
    <t xml:space="preserve">   Final Weight</t>
  </si>
  <si>
    <t xml:space="preserve">   Fuel to Climb</t>
  </si>
  <si>
    <t xml:space="preserve">   Distance to Climb</t>
  </si>
  <si>
    <t>NM</t>
  </si>
  <si>
    <t xml:space="preserve">   Final Altitude</t>
  </si>
  <si>
    <t xml:space="preserve">   Stall Speed</t>
  </si>
  <si>
    <t xml:space="preserve">   Final Speed</t>
  </si>
  <si>
    <t xml:space="preserve">   Rotation Speed</t>
  </si>
  <si>
    <t xml:space="preserve">   Takeoff Speed</t>
  </si>
  <si>
    <t xml:space="preserve">   Obstacle Speed</t>
  </si>
  <si>
    <t xml:space="preserve">   Ground Roll Distance</t>
  </si>
  <si>
    <t xml:space="preserve">   Time for Takeoff</t>
  </si>
  <si>
    <t xml:space="preserve">   Time to Cruise</t>
  </si>
  <si>
    <t xml:space="preserve">   Fuel for Takeoff</t>
  </si>
  <si>
    <t xml:space="preserve">   Fuel to Cruise</t>
  </si>
  <si>
    <t xml:space="preserve">   Distance for Takeoff</t>
  </si>
  <si>
    <t xml:space="preserve">   Distance to Cruise</t>
  </si>
  <si>
    <t xml:space="preserve">   Time to Descend</t>
  </si>
  <si>
    <t xml:space="preserve">   Fuel to Descend</t>
  </si>
  <si>
    <t xml:space="preserve">   Distance to Descend</t>
  </si>
  <si>
    <t xml:space="preserve">   Time to Hold</t>
  </si>
  <si>
    <t xml:space="preserve">   Fuel to Hold</t>
  </si>
  <si>
    <t xml:space="preserve">   Distance to Hold</t>
  </si>
  <si>
    <t>Descent to Maneuver</t>
  </si>
  <si>
    <t xml:space="preserve">   Corner Velocity</t>
  </si>
  <si>
    <t xml:space="preserve">   Approach Speed</t>
  </si>
  <si>
    <t xml:space="preserve">   Max Inst Turn Rate</t>
  </si>
  <si>
    <t>deg/sec</t>
  </si>
  <si>
    <t xml:space="preserve">   Landing Speed</t>
  </si>
  <si>
    <t xml:space="preserve">   Sustained g Velocity</t>
  </si>
  <si>
    <t xml:space="preserve">   Max Sustained Turn Rate</t>
  </si>
  <si>
    <t xml:space="preserve">   X degrees in Turn</t>
  </si>
  <si>
    <t>deg</t>
  </si>
  <si>
    <t>Remaining fuel onboard</t>
  </si>
  <si>
    <t xml:space="preserve">   Time to turn X degrees</t>
  </si>
  <si>
    <t xml:space="preserve">   Fuel to turn X degrees</t>
  </si>
  <si>
    <t xml:space="preserve">   Interim Weight</t>
  </si>
  <si>
    <t xml:space="preserve">   Time to Accel 0.2M to 0.4M</t>
  </si>
  <si>
    <t xml:space="preserve">   Fuel to Accel 0.2M to 0.4M</t>
  </si>
  <si>
    <t xml:space="preserve">   Time to Maneuver</t>
  </si>
  <si>
    <t xml:space="preserve">   Fuel to Maneuver</t>
  </si>
  <si>
    <t xml:space="preserve">   Distance to Maneuver</t>
  </si>
  <si>
    <t>MISSION TIME HISTORY SUMMARY</t>
  </si>
  <si>
    <t>Incremental</t>
  </si>
  <si>
    <t>Total</t>
  </si>
  <si>
    <t>Mission Segment</t>
  </si>
  <si>
    <t>Aircraft Weight</t>
  </si>
  <si>
    <t>Altitude</t>
  </si>
  <si>
    <t>Speed</t>
  </si>
  <si>
    <t>Time</t>
  </si>
  <si>
    <t>Fuel</t>
  </si>
  <si>
    <t>Distance</t>
  </si>
  <si>
    <t>(lb)</t>
  </si>
  <si>
    <t>(ft)</t>
  </si>
  <si>
    <t>(ft/sec)</t>
  </si>
  <si>
    <t>(min)</t>
  </si>
  <si>
    <t>(NM)</t>
  </si>
  <si>
    <t>Initial Conditions</t>
  </si>
  <si>
    <t>Final Conditions</t>
  </si>
  <si>
    <t>Remaining fuel onboard:</t>
  </si>
  <si>
    <t>Atmospheric Table</t>
  </si>
  <si>
    <t>h</t>
  </si>
  <si>
    <t>TEMPF</t>
  </si>
  <si>
    <t>TEMPR</t>
  </si>
  <si>
    <t>TEMPC</t>
  </si>
  <si>
    <t>TR</t>
  </si>
  <si>
    <t>PR</t>
  </si>
  <si>
    <t>PRES</t>
  </si>
  <si>
    <t>RHO</t>
  </si>
  <si>
    <t>DR</t>
  </si>
  <si>
    <t>SQRTDR</t>
  </si>
  <si>
    <t>QMS</t>
  </si>
  <si>
    <t>SPW</t>
  </si>
  <si>
    <t>ASPEED</t>
  </si>
  <si>
    <t>VELA</t>
  </si>
  <si>
    <t>VRKIN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</si>
</sst>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#,##0.0"/>
    <numFmt numFmtId="166" formatCode="0.0000"/>
    <numFmt numFmtId="167" formatCode="0.00000000"/>
    <numFmt numFmtId="168" formatCode="_(* #,##0_);_(* \(#,##0\);_(* &quot;-&quot;??_);_(@_)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3" fontId="0" fillId="0" borderId="0" xfId="0" applyNumberFormat="1" applyAlignment="1">
      <alignment horizontal="center"/>
    </xf>
    <xf numFmtId="0" fontId="2" fillId="0" borderId="0" xfId="0" applyFont="1"/>
    <xf numFmtId="0" fontId="3" fillId="2" borderId="0" xfId="0" applyFont="1" applyFill="1"/>
    <xf numFmtId="0" fontId="3" fillId="0" borderId="0" xfId="0" applyFont="1"/>
    <xf numFmtId="3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64" fontId="0" fillId="0" borderId="0" xfId="0" applyNumberFormat="1" applyAlignment="1">
      <alignment horizontal="center"/>
    </xf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3" fontId="2" fillId="0" borderId="0" xfId="0" applyNumberFormat="1" applyFont="1"/>
    <xf numFmtId="0" fontId="3" fillId="0" borderId="0" xfId="0" applyFont="1" applyAlignment="1">
      <alignment vertical="center"/>
    </xf>
    <xf numFmtId="164" fontId="6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1" applyNumberFormat="1" applyFont="1" applyAlignment="1">
      <alignment horizontal="right" vertical="center"/>
    </xf>
    <xf numFmtId="16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8" fontId="0" fillId="0" borderId="0" xfId="1" applyNumberFormat="1" applyFont="1" applyAlignment="1">
      <alignment horizontal="right" vertical="center"/>
    </xf>
    <xf numFmtId="168" fontId="0" fillId="0" borderId="0" xfId="1" applyNumberFormat="1" applyFont="1" applyFill="1" applyAlignment="1">
      <alignment horizontal="right" vertical="center"/>
    </xf>
    <xf numFmtId="165" fontId="1" fillId="2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4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right"/>
    </xf>
    <xf numFmtId="4" fontId="0" fillId="0" borderId="2" xfId="0" applyNumberForma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E53"/>
  <sheetViews>
    <sheetView workbookViewId="0">
      <selection activeCell="E17" sqref="E17"/>
    </sheetView>
    <sheetView topLeftCell="A15" workbookViewId="1"/>
  </sheetViews>
  <sheetFormatPr defaultRowHeight="14.45"/>
  <cols>
    <col min="1" max="1" width="21.5703125" customWidth="1"/>
    <col min="2" max="2" width="27.5703125" customWidth="1"/>
    <col min="3" max="3" width="15.5703125" customWidth="1"/>
    <col min="4" max="4" width="18.5703125" customWidth="1"/>
    <col min="5" max="5" width="26.5703125" customWidth="1"/>
    <col min="6" max="6" width="22.5703125" customWidth="1"/>
  </cols>
  <sheetData>
    <row r="1" spans="1:5" ht="18.600000000000001">
      <c r="A1" s="19" t="s">
        <v>0</v>
      </c>
      <c r="B1" s="20"/>
      <c r="C1" s="20"/>
      <c r="D1" s="19" t="s">
        <v>1</v>
      </c>
      <c r="E1" s="20"/>
    </row>
    <row r="2" spans="1:5" ht="18.600000000000001">
      <c r="A2" s="35" t="s">
        <v>2</v>
      </c>
      <c r="B2" s="19" t="s">
        <v>3</v>
      </c>
      <c r="C2" s="20"/>
      <c r="D2" s="19" t="s">
        <v>4</v>
      </c>
      <c r="E2" s="29">
        <v>5</v>
      </c>
    </row>
    <row r="3" spans="1:5" ht="15.6">
      <c r="A3" s="5"/>
      <c r="B3" s="5"/>
      <c r="C3" s="5"/>
      <c r="D3" s="5"/>
      <c r="E3" s="5"/>
    </row>
    <row r="4" spans="1:5" ht="15.6">
      <c r="A4" s="7" t="s">
        <v>5</v>
      </c>
      <c r="B4" s="5"/>
      <c r="C4" s="5"/>
      <c r="D4" s="5"/>
      <c r="E4" s="5"/>
    </row>
    <row r="5" spans="1:5" ht="15.6">
      <c r="A5" s="7" t="s">
        <v>6</v>
      </c>
      <c r="B5" s="5"/>
      <c r="C5" s="5"/>
      <c r="D5" s="5"/>
      <c r="E5" s="5"/>
    </row>
    <row r="6" spans="1:5" ht="15.6">
      <c r="A6" s="7"/>
      <c r="B6" s="5"/>
      <c r="C6" s="5"/>
      <c r="D6" s="5"/>
      <c r="E6" s="5"/>
    </row>
    <row r="7" spans="1:5" ht="15.6">
      <c r="A7" s="7" t="s">
        <v>7</v>
      </c>
      <c r="B7" s="5"/>
      <c r="C7" s="5"/>
      <c r="D7" s="5"/>
      <c r="E7" s="5"/>
    </row>
    <row r="8" spans="1:5" ht="15.6">
      <c r="A8" s="7" t="s">
        <v>8</v>
      </c>
      <c r="B8" s="5"/>
      <c r="C8" s="5"/>
      <c r="D8" s="5"/>
      <c r="E8" s="5"/>
    </row>
    <row r="9" spans="1:5" ht="15.6">
      <c r="A9" s="7" t="s">
        <v>9</v>
      </c>
      <c r="B9" s="7"/>
      <c r="C9" s="7"/>
      <c r="D9" s="7"/>
      <c r="E9" s="7"/>
    </row>
    <row r="10" spans="1:5" ht="15.6">
      <c r="A10" s="7"/>
      <c r="B10" s="7"/>
      <c r="C10" s="7"/>
      <c r="D10" s="7"/>
      <c r="E10" s="7"/>
    </row>
    <row r="11" spans="1:5" ht="15.6">
      <c r="A11" s="23"/>
      <c r="C11" s="7"/>
      <c r="D11" s="7"/>
      <c r="E11" s="7"/>
    </row>
    <row r="12" spans="1:5" ht="15.6">
      <c r="A12" s="23" t="s">
        <v>10</v>
      </c>
      <c r="C12" s="7"/>
      <c r="D12" s="7"/>
      <c r="E12" s="7"/>
    </row>
    <row r="13" spans="1:5" ht="15.6">
      <c r="A13" s="23" t="s">
        <v>11</v>
      </c>
      <c r="C13" s="7"/>
      <c r="D13" s="7"/>
      <c r="E13" s="7"/>
    </row>
    <row r="14" spans="1:5" ht="15.6">
      <c r="A14" s="23"/>
      <c r="C14" s="7"/>
      <c r="D14" s="7"/>
      <c r="E14" s="7"/>
    </row>
    <row r="15" spans="1:5" ht="15.6">
      <c r="B15" s="23"/>
      <c r="C15" s="7"/>
      <c r="D15" s="7"/>
      <c r="E15" s="7"/>
    </row>
    <row r="16" spans="1:5" ht="15.6">
      <c r="A16" s="21" t="s">
        <v>12</v>
      </c>
      <c r="B16" s="7" t="s">
        <v>13</v>
      </c>
      <c r="C16" s="7"/>
      <c r="D16" s="7"/>
      <c r="E16" s="7"/>
    </row>
    <row r="17" spans="1:5" ht="15.6">
      <c r="A17" s="21"/>
      <c r="B17" s="7"/>
      <c r="C17" s="7"/>
      <c r="D17" s="7"/>
      <c r="E17" s="7"/>
    </row>
    <row r="18" spans="1:5" ht="15.6">
      <c r="A18" s="7" t="s">
        <v>14</v>
      </c>
      <c r="B18" s="5" t="s">
        <v>15</v>
      </c>
      <c r="C18" s="5"/>
      <c r="D18" s="5"/>
      <c r="E18" s="5"/>
    </row>
    <row r="19" spans="1:5" ht="15.6">
      <c r="A19" s="7"/>
      <c r="B19" s="5" t="s">
        <v>16</v>
      </c>
      <c r="C19" s="22">
        <v>2000</v>
      </c>
      <c r="D19" s="5" t="s">
        <v>17</v>
      </c>
      <c r="E19" s="5"/>
    </row>
    <row r="20" spans="1:5" ht="15.6">
      <c r="A20" s="7"/>
      <c r="B20" s="5" t="s">
        <v>18</v>
      </c>
      <c r="C20" s="5">
        <v>920</v>
      </c>
      <c r="D20" s="5" t="s">
        <v>19</v>
      </c>
      <c r="E20" s="5"/>
    </row>
    <row r="21" spans="1:5" ht="15.6">
      <c r="A21" s="7"/>
      <c r="B21" s="5" t="s">
        <v>20</v>
      </c>
      <c r="C21" s="5">
        <f>C20-590</f>
        <v>330</v>
      </c>
      <c r="D21" s="5" t="s">
        <v>19</v>
      </c>
      <c r="E21" s="5"/>
    </row>
    <row r="22" spans="1:5" ht="15.6">
      <c r="A22" s="7"/>
      <c r="B22" s="5"/>
      <c r="C22" s="5"/>
      <c r="D22" s="5"/>
      <c r="E22" s="5"/>
    </row>
    <row r="23" spans="1:5" ht="15.6">
      <c r="A23" s="7" t="s">
        <v>21</v>
      </c>
      <c r="B23" s="5" t="s">
        <v>22</v>
      </c>
      <c r="C23" s="5"/>
      <c r="D23" s="5"/>
      <c r="E23" s="5"/>
    </row>
    <row r="24" spans="1:5" ht="15.6">
      <c r="A24" s="7"/>
      <c r="B24" s="5" t="s">
        <v>23</v>
      </c>
      <c r="C24" s="5"/>
      <c r="D24" s="5"/>
      <c r="E24" s="5"/>
    </row>
    <row r="25" spans="1:5" ht="15.6">
      <c r="A25" s="7"/>
      <c r="B25" s="5"/>
      <c r="C25" s="5"/>
      <c r="D25" s="5"/>
      <c r="E25" s="5"/>
    </row>
    <row r="26" spans="1:5" ht="15.6">
      <c r="A26" s="7" t="s">
        <v>24</v>
      </c>
      <c r="B26" s="5" t="s">
        <v>25</v>
      </c>
      <c r="C26" s="5"/>
      <c r="D26" s="5"/>
      <c r="E26" s="5"/>
    </row>
    <row r="27" spans="1:5" ht="15.6">
      <c r="A27" s="7"/>
      <c r="B27" s="5" t="s">
        <v>26</v>
      </c>
      <c r="C27" s="22">
        <v>20000</v>
      </c>
      <c r="D27" s="5" t="s">
        <v>17</v>
      </c>
      <c r="E27" s="5"/>
    </row>
    <row r="28" spans="1:5" ht="15.6">
      <c r="A28" s="7"/>
      <c r="B28" s="5"/>
      <c r="C28" s="5"/>
      <c r="D28" s="5"/>
      <c r="E28" s="5"/>
    </row>
    <row r="29" spans="1:5" ht="15.6">
      <c r="A29" s="7" t="s">
        <v>27</v>
      </c>
      <c r="B29" s="5" t="s">
        <v>28</v>
      </c>
      <c r="C29" s="5"/>
      <c r="D29" s="5"/>
      <c r="E29" s="5"/>
    </row>
    <row r="30" spans="1:5" ht="15.6">
      <c r="A30" s="7"/>
      <c r="B30" s="5" t="s">
        <v>29</v>
      </c>
      <c r="C30" s="5">
        <v>260</v>
      </c>
      <c r="D30" s="5" t="s">
        <v>30</v>
      </c>
      <c r="E30" s="5"/>
    </row>
    <row r="31" spans="1:5" ht="15.6">
      <c r="A31" s="7"/>
      <c r="B31" s="5"/>
      <c r="C31" s="5"/>
      <c r="D31" s="5"/>
      <c r="E31" s="5"/>
    </row>
    <row r="32" spans="1:5" ht="15.6">
      <c r="A32" s="7" t="s">
        <v>31</v>
      </c>
      <c r="B32" s="5" t="s">
        <v>32</v>
      </c>
      <c r="C32" s="5"/>
      <c r="D32" s="5"/>
      <c r="E32" s="5"/>
    </row>
    <row r="33" spans="1:5" ht="15.6">
      <c r="A33" s="7"/>
      <c r="B33" s="5" t="s">
        <v>33</v>
      </c>
      <c r="C33" s="22">
        <v>10000</v>
      </c>
      <c r="D33" s="5" t="s">
        <v>17</v>
      </c>
      <c r="E33" s="5"/>
    </row>
    <row r="34" spans="1:5" ht="15.6">
      <c r="A34" s="7"/>
      <c r="B34" s="5"/>
      <c r="C34" s="5"/>
      <c r="D34" s="5"/>
      <c r="E34" s="5"/>
    </row>
    <row r="35" spans="1:5" ht="15.6">
      <c r="A35" s="7" t="s">
        <v>34</v>
      </c>
      <c r="B35" s="5" t="s">
        <v>35</v>
      </c>
      <c r="C35" s="5"/>
      <c r="D35" s="5"/>
      <c r="E35" s="5"/>
    </row>
    <row r="36" spans="1:5" ht="15.6">
      <c r="A36" s="7"/>
      <c r="B36" s="5" t="s">
        <v>36</v>
      </c>
      <c r="C36" s="5">
        <v>4</v>
      </c>
      <c r="D36" s="5" t="s">
        <v>37</v>
      </c>
      <c r="E36" s="5"/>
    </row>
    <row r="37" spans="1:5" ht="15.6">
      <c r="A37" s="7"/>
      <c r="B37" s="5"/>
      <c r="C37" s="5"/>
      <c r="D37" s="5"/>
      <c r="E37" s="5"/>
    </row>
    <row r="38" spans="1:5" ht="15.6">
      <c r="A38" s="7" t="s">
        <v>24</v>
      </c>
      <c r="B38" s="5" t="s">
        <v>38</v>
      </c>
      <c r="C38" s="5"/>
      <c r="D38" s="5"/>
      <c r="E38" s="5"/>
    </row>
    <row r="39" spans="1:5" ht="15.6">
      <c r="A39" s="7"/>
      <c r="B39" s="5" t="s">
        <v>26</v>
      </c>
      <c r="C39" s="22">
        <v>25000</v>
      </c>
      <c r="D39" s="5" t="s">
        <v>17</v>
      </c>
      <c r="E39" s="5"/>
    </row>
    <row r="40" spans="1:5" ht="15.6">
      <c r="A40" s="7"/>
      <c r="B40" s="5"/>
      <c r="C40" s="5"/>
      <c r="D40" s="5"/>
      <c r="E40" s="5"/>
    </row>
    <row r="41" spans="1:5" ht="15.6">
      <c r="A41" s="7" t="s">
        <v>39</v>
      </c>
      <c r="B41" s="5" t="s">
        <v>28</v>
      </c>
      <c r="C41" s="5"/>
      <c r="D41" s="5"/>
      <c r="E41" s="5"/>
    </row>
    <row r="42" spans="1:5" ht="15.6">
      <c r="A42" s="7"/>
      <c r="B42" s="5" t="s">
        <v>29</v>
      </c>
      <c r="C42" s="5">
        <v>240</v>
      </c>
      <c r="D42" s="5" t="s">
        <v>30</v>
      </c>
      <c r="E42" s="5"/>
    </row>
    <row r="43" spans="1:5" ht="15.6">
      <c r="A43" s="7"/>
      <c r="B43" s="5"/>
      <c r="C43" s="5"/>
      <c r="D43" s="5"/>
      <c r="E43" s="5"/>
    </row>
    <row r="44" spans="1:5" ht="15.6">
      <c r="A44" s="7" t="s">
        <v>40</v>
      </c>
      <c r="B44" s="5" t="s">
        <v>41</v>
      </c>
      <c r="C44" s="5"/>
      <c r="D44" s="5"/>
      <c r="E44" s="5"/>
    </row>
    <row r="45" spans="1:5" ht="15.6">
      <c r="A45" s="7"/>
      <c r="B45" s="5" t="s">
        <v>42</v>
      </c>
      <c r="C45" s="22">
        <v>5000</v>
      </c>
      <c r="D45" s="5" t="s">
        <v>17</v>
      </c>
      <c r="E45" s="5"/>
    </row>
    <row r="46" spans="1:5" ht="15.6">
      <c r="A46" s="7"/>
      <c r="B46" s="5"/>
      <c r="C46" s="5"/>
      <c r="D46" s="5"/>
      <c r="E46" s="5"/>
    </row>
    <row r="47" spans="1:5" ht="15.6">
      <c r="A47" s="7" t="s">
        <v>43</v>
      </c>
      <c r="B47" s="5" t="s">
        <v>44</v>
      </c>
      <c r="C47" s="5"/>
      <c r="D47" s="5"/>
      <c r="E47" s="5"/>
    </row>
    <row r="48" spans="1:5" ht="15.6">
      <c r="A48" s="7"/>
      <c r="B48" s="5" t="s">
        <v>45</v>
      </c>
      <c r="C48" s="5">
        <v>30</v>
      </c>
      <c r="D48" s="5" t="s">
        <v>46</v>
      </c>
      <c r="E48" s="5"/>
    </row>
    <row r="49" spans="1:5" ht="15.6">
      <c r="A49" s="7"/>
      <c r="B49" s="5"/>
      <c r="C49" s="5"/>
      <c r="D49" s="5"/>
      <c r="E49" s="5"/>
    </row>
    <row r="50" spans="1:5" ht="15.6">
      <c r="A50" s="7" t="s">
        <v>47</v>
      </c>
      <c r="B50" s="5" t="s">
        <v>48</v>
      </c>
      <c r="C50" s="5"/>
      <c r="D50" s="5"/>
      <c r="E50" s="5"/>
    </row>
    <row r="51" spans="1:5" ht="15.6">
      <c r="A51" s="7"/>
      <c r="B51" s="5" t="s">
        <v>49</v>
      </c>
      <c r="C51" s="22">
        <v>2000</v>
      </c>
      <c r="D51" s="5" t="s">
        <v>17</v>
      </c>
      <c r="E51" s="5"/>
    </row>
    <row r="52" spans="1:5" ht="15.6">
      <c r="A52" s="7"/>
      <c r="B52" s="5"/>
      <c r="C52" s="5"/>
      <c r="D52" s="5"/>
      <c r="E52" s="5"/>
    </row>
    <row r="53" spans="1:5" ht="15.6">
      <c r="A53" s="7" t="s">
        <v>50</v>
      </c>
      <c r="B53" s="5" t="s">
        <v>51</v>
      </c>
      <c r="C53" s="5"/>
      <c r="D53" s="5"/>
      <c r="E53" s="5"/>
    </row>
  </sheetData>
  <pageMargins left="0.7" right="0.7" top="0.75" bottom="0.75" header="0.3" footer="0.3"/>
  <pageSetup scale="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C63B3-E225-4897-AEF7-C28E2365E695}">
  <sheetPr codeName="Sheet21">
    <pageSetUpPr fitToPage="1"/>
  </sheetPr>
  <dimension ref="A1:F71"/>
  <sheetViews>
    <sheetView workbookViewId="0">
      <selection activeCell="C59" sqref="C59"/>
    </sheetView>
    <sheetView tabSelected="1" workbookViewId="1">
      <selection activeCell="C6" sqref="C6"/>
    </sheetView>
  </sheetViews>
  <sheetFormatPr defaultRowHeight="14.45"/>
  <cols>
    <col min="1" max="1" width="28.5703125" customWidth="1"/>
    <col min="2" max="2" width="10.5703125" customWidth="1"/>
    <col min="3" max="3" width="25.5703125" customWidth="1"/>
    <col min="4" max="4" width="28.5703125" customWidth="1"/>
    <col min="5" max="5" width="10.5703125" customWidth="1"/>
    <col min="6" max="6" width="25.5703125" customWidth="1"/>
    <col min="10" max="10" width="16.140625" bestFit="1" customWidth="1"/>
  </cols>
  <sheetData>
    <row r="1" spans="1:6" ht="18.600000000000001">
      <c r="A1" s="35" t="str">
        <f>'Project Assignment'!D2</f>
        <v>Flight Profile #</v>
      </c>
      <c r="B1" s="29">
        <f>'Project Assignment'!E2</f>
        <v>5</v>
      </c>
      <c r="C1" s="19" t="s">
        <v>52</v>
      </c>
      <c r="D1" s="35" t="s">
        <v>53</v>
      </c>
      <c r="E1" s="29" t="str">
        <f>'Project Assignment'!B2</f>
        <v>Long-Martinelli</v>
      </c>
      <c r="F1" s="20"/>
    </row>
    <row r="2" spans="1:6" ht="15.6">
      <c r="A2" s="6" t="s">
        <v>54</v>
      </c>
      <c r="B2" s="6"/>
      <c r="C2" s="15"/>
      <c r="D2" s="6" t="s">
        <v>24</v>
      </c>
      <c r="E2" s="6"/>
      <c r="F2" s="17"/>
    </row>
    <row r="3" spans="1:6" ht="15.6">
      <c r="A3" s="5" t="s">
        <v>55</v>
      </c>
      <c r="B3" s="39" t="s">
        <v>56</v>
      </c>
      <c r="C3" s="24">
        <v>920</v>
      </c>
      <c r="D3" s="5" t="s">
        <v>55</v>
      </c>
      <c r="E3" s="39" t="s">
        <v>56</v>
      </c>
      <c r="F3" s="11">
        <f>C69</f>
        <v>750.96929969104701</v>
      </c>
    </row>
    <row r="4" spans="1:6" ht="15.6">
      <c r="A4" s="5" t="s">
        <v>57</v>
      </c>
      <c r="B4" s="39" t="s">
        <v>58</v>
      </c>
      <c r="C4" s="25">
        <v>2000</v>
      </c>
      <c r="D4" s="5" t="s">
        <v>59</v>
      </c>
      <c r="E4" s="39" t="s">
        <v>58</v>
      </c>
      <c r="F4" s="12">
        <v>10000</v>
      </c>
    </row>
    <row r="5" spans="1:6" ht="15.6">
      <c r="A5" s="5" t="s">
        <v>60</v>
      </c>
      <c r="B5" s="39" t="s">
        <v>61</v>
      </c>
      <c r="C5" s="8">
        <v>20</v>
      </c>
      <c r="D5" s="5" t="s">
        <v>62</v>
      </c>
      <c r="E5" s="39" t="s">
        <v>63</v>
      </c>
      <c r="F5" s="13">
        <v>285</v>
      </c>
    </row>
    <row r="6" spans="1:6" ht="15.6">
      <c r="A6" s="7" t="s">
        <v>64</v>
      </c>
      <c r="B6" s="39" t="s">
        <v>56</v>
      </c>
      <c r="C6" s="9">
        <f>1.3*('Atmospheric Table'!M5/'Atmospheric Table'!M3)*202*('Atmospheric Table'!H5/'Atmospheric Table'!H3)*(C5/60)*0.1</f>
        <v>8.1954603339014742</v>
      </c>
      <c r="D6" s="7" t="s">
        <v>65</v>
      </c>
      <c r="E6" s="39" t="s">
        <v>61</v>
      </c>
      <c r="F6" s="13">
        <f>15.5-4.5</f>
        <v>11</v>
      </c>
    </row>
    <row r="7" spans="1:6" ht="15.6">
      <c r="A7" s="5" t="s">
        <v>66</v>
      </c>
      <c r="B7" s="39" t="s">
        <v>56</v>
      </c>
      <c r="C7" s="10">
        <f>C3-C6</f>
        <v>911.80453966609855</v>
      </c>
      <c r="D7" s="7" t="s">
        <v>67</v>
      </c>
      <c r="E7" s="39" t="s">
        <v>56</v>
      </c>
      <c r="F7" s="13">
        <f>42-16</f>
        <v>26</v>
      </c>
    </row>
    <row r="8" spans="1:6" ht="15.6">
      <c r="A8" s="6" t="s">
        <v>21</v>
      </c>
      <c r="B8" s="6"/>
      <c r="C8" s="14"/>
      <c r="D8" s="7" t="s">
        <v>68</v>
      </c>
      <c r="E8" s="39" t="s">
        <v>69</v>
      </c>
      <c r="F8" s="13">
        <f>43.8-12</f>
        <v>31.799999999999997</v>
      </c>
    </row>
    <row r="9" spans="1:6" ht="15.6">
      <c r="A9" s="5" t="s">
        <v>55</v>
      </c>
      <c r="B9" s="39" t="s">
        <v>56</v>
      </c>
      <c r="C9" s="10">
        <f>C7</f>
        <v>911.80453966609855</v>
      </c>
      <c r="D9" s="5" t="s">
        <v>66</v>
      </c>
      <c r="E9" s="39" t="s">
        <v>56</v>
      </c>
      <c r="F9" s="11">
        <f>F3-F7</f>
        <v>724.96929969104701</v>
      </c>
    </row>
    <row r="10" spans="1:6" ht="15.6">
      <c r="A10" s="5" t="s">
        <v>57</v>
      </c>
      <c r="B10" s="39" t="s">
        <v>58</v>
      </c>
      <c r="C10" s="8">
        <f>C4</f>
        <v>2000</v>
      </c>
      <c r="D10" s="5" t="s">
        <v>70</v>
      </c>
      <c r="E10" s="39" t="s">
        <v>58</v>
      </c>
      <c r="F10" s="27">
        <v>25000</v>
      </c>
    </row>
    <row r="11" spans="1:6" ht="15.6">
      <c r="A11" s="5" t="s">
        <v>71</v>
      </c>
      <c r="B11" s="39" t="s">
        <v>63</v>
      </c>
      <c r="C11" s="9">
        <f>SQRT(2*C9/('Atmospheric Table'!H5*37.8*1.6))</f>
        <v>115.99820705948888</v>
      </c>
      <c r="D11" s="5" t="s">
        <v>72</v>
      </c>
      <c r="E11" s="39" t="s">
        <v>63</v>
      </c>
      <c r="F11" s="13">
        <v>297</v>
      </c>
    </row>
    <row r="12" spans="1:6" ht="15.6">
      <c r="A12" s="5" t="s">
        <v>73</v>
      </c>
      <c r="B12" s="39" t="s">
        <v>63</v>
      </c>
      <c r="C12" s="9">
        <f>1.05*C11</f>
        <v>121.79811741246333</v>
      </c>
      <c r="D12" s="6" t="s">
        <v>39</v>
      </c>
      <c r="E12" s="6"/>
      <c r="F12" s="16"/>
    </row>
    <row r="13" spans="1:6" ht="15.6">
      <c r="A13" s="5" t="s">
        <v>74</v>
      </c>
      <c r="B13" s="39" t="s">
        <v>63</v>
      </c>
      <c r="C13" s="9">
        <f>1.1*C11</f>
        <v>127.59802776543778</v>
      </c>
      <c r="D13" s="5" t="s">
        <v>55</v>
      </c>
      <c r="E13" s="39" t="s">
        <v>56</v>
      </c>
      <c r="F13" s="11">
        <f>F9</f>
        <v>724.96929969104701</v>
      </c>
    </row>
    <row r="14" spans="1:6" ht="15.6">
      <c r="A14" s="5" t="s">
        <v>75</v>
      </c>
      <c r="B14" s="39" t="s">
        <v>63</v>
      </c>
      <c r="C14" s="13">
        <f>1.2*C11</f>
        <v>139.19784847138664</v>
      </c>
      <c r="D14" s="5" t="s">
        <v>59</v>
      </c>
      <c r="E14" s="39" t="s">
        <v>58</v>
      </c>
      <c r="F14" s="12">
        <v>25000</v>
      </c>
    </row>
    <row r="15" spans="1:6" ht="15.6">
      <c r="A15" s="5" t="s">
        <v>76</v>
      </c>
      <c r="B15" s="39" t="s">
        <v>58</v>
      </c>
      <c r="C15" s="10">
        <v>1480</v>
      </c>
      <c r="D15" s="5" t="s">
        <v>62</v>
      </c>
      <c r="E15" s="39" t="s">
        <v>63</v>
      </c>
      <c r="F15" s="11">
        <f>0.325*'Atmospheric Table'!M28</f>
        <v>330.19369026860608</v>
      </c>
    </row>
    <row r="16" spans="1:6" ht="15.6">
      <c r="A16" s="7" t="s">
        <v>77</v>
      </c>
      <c r="B16" s="39" t="s">
        <v>61</v>
      </c>
      <c r="C16" s="9">
        <f>(C18*6076.12/(0.7*C13))/60</f>
        <v>0.27616488949870832</v>
      </c>
      <c r="D16" s="7" t="s">
        <v>78</v>
      </c>
      <c r="E16" s="39" t="s">
        <v>61</v>
      </c>
      <c r="F16" s="2">
        <f>((240*6076)/F15)/60</f>
        <v>73.605282948408771</v>
      </c>
    </row>
    <row r="17" spans="1:6" ht="15.6">
      <c r="A17" s="7" t="s">
        <v>79</v>
      </c>
      <c r="B17" s="39" t="s">
        <v>56</v>
      </c>
      <c r="C17" s="9">
        <f>1.3*('Atmospheric Table'!M5/'Atmospheric Table'!M3)*(C16/60)*202*('Atmospheric Table'!H5/'Atmospheric Table'!H3)</f>
        <v>1.1316491987514741</v>
      </c>
      <c r="D17" s="7" t="s">
        <v>80</v>
      </c>
      <c r="E17" s="39" t="s">
        <v>56</v>
      </c>
      <c r="F17" s="2">
        <f>F18/2.8</f>
        <v>85.714285714285722</v>
      </c>
    </row>
    <row r="18" spans="1:6" ht="15.6">
      <c r="A18" s="7" t="s">
        <v>81</v>
      </c>
      <c r="B18" s="39" t="s">
        <v>69</v>
      </c>
      <c r="C18" s="9">
        <f>C15/6076.12</f>
        <v>0.24357649289349126</v>
      </c>
      <c r="D18" s="7" t="s">
        <v>82</v>
      </c>
      <c r="E18" s="39" t="s">
        <v>69</v>
      </c>
      <c r="F18" s="28">
        <v>240</v>
      </c>
    </row>
    <row r="19" spans="1:6" ht="15.6">
      <c r="A19" s="5" t="s">
        <v>66</v>
      </c>
      <c r="B19" s="39" t="s">
        <v>56</v>
      </c>
      <c r="C19" s="10">
        <f>C9-C17</f>
        <v>910.67289046734709</v>
      </c>
      <c r="D19" s="5" t="s">
        <v>66</v>
      </c>
      <c r="E19" s="39" t="s">
        <v>56</v>
      </c>
      <c r="F19" s="11">
        <f>F13-F17</f>
        <v>639.25501397676135</v>
      </c>
    </row>
    <row r="20" spans="1:6" ht="15.6">
      <c r="A20" s="5" t="s">
        <v>70</v>
      </c>
      <c r="B20" s="39" t="s">
        <v>58</v>
      </c>
      <c r="C20" s="10">
        <f>C4+35</f>
        <v>2035</v>
      </c>
      <c r="D20" s="5" t="s">
        <v>70</v>
      </c>
      <c r="E20" s="39" t="s">
        <v>58</v>
      </c>
      <c r="F20" s="12">
        <f>F14</f>
        <v>25000</v>
      </c>
    </row>
    <row r="21" spans="1:6" ht="15.6">
      <c r="A21" s="5" t="s">
        <v>72</v>
      </c>
      <c r="B21" s="39" t="s">
        <v>63</v>
      </c>
      <c r="C21" s="9">
        <f>C14</f>
        <v>139.19784847138664</v>
      </c>
      <c r="D21" s="5" t="s">
        <v>72</v>
      </c>
      <c r="E21" s="39" t="s">
        <v>63</v>
      </c>
      <c r="F21" s="11">
        <f>F15</f>
        <v>330.19369026860608</v>
      </c>
    </row>
    <row r="22" spans="1:6" ht="15.6">
      <c r="A22" s="6" t="s">
        <v>24</v>
      </c>
      <c r="B22" s="6"/>
      <c r="C22" s="14"/>
      <c r="D22" s="6" t="s">
        <v>40</v>
      </c>
      <c r="E22" s="6"/>
      <c r="F22" s="16"/>
    </row>
    <row r="23" spans="1:6" ht="15.6">
      <c r="A23" s="5" t="s">
        <v>55</v>
      </c>
      <c r="B23" s="39" t="s">
        <v>56</v>
      </c>
      <c r="C23" s="10">
        <f>C19</f>
        <v>910.67289046734709</v>
      </c>
      <c r="D23" s="5" t="s">
        <v>55</v>
      </c>
      <c r="E23" s="39" t="s">
        <v>56</v>
      </c>
      <c r="F23" s="11">
        <f>F19</f>
        <v>639.25501397676135</v>
      </c>
    </row>
    <row r="24" spans="1:6" ht="15.6">
      <c r="A24" s="5" t="s">
        <v>59</v>
      </c>
      <c r="B24" s="39" t="s">
        <v>58</v>
      </c>
      <c r="C24" s="8">
        <f>C20</f>
        <v>2035</v>
      </c>
      <c r="D24" s="5" t="s">
        <v>59</v>
      </c>
      <c r="E24" s="39" t="s">
        <v>58</v>
      </c>
      <c r="F24" s="12">
        <f>F20</f>
        <v>25000</v>
      </c>
    </row>
    <row r="25" spans="1:6" ht="15.6">
      <c r="A25" s="5" t="s">
        <v>62</v>
      </c>
      <c r="B25" s="39" t="s">
        <v>63</v>
      </c>
      <c r="C25" s="9">
        <v>284.10000000000002</v>
      </c>
      <c r="D25" s="5" t="s">
        <v>62</v>
      </c>
      <c r="E25" s="39" t="s">
        <v>63</v>
      </c>
      <c r="F25" s="13">
        <v>237</v>
      </c>
    </row>
    <row r="26" spans="1:6" ht="15.6">
      <c r="A26" s="7" t="s">
        <v>65</v>
      </c>
      <c r="B26" s="39" t="s">
        <v>61</v>
      </c>
      <c r="C26" s="9">
        <f>14.2-1</f>
        <v>13.2</v>
      </c>
      <c r="D26" s="7" t="s">
        <v>83</v>
      </c>
      <c r="E26" s="39" t="s">
        <v>61</v>
      </c>
      <c r="F26" s="13">
        <v>24.5</v>
      </c>
    </row>
    <row r="27" spans="1:6" ht="15.6">
      <c r="A27" s="7" t="s">
        <v>67</v>
      </c>
      <c r="B27" s="39" t="s">
        <v>56</v>
      </c>
      <c r="C27" s="9">
        <f>42.1-4</f>
        <v>38.1</v>
      </c>
      <c r="D27" s="7" t="s">
        <v>84</v>
      </c>
      <c r="E27" s="39" t="s">
        <v>56</v>
      </c>
      <c r="F27" s="13">
        <v>0</v>
      </c>
    </row>
    <row r="28" spans="1:6" ht="15.6">
      <c r="A28" s="7" t="s">
        <v>68</v>
      </c>
      <c r="B28" s="39" t="s">
        <v>69</v>
      </c>
      <c r="C28" s="9">
        <f>40.8-2.7</f>
        <v>38.099999999999994</v>
      </c>
      <c r="D28" s="7" t="s">
        <v>85</v>
      </c>
      <c r="E28" s="39" t="s">
        <v>69</v>
      </c>
      <c r="F28" s="13">
        <v>48</v>
      </c>
    </row>
    <row r="29" spans="1:6" ht="15.6">
      <c r="A29" s="5" t="s">
        <v>66</v>
      </c>
      <c r="B29" s="39" t="s">
        <v>56</v>
      </c>
      <c r="C29" s="10">
        <f>C23-C27</f>
        <v>872.57289046734707</v>
      </c>
      <c r="D29" s="5" t="s">
        <v>66</v>
      </c>
      <c r="E29" s="39" t="s">
        <v>56</v>
      </c>
      <c r="F29" s="11">
        <f>F23</f>
        <v>639.25501397676135</v>
      </c>
    </row>
    <row r="30" spans="1:6" ht="15.6">
      <c r="A30" s="5" t="s">
        <v>70</v>
      </c>
      <c r="B30" s="39" t="s">
        <v>58</v>
      </c>
      <c r="C30" s="25">
        <v>20000</v>
      </c>
      <c r="D30" s="5" t="s">
        <v>70</v>
      </c>
      <c r="E30" s="39" t="s">
        <v>58</v>
      </c>
      <c r="F30" s="27">
        <v>5000</v>
      </c>
    </row>
    <row r="31" spans="1:6" ht="15.6">
      <c r="A31" s="5" t="s">
        <v>72</v>
      </c>
      <c r="B31" s="39" t="s">
        <v>63</v>
      </c>
      <c r="C31" s="9">
        <v>298</v>
      </c>
      <c r="D31" s="5" t="s">
        <v>72</v>
      </c>
      <c r="E31" s="39" t="s">
        <v>63</v>
      </c>
      <c r="F31" s="13">
        <v>172</v>
      </c>
    </row>
    <row r="32" spans="1:6" ht="15.6">
      <c r="A32" s="6" t="s">
        <v>27</v>
      </c>
      <c r="B32" s="6"/>
      <c r="C32" s="14"/>
      <c r="D32" s="6" t="s">
        <v>43</v>
      </c>
      <c r="E32" s="6"/>
      <c r="F32" s="16"/>
    </row>
    <row r="33" spans="1:6" ht="15.6">
      <c r="A33" s="5" t="s">
        <v>55</v>
      </c>
      <c r="B33" s="39" t="s">
        <v>56</v>
      </c>
      <c r="C33" s="10">
        <f>C29</f>
        <v>872.57289046734707</v>
      </c>
      <c r="D33" s="5" t="s">
        <v>55</v>
      </c>
      <c r="E33" s="39" t="s">
        <v>56</v>
      </c>
      <c r="F33" s="11">
        <f>F29</f>
        <v>639.25501397676135</v>
      </c>
    </row>
    <row r="34" spans="1:6" ht="15.6">
      <c r="A34" s="5" t="s">
        <v>59</v>
      </c>
      <c r="B34" s="39" t="s">
        <v>58</v>
      </c>
      <c r="C34" s="8">
        <f>C30</f>
        <v>20000</v>
      </c>
      <c r="D34" s="5" t="s">
        <v>59</v>
      </c>
      <c r="E34" s="39" t="s">
        <v>58</v>
      </c>
      <c r="F34" s="12">
        <f>F30</f>
        <v>5000</v>
      </c>
    </row>
    <row r="35" spans="1:6" ht="15.6">
      <c r="A35" s="5" t="s">
        <v>62</v>
      </c>
      <c r="B35" s="39" t="s">
        <v>63</v>
      </c>
      <c r="C35" s="10">
        <f>0.32*'Atmospheric Table'!M23</f>
        <v>331.79314778152605</v>
      </c>
      <c r="D35" s="5" t="s">
        <v>62</v>
      </c>
      <c r="E35" s="39" t="s">
        <v>63</v>
      </c>
      <c r="F35" s="11">
        <v>168</v>
      </c>
    </row>
    <row r="36" spans="1:6" ht="15.6">
      <c r="A36" s="7" t="s">
        <v>78</v>
      </c>
      <c r="B36" s="39" t="s">
        <v>61</v>
      </c>
      <c r="C36" s="9">
        <f>((C38*6076.12)/C35)/60</f>
        <v>79.356229956474579</v>
      </c>
      <c r="D36" s="7" t="s">
        <v>86</v>
      </c>
      <c r="E36" s="39" t="s">
        <v>61</v>
      </c>
      <c r="F36" s="28">
        <v>30</v>
      </c>
    </row>
    <row r="37" spans="1:6" ht="15.6">
      <c r="A37" s="7" t="s">
        <v>80</v>
      </c>
      <c r="B37" s="39" t="s">
        <v>56</v>
      </c>
      <c r="C37" s="9">
        <f>C38/2.32</f>
        <v>112.06896551724138</v>
      </c>
      <c r="D37" s="7" t="s">
        <v>87</v>
      </c>
      <c r="E37" s="39" t="s">
        <v>56</v>
      </c>
      <c r="F37" s="13">
        <f>(F36/60)/0.0172</f>
        <v>29.069767441860463</v>
      </c>
    </row>
    <row r="38" spans="1:6" ht="15.6">
      <c r="A38" s="7" t="s">
        <v>82</v>
      </c>
      <c r="B38" s="39" t="s">
        <v>69</v>
      </c>
      <c r="C38" s="26">
        <v>260</v>
      </c>
      <c r="D38" s="7" t="s">
        <v>88</v>
      </c>
      <c r="E38" s="39" t="s">
        <v>69</v>
      </c>
      <c r="F38" s="13">
        <v>0</v>
      </c>
    </row>
    <row r="39" spans="1:6" ht="15.6">
      <c r="A39" s="5" t="s">
        <v>66</v>
      </c>
      <c r="B39" s="39" t="s">
        <v>56</v>
      </c>
      <c r="C39" s="10">
        <f>C33-C37</f>
        <v>760.50392495010567</v>
      </c>
      <c r="D39" s="5" t="s">
        <v>66</v>
      </c>
      <c r="E39" s="39" t="s">
        <v>56</v>
      </c>
      <c r="F39" s="11">
        <f>F33-F37</f>
        <v>610.1852465349009</v>
      </c>
    </row>
    <row r="40" spans="1:6" ht="15.6">
      <c r="A40" s="5" t="s">
        <v>70</v>
      </c>
      <c r="B40" s="39" t="s">
        <v>58</v>
      </c>
      <c r="C40" s="8">
        <f>C34</f>
        <v>20000</v>
      </c>
      <c r="D40" s="5" t="s">
        <v>70</v>
      </c>
      <c r="E40" s="39" t="s">
        <v>58</v>
      </c>
      <c r="F40" s="12">
        <f>F34</f>
        <v>5000</v>
      </c>
    </row>
    <row r="41" spans="1:6" ht="15.6">
      <c r="A41" s="5" t="s">
        <v>72</v>
      </c>
      <c r="B41" s="39" t="s">
        <v>63</v>
      </c>
      <c r="C41" s="10">
        <f>C35</f>
        <v>331.79314778152605</v>
      </c>
      <c r="D41" s="5" t="s">
        <v>72</v>
      </c>
      <c r="E41" s="39" t="s">
        <v>63</v>
      </c>
      <c r="F41" s="11">
        <v>168</v>
      </c>
    </row>
    <row r="42" spans="1:6" ht="15.6">
      <c r="A42" s="6" t="s">
        <v>89</v>
      </c>
      <c r="B42" s="6"/>
      <c r="C42" s="14"/>
      <c r="D42" s="6" t="s">
        <v>47</v>
      </c>
      <c r="E42" s="6"/>
      <c r="F42" s="16"/>
    </row>
    <row r="43" spans="1:6" ht="15.6">
      <c r="A43" s="5" t="s">
        <v>55</v>
      </c>
      <c r="B43" s="39" t="s">
        <v>56</v>
      </c>
      <c r="C43" s="10">
        <f>C39</f>
        <v>760.50392495010567</v>
      </c>
      <c r="D43" s="5" t="s">
        <v>55</v>
      </c>
      <c r="E43" s="39" t="s">
        <v>56</v>
      </c>
      <c r="F43" s="11">
        <f>F39</f>
        <v>610.1852465349009</v>
      </c>
    </row>
    <row r="44" spans="1:6" ht="15.6">
      <c r="A44" s="5" t="s">
        <v>59</v>
      </c>
      <c r="B44" s="39" t="s">
        <v>58</v>
      </c>
      <c r="C44" s="8">
        <f>C40</f>
        <v>20000</v>
      </c>
      <c r="D44" s="5" t="s">
        <v>59</v>
      </c>
      <c r="E44" s="39" t="s">
        <v>58</v>
      </c>
      <c r="F44" s="12">
        <f>F40</f>
        <v>5000</v>
      </c>
    </row>
    <row r="45" spans="1:6" ht="15.6">
      <c r="A45" s="5" t="s">
        <v>62</v>
      </c>
      <c r="B45" s="39" t="s">
        <v>63</v>
      </c>
      <c r="C45" s="9">
        <v>235.5</v>
      </c>
      <c r="D45" s="5" t="s">
        <v>62</v>
      </c>
      <c r="E45" s="39" t="s">
        <v>63</v>
      </c>
      <c r="F45" s="13">
        <v>126</v>
      </c>
    </row>
    <row r="46" spans="1:6" ht="15.6">
      <c r="A46" s="7" t="s">
        <v>83</v>
      </c>
      <c r="B46" s="39" t="s">
        <v>61</v>
      </c>
      <c r="C46" s="9">
        <f>16-5</f>
        <v>11</v>
      </c>
      <c r="D46" s="7" t="s">
        <v>83</v>
      </c>
      <c r="E46" s="39" t="s">
        <v>61</v>
      </c>
      <c r="F46" s="13">
        <f>32.8-27.8</f>
        <v>4.9999999999999964</v>
      </c>
    </row>
    <row r="47" spans="1:6" ht="15.6">
      <c r="A47" s="7" t="s">
        <v>84</v>
      </c>
      <c r="B47" s="39" t="s">
        <v>56</v>
      </c>
      <c r="C47" s="9">
        <v>0</v>
      </c>
      <c r="D47" s="7" t="s">
        <v>84</v>
      </c>
      <c r="E47" s="39" t="s">
        <v>56</v>
      </c>
      <c r="F47" s="13">
        <v>0</v>
      </c>
    </row>
    <row r="48" spans="1:6" ht="15.6">
      <c r="A48" s="7" t="s">
        <v>85</v>
      </c>
      <c r="B48" s="39" t="s">
        <v>69</v>
      </c>
      <c r="C48" s="9">
        <f>36-12</f>
        <v>24</v>
      </c>
      <c r="D48" s="7" t="s">
        <v>85</v>
      </c>
      <c r="E48" s="39" t="s">
        <v>69</v>
      </c>
      <c r="F48" s="13">
        <f>47-41</f>
        <v>6</v>
      </c>
    </row>
    <row r="49" spans="1:6" ht="15.6">
      <c r="A49" s="5" t="s">
        <v>66</v>
      </c>
      <c r="B49" s="39" t="s">
        <v>56</v>
      </c>
      <c r="C49" s="10">
        <f>C43</f>
        <v>760.50392495010567</v>
      </c>
      <c r="D49" s="5" t="s">
        <v>66</v>
      </c>
      <c r="E49" s="39" t="s">
        <v>56</v>
      </c>
      <c r="F49" s="11">
        <f>F43</f>
        <v>610.1852465349009</v>
      </c>
    </row>
    <row r="50" spans="1:6" ht="15.6">
      <c r="A50" s="5" t="s">
        <v>70</v>
      </c>
      <c r="B50" s="39" t="s">
        <v>58</v>
      </c>
      <c r="C50" s="25">
        <v>10000</v>
      </c>
      <c r="D50" s="5" t="s">
        <v>70</v>
      </c>
      <c r="E50" s="39" t="s">
        <v>58</v>
      </c>
      <c r="F50" s="27">
        <v>2000</v>
      </c>
    </row>
    <row r="51" spans="1:6" ht="15.6">
      <c r="A51" s="5" t="s">
        <v>72</v>
      </c>
      <c r="B51" s="39" t="s">
        <v>63</v>
      </c>
      <c r="C51" s="9">
        <v>202</v>
      </c>
      <c r="D51" s="5" t="s">
        <v>72</v>
      </c>
      <c r="E51" s="39" t="s">
        <v>63</v>
      </c>
      <c r="F51" s="13">
        <v>121</v>
      </c>
    </row>
    <row r="52" spans="1:6" ht="15.6">
      <c r="A52" s="6" t="s">
        <v>34</v>
      </c>
      <c r="B52" s="6"/>
      <c r="C52" s="14"/>
      <c r="D52" s="6" t="s">
        <v>50</v>
      </c>
      <c r="E52" s="6"/>
      <c r="F52" s="16"/>
    </row>
    <row r="53" spans="1:6" ht="15.6">
      <c r="A53" s="5" t="s">
        <v>55</v>
      </c>
      <c r="B53" s="39" t="s">
        <v>56</v>
      </c>
      <c r="C53" s="10">
        <f>C49</f>
        <v>760.50392495010567</v>
      </c>
      <c r="D53" s="5" t="s">
        <v>55</v>
      </c>
      <c r="E53" s="39" t="s">
        <v>56</v>
      </c>
      <c r="F53" s="11">
        <f>F49</f>
        <v>610.1852465349009</v>
      </c>
    </row>
    <row r="54" spans="1:6" ht="15.6">
      <c r="A54" s="5" t="s">
        <v>59</v>
      </c>
      <c r="B54" s="39" t="s">
        <v>58</v>
      </c>
      <c r="C54" s="8">
        <f>C50</f>
        <v>10000</v>
      </c>
      <c r="D54" s="5" t="s">
        <v>57</v>
      </c>
      <c r="E54" s="39" t="s">
        <v>58</v>
      </c>
      <c r="F54" s="12">
        <f>F50</f>
        <v>2000</v>
      </c>
    </row>
    <row r="55" spans="1:6" ht="15.6">
      <c r="A55" s="5" t="s">
        <v>62</v>
      </c>
      <c r="B55" s="39" t="s">
        <v>63</v>
      </c>
      <c r="C55" s="2">
        <v>333.99000362578209</v>
      </c>
      <c r="D55" s="5" t="s">
        <v>71</v>
      </c>
      <c r="E55" s="39" t="s">
        <v>63</v>
      </c>
      <c r="F55" s="13">
        <f>SQRT((2*F53)/('Atmospheric Table'!H5*37.8*2))</f>
        <v>84.874307994911476</v>
      </c>
    </row>
    <row r="56" spans="1:6" ht="15.6">
      <c r="A56" s="5" t="s">
        <v>90</v>
      </c>
      <c r="B56" s="39" t="s">
        <v>63</v>
      </c>
      <c r="C56" s="9">
        <f>0.294*'Atmospheric Table'!M13</f>
        <v>316.75180989025785</v>
      </c>
      <c r="D56" s="5" t="s">
        <v>91</v>
      </c>
      <c r="E56" s="39" t="s">
        <v>63</v>
      </c>
      <c r="F56" s="13">
        <f>1.3*F55</f>
        <v>110.33660039338493</v>
      </c>
    </row>
    <row r="57" spans="1:6" ht="15.6">
      <c r="A57" s="5" t="s">
        <v>92</v>
      </c>
      <c r="B57" s="39" t="s">
        <v>93</v>
      </c>
      <c r="C57" s="9">
        <v>34.1</v>
      </c>
      <c r="D57" s="5" t="s">
        <v>94</v>
      </c>
      <c r="E57" s="39" t="s">
        <v>63</v>
      </c>
      <c r="F57" s="13">
        <f>1.15*F55</f>
        <v>97.605454194148194</v>
      </c>
    </row>
    <row r="58" spans="1:6" ht="15.6">
      <c r="A58" s="5" t="s">
        <v>95</v>
      </c>
      <c r="B58" s="39" t="s">
        <v>63</v>
      </c>
      <c r="C58" s="9">
        <f>0.31*'Atmospheric Table'!M13</f>
        <v>333.99000362578209</v>
      </c>
      <c r="D58" s="5" t="s">
        <v>76</v>
      </c>
      <c r="E58" s="39" t="s">
        <v>58</v>
      </c>
      <c r="F58" s="11">
        <v>785</v>
      </c>
    </row>
    <row r="59" spans="1:6" ht="15.6">
      <c r="A59" s="5" t="s">
        <v>96</v>
      </c>
      <c r="B59" s="39" t="s">
        <v>93</v>
      </c>
      <c r="C59" s="9">
        <v>14.3</v>
      </c>
      <c r="E59" s="34"/>
    </row>
    <row r="60" spans="1:6" ht="15.6">
      <c r="A60" s="5" t="s">
        <v>97</v>
      </c>
      <c r="B60" s="39" t="s">
        <v>98</v>
      </c>
      <c r="C60" s="25">
        <f>360*4</f>
        <v>1440</v>
      </c>
      <c r="D60" s="7" t="s">
        <v>99</v>
      </c>
      <c r="E60" s="39" t="s">
        <v>56</v>
      </c>
      <c r="F60" s="2">
        <f>F53-('Project Assignment'!C20-'Project Assignment'!C21)</f>
        <v>20.185246534900898</v>
      </c>
    </row>
    <row r="61" spans="1:6" ht="15.6">
      <c r="A61" s="5" t="s">
        <v>100</v>
      </c>
      <c r="B61" s="39" t="s">
        <v>61</v>
      </c>
      <c r="C61" s="9">
        <f>(C60/C59)/60</f>
        <v>1.6783216783216781</v>
      </c>
    </row>
    <row r="62" spans="1:6" ht="15.6">
      <c r="A62" s="5" t="s">
        <v>101</v>
      </c>
      <c r="B62" s="39" t="s">
        <v>56</v>
      </c>
      <c r="C62" s="9">
        <f>1.3*('Atmospheric Table'!M13/'Atmospheric Table'!M3)*202*('Atmospheric Table'!H13/'Atmospheric Table'!H3)*(C61/60)</f>
        <v>5.2346252590586442</v>
      </c>
    </row>
    <row r="63" spans="1:6" ht="15.6">
      <c r="A63" s="5" t="s">
        <v>102</v>
      </c>
      <c r="B63" s="39" t="s">
        <v>56</v>
      </c>
      <c r="C63" s="10">
        <f>C53-C62</f>
        <v>755.26929969104708</v>
      </c>
    </row>
    <row r="64" spans="1:6" ht="15.6">
      <c r="A64" s="5" t="s">
        <v>103</v>
      </c>
      <c r="B64" s="39" t="s">
        <v>61</v>
      </c>
      <c r="C64" s="9">
        <f>87/60</f>
        <v>1.45</v>
      </c>
    </row>
    <row r="65" spans="1:3" ht="15.6">
      <c r="A65" s="5" t="s">
        <v>104</v>
      </c>
      <c r="B65" s="39" t="s">
        <v>56</v>
      </c>
      <c r="C65" s="9">
        <v>4.3</v>
      </c>
    </row>
    <row r="66" spans="1:3" ht="15.6">
      <c r="A66" s="7" t="s">
        <v>105</v>
      </c>
      <c r="B66" s="39" t="s">
        <v>61</v>
      </c>
      <c r="C66" s="9">
        <f>C61+C64</f>
        <v>3.1283216783216781</v>
      </c>
    </row>
    <row r="67" spans="1:3" ht="15.6">
      <c r="A67" s="7" t="s">
        <v>106</v>
      </c>
      <c r="B67" s="39" t="s">
        <v>56</v>
      </c>
      <c r="C67" s="9">
        <f>(C62+C65)</f>
        <v>9.5346252590586431</v>
      </c>
    </row>
    <row r="68" spans="1:3" ht="15.6">
      <c r="A68" s="7" t="s">
        <v>107</v>
      </c>
      <c r="B68" s="39" t="s">
        <v>69</v>
      </c>
      <c r="C68" s="9">
        <v>0</v>
      </c>
    </row>
    <row r="69" spans="1:3" ht="15.6">
      <c r="A69" s="5" t="s">
        <v>66</v>
      </c>
      <c r="B69" s="39" t="s">
        <v>56</v>
      </c>
      <c r="C69" s="10">
        <f>C53-C67</f>
        <v>750.96929969104701</v>
      </c>
    </row>
    <row r="70" spans="1:3" ht="15.6">
      <c r="A70" s="5" t="s">
        <v>70</v>
      </c>
      <c r="B70" s="39" t="s">
        <v>58</v>
      </c>
      <c r="C70" s="8">
        <v>10000</v>
      </c>
    </row>
    <row r="71" spans="1:3" ht="15.6">
      <c r="A71" s="5" t="s">
        <v>72</v>
      </c>
      <c r="B71" s="39" t="s">
        <v>63</v>
      </c>
      <c r="C71" s="9">
        <f>0.4*'Atmospheric Table'!M13</f>
        <v>430.95484338810593</v>
      </c>
    </row>
  </sheetData>
  <printOptions horizontalCentered="1" verticalCentered="1" gridLines="1"/>
  <pageMargins left="0.45" right="0.45" top="0.5" bottom="0.5" header="0.3" footer="0.3"/>
  <pageSetup scale="6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AA2C9-2B64-4FE5-8BDE-D063C98E0F73}">
  <sheetPr codeName="Sheet22">
    <pageSetUpPr fitToPage="1"/>
  </sheetPr>
  <dimension ref="A1:K42"/>
  <sheetViews>
    <sheetView workbookViewId="0">
      <selection activeCell="C6" sqref="C6"/>
    </sheetView>
    <sheetView workbookViewId="1">
      <pane xSplit="1" topLeftCell="B31" activePane="topRight" state="frozen"/>
      <selection pane="topRight" activeCell="K46" sqref="K46"/>
    </sheetView>
  </sheetViews>
  <sheetFormatPr defaultRowHeight="14.45"/>
  <cols>
    <col min="1" max="1" width="21.5703125" customWidth="1"/>
    <col min="2" max="2" width="16.5703125" customWidth="1"/>
    <col min="3" max="3" width="15.5703125" customWidth="1"/>
    <col min="4" max="11" width="13.5703125" customWidth="1"/>
  </cols>
  <sheetData>
    <row r="1" spans="1:11" ht="18.600000000000001">
      <c r="A1" s="35" t="str">
        <f>'Mission Worksheet'!A1</f>
        <v>Flight Profile #</v>
      </c>
      <c r="B1" s="29">
        <f>'Mission Worksheet'!B1</f>
        <v>5</v>
      </c>
      <c r="C1" s="19" t="s">
        <v>108</v>
      </c>
      <c r="D1" s="19"/>
      <c r="E1" s="19"/>
      <c r="F1" s="19"/>
      <c r="G1" s="35" t="s">
        <v>53</v>
      </c>
      <c r="H1" s="29" t="str">
        <f>'Project Assignment'!B2</f>
        <v>Long-Martinelli</v>
      </c>
    </row>
    <row r="2" spans="1:11">
      <c r="D2" s="1"/>
      <c r="E2" s="1"/>
      <c r="F2" s="52" t="s">
        <v>109</v>
      </c>
      <c r="G2" s="53"/>
      <c r="H2" s="54"/>
      <c r="I2" s="53" t="s">
        <v>110</v>
      </c>
      <c r="J2" s="53"/>
      <c r="K2" s="53"/>
    </row>
    <row r="3" spans="1:11">
      <c r="A3" s="3" t="s">
        <v>111</v>
      </c>
      <c r="B3" s="3"/>
      <c r="C3" s="31" t="s">
        <v>112</v>
      </c>
      <c r="D3" s="31" t="s">
        <v>113</v>
      </c>
      <c r="E3" s="31" t="s">
        <v>114</v>
      </c>
      <c r="F3" s="30" t="s">
        <v>115</v>
      </c>
      <c r="G3" s="31" t="s">
        <v>116</v>
      </c>
      <c r="H3" s="32" t="s">
        <v>117</v>
      </c>
      <c r="I3" s="31" t="s">
        <v>115</v>
      </c>
      <c r="J3" s="31" t="s">
        <v>116</v>
      </c>
      <c r="K3" s="31" t="s">
        <v>117</v>
      </c>
    </row>
    <row r="4" spans="1:11">
      <c r="A4" s="1"/>
      <c r="B4" s="1"/>
      <c r="C4" s="31" t="s">
        <v>118</v>
      </c>
      <c r="D4" s="31" t="s">
        <v>119</v>
      </c>
      <c r="E4" s="31" t="s">
        <v>120</v>
      </c>
      <c r="F4" s="30" t="s">
        <v>121</v>
      </c>
      <c r="G4" s="31" t="s">
        <v>118</v>
      </c>
      <c r="H4" s="32" t="s">
        <v>122</v>
      </c>
      <c r="I4" s="31" t="s">
        <v>121</v>
      </c>
      <c r="J4" s="31" t="s">
        <v>118</v>
      </c>
      <c r="K4" s="31" t="s">
        <v>122</v>
      </c>
    </row>
    <row r="5" spans="1:11" ht="7.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</row>
    <row r="6" spans="1:11">
      <c r="A6" s="1" t="s">
        <v>14</v>
      </c>
      <c r="B6" t="s">
        <v>123</v>
      </c>
      <c r="C6" s="18">
        <f>'Mission Worksheet'!C3</f>
        <v>920</v>
      </c>
      <c r="D6" s="4">
        <f>'Mission Worksheet'!C4</f>
        <v>2000</v>
      </c>
      <c r="E6" s="18">
        <v>0</v>
      </c>
      <c r="F6" s="55">
        <f>'Mission Worksheet'!C5</f>
        <v>20</v>
      </c>
      <c r="G6" s="56">
        <f>'Mission Worksheet'!C6</f>
        <v>8.1954603339014742</v>
      </c>
      <c r="H6" s="57">
        <v>0</v>
      </c>
      <c r="I6" s="55">
        <f>SUM(F$6:F6)</f>
        <v>20</v>
      </c>
      <c r="J6" s="58">
        <f>SUM(G$6:G6)</f>
        <v>8.1954603339014742</v>
      </c>
      <c r="K6" s="51">
        <f>SUM(H$6:H6)</f>
        <v>0</v>
      </c>
    </row>
    <row r="7" spans="1:11">
      <c r="A7" s="1"/>
      <c r="B7" t="s">
        <v>124</v>
      </c>
      <c r="C7" s="18">
        <f>'Mission Worksheet'!C7</f>
        <v>911.80453966609855</v>
      </c>
      <c r="D7" s="4">
        <f>D6</f>
        <v>2000</v>
      </c>
      <c r="E7" s="18">
        <v>0</v>
      </c>
      <c r="F7" s="55"/>
      <c r="G7" s="56"/>
      <c r="H7" s="57"/>
      <c r="I7" s="55"/>
      <c r="J7" s="58"/>
      <c r="K7" s="51"/>
    </row>
    <row r="8" spans="1:11" ht="7.5" customHeight="1">
      <c r="A8" s="36"/>
      <c r="B8" s="36"/>
      <c r="C8" s="33"/>
      <c r="D8" s="33"/>
      <c r="E8" s="33"/>
      <c r="F8" s="37"/>
      <c r="G8" s="33"/>
      <c r="H8" s="38"/>
      <c r="I8" s="33"/>
      <c r="J8" s="33"/>
      <c r="K8" s="50"/>
    </row>
    <row r="9" spans="1:11">
      <c r="A9" s="1" t="s">
        <v>21</v>
      </c>
      <c r="B9" t="s">
        <v>123</v>
      </c>
      <c r="C9" s="18">
        <f>'Mission Worksheet'!C9</f>
        <v>911.80453966609855</v>
      </c>
      <c r="D9" s="4">
        <f>'Mission Worksheet'!C10</f>
        <v>2000</v>
      </c>
      <c r="E9" s="18">
        <f>0</f>
        <v>0</v>
      </c>
      <c r="F9" s="55">
        <f>'Mission Worksheet'!C16</f>
        <v>0.27616488949870832</v>
      </c>
      <c r="G9" s="56">
        <f>'Mission Worksheet'!C17</f>
        <v>1.1316491987514741</v>
      </c>
      <c r="H9" s="57">
        <f>'Mission Worksheet'!C18</f>
        <v>0.24357649289349126</v>
      </c>
      <c r="I9" s="55">
        <f>SUM(F$6:F9)</f>
        <v>20.276164889498709</v>
      </c>
      <c r="J9" s="58">
        <f>SUM(G$6:G9)</f>
        <v>9.3271095326529476</v>
      </c>
      <c r="K9" s="51">
        <f>SUM(H$6:H9)</f>
        <v>0.24357649289349126</v>
      </c>
    </row>
    <row r="10" spans="1:11">
      <c r="A10" s="1"/>
      <c r="B10" t="s">
        <v>124</v>
      </c>
      <c r="C10" s="18">
        <f>'Mission Worksheet'!C19</f>
        <v>910.67289046734709</v>
      </c>
      <c r="D10" s="4">
        <f>'Mission Worksheet'!C20</f>
        <v>2035</v>
      </c>
      <c r="E10" s="18">
        <f>'Mission Worksheet'!C21</f>
        <v>139.19784847138664</v>
      </c>
      <c r="F10" s="55"/>
      <c r="G10" s="56"/>
      <c r="H10" s="57"/>
      <c r="I10" s="55"/>
      <c r="J10" s="58"/>
      <c r="K10" s="51"/>
    </row>
    <row r="11" spans="1:11" ht="7.5" customHeight="1">
      <c r="A11" s="36"/>
      <c r="B11" s="36"/>
      <c r="C11" s="33"/>
      <c r="D11" s="33"/>
      <c r="E11" s="33"/>
      <c r="F11" s="37"/>
      <c r="G11" s="33"/>
      <c r="H11" s="38"/>
      <c r="I11" s="33"/>
      <c r="J11" s="33"/>
      <c r="K11" s="50"/>
    </row>
    <row r="12" spans="1:11">
      <c r="A12" s="1" t="s">
        <v>24</v>
      </c>
      <c r="B12" t="s">
        <v>123</v>
      </c>
      <c r="C12" s="18">
        <f>'Mission Worksheet'!C23</f>
        <v>910.67289046734709</v>
      </c>
      <c r="D12" s="4">
        <f>'Mission Worksheet'!C24</f>
        <v>2035</v>
      </c>
      <c r="E12" s="18">
        <f>'Mission Worksheet'!C25</f>
        <v>284.10000000000002</v>
      </c>
      <c r="F12" s="55">
        <f>'Mission Worksheet'!C26</f>
        <v>13.2</v>
      </c>
      <c r="G12" s="56">
        <f>'Mission Worksheet'!C27</f>
        <v>38.1</v>
      </c>
      <c r="H12" s="57">
        <f>'Mission Worksheet'!C28</f>
        <v>38.099999999999994</v>
      </c>
      <c r="I12" s="55">
        <f>SUM(F$6:F12)</f>
        <v>33.476164889498705</v>
      </c>
      <c r="J12" s="58">
        <f>SUM(G$6:G12)</f>
        <v>47.427109532652949</v>
      </c>
      <c r="K12" s="51">
        <f>SUM(H$6:H12)</f>
        <v>38.343576492893483</v>
      </c>
    </row>
    <row r="13" spans="1:11">
      <c r="A13" s="1"/>
      <c r="B13" t="s">
        <v>124</v>
      </c>
      <c r="C13" s="18">
        <f>'Mission Worksheet'!C29</f>
        <v>872.57289046734707</v>
      </c>
      <c r="D13" s="4">
        <f>'Mission Worksheet'!C30</f>
        <v>20000</v>
      </c>
      <c r="E13" s="18">
        <f>'Mission Worksheet'!C31</f>
        <v>298</v>
      </c>
      <c r="F13" s="55"/>
      <c r="G13" s="56"/>
      <c r="H13" s="57"/>
      <c r="I13" s="55"/>
      <c r="J13" s="58"/>
      <c r="K13" s="51"/>
    </row>
    <row r="14" spans="1:11" ht="7.5" customHeight="1">
      <c r="A14" s="36"/>
      <c r="B14" s="36"/>
      <c r="C14" s="33"/>
      <c r="D14" s="33"/>
      <c r="E14" s="33"/>
      <c r="F14" s="37"/>
      <c r="G14" s="33"/>
      <c r="H14" s="38"/>
      <c r="I14" s="33"/>
      <c r="J14" s="33"/>
      <c r="K14" s="50"/>
    </row>
    <row r="15" spans="1:11">
      <c r="A15" s="1" t="s">
        <v>27</v>
      </c>
      <c r="B15" t="s">
        <v>123</v>
      </c>
      <c r="C15" s="18">
        <f>C13</f>
        <v>872.57289046734707</v>
      </c>
      <c r="D15" s="4">
        <f>'Mission Worksheet'!C34</f>
        <v>20000</v>
      </c>
      <c r="E15" s="18">
        <f>'Mission Worksheet'!C35</f>
        <v>331.79314778152605</v>
      </c>
      <c r="F15" s="55">
        <f>'Mission Worksheet'!C36</f>
        <v>79.356229956474579</v>
      </c>
      <c r="G15" s="56">
        <f>'Mission Worksheet'!C37</f>
        <v>112.06896551724138</v>
      </c>
      <c r="H15" s="57">
        <f>'Mission Worksheet'!C38</f>
        <v>260</v>
      </c>
      <c r="I15" s="55">
        <f>SUM(F$6:F15)</f>
        <v>112.83239484597328</v>
      </c>
      <c r="J15" s="58">
        <f>SUM(G$6:G15)</f>
        <v>159.49607504989433</v>
      </c>
      <c r="K15" s="51">
        <f>SUM(H$6:H15)</f>
        <v>298.34357649289348</v>
      </c>
    </row>
    <row r="16" spans="1:11">
      <c r="A16" s="1"/>
      <c r="B16" t="s">
        <v>124</v>
      </c>
      <c r="C16" s="18">
        <f>'Mission Worksheet'!C39</f>
        <v>760.50392495010567</v>
      </c>
      <c r="D16" s="4">
        <f>'Mission Worksheet'!C40</f>
        <v>20000</v>
      </c>
      <c r="E16" s="18">
        <f>'Mission Worksheet'!C41</f>
        <v>331.79314778152605</v>
      </c>
      <c r="F16" s="55"/>
      <c r="G16" s="56"/>
      <c r="H16" s="57"/>
      <c r="I16" s="55"/>
      <c r="J16" s="58"/>
      <c r="K16" s="51"/>
    </row>
    <row r="17" spans="1:11" ht="7.5" customHeight="1">
      <c r="A17" s="36"/>
      <c r="B17" s="36"/>
      <c r="C17" s="33"/>
      <c r="D17" s="33"/>
      <c r="E17" s="33"/>
      <c r="F17" s="37"/>
      <c r="G17" s="33"/>
      <c r="H17" s="38"/>
      <c r="I17" s="33"/>
      <c r="J17" s="33"/>
      <c r="K17" s="50"/>
    </row>
    <row r="18" spans="1:11">
      <c r="A18" s="1" t="s">
        <v>31</v>
      </c>
      <c r="B18" t="s">
        <v>123</v>
      </c>
      <c r="C18" s="18">
        <f>C16</f>
        <v>760.50392495010567</v>
      </c>
      <c r="D18" s="4">
        <f>D16</f>
        <v>20000</v>
      </c>
      <c r="E18" s="18">
        <f>'Mission Worksheet'!C45</f>
        <v>235.5</v>
      </c>
      <c r="F18" s="55">
        <f>'Mission Worksheet'!C46</f>
        <v>11</v>
      </c>
      <c r="G18" s="56">
        <v>0</v>
      </c>
      <c r="H18" s="57">
        <f>'Mission Worksheet'!C48</f>
        <v>24</v>
      </c>
      <c r="I18" s="55">
        <f>SUM(F$6:F18)</f>
        <v>123.83239484597328</v>
      </c>
      <c r="J18" s="58">
        <f>SUM(G$6:G18)</f>
        <v>159.49607504989433</v>
      </c>
      <c r="K18" s="51">
        <f>SUM(H$6:H18)</f>
        <v>322.34357649289348</v>
      </c>
    </row>
    <row r="19" spans="1:11">
      <c r="A19" s="1"/>
      <c r="B19" t="s">
        <v>124</v>
      </c>
      <c r="C19" s="18">
        <f>'Mission Worksheet'!C49</f>
        <v>760.50392495010567</v>
      </c>
      <c r="D19" s="4">
        <f>'Mission Worksheet'!C50</f>
        <v>10000</v>
      </c>
      <c r="E19" s="18">
        <f>'Mission Worksheet'!C51</f>
        <v>202</v>
      </c>
      <c r="F19" s="55"/>
      <c r="G19" s="56"/>
      <c r="H19" s="57"/>
      <c r="I19" s="55"/>
      <c r="J19" s="58"/>
      <c r="K19" s="51"/>
    </row>
    <row r="20" spans="1:11" ht="7.5" customHeight="1">
      <c r="A20" s="36"/>
      <c r="B20" s="36"/>
      <c r="C20" s="33"/>
      <c r="D20" s="33"/>
      <c r="E20" s="33"/>
      <c r="F20" s="37"/>
      <c r="G20" s="33"/>
      <c r="H20" s="38"/>
      <c r="I20" s="33"/>
      <c r="J20" s="33"/>
      <c r="K20" s="50"/>
    </row>
    <row r="21" spans="1:11">
      <c r="A21" s="1" t="s">
        <v>34</v>
      </c>
      <c r="B21" t="s">
        <v>123</v>
      </c>
      <c r="C21" s="18">
        <f>C19</f>
        <v>760.50392495010567</v>
      </c>
      <c r="D21" s="4">
        <f>D19</f>
        <v>10000</v>
      </c>
      <c r="E21" s="18">
        <f>'Mission Worksheet'!C55</f>
        <v>333.99000362578209</v>
      </c>
      <c r="F21" s="55">
        <f>'Mission Worksheet'!C66</f>
        <v>3.1283216783216781</v>
      </c>
      <c r="G21" s="56">
        <f>'Mission Worksheet'!C67</f>
        <v>9.5346252590586431</v>
      </c>
      <c r="H21" s="57">
        <v>0</v>
      </c>
      <c r="I21" s="55">
        <f>SUM(F$6:F21)</f>
        <v>126.96071652429497</v>
      </c>
      <c r="J21" s="58">
        <f>SUM(G$6:G21)</f>
        <v>169.03070030895299</v>
      </c>
      <c r="K21" s="51">
        <f>SUM(H$6:H21)</f>
        <v>322.34357649289348</v>
      </c>
    </row>
    <row r="22" spans="1:11">
      <c r="A22" s="1"/>
      <c r="B22" t="s">
        <v>124</v>
      </c>
      <c r="C22" s="18">
        <f>'Mission Worksheet'!C69</f>
        <v>750.96929969104701</v>
      </c>
      <c r="D22" s="4">
        <f>'Mission Worksheet'!C70</f>
        <v>10000</v>
      </c>
      <c r="E22" s="18">
        <f>'Mission Worksheet'!C71</f>
        <v>430.95484338810593</v>
      </c>
      <c r="F22" s="55"/>
      <c r="G22" s="56"/>
      <c r="H22" s="57"/>
      <c r="I22" s="55"/>
      <c r="J22" s="58"/>
      <c r="K22" s="51"/>
    </row>
    <row r="23" spans="1:11" ht="7.5" customHeight="1">
      <c r="A23" s="36"/>
      <c r="B23" s="36"/>
      <c r="C23" s="33"/>
      <c r="D23" s="33"/>
      <c r="E23" s="33"/>
      <c r="F23" s="37"/>
      <c r="G23" s="33"/>
      <c r="H23" s="38"/>
      <c r="I23" s="33"/>
      <c r="J23" s="33"/>
      <c r="K23" s="50"/>
    </row>
    <row r="24" spans="1:11">
      <c r="A24" s="1" t="s">
        <v>24</v>
      </c>
      <c r="B24" t="s">
        <v>123</v>
      </c>
      <c r="C24" s="18">
        <f>C22</f>
        <v>750.96929969104701</v>
      </c>
      <c r="D24" s="4">
        <f>D22</f>
        <v>10000</v>
      </c>
      <c r="E24" s="18">
        <f>'Mission Worksheet'!F5</f>
        <v>285</v>
      </c>
      <c r="F24" s="55">
        <f>'Mission Worksheet'!F6</f>
        <v>11</v>
      </c>
      <c r="G24" s="56">
        <f>'Mission Worksheet'!F7</f>
        <v>26</v>
      </c>
      <c r="H24" s="57">
        <f>'Mission Worksheet'!F8</f>
        <v>31.799999999999997</v>
      </c>
      <c r="I24" s="55">
        <f>SUM(F$6:F24)</f>
        <v>137.96071652429498</v>
      </c>
      <c r="J24" s="58">
        <f>SUM(G$6:G24)</f>
        <v>195.03070030895299</v>
      </c>
      <c r="K24" s="51">
        <f>SUM(H$6:H24)</f>
        <v>354.14357649289349</v>
      </c>
    </row>
    <row r="25" spans="1:11">
      <c r="A25" s="1"/>
      <c r="B25" t="s">
        <v>124</v>
      </c>
      <c r="C25" s="18">
        <f>'Mission Worksheet'!F9</f>
        <v>724.96929969104701</v>
      </c>
      <c r="D25" s="4">
        <f>'Mission Worksheet'!F10</f>
        <v>25000</v>
      </c>
      <c r="E25" s="18">
        <f>'Mission Worksheet'!F11</f>
        <v>297</v>
      </c>
      <c r="F25" s="55"/>
      <c r="G25" s="56"/>
      <c r="H25" s="57"/>
      <c r="I25" s="55"/>
      <c r="J25" s="58"/>
      <c r="K25" s="51"/>
    </row>
    <row r="26" spans="1:11" ht="7.5" customHeight="1">
      <c r="A26" s="36"/>
      <c r="B26" s="36"/>
      <c r="C26" s="33"/>
      <c r="D26" s="33"/>
      <c r="E26" s="33"/>
      <c r="F26" s="37"/>
      <c r="G26" s="33"/>
      <c r="H26" s="38"/>
      <c r="I26" s="33"/>
      <c r="J26" s="33"/>
      <c r="K26" s="50"/>
    </row>
    <row r="27" spans="1:11">
      <c r="A27" s="1" t="s">
        <v>39</v>
      </c>
      <c r="B27" t="s">
        <v>123</v>
      </c>
      <c r="C27" s="18">
        <f>'Mission Worksheet'!F13</f>
        <v>724.96929969104701</v>
      </c>
      <c r="D27" s="4">
        <f>'Mission Worksheet'!F14</f>
        <v>25000</v>
      </c>
      <c r="E27" s="18">
        <f>'Mission Worksheet'!F15</f>
        <v>330.19369026860608</v>
      </c>
      <c r="F27" s="55">
        <f>'Mission Worksheet'!F16</f>
        <v>73.605282948408771</v>
      </c>
      <c r="G27" s="56">
        <f>'Mission Worksheet'!F17</f>
        <v>85.714285714285722</v>
      </c>
      <c r="H27" s="57">
        <f>'Mission Worksheet'!F18</f>
        <v>240</v>
      </c>
      <c r="I27" s="55">
        <f>SUM(F$6:F27)</f>
        <v>211.56599947270377</v>
      </c>
      <c r="J27" s="58">
        <f>SUM(G$6:G27)</f>
        <v>280.74498602323871</v>
      </c>
      <c r="K27" s="51">
        <f>SUM(H$6:H27)</f>
        <v>594.14357649289354</v>
      </c>
    </row>
    <row r="28" spans="1:11">
      <c r="A28" s="1"/>
      <c r="B28" t="s">
        <v>124</v>
      </c>
      <c r="C28" s="18">
        <f>'Mission Worksheet'!F19</f>
        <v>639.25501397676135</v>
      </c>
      <c r="D28" s="4">
        <f>'Mission Worksheet'!F20</f>
        <v>25000</v>
      </c>
      <c r="E28" s="18">
        <f>'Mission Worksheet'!F21</f>
        <v>330.19369026860608</v>
      </c>
      <c r="F28" s="55"/>
      <c r="G28" s="56"/>
      <c r="H28" s="57"/>
      <c r="I28" s="55"/>
      <c r="J28" s="58"/>
      <c r="K28" s="51"/>
    </row>
    <row r="29" spans="1:11" ht="7.5" customHeight="1">
      <c r="A29" s="36"/>
      <c r="B29" s="36"/>
      <c r="C29" s="33"/>
      <c r="D29" s="33"/>
      <c r="E29" s="33"/>
      <c r="F29" s="37"/>
      <c r="G29" s="33"/>
      <c r="H29" s="38"/>
      <c r="I29" s="33"/>
      <c r="J29" s="33"/>
      <c r="K29" s="50"/>
    </row>
    <row r="30" spans="1:11">
      <c r="A30" s="1" t="s">
        <v>40</v>
      </c>
      <c r="B30" t="s">
        <v>123</v>
      </c>
      <c r="C30" s="18">
        <f>C28</f>
        <v>639.25501397676135</v>
      </c>
      <c r="D30" s="4">
        <f>D28</f>
        <v>25000</v>
      </c>
      <c r="E30" s="18">
        <f>'Mission Worksheet'!F25</f>
        <v>237</v>
      </c>
      <c r="F30" s="55">
        <f>'Mission Worksheet'!F26</f>
        <v>24.5</v>
      </c>
      <c r="G30" s="56">
        <f>'Mission Worksheet'!F27</f>
        <v>0</v>
      </c>
      <c r="H30" s="57">
        <f>'Mission Worksheet'!F28</f>
        <v>48</v>
      </c>
      <c r="I30" s="55">
        <f>SUM(F$6:F30)</f>
        <v>236.06599947270377</v>
      </c>
      <c r="J30" s="58">
        <f>SUM(G$6:G30)</f>
        <v>280.74498602323871</v>
      </c>
      <c r="K30" s="51">
        <f>SUM(H$6:H30)</f>
        <v>642.14357649289354</v>
      </c>
    </row>
    <row r="31" spans="1:11">
      <c r="A31" s="1"/>
      <c r="B31" t="s">
        <v>124</v>
      </c>
      <c r="C31" s="18">
        <f>'Mission Worksheet'!F29</f>
        <v>639.25501397676135</v>
      </c>
      <c r="D31" s="4">
        <f>'Mission Worksheet'!F30</f>
        <v>5000</v>
      </c>
      <c r="E31" s="18">
        <f>'Mission Worksheet'!F31</f>
        <v>172</v>
      </c>
      <c r="F31" s="55"/>
      <c r="G31" s="56"/>
      <c r="H31" s="57"/>
      <c r="I31" s="55"/>
      <c r="J31" s="58"/>
      <c r="K31" s="51"/>
    </row>
    <row r="32" spans="1:11" ht="7.5" customHeight="1">
      <c r="A32" s="36"/>
      <c r="B32" s="36"/>
      <c r="C32" s="33"/>
      <c r="D32" s="33"/>
      <c r="E32" s="33"/>
      <c r="F32" s="37"/>
      <c r="G32" s="33"/>
      <c r="H32" s="38"/>
      <c r="I32" s="33"/>
      <c r="J32" s="33"/>
      <c r="K32" s="50"/>
    </row>
    <row r="33" spans="1:11">
      <c r="A33" s="1" t="s">
        <v>43</v>
      </c>
      <c r="B33" t="s">
        <v>123</v>
      </c>
      <c r="C33" s="18">
        <f>C31</f>
        <v>639.25501397676135</v>
      </c>
      <c r="D33" s="4">
        <f>D31</f>
        <v>5000</v>
      </c>
      <c r="E33" s="18">
        <f>'Mission Worksheet'!F35</f>
        <v>168</v>
      </c>
      <c r="F33" s="55">
        <f>'Mission Worksheet'!F36</f>
        <v>30</v>
      </c>
      <c r="G33" s="56">
        <f>'Mission Worksheet'!F37</f>
        <v>29.069767441860463</v>
      </c>
      <c r="H33" s="57">
        <f>'Mission Worksheet'!F38</f>
        <v>0</v>
      </c>
      <c r="I33" s="55">
        <f>SUM(F$6:F33)</f>
        <v>266.06599947270377</v>
      </c>
      <c r="J33" s="58">
        <f>SUM(G$6:G33)</f>
        <v>309.81475346509916</v>
      </c>
      <c r="K33" s="51">
        <f>SUM(H$6:H33)</f>
        <v>642.14357649289354</v>
      </c>
    </row>
    <row r="34" spans="1:11">
      <c r="A34" s="1"/>
      <c r="B34" t="s">
        <v>124</v>
      </c>
      <c r="C34" s="18">
        <f>'Mission Worksheet'!F39</f>
        <v>610.1852465349009</v>
      </c>
      <c r="D34" s="4">
        <f>'Mission Worksheet'!F40</f>
        <v>5000</v>
      </c>
      <c r="E34" s="18">
        <f>'Mission Worksheet'!F41</f>
        <v>168</v>
      </c>
      <c r="F34" s="55"/>
      <c r="G34" s="56"/>
      <c r="H34" s="57"/>
      <c r="I34" s="55"/>
      <c r="J34" s="58"/>
      <c r="K34" s="51"/>
    </row>
    <row r="35" spans="1:11" ht="7.5" customHeight="1">
      <c r="A35" s="36"/>
      <c r="B35" s="36"/>
      <c r="C35" s="33"/>
      <c r="D35" s="33"/>
      <c r="E35" s="33"/>
      <c r="F35" s="37"/>
      <c r="G35" s="33"/>
      <c r="H35" s="38"/>
      <c r="I35" s="33"/>
      <c r="J35" s="33"/>
      <c r="K35" s="50"/>
    </row>
    <row r="36" spans="1:11">
      <c r="A36" s="1" t="s">
        <v>47</v>
      </c>
      <c r="B36" t="s">
        <v>123</v>
      </c>
      <c r="C36" s="18">
        <f>C34</f>
        <v>610.1852465349009</v>
      </c>
      <c r="D36" s="4">
        <f>D34</f>
        <v>5000</v>
      </c>
      <c r="E36" s="18">
        <f>'Mission Worksheet'!F45</f>
        <v>126</v>
      </c>
      <c r="F36" s="55">
        <f>'Mission Worksheet'!F46</f>
        <v>4.9999999999999964</v>
      </c>
      <c r="G36" s="56">
        <v>0</v>
      </c>
      <c r="H36" s="57">
        <f>'Mission Worksheet'!F48</f>
        <v>6</v>
      </c>
      <c r="I36" s="55">
        <f>SUM(F$6:F36)</f>
        <v>271.06599947270377</v>
      </c>
      <c r="J36" s="58">
        <f>SUM(G$6:G36)</f>
        <v>309.81475346509916</v>
      </c>
      <c r="K36" s="51">
        <f>SUM(H$6:H36)</f>
        <v>648.14357649289354</v>
      </c>
    </row>
    <row r="37" spans="1:11">
      <c r="A37" s="1"/>
      <c r="B37" t="s">
        <v>124</v>
      </c>
      <c r="C37" s="18">
        <f>'Mission Worksheet'!F49</f>
        <v>610.1852465349009</v>
      </c>
      <c r="D37" s="4">
        <f>'Mission Worksheet'!F50</f>
        <v>2000</v>
      </c>
      <c r="E37" s="18">
        <f>'Mission Worksheet'!F51</f>
        <v>121</v>
      </c>
      <c r="F37" s="55"/>
      <c r="G37" s="56"/>
      <c r="H37" s="57"/>
      <c r="I37" s="55"/>
      <c r="J37" s="58"/>
      <c r="K37" s="51"/>
    </row>
    <row r="38" spans="1:11" ht="7.5" customHeight="1">
      <c r="A38" s="36"/>
      <c r="B38" s="36"/>
      <c r="C38" s="33"/>
      <c r="D38" s="33"/>
      <c r="E38" s="33"/>
      <c r="F38" s="37"/>
      <c r="G38" s="33"/>
      <c r="H38" s="38"/>
      <c r="I38" s="33"/>
      <c r="J38" s="33"/>
      <c r="K38" s="50"/>
    </row>
    <row r="39" spans="1:11">
      <c r="A39" s="1" t="s">
        <v>50</v>
      </c>
      <c r="B39" t="s">
        <v>123</v>
      </c>
      <c r="C39" s="18">
        <f>C37</f>
        <v>610.1852465349009</v>
      </c>
      <c r="D39" s="4">
        <f>D37</f>
        <v>2000</v>
      </c>
      <c r="E39" s="18">
        <f>'Mission Worksheet'!F56</f>
        <v>110.33660039338493</v>
      </c>
      <c r="F39" s="60">
        <f>0</f>
        <v>0</v>
      </c>
      <c r="G39" s="56">
        <v>0</v>
      </c>
      <c r="H39" s="57">
        <v>0</v>
      </c>
      <c r="I39" s="55">
        <f>SUM(F$6:F39)</f>
        <v>271.06599947270377</v>
      </c>
      <c r="J39" s="58">
        <f>SUM(G$6:G39)</f>
        <v>309.81475346509916</v>
      </c>
      <c r="K39" s="51">
        <f>SUM(H$6:H39)</f>
        <v>648.14357649289354</v>
      </c>
    </row>
    <row r="40" spans="1:11">
      <c r="B40" t="s">
        <v>124</v>
      </c>
      <c r="C40" s="18">
        <f>C39</f>
        <v>610.1852465349009</v>
      </c>
      <c r="D40" s="4">
        <f>D39</f>
        <v>2000</v>
      </c>
      <c r="E40" s="18">
        <v>0</v>
      </c>
      <c r="F40" s="60"/>
      <c r="G40" s="56"/>
      <c r="H40" s="57"/>
      <c r="I40" s="55"/>
      <c r="J40" s="58"/>
      <c r="K40" s="51"/>
    </row>
    <row r="41" spans="1:11" ht="7.5" customHeight="1">
      <c r="A41" s="36"/>
      <c r="B41" s="36"/>
      <c r="C41" s="33"/>
      <c r="D41" s="33"/>
      <c r="E41" s="33"/>
      <c r="F41" s="37"/>
      <c r="G41" s="33"/>
      <c r="H41" s="38"/>
      <c r="I41" s="33"/>
      <c r="J41" s="33"/>
      <c r="K41" s="33"/>
    </row>
    <row r="42" spans="1:11">
      <c r="H42" s="59" t="s">
        <v>125</v>
      </c>
      <c r="I42" s="59"/>
      <c r="J42" s="2">
        <f>330-J39</f>
        <v>20.185246534900841</v>
      </c>
      <c r="K42" s="1" t="s">
        <v>19</v>
      </c>
    </row>
  </sheetData>
  <mergeCells count="75">
    <mergeCell ref="H42:I42"/>
    <mergeCell ref="F39:F40"/>
    <mergeCell ref="G39:G40"/>
    <mergeCell ref="H39:H40"/>
    <mergeCell ref="I39:I40"/>
    <mergeCell ref="J39:J40"/>
    <mergeCell ref="K39:K40"/>
    <mergeCell ref="F36:F37"/>
    <mergeCell ref="G36:G37"/>
    <mergeCell ref="H36:H37"/>
    <mergeCell ref="I36:I37"/>
    <mergeCell ref="J36:J37"/>
    <mergeCell ref="K36:K37"/>
    <mergeCell ref="K33:K34"/>
    <mergeCell ref="F30:F31"/>
    <mergeCell ref="G30:G31"/>
    <mergeCell ref="H30:H31"/>
    <mergeCell ref="I30:I31"/>
    <mergeCell ref="J30:J31"/>
    <mergeCell ref="K30:K31"/>
    <mergeCell ref="F33:F34"/>
    <mergeCell ref="G33:G34"/>
    <mergeCell ref="H33:H34"/>
    <mergeCell ref="I33:I34"/>
    <mergeCell ref="J33:J34"/>
    <mergeCell ref="K27:K28"/>
    <mergeCell ref="F24:F25"/>
    <mergeCell ref="G24:G25"/>
    <mergeCell ref="H24:H25"/>
    <mergeCell ref="I24:I25"/>
    <mergeCell ref="J24:J25"/>
    <mergeCell ref="K24:K25"/>
    <mergeCell ref="F27:F28"/>
    <mergeCell ref="G27:G28"/>
    <mergeCell ref="H27:H28"/>
    <mergeCell ref="I27:I28"/>
    <mergeCell ref="J27:J28"/>
    <mergeCell ref="K21:K22"/>
    <mergeCell ref="F18:F19"/>
    <mergeCell ref="G18:G19"/>
    <mergeCell ref="H18:H19"/>
    <mergeCell ref="I18:I19"/>
    <mergeCell ref="J18:J19"/>
    <mergeCell ref="K18:K19"/>
    <mergeCell ref="F21:F22"/>
    <mergeCell ref="G21:G22"/>
    <mergeCell ref="H21:H22"/>
    <mergeCell ref="I21:I22"/>
    <mergeCell ref="J21:J22"/>
    <mergeCell ref="K15:K16"/>
    <mergeCell ref="F12:F13"/>
    <mergeCell ref="G12:G13"/>
    <mergeCell ref="H12:H13"/>
    <mergeCell ref="I12:I13"/>
    <mergeCell ref="J12:J13"/>
    <mergeCell ref="K12:K13"/>
    <mergeCell ref="F15:F16"/>
    <mergeCell ref="G15:G16"/>
    <mergeCell ref="H15:H16"/>
    <mergeCell ref="I15:I16"/>
    <mergeCell ref="J15:J16"/>
    <mergeCell ref="K9:K10"/>
    <mergeCell ref="F2:H2"/>
    <mergeCell ref="I2:K2"/>
    <mergeCell ref="F6:F7"/>
    <mergeCell ref="G6:G7"/>
    <mergeCell ref="H6:H7"/>
    <mergeCell ref="I6:I7"/>
    <mergeCell ref="J6:J7"/>
    <mergeCell ref="K6:K7"/>
    <mergeCell ref="F9:F10"/>
    <mergeCell ref="G9:G10"/>
    <mergeCell ref="H9:H10"/>
    <mergeCell ref="I9:I10"/>
    <mergeCell ref="J9:J10"/>
  </mergeCells>
  <printOptions horizontalCentered="1" verticalCentered="1" gridLines="1"/>
  <pageMargins left="0.7" right="0.7" top="0.75" bottom="0.75" header="0.3" footer="0.3"/>
  <pageSetup scale="7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28DEA-9604-41FF-9189-7285EE3BF9B6}">
  <dimension ref="A1:O64"/>
  <sheetViews>
    <sheetView workbookViewId="0">
      <selection activeCell="P5" sqref="P5"/>
    </sheetView>
    <sheetView workbookViewId="1"/>
  </sheetViews>
  <sheetFormatPr defaultRowHeight="14.45"/>
  <cols>
    <col min="8" max="8" width="10.5703125" bestFit="1" customWidth="1"/>
    <col min="15" max="15" width="10.5703125" bestFit="1" customWidth="1"/>
  </cols>
  <sheetData>
    <row r="1" spans="1:15" ht="23.45">
      <c r="A1" s="41" t="s">
        <v>126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5">
      <c r="A2" s="43" t="s">
        <v>127</v>
      </c>
      <c r="B2" s="43" t="s">
        <v>128</v>
      </c>
      <c r="C2" s="43" t="s">
        <v>129</v>
      </c>
      <c r="D2" s="43" t="s">
        <v>130</v>
      </c>
      <c r="E2" s="43" t="s">
        <v>131</v>
      </c>
      <c r="F2" s="43" t="s">
        <v>132</v>
      </c>
      <c r="G2" s="43" t="s">
        <v>133</v>
      </c>
      <c r="H2" s="43" t="s">
        <v>134</v>
      </c>
      <c r="I2" s="43" t="s">
        <v>135</v>
      </c>
      <c r="J2" s="43" t="s">
        <v>136</v>
      </c>
      <c r="K2" s="43" t="s">
        <v>137</v>
      </c>
      <c r="L2" s="43" t="s">
        <v>138</v>
      </c>
      <c r="M2" s="43" t="s">
        <v>139</v>
      </c>
      <c r="N2" s="43" t="s">
        <v>140</v>
      </c>
      <c r="O2" s="43" t="s">
        <v>141</v>
      </c>
    </row>
    <row r="3" spans="1:15">
      <c r="A3" s="44">
        <v>0</v>
      </c>
      <c r="B3" s="45">
        <v>58.999999999999943</v>
      </c>
      <c r="C3" s="45">
        <v>518.66999999999996</v>
      </c>
      <c r="D3" s="45">
        <v>14.999999999999968</v>
      </c>
      <c r="E3" s="46">
        <v>1</v>
      </c>
      <c r="F3" s="46">
        <v>1</v>
      </c>
      <c r="G3" s="40">
        <v>2116.2199999999998</v>
      </c>
      <c r="H3" s="47">
        <v>2.3768999999999999E-3</v>
      </c>
      <c r="I3" s="46">
        <v>1</v>
      </c>
      <c r="J3" s="46">
        <v>1</v>
      </c>
      <c r="K3" s="45">
        <v>1481.354</v>
      </c>
      <c r="L3" s="46">
        <v>7.6474495641959989E-2</v>
      </c>
      <c r="M3" s="40">
        <v>1116.45</v>
      </c>
      <c r="N3" s="40">
        <v>661.44756763873352</v>
      </c>
      <c r="O3" s="47">
        <v>1.5722769271808259E-4</v>
      </c>
    </row>
    <row r="4" spans="1:15">
      <c r="A4" s="48">
        <v>1000</v>
      </c>
      <c r="B4" s="45">
        <v>55.433999999999912</v>
      </c>
      <c r="C4" s="45">
        <v>515.10399999999993</v>
      </c>
      <c r="D4" s="45">
        <v>13.01888888888884</v>
      </c>
      <c r="E4" s="46">
        <v>0.9931247228488248</v>
      </c>
      <c r="F4" s="46">
        <v>0.96438698044801985</v>
      </c>
      <c r="G4" s="40">
        <v>2040.8550157637085</v>
      </c>
      <c r="H4" s="47">
        <v>2.3081203811455499E-3</v>
      </c>
      <c r="I4" s="46">
        <v>0.9710633098344692</v>
      </c>
      <c r="J4" s="46">
        <v>0.9854254461066394</v>
      </c>
      <c r="K4" s="45">
        <v>1428.598511034596</v>
      </c>
      <c r="L4" s="46">
        <v>7.4261576856003361E-2</v>
      </c>
      <c r="M4" s="40">
        <v>1112.6054288919283</v>
      </c>
      <c r="N4" s="40">
        <v>659.16982818954352</v>
      </c>
      <c r="O4" s="47">
        <v>1.6104651408467503E-4</v>
      </c>
    </row>
    <row r="5" spans="1:15">
      <c r="A5" s="48">
        <v>2000</v>
      </c>
      <c r="B5" s="45">
        <v>51.867999999999938</v>
      </c>
      <c r="C5" s="45">
        <v>511.53799999999995</v>
      </c>
      <c r="D5" s="45">
        <v>11.037777777777743</v>
      </c>
      <c r="E5" s="46">
        <v>0.98624944569764972</v>
      </c>
      <c r="F5" s="46">
        <v>0.92980798538287401</v>
      </c>
      <c r="G5" s="40">
        <v>1967.6782548269455</v>
      </c>
      <c r="H5" s="47">
        <v>2.2408738581274519E-3</v>
      </c>
      <c r="I5" s="46">
        <v>0.9427716177068669</v>
      </c>
      <c r="J5" s="46">
        <v>0.97096427210627423</v>
      </c>
      <c r="K5" s="45">
        <v>1377.3747783788619</v>
      </c>
      <c r="L5" s="46">
        <v>7.2097983969687363E-2</v>
      </c>
      <c r="M5" s="40">
        <v>1108.7475268516198</v>
      </c>
      <c r="N5" s="40">
        <v>656.88419074877083</v>
      </c>
      <c r="O5" s="47">
        <v>1.649839980456934E-4</v>
      </c>
    </row>
    <row r="6" spans="1:15">
      <c r="A6" s="48">
        <v>3000</v>
      </c>
      <c r="B6" s="45">
        <v>48.301999999999964</v>
      </c>
      <c r="C6" s="45">
        <v>507.97199999999998</v>
      </c>
      <c r="D6" s="45">
        <v>9.0566666666666471</v>
      </c>
      <c r="E6" s="46">
        <v>0.97937416854647463</v>
      </c>
      <c r="F6" s="46">
        <v>0.89623988747953864</v>
      </c>
      <c r="G6" s="40">
        <v>1896.6407746819491</v>
      </c>
      <c r="H6" s="47">
        <v>2.1751365892279267E-3</v>
      </c>
      <c r="I6" s="46">
        <v>0.91511489302365545</v>
      </c>
      <c r="J6" s="46">
        <v>0.95661637714585224</v>
      </c>
      <c r="K6" s="45">
        <v>1327.6485422773644</v>
      </c>
      <c r="L6" s="46">
        <v>6.9982949898430222E-2</v>
      </c>
      <c r="M6" s="40">
        <v>1104.8761542360191</v>
      </c>
      <c r="N6" s="40">
        <v>654.59057258404141</v>
      </c>
      <c r="O6" s="47">
        <v>1.690446527279902E-4</v>
      </c>
    </row>
    <row r="7" spans="1:15">
      <c r="A7" s="48">
        <v>4000</v>
      </c>
      <c r="B7" s="45">
        <v>44.735999999999933</v>
      </c>
      <c r="C7" s="45">
        <v>504.40599999999995</v>
      </c>
      <c r="D7" s="45">
        <v>7.0755555555555185</v>
      </c>
      <c r="E7" s="46">
        <v>0.97249889139529955</v>
      </c>
      <c r="F7" s="46">
        <v>0.86365992031618855</v>
      </c>
      <c r="G7" s="40">
        <v>1827.6943965715243</v>
      </c>
      <c r="H7" s="47">
        <v>2.110884940603101E-3</v>
      </c>
      <c r="I7" s="46">
        <v>0.88808319264718794</v>
      </c>
      <c r="J7" s="46">
        <v>0.94238165975744026</v>
      </c>
      <c r="K7" s="45">
        <v>1279.3860776000672</v>
      </c>
      <c r="L7" s="46">
        <v>6.7915714245795289E-2</v>
      </c>
      <c r="M7" s="40">
        <v>1100.9911689469482</v>
      </c>
      <c r="N7" s="40">
        <v>652.28888950842827</v>
      </c>
      <c r="O7" s="47">
        <v>1.7323318931506789E-4</v>
      </c>
    </row>
    <row r="8" spans="1:15">
      <c r="A8" s="48">
        <v>5000</v>
      </c>
      <c r="B8" s="45">
        <v>41.169999999999959</v>
      </c>
      <c r="C8" s="45">
        <v>500.84</v>
      </c>
      <c r="D8" s="45">
        <v>5.0944444444444219</v>
      </c>
      <c r="E8" s="46">
        <v>0.96562361424412446</v>
      </c>
      <c r="F8" s="46">
        <v>0.8320456752165577</v>
      </c>
      <c r="G8" s="40">
        <v>1760.7916988067836</v>
      </c>
      <c r="H8" s="47">
        <v>2.0480954859107719E-3</v>
      </c>
      <c r="I8" s="46">
        <v>0.86166666073910214</v>
      </c>
      <c r="J8" s="46">
        <v>0.92826001785011836</v>
      </c>
      <c r="K8" s="45">
        <v>1232.5541891647485</v>
      </c>
      <c r="L8" s="46">
        <v>6.5895523291514685E-2</v>
      </c>
      <c r="M8" s="40">
        <v>1097.0924263702484</v>
      </c>
      <c r="N8" s="40">
        <v>649.97905584439707</v>
      </c>
      <c r="O8" s="47">
        <v>1.7755453265203E-4</v>
      </c>
    </row>
    <row r="9" spans="1:15">
      <c r="A9" s="48">
        <v>6000</v>
      </c>
      <c r="B9" s="45">
        <v>37.603999999999928</v>
      </c>
      <c r="C9" s="45">
        <v>497.27399999999994</v>
      </c>
      <c r="D9" s="45">
        <v>3.1133333333332933</v>
      </c>
      <c r="E9" s="46">
        <v>0.95874833709294927</v>
      </c>
      <c r="F9" s="46">
        <v>0.80137509809797391</v>
      </c>
      <c r="G9" s="40">
        <v>1695.8860100968941</v>
      </c>
      <c r="H9" s="47">
        <v>1.9867450059362218E-3</v>
      </c>
      <c r="I9" s="46">
        <v>0.83585552860289536</v>
      </c>
      <c r="J9" s="46">
        <v>0.91425134870170977</v>
      </c>
      <c r="K9" s="45">
        <v>1187.1202070678262</v>
      </c>
      <c r="L9" s="46">
        <v>6.3921629979450278E-2</v>
      </c>
      <c r="M9" s="40">
        <v>1093.1797793129685</v>
      </c>
      <c r="N9" s="40">
        <v>647.66098438659185</v>
      </c>
      <c r="O9" s="47">
        <v>1.8201383248199279E-4</v>
      </c>
    </row>
    <row r="10" spans="1:15">
      <c r="A10" s="48">
        <v>7000</v>
      </c>
      <c r="B10" s="45">
        <v>34.037999999999954</v>
      </c>
      <c r="C10" s="45">
        <v>493.70799999999997</v>
      </c>
      <c r="D10" s="45">
        <v>1.1322222222221967</v>
      </c>
      <c r="E10" s="46">
        <v>0.95187305994177418</v>
      </c>
      <c r="F10" s="46">
        <v>0.77162648632510011</v>
      </c>
      <c r="G10" s="40">
        <v>1632.9314028909032</v>
      </c>
      <c r="H10" s="47">
        <v>1.926810488216066E-3</v>
      </c>
      <c r="I10" s="46">
        <v>0.81064011452567042</v>
      </c>
      <c r="J10" s="46">
        <v>0.90035554895034131</v>
      </c>
      <c r="K10" s="45">
        <v>1143.0519820236325</v>
      </c>
      <c r="L10" s="46">
        <v>6.1993293905491333E-2</v>
      </c>
      <c r="M10" s="40">
        <v>1089.2530779385215</v>
      </c>
      <c r="N10" s="40">
        <v>645.33458636341879</v>
      </c>
      <c r="O10" s="47">
        <v>1.8661647535626004E-4</v>
      </c>
    </row>
    <row r="11" spans="1:15">
      <c r="A11" s="48">
        <v>8000</v>
      </c>
      <c r="B11" s="45">
        <v>30.471999999999923</v>
      </c>
      <c r="C11" s="45">
        <v>490.14199999999994</v>
      </c>
      <c r="D11" s="45">
        <v>-0.84888888888893155</v>
      </c>
      <c r="E11" s="46">
        <v>0.94499778279059898</v>
      </c>
      <c r="F11" s="46">
        <v>0.74277848556940373</v>
      </c>
      <c r="G11" s="40">
        <v>1571.8826867316834</v>
      </c>
      <c r="H11" s="47">
        <v>1.868269126660092E-3</v>
      </c>
      <c r="I11" s="46">
        <v>0.78601082361903829</v>
      </c>
      <c r="J11" s="46">
        <v>0.88657251458582809</v>
      </c>
      <c r="K11" s="45">
        <v>1100.3178807121785</v>
      </c>
      <c r="L11" s="46">
        <v>6.0109781305387522E-2</v>
      </c>
      <c r="M11" s="40">
        <v>1085.3121696997296</v>
      </c>
      <c r="N11" s="40">
        <v>642.9997713973778</v>
      </c>
      <c r="O11" s="47">
        <v>1.913680972637187E-4</v>
      </c>
    </row>
    <row r="12" spans="1:15">
      <c r="A12" s="48">
        <v>9000</v>
      </c>
      <c r="B12" s="45">
        <v>26.905999999999949</v>
      </c>
      <c r="C12" s="45">
        <v>486.57599999999996</v>
      </c>
      <c r="D12" s="45">
        <v>-2.8300000000000285</v>
      </c>
      <c r="E12" s="46">
        <v>0.9381225056394239</v>
      </c>
      <c r="F12" s="46">
        <v>0.71481008667439916</v>
      </c>
      <c r="G12" s="40">
        <v>1512.6954016220968</v>
      </c>
      <c r="H12" s="47">
        <v>1.8110983211710925E-3</v>
      </c>
      <c r="I12" s="46">
        <v>0.7619581476591748</v>
      </c>
      <c r="J12" s="46">
        <v>0.87290214094088159</v>
      </c>
      <c r="K12" s="45">
        <v>1058.886781135468</v>
      </c>
      <c r="L12" s="46">
        <v>5.8270365042517466E-2</v>
      </c>
      <c r="M12" s="40">
        <v>1081.3568992696751</v>
      </c>
      <c r="N12" s="40">
        <v>640.65644746409555</v>
      </c>
      <c r="O12" s="47">
        <v>1.9627459702832722E-4</v>
      </c>
    </row>
    <row r="13" spans="1:15">
      <c r="A13" s="48">
        <v>10000</v>
      </c>
      <c r="B13" s="45">
        <v>23.339999999999975</v>
      </c>
      <c r="C13" s="45">
        <v>483.01</v>
      </c>
      <c r="D13" s="45">
        <v>-4.8111111111111251</v>
      </c>
      <c r="E13" s="46">
        <v>0.93124722848824881</v>
      </c>
      <c r="F13" s="46">
        <v>0.68770062252667719</v>
      </c>
      <c r="G13" s="40">
        <v>1455.3258114034047</v>
      </c>
      <c r="H13" s="47">
        <v>1.7552756772626309E-3</v>
      </c>
      <c r="I13" s="46">
        <v>0.73847266492600905</v>
      </c>
      <c r="J13" s="46">
        <v>0.85934432268213012</v>
      </c>
      <c r="K13" s="45">
        <v>1018.7280679823834</v>
      </c>
      <c r="L13" s="46">
        <v>5.6474324595590659E-2</v>
      </c>
      <c r="M13" s="40">
        <v>1077.3871084702648</v>
      </c>
      <c r="N13" s="40">
        <v>638.30452085000218</v>
      </c>
      <c r="O13" s="47">
        <v>2.0134215052727315E-4</v>
      </c>
    </row>
    <row r="14" spans="1:15">
      <c r="A14" s="48">
        <v>11000</v>
      </c>
      <c r="B14" s="45">
        <v>19.773999999999944</v>
      </c>
      <c r="C14" s="45">
        <v>479.44399999999996</v>
      </c>
      <c r="D14" s="45">
        <v>-6.7922222222222537</v>
      </c>
      <c r="E14" s="46">
        <v>0.92437195133707362</v>
      </c>
      <c r="F14" s="46">
        <v>0.66142976493276806</v>
      </c>
      <c r="G14" s="40">
        <v>1399.7308971460222</v>
      </c>
      <c r="H14" s="47">
        <v>1.7007790056747501E-3</v>
      </c>
      <c r="I14" s="46">
        <v>0.71554504004154573</v>
      </c>
      <c r="J14" s="46">
        <v>0.84589895380095237</v>
      </c>
      <c r="K14" s="45">
        <v>979.81162800221568</v>
      </c>
      <c r="L14" s="46">
        <v>5.4720946046283275E-2</v>
      </c>
      <c r="M14" s="40">
        <v>1073.4026361984163</v>
      </c>
      <c r="N14" s="40">
        <v>635.94389610860026</v>
      </c>
      <c r="O14" s="47">
        <v>2.0657722578637137E-4</v>
      </c>
    </row>
    <row r="15" spans="1:15">
      <c r="A15" s="48">
        <v>12000</v>
      </c>
      <c r="B15" s="45">
        <v>16.20799999999997</v>
      </c>
      <c r="C15" s="45">
        <v>475.87799999999999</v>
      </c>
      <c r="D15" s="45">
        <v>-8.7733333333333494</v>
      </c>
      <c r="E15" s="46">
        <v>0.91749667418589864</v>
      </c>
      <c r="F15" s="46">
        <v>0.63597752150186126</v>
      </c>
      <c r="G15" s="40">
        <v>1345.8683505526687</v>
      </c>
      <c r="H15" s="47">
        <v>1.6475863219875715E-3</v>
      </c>
      <c r="I15" s="46">
        <v>0.69316602380730008</v>
      </c>
      <c r="J15" s="46">
        <v>0.83256592760411474</v>
      </c>
      <c r="K15" s="45">
        <v>942.10784538686823</v>
      </c>
      <c r="L15" s="46">
        <v>5.3009522066806106E-2</v>
      </c>
      <c r="M15" s="40">
        <v>1069.4033183497709</v>
      </c>
      <c r="N15" s="40">
        <v>633.57447601526815</v>
      </c>
      <c r="O15" s="47">
        <v>2.1198659901362508E-4</v>
      </c>
    </row>
    <row r="16" spans="1:15">
      <c r="A16" s="48">
        <v>13000</v>
      </c>
      <c r="B16" s="45">
        <v>12.641999999999939</v>
      </c>
      <c r="C16" s="45">
        <v>472.31199999999995</v>
      </c>
      <c r="D16" s="45">
        <v>-10.754444444444479</v>
      </c>
      <c r="E16" s="46">
        <v>0.91062139703472345</v>
      </c>
      <c r="F16" s="46">
        <v>0.61132423253441259</v>
      </c>
      <c r="G16" s="40">
        <v>1293.6965673739744</v>
      </c>
      <c r="H16" s="47">
        <v>1.5956758462327652E-3</v>
      </c>
      <c r="I16" s="46">
        <v>0.67132645304083693</v>
      </c>
      <c r="J16" s="46">
        <v>0.81934513670420783</v>
      </c>
      <c r="K16" s="45">
        <v>905.58759716178224</v>
      </c>
      <c r="L16" s="46">
        <v>5.1339351907403942E-2</v>
      </c>
      <c r="M16" s="40">
        <v>1065.3889877398271</v>
      </c>
      <c r="N16" s="40">
        <v>631.19616152053482</v>
      </c>
      <c r="O16" s="47">
        <v>2.1757737163658635E-4</v>
      </c>
    </row>
    <row r="17" spans="1:15">
      <c r="A17" s="48">
        <v>14000</v>
      </c>
      <c r="B17" s="45">
        <v>9.075999999999965</v>
      </c>
      <c r="C17" s="45">
        <v>468.74599999999998</v>
      </c>
      <c r="D17" s="45">
        <v>-12.735555555555575</v>
      </c>
      <c r="E17" s="46">
        <v>0.90374611988354836</v>
      </c>
      <c r="F17" s="46">
        <v>0.58745056791668215</v>
      </c>
      <c r="G17" s="40">
        <v>1243.1746408366409</v>
      </c>
      <c r="H17" s="47">
        <v>1.5450260025028739E-3</v>
      </c>
      <c r="I17" s="46">
        <v>0.65001725041140723</v>
      </c>
      <c r="J17" s="46">
        <v>0.80623647300987766</v>
      </c>
      <c r="K17" s="45">
        <v>870.2222485856488</v>
      </c>
      <c r="L17" s="46">
        <v>4.9709741383785984E-2</v>
      </c>
      <c r="M17" s="40">
        <v>1061.3594740223903</v>
      </c>
      <c r="N17" s="40">
        <v>628.80885170176498</v>
      </c>
      <c r="O17" s="47">
        <v>2.2335698841425335E-4</v>
      </c>
    </row>
    <row r="18" spans="1:15">
      <c r="A18" s="48">
        <v>15000</v>
      </c>
      <c r="B18" s="45">
        <v>5.5099999999999341</v>
      </c>
      <c r="C18" s="45">
        <v>465.17999999999995</v>
      </c>
      <c r="D18" s="45">
        <v>-14.716666666666704</v>
      </c>
      <c r="E18" s="46">
        <v>0.89687084273237316</v>
      </c>
      <c r="F18" s="46">
        <v>0.56433752402121995</v>
      </c>
      <c r="G18" s="40">
        <v>1194.2623550841859</v>
      </c>
      <c r="H18" s="47">
        <v>1.4956154185584386E-3</v>
      </c>
      <c r="I18" s="46">
        <v>0.62922942427465967</v>
      </c>
      <c r="J18" s="46">
        <v>0.79323982771584256</v>
      </c>
      <c r="K18" s="45">
        <v>835.98364855893033</v>
      </c>
      <c r="L18" s="46">
        <v>4.8120002864485457E-2</v>
      </c>
      <c r="M18" s="40">
        <v>1057.3146036052262</v>
      </c>
      <c r="N18" s="40">
        <v>626.41244371318783</v>
      </c>
      <c r="O18" s="47">
        <v>2.2933325669981063E-4</v>
      </c>
    </row>
    <row r="19" spans="1:15">
      <c r="A19" s="48">
        <v>16000</v>
      </c>
      <c r="B19" s="45">
        <v>1.94399999999996</v>
      </c>
      <c r="C19" s="45">
        <v>461.61399999999998</v>
      </c>
      <c r="D19" s="45">
        <v>-16.697777777777802</v>
      </c>
      <c r="E19" s="46">
        <v>0.88999556558119808</v>
      </c>
      <c r="F19" s="46">
        <v>0.54196642061334988</v>
      </c>
      <c r="G19" s="40">
        <v>1146.9201786303831</v>
      </c>
      <c r="H19" s="47">
        <v>1.4474229254329283E-3</v>
      </c>
      <c r="I19" s="46">
        <v>0.60895406850642786</v>
      </c>
      <c r="J19" s="46">
        <v>0.78035509129269343</v>
      </c>
      <c r="K19" s="45">
        <v>802.84412504126828</v>
      </c>
      <c r="L19" s="46">
        <v>4.6569455258148623E-2</v>
      </c>
      <c r="M19" s="40">
        <v>1053.2541995627971</v>
      </c>
      <c r="N19" s="40">
        <v>624.00683273419622</v>
      </c>
      <c r="O19" s="47">
        <v>2.3551436693654214E-4</v>
      </c>
    </row>
    <row r="20" spans="1:15">
      <c r="A20" s="48">
        <v>17000</v>
      </c>
      <c r="B20" s="45">
        <v>-1.6220000000000709</v>
      </c>
      <c r="C20" s="45">
        <v>458.04799999999994</v>
      </c>
      <c r="D20" s="45">
        <v>-18.678888888888928</v>
      </c>
      <c r="E20" s="46">
        <v>0.88312028843002288</v>
      </c>
      <c r="F20" s="46">
        <v>0.52031889776366924</v>
      </c>
      <c r="G20" s="40">
        <v>1101.109257825432</v>
      </c>
      <c r="H20" s="47">
        <v>1.400427557035412E-3</v>
      </c>
      <c r="I20" s="46">
        <v>0.5891823623355682</v>
      </c>
      <c r="J20" s="46">
        <v>0.76758215347646552</v>
      </c>
      <c r="K20" s="45">
        <v>770.77648047780247</v>
      </c>
      <c r="L20" s="46">
        <v>4.5057424000751099E-2</v>
      </c>
      <c r="M20" s="40">
        <v>1049.1780815459595</v>
      </c>
      <c r="N20" s="40">
        <v>621.59191191584728</v>
      </c>
      <c r="O20" s="47">
        <v>2.4190891447581437E-4</v>
      </c>
    </row>
    <row r="21" spans="1:15">
      <c r="A21" s="48">
        <v>18000</v>
      </c>
      <c r="B21" s="45">
        <v>-5.188000000000045</v>
      </c>
      <c r="C21" s="45">
        <v>454.48199999999997</v>
      </c>
      <c r="D21" s="45">
        <v>-20.660000000000025</v>
      </c>
      <c r="E21" s="46">
        <v>0.8762450112788478</v>
      </c>
      <c r="F21" s="46">
        <v>0.49937691276661378</v>
      </c>
      <c r="G21" s="40">
        <v>1056.7914103349633</v>
      </c>
      <c r="H21" s="47">
        <v>1.3546085497509722E-3</v>
      </c>
      <c r="I21" s="46">
        <v>0.56990557017584764</v>
      </c>
      <c r="J21" s="46">
        <v>0.75492090325798211</v>
      </c>
      <c r="K21" s="45">
        <v>739.75398723447438</v>
      </c>
      <c r="L21" s="46">
        <v>4.3583241042741583E-2</v>
      </c>
      <c r="M21" s="40">
        <v>1045.0860656884925</v>
      </c>
      <c r="N21" s="40">
        <v>619.16757232548434</v>
      </c>
      <c r="O21" s="47">
        <v>2.4852592281316246E-4</v>
      </c>
    </row>
    <row r="22" spans="1:15">
      <c r="A22" s="48">
        <v>19000</v>
      </c>
      <c r="B22" s="45">
        <v>-8.7540000000000759</v>
      </c>
      <c r="C22" s="45">
        <v>450.91599999999994</v>
      </c>
      <c r="D22" s="45">
        <v>-22.641111111111154</v>
      </c>
      <c r="E22" s="46">
        <v>0.8693697341276726</v>
      </c>
      <c r="F22" s="46">
        <v>0.47912273706510911</v>
      </c>
      <c r="G22" s="40">
        <v>1013.9291186319251</v>
      </c>
      <c r="H22" s="47">
        <v>1.3099453420388036E-3</v>
      </c>
      <c r="I22" s="46">
        <v>0.55111504145685708</v>
      </c>
      <c r="J22" s="46">
        <v>0.74237122887195528</v>
      </c>
      <c r="K22" s="45">
        <v>709.75038304234761</v>
      </c>
      <c r="L22" s="46">
        <v>4.214624483611102E-2</v>
      </c>
      <c r="M22" s="40">
        <v>1040.9779645103174</v>
      </c>
      <c r="N22" s="40">
        <v>616.73370288939884</v>
      </c>
      <c r="O22" s="47">
        <v>2.5537486834628707E-4</v>
      </c>
    </row>
    <row r="23" spans="1:15">
      <c r="A23" s="48">
        <v>20000</v>
      </c>
      <c r="B23" s="45">
        <v>-12.32000000000005</v>
      </c>
      <c r="C23" s="45">
        <v>447.34999999999997</v>
      </c>
      <c r="D23" s="45">
        <v>-24.622222222222248</v>
      </c>
      <c r="E23" s="46">
        <v>0.86249445697649763</v>
      </c>
      <c r="F23" s="46">
        <v>0.45953895318135607</v>
      </c>
      <c r="G23" s="40">
        <v>972.48552350144928</v>
      </c>
      <c r="H23" s="47">
        <v>1.2664175740279907E-3</v>
      </c>
      <c r="I23" s="46">
        <v>0.53280221045394871</v>
      </c>
      <c r="J23" s="46">
        <v>0.72993301778584363</v>
      </c>
      <c r="K23" s="45">
        <v>680.73986645101456</v>
      </c>
      <c r="L23" s="46">
        <v>4.0745780321387148E-2</v>
      </c>
      <c r="M23" s="40">
        <v>1036.8535868172689</v>
      </c>
      <c r="N23" s="40">
        <v>614.29019033344878</v>
      </c>
      <c r="O23" s="47">
        <v>2.6246570676723797E-4</v>
      </c>
    </row>
    <row r="24" spans="1:15">
      <c r="A24" s="48">
        <v>21000</v>
      </c>
      <c r="B24" s="45">
        <v>-15.886000000000024</v>
      </c>
      <c r="C24" s="45">
        <v>443.78399999999999</v>
      </c>
      <c r="D24" s="45">
        <v>-26.603333333333346</v>
      </c>
      <c r="E24" s="46">
        <v>0.85561917982532254</v>
      </c>
      <c r="F24" s="46">
        <v>0.44060845165377316</v>
      </c>
      <c r="G24" s="40">
        <v>932.42441755874779</v>
      </c>
      <c r="H24" s="47">
        <v>1.2240050871109031E-3</v>
      </c>
      <c r="I24" s="46">
        <v>0.51495859611717076</v>
      </c>
      <c r="J24" s="46">
        <v>0.71760615668845174</v>
      </c>
      <c r="K24" s="45">
        <v>652.69709229112345</v>
      </c>
      <c r="L24" s="46">
        <v>3.9381198914552412E-2</v>
      </c>
      <c r="M24" s="40">
        <v>1032.7127375972602</v>
      </c>
      <c r="N24" s="40">
        <v>611.83691912154188</v>
      </c>
      <c r="O24" s="47">
        <v>2.6980890121028393E-4</v>
      </c>
    </row>
    <row r="25" spans="1:15">
      <c r="A25" s="48">
        <v>22000</v>
      </c>
      <c r="B25" s="45">
        <v>-19.452000000000055</v>
      </c>
      <c r="C25" s="45">
        <v>440.21799999999996</v>
      </c>
      <c r="D25" s="45">
        <v>-28.584444444444475</v>
      </c>
      <c r="E25" s="46">
        <v>0.84874390267414734</v>
      </c>
      <c r="F25" s="46">
        <v>0.42231442798014546</v>
      </c>
      <c r="G25" s="40">
        <v>893.7102387801433</v>
      </c>
      <c r="H25" s="47">
        <v>1.1826879235342085E-3</v>
      </c>
      <c r="I25" s="46">
        <v>0.49757580189920003</v>
      </c>
      <c r="J25" s="46">
        <v>0.70539053147827269</v>
      </c>
      <c r="K25" s="45">
        <v>625.59716714610045</v>
      </c>
      <c r="L25" s="46">
        <v>3.8051858493885121E-2</v>
      </c>
      <c r="M25" s="40">
        <v>1028.5552179126889</v>
      </c>
      <c r="N25" s="40">
        <v>609.37377139188993</v>
      </c>
      <c r="O25" s="47">
        <v>2.7741545228704656E-4</v>
      </c>
    </row>
    <row r="26" spans="1:15">
      <c r="A26" s="48">
        <v>23000</v>
      </c>
      <c r="B26" s="45">
        <v>-23.018000000000086</v>
      </c>
      <c r="C26" s="45">
        <v>436.65199999999993</v>
      </c>
      <c r="D26" s="45">
        <v>-30.565555555555605</v>
      </c>
      <c r="E26" s="46">
        <v>0.84186862552297215</v>
      </c>
      <c r="F26" s="46">
        <v>0.40464037956700688</v>
      </c>
      <c r="G26" s="40">
        <v>856.30806404729117</v>
      </c>
      <c r="H26" s="47">
        <v>1.1424463259874437E-3</v>
      </c>
      <c r="I26" s="46">
        <v>0.48064551558224738</v>
      </c>
      <c r="J26" s="46">
        <v>0.69328602725155752</v>
      </c>
      <c r="K26" s="45">
        <v>599.4156448331039</v>
      </c>
      <c r="L26" s="46">
        <v>3.6757123386722192E-2</v>
      </c>
      <c r="M26" s="40">
        <v>1024.3808247889115</v>
      </c>
      <c r="N26" s="40">
        <v>606.90062689093565</v>
      </c>
      <c r="O26" s="47">
        <v>2.8529693015145335E-4</v>
      </c>
    </row>
    <row r="27" spans="1:15">
      <c r="A27" s="48">
        <v>24000</v>
      </c>
      <c r="B27" s="45">
        <v>-26.58400000000006</v>
      </c>
      <c r="C27" s="45">
        <v>433.08599999999996</v>
      </c>
      <c r="D27" s="45">
        <v>-32.546666666666702</v>
      </c>
      <c r="E27" s="46">
        <v>0.83499334837179706</v>
      </c>
      <c r="F27" s="46">
        <v>0.38757010268529646</v>
      </c>
      <c r="G27" s="40">
        <v>820.18360270467804</v>
      </c>
      <c r="H27" s="47">
        <v>1.1032607371891207E-3</v>
      </c>
      <c r="I27" s="46">
        <v>0.46415950910392562</v>
      </c>
      <c r="J27" s="46">
        <v>0.68129252829010656</v>
      </c>
      <c r="K27" s="45">
        <v>574.12852189327464</v>
      </c>
      <c r="L27" s="46">
        <v>3.5496364356142444E-2</v>
      </c>
      <c r="M27" s="40">
        <v>1020.1893510986098</v>
      </c>
      <c r="N27" s="40">
        <v>604.41736290484425</v>
      </c>
      <c r="O27" s="47">
        <v>2.9346550874908119E-4</v>
      </c>
    </row>
    <row r="28" spans="1:15">
      <c r="A28" s="48">
        <v>25000</v>
      </c>
      <c r="B28" s="45">
        <v>-30.150000000000034</v>
      </c>
      <c r="C28" s="45">
        <v>429.52</v>
      </c>
      <c r="D28" s="45">
        <v>-34.5277777777778</v>
      </c>
      <c r="E28" s="46">
        <v>0.82811807122062198</v>
      </c>
      <c r="F28" s="46">
        <v>0.3710876894323264</v>
      </c>
      <c r="G28" s="40">
        <v>785.30319013047767</v>
      </c>
      <c r="H28" s="47">
        <v>1.0651117994703312E-3</v>
      </c>
      <c r="I28" s="46">
        <v>0.44810963838206536</v>
      </c>
      <c r="J28" s="46">
        <v>0.66940991804877326</v>
      </c>
      <c r="K28" s="45">
        <v>549.7122330913345</v>
      </c>
      <c r="L28" s="46">
        <v>3.4268958587569523E-2</v>
      </c>
      <c r="M28" s="40">
        <v>1015.9805854418648</v>
      </c>
      <c r="N28" s="40">
        <v>601.92385418845265</v>
      </c>
      <c r="O28" s="47">
        <v>3.019340024185736E-4</v>
      </c>
    </row>
    <row r="29" spans="1:15">
      <c r="A29" s="48">
        <v>26000</v>
      </c>
      <c r="B29" s="45">
        <v>-33.716000000000065</v>
      </c>
      <c r="C29" s="45">
        <v>425.95399999999995</v>
      </c>
      <c r="D29" s="45">
        <v>-36.508888888888926</v>
      </c>
      <c r="E29" s="46">
        <v>0.82124279406944678</v>
      </c>
      <c r="F29" s="46">
        <v>0.35517752470010078</v>
      </c>
      <c r="G29" s="40">
        <v>751.63378132084722</v>
      </c>
      <c r="H29" s="47">
        <v>1.027980354355815E-3</v>
      </c>
      <c r="I29" s="46">
        <v>0.432487843138464</v>
      </c>
      <c r="J29" s="46">
        <v>0.65763807914267247</v>
      </c>
      <c r="K29" s="45">
        <v>526.1436469245931</v>
      </c>
      <c r="L29" s="46">
        <v>3.3074289675293141E-2</v>
      </c>
      <c r="M29" s="40">
        <v>1011.7543120217408</v>
      </c>
      <c r="N29" s="40">
        <v>599.4199728915587</v>
      </c>
      <c r="O29" s="47">
        <v>3.1071590502717016E-4</v>
      </c>
    </row>
    <row r="30" spans="1:15">
      <c r="A30" s="48">
        <v>27000</v>
      </c>
      <c r="B30" s="45">
        <v>-37.282000000000039</v>
      </c>
      <c r="C30" s="45">
        <v>422.38799999999998</v>
      </c>
      <c r="D30" s="45">
        <v>-38.490000000000023</v>
      </c>
      <c r="E30" s="46">
        <v>0.81436751691827181</v>
      </c>
      <c r="F30" s="46">
        <v>0.33982428315002428</v>
      </c>
      <c r="G30" s="40">
        <v>719.14294448774433</v>
      </c>
      <c r="H30" s="47">
        <v>9.9184744214245797E-4</v>
      </c>
      <c r="I30" s="46">
        <v>0.41728614672155245</v>
      </c>
      <c r="J30" s="46">
        <v>0.64597689333408237</v>
      </c>
      <c r="K30" s="45">
        <v>503.40006114142108</v>
      </c>
      <c r="L30" s="46">
        <v>3.1911747608907637E-2</v>
      </c>
      <c r="M30" s="40">
        <v>1007.5103105151719</v>
      </c>
      <c r="N30" s="40">
        <v>596.90558848242688</v>
      </c>
      <c r="O30" s="47">
        <v>3.1982543183808979E-4</v>
      </c>
    </row>
    <row r="31" spans="1:15">
      <c r="A31" s="48">
        <v>28000</v>
      </c>
      <c r="B31" s="45">
        <v>-40.84800000000007</v>
      </c>
      <c r="C31" s="45">
        <v>418.82199999999995</v>
      </c>
      <c r="D31" s="45">
        <v>-40.471111111111149</v>
      </c>
      <c r="E31" s="46">
        <v>0.80749223976709661</v>
      </c>
      <c r="F31" s="46">
        <v>0.32501292619403466</v>
      </c>
      <c r="G31" s="40">
        <v>687.79885467034001</v>
      </c>
      <c r="H31" s="47">
        <v>9.5669430147516754E-4</v>
      </c>
      <c r="I31" s="46">
        <v>0.40249665592795975</v>
      </c>
      <c r="J31" s="46">
        <v>0.63442624151902771</v>
      </c>
      <c r="K31" s="45">
        <v>481.45919826923802</v>
      </c>
      <c r="L31" s="46">
        <v>3.0780728759666229E-2</v>
      </c>
      <c r="M31" s="40">
        <v>1003.2483559389319</v>
      </c>
      <c r="N31" s="40">
        <v>594.38056766838179</v>
      </c>
      <c r="O31" s="47">
        <v>3.2927756432473202E-4</v>
      </c>
    </row>
    <row r="32" spans="1:15">
      <c r="A32" s="48">
        <v>29000</v>
      </c>
      <c r="B32" s="45">
        <v>-44.414000000000044</v>
      </c>
      <c r="C32" s="45">
        <v>415.25599999999997</v>
      </c>
      <c r="D32" s="45">
        <v>-42.452222222222247</v>
      </c>
      <c r="E32" s="46">
        <v>0.80061696261592152</v>
      </c>
      <c r="F32" s="46">
        <v>0.31072869898221023</v>
      </c>
      <c r="G32" s="40">
        <v>657.57028736013285</v>
      </c>
      <c r="H32" s="47">
        <v>9.2250236892011588E-4</v>
      </c>
      <c r="I32" s="46">
        <v>0.38811156082296938</v>
      </c>
      <c r="J32" s="46">
        <v>0.62298600371354196</v>
      </c>
      <c r="K32" s="45">
        <v>460.29920115209308</v>
      </c>
      <c r="L32" s="46">
        <v>2.968063586675046E-2</v>
      </c>
      <c r="M32" s="40">
        <v>998.96821851045968</v>
      </c>
      <c r="N32" s="40">
        <v>591.84477431335245</v>
      </c>
      <c r="O32" s="47">
        <v>3.3908809816549448E-4</v>
      </c>
    </row>
    <row r="33" spans="1:15">
      <c r="A33" s="48">
        <v>30000</v>
      </c>
      <c r="B33" s="45">
        <v>-47.980000000000075</v>
      </c>
      <c r="C33" s="45">
        <v>411.68999999999994</v>
      </c>
      <c r="D33" s="45">
        <v>-44.433333333333373</v>
      </c>
      <c r="E33" s="46">
        <v>0.79374168546474633</v>
      </c>
      <c r="F33" s="46">
        <v>0.29695712739687946</v>
      </c>
      <c r="G33" s="40">
        <v>628.42661213982421</v>
      </c>
      <c r="H33" s="47">
        <v>8.8925327853527753E-4</v>
      </c>
      <c r="I33" s="46">
        <v>0.37412313455983742</v>
      </c>
      <c r="J33" s="46">
        <v>0.61165605903958598</v>
      </c>
      <c r="K33" s="45">
        <v>439.89862849787698</v>
      </c>
      <c r="L33" s="46">
        <v>2.8610878023452697E-2</v>
      </c>
      <c r="M33" s="40">
        <v>994.66966350329255</v>
      </c>
      <c r="N33" s="40">
        <v>589.29806935222393</v>
      </c>
      <c r="O33" s="47">
        <v>3.4927369467373194E-4</v>
      </c>
    </row>
    <row r="34" spans="1:15">
      <c r="A34" s="48">
        <v>31000</v>
      </c>
      <c r="B34" s="45">
        <v>-51.546000000000049</v>
      </c>
      <c r="C34" s="45">
        <v>408.12399999999997</v>
      </c>
      <c r="D34" s="45">
        <v>-46.41444444444447</v>
      </c>
      <c r="E34" s="46">
        <v>0.78686640831357124</v>
      </c>
      <c r="F34" s="46">
        <v>0.28368401505328583</v>
      </c>
      <c r="G34" s="40">
        <v>600.33778633606448</v>
      </c>
      <c r="H34" s="47">
        <v>8.5692886143825164E-4</v>
      </c>
      <c r="I34" s="46">
        <v>0.36052373319796865</v>
      </c>
      <c r="J34" s="46">
        <v>0.6004362857106228</v>
      </c>
      <c r="K34" s="45">
        <v>420.23645043524522</v>
      </c>
      <c r="L34" s="46">
        <v>2.7570870663271199E-2</v>
      </c>
      <c r="M34" s="40">
        <v>990.35245109685331</v>
      </c>
      <c r="N34" s="40">
        <v>586.74031070184185</v>
      </c>
      <c r="O34" s="47">
        <v>3.5985193594005528E-4</v>
      </c>
    </row>
    <row r="35" spans="1:15">
      <c r="A35" s="48">
        <v>32000</v>
      </c>
      <c r="B35" s="45">
        <v>-55.112000000000023</v>
      </c>
      <c r="C35" s="45">
        <v>404.55799999999999</v>
      </c>
      <c r="D35" s="45">
        <v>-48.395555555555568</v>
      </c>
      <c r="E35" s="46">
        <v>0.77999113116239616</v>
      </c>
      <c r="F35" s="46">
        <v>0.27089544030684098</v>
      </c>
      <c r="G35" s="40">
        <v>573.27434868614296</v>
      </c>
      <c r="H35" s="47">
        <v>8.2551114537130605E-4</v>
      </c>
      <c r="I35" s="46">
        <v>0.34730579551992347</v>
      </c>
      <c r="J35" s="46">
        <v>0.58932656101683001</v>
      </c>
      <c r="K35" s="45">
        <v>401.29204408030012</v>
      </c>
      <c r="L35" s="46">
        <v>2.6560035545915833E-2</v>
      </c>
      <c r="M35" s="40">
        <v>986.01633622031693</v>
      </c>
      <c r="N35" s="40">
        <v>584.17135316851113</v>
      </c>
      <c r="O35" s="47">
        <v>3.7084138398918052E-4</v>
      </c>
    </row>
    <row r="36" spans="1:15">
      <c r="A36" s="48">
        <v>33000</v>
      </c>
      <c r="B36" s="45">
        <v>-58.678000000000054</v>
      </c>
      <c r="C36" s="45">
        <v>400.99199999999996</v>
      </c>
      <c r="D36" s="45">
        <v>-50.376666666666694</v>
      </c>
      <c r="E36" s="46">
        <v>0.77311585401122096</v>
      </c>
      <c r="F36" s="46">
        <v>0.25857775326701377</v>
      </c>
      <c r="G36" s="40">
        <v>547.20741301871988</v>
      </c>
      <c r="H36" s="47">
        <v>7.9498235426361417E-4</v>
      </c>
      <c r="I36" s="46">
        <v>0.33446184284724395</v>
      </c>
      <c r="J36" s="46">
        <v>0.57832676130993965</v>
      </c>
      <c r="K36" s="45">
        <v>383.0451891131039</v>
      </c>
      <c r="L36" s="46">
        <v>2.5577800743223467E-2</v>
      </c>
      <c r="M36" s="40">
        <v>981.66106839027111</v>
      </c>
      <c r="N36" s="40">
        <v>581.5910483518162</v>
      </c>
      <c r="O36" s="47">
        <v>3.8226164428091243E-4</v>
      </c>
    </row>
    <row r="37" spans="1:15">
      <c r="A37" s="48">
        <v>34000</v>
      </c>
      <c r="B37" s="45">
        <v>-62.244000000000028</v>
      </c>
      <c r="C37" s="45">
        <v>397.42599999999999</v>
      </c>
      <c r="D37" s="45">
        <v>-52.357777777777791</v>
      </c>
      <c r="E37" s="46">
        <v>0.76624057686004587</v>
      </c>
      <c r="F37" s="46">
        <v>0.24671757281789733</v>
      </c>
      <c r="G37" s="40">
        <v>522.10866194869061</v>
      </c>
      <c r="H37" s="47">
        <v>7.653249077906384E-4</v>
      </c>
      <c r="I37" s="46">
        <v>0.32198447885507947</v>
      </c>
      <c r="J37" s="46">
        <v>0.56743676198769455</v>
      </c>
      <c r="K37" s="45">
        <v>365.47606336408347</v>
      </c>
      <c r="L37" s="46">
        <v>2.4623600624981534E-2</v>
      </c>
      <c r="M37" s="40">
        <v>977.28639154186544</v>
      </c>
      <c r="N37" s="40">
        <v>578.99924454458494</v>
      </c>
      <c r="O37" s="47">
        <v>3.9413343391512124E-4</v>
      </c>
    </row>
    <row r="38" spans="1:15">
      <c r="A38" s="48">
        <v>35000</v>
      </c>
      <c r="B38" s="45">
        <v>-65.810000000000059</v>
      </c>
      <c r="C38" s="45">
        <v>393.85999999999996</v>
      </c>
      <c r="D38" s="45">
        <v>-54.338888888888924</v>
      </c>
      <c r="E38" s="46">
        <v>0.75936529970887079</v>
      </c>
      <c r="F38" s="46">
        <v>0.23530178364549442</v>
      </c>
      <c r="G38" s="40">
        <v>497.95034058626817</v>
      </c>
      <c r="H38" s="47">
        <v>7.3652142093060956E-4</v>
      </c>
      <c r="I38" s="46">
        <v>0.3098663893855903</v>
      </c>
      <c r="J38" s="46">
        <v>0.55665643747790283</v>
      </c>
      <c r="K38" s="45">
        <v>348.56523841038774</v>
      </c>
      <c r="L38" s="46">
        <v>2.3696875844658204E-2</v>
      </c>
      <c r="M38" s="40">
        <v>972.89204385312564</v>
      </c>
      <c r="N38" s="40">
        <v>576.39578662880194</v>
      </c>
      <c r="O38" s="47">
        <v>4.0647865493374802E-4</v>
      </c>
    </row>
    <row r="39" spans="1:15">
      <c r="A39" s="48">
        <v>36000</v>
      </c>
      <c r="B39" s="45">
        <v>-69.376000000000033</v>
      </c>
      <c r="C39" s="45">
        <v>390.29399999999998</v>
      </c>
      <c r="D39" s="45">
        <v>-56.320000000000022</v>
      </c>
      <c r="E39" s="46">
        <v>0.7524900225576957</v>
      </c>
      <c r="F39" s="46">
        <v>0.22431753327177126</v>
      </c>
      <c r="G39" s="40">
        <v>474.70525026038774</v>
      </c>
      <c r="H39" s="47">
        <v>7.0855470351806891E-4</v>
      </c>
      <c r="I39" s="46">
        <v>0.29810034226011567</v>
      </c>
      <c r="J39" s="46">
        <v>0.54598566122208347</v>
      </c>
      <c r="K39" s="45">
        <v>332.29367518227144</v>
      </c>
      <c r="L39" s="46">
        <v>2.2797073325037998E-2</v>
      </c>
      <c r="M39" s="40">
        <v>968.47775756209501</v>
      </c>
      <c r="N39" s="40">
        <v>573.78051596727369</v>
      </c>
      <c r="O39" s="47">
        <v>4.1932047314961827E-4</v>
      </c>
    </row>
    <row r="40" spans="1:15">
      <c r="A40" s="48">
        <v>36089</v>
      </c>
      <c r="B40" s="45">
        <v>-69.693374000000006</v>
      </c>
      <c r="C40" s="45">
        <v>389.97662600000001</v>
      </c>
      <c r="D40" s="45">
        <v>-56.496318888888894</v>
      </c>
      <c r="E40" s="46">
        <v>0.75187812289124112</v>
      </c>
      <c r="F40" s="46">
        <v>0.22336042065818254</v>
      </c>
      <c r="G40" s="40">
        <v>472.67978940525899</v>
      </c>
      <c r="H40" s="47">
        <v>7.0610564092610175E-4</v>
      </c>
      <c r="I40" s="46">
        <v>0.29706998229883536</v>
      </c>
      <c r="J40" s="46">
        <v>0.54504126660174579</v>
      </c>
      <c r="K40" s="45">
        <v>330.87585258368136</v>
      </c>
      <c r="L40" s="46">
        <v>2.2718277066669415E-2</v>
      </c>
      <c r="M40" s="40">
        <v>968.08391065319609</v>
      </c>
      <c r="N40" s="40">
        <v>573.54717897957767</v>
      </c>
      <c r="O40" s="47">
        <v>4.2048827676198183E-4</v>
      </c>
    </row>
    <row r="41" spans="1:15">
      <c r="A41" s="49">
        <v>37000</v>
      </c>
      <c r="B41" s="45">
        <v>-69.680000000000007</v>
      </c>
      <c r="C41" s="45">
        <v>389.99</v>
      </c>
      <c r="D41" s="45">
        <v>-56.488888888888894</v>
      </c>
      <c r="E41" s="46">
        <v>0.75187491565289477</v>
      </c>
      <c r="F41" s="46">
        <v>0.2137848805280636</v>
      </c>
      <c r="G41" s="40">
        <v>452.41583987109874</v>
      </c>
      <c r="H41" s="47">
        <v>6.7583752556221884E-4</v>
      </c>
      <c r="I41" s="46">
        <v>0.28433570009769821</v>
      </c>
      <c r="J41" s="46">
        <v>0.5332313757626217</v>
      </c>
      <c r="K41" s="45">
        <v>316.69108790976912</v>
      </c>
      <c r="L41" s="46">
        <v>2.1744429257975064E-2</v>
      </c>
      <c r="M41" s="40">
        <v>968.1</v>
      </c>
      <c r="N41" s="40">
        <v>573.55671121058526</v>
      </c>
      <c r="O41" s="47">
        <v>4.3933291845221816E-4</v>
      </c>
    </row>
    <row r="42" spans="1:15">
      <c r="A42" s="49">
        <v>38000</v>
      </c>
      <c r="B42" s="45">
        <v>-69.680000000000007</v>
      </c>
      <c r="C42" s="45">
        <v>389.99</v>
      </c>
      <c r="D42" s="45">
        <v>-56.488888888888894</v>
      </c>
      <c r="E42" s="46">
        <v>0.75187491565289477</v>
      </c>
      <c r="F42" s="46">
        <v>0.20374521725713943</v>
      </c>
      <c r="G42" s="40">
        <v>431.16970366390353</v>
      </c>
      <c r="H42" s="47">
        <v>6.4409916705089935E-4</v>
      </c>
      <c r="I42" s="46">
        <v>0.27098286299419383</v>
      </c>
      <c r="J42" s="46">
        <v>0.52056014349371182</v>
      </c>
      <c r="K42" s="45">
        <v>301.81879256473252</v>
      </c>
      <c r="L42" s="46">
        <v>2.072327777509532E-2</v>
      </c>
      <c r="M42" s="40">
        <v>968.1</v>
      </c>
      <c r="N42" s="40">
        <v>573.55671121058526</v>
      </c>
      <c r="O42" s="47">
        <v>4.6098130178347447E-4</v>
      </c>
    </row>
    <row r="43" spans="1:15">
      <c r="A43" s="49">
        <v>39000</v>
      </c>
      <c r="B43" s="45">
        <v>-69.680000000000007</v>
      </c>
      <c r="C43" s="45">
        <v>389.99</v>
      </c>
      <c r="D43" s="45">
        <v>-56.488888888888894</v>
      </c>
      <c r="E43" s="46">
        <v>0.75187491565289477</v>
      </c>
      <c r="F43" s="46">
        <v>0.19417703184912385</v>
      </c>
      <c r="G43" s="40">
        <v>410.92131833975282</v>
      </c>
      <c r="H43" s="47">
        <v>6.1385129014631659E-4</v>
      </c>
      <c r="I43" s="46">
        <v>0.25825709543788827</v>
      </c>
      <c r="J43" s="46">
        <v>0.50819001902623817</v>
      </c>
      <c r="K43" s="45">
        <v>287.64492283782704</v>
      </c>
      <c r="L43" s="46">
        <v>1.975008111957003E-2</v>
      </c>
      <c r="M43" s="40">
        <v>968.1</v>
      </c>
      <c r="N43" s="40">
        <v>573.55671121058526</v>
      </c>
      <c r="O43" s="47">
        <v>4.8369642170826486E-4</v>
      </c>
    </row>
    <row r="44" spans="1:15">
      <c r="A44" s="49">
        <v>40000</v>
      </c>
      <c r="B44" s="45">
        <v>-69.680000000000007</v>
      </c>
      <c r="C44" s="45">
        <v>389.99</v>
      </c>
      <c r="D44" s="45">
        <v>-56.488888888888894</v>
      </c>
      <c r="E44" s="46">
        <v>0.75187491565289477</v>
      </c>
      <c r="F44" s="46">
        <v>0.1850581829862043</v>
      </c>
      <c r="G44" s="40">
        <v>391.62382799906521</v>
      </c>
      <c r="H44" s="47">
        <v>5.8502389956439753E-4</v>
      </c>
      <c r="I44" s="46">
        <v>0.24612894928873641</v>
      </c>
      <c r="J44" s="46">
        <v>0.49611384710440848</v>
      </c>
      <c r="K44" s="45">
        <v>274.13667959934571</v>
      </c>
      <c r="L44" s="46">
        <v>1.8822587259741664E-2</v>
      </c>
      <c r="M44" s="40">
        <v>968.1</v>
      </c>
      <c r="N44" s="40">
        <v>573.55671121058526</v>
      </c>
      <c r="O44" s="47">
        <v>5.0753084228842072E-4</v>
      </c>
    </row>
    <row r="45" spans="1:15">
      <c r="A45" s="49">
        <v>41000</v>
      </c>
      <c r="B45" s="45">
        <v>-69.680000000000007</v>
      </c>
      <c r="C45" s="45">
        <v>389.99</v>
      </c>
      <c r="D45" s="45">
        <v>-56.488888888888894</v>
      </c>
      <c r="E45" s="46">
        <v>0.75187491565289477</v>
      </c>
      <c r="F45" s="46">
        <v>0.17636756914054144</v>
      </c>
      <c r="G45" s="40">
        <v>373.23257716659657</v>
      </c>
      <c r="H45" s="47">
        <v>5.5755028710610893E-4</v>
      </c>
      <c r="I45" s="46">
        <v>0.23457035933615589</v>
      </c>
      <c r="J45" s="46">
        <v>0.4843246425035132</v>
      </c>
      <c r="K45" s="45">
        <v>261.26280401661762</v>
      </c>
      <c r="L45" s="46">
        <v>1.7938649922785842E-2</v>
      </c>
      <c r="M45" s="40">
        <v>968.1</v>
      </c>
      <c r="N45" s="40">
        <v>573.55671121058526</v>
      </c>
      <c r="O45" s="47">
        <v>5.3253971771028428E-4</v>
      </c>
    </row>
    <row r="46" spans="1:15">
      <c r="A46" s="49">
        <v>42000</v>
      </c>
      <c r="B46" s="45">
        <v>-69.680000000000007</v>
      </c>
      <c r="C46" s="45">
        <v>389.99</v>
      </c>
      <c r="D46" s="45">
        <v>-56.488888888888894</v>
      </c>
      <c r="E46" s="46">
        <v>0.75187491565289477</v>
      </c>
      <c r="F46" s="46">
        <v>0.1680850797441501</v>
      </c>
      <c r="G46" s="40">
        <v>355.70500745616528</v>
      </c>
      <c r="H46" s="47">
        <v>5.3136687729094369E-4</v>
      </c>
      <c r="I46" s="46">
        <v>0.22355457835455581</v>
      </c>
      <c r="J46" s="46">
        <v>0.47281558598945933</v>
      </c>
      <c r="K46" s="45">
        <v>248.99350521931572</v>
      </c>
      <c r="L46" s="46">
        <v>1.7096223628115682E-2</v>
      </c>
      <c r="M46" s="40">
        <v>968.1</v>
      </c>
      <c r="N46" s="40">
        <v>573.55671121058526</v>
      </c>
      <c r="O46" s="47">
        <v>5.5878091991458725E-4</v>
      </c>
    </row>
    <row r="47" spans="1:15">
      <c r="A47" s="49">
        <v>43000</v>
      </c>
      <c r="B47" s="45">
        <v>-69.680000000000007</v>
      </c>
      <c r="C47" s="45">
        <v>389.99</v>
      </c>
      <c r="D47" s="45">
        <v>-56.488888888888894</v>
      </c>
      <c r="E47" s="46">
        <v>0.75187491565289477</v>
      </c>
      <c r="F47" s="46">
        <v>0.16019154865191651</v>
      </c>
      <c r="G47" s="40">
        <v>339.00055908815875</v>
      </c>
      <c r="H47" s="47">
        <v>5.0641308023969102E-4</v>
      </c>
      <c r="I47" s="46">
        <v>0.21305611520875553</v>
      </c>
      <c r="J47" s="46">
        <v>0.46158002037431767</v>
      </c>
      <c r="K47" s="45">
        <v>237.30039136171115</v>
      </c>
      <c r="L47" s="46">
        <v>1.6293358954024902E-2</v>
      </c>
      <c r="M47" s="40">
        <v>968.1</v>
      </c>
      <c r="N47" s="40">
        <v>573.55671121058526</v>
      </c>
      <c r="O47" s="47">
        <v>5.8631517251537158E-4</v>
      </c>
    </row>
    <row r="48" spans="1:15">
      <c r="A48" s="49">
        <v>44000</v>
      </c>
      <c r="B48" s="45">
        <v>-69.680000000000007</v>
      </c>
      <c r="C48" s="45">
        <v>389.99</v>
      </c>
      <c r="D48" s="45">
        <v>-56.488888888888894</v>
      </c>
      <c r="E48" s="46">
        <v>0.75187491565289477</v>
      </c>
      <c r="F48" s="46">
        <v>0.15266870979006353</v>
      </c>
      <c r="G48" s="40">
        <v>323.08057703192821</v>
      </c>
      <c r="H48" s="47">
        <v>4.8263115146605825E-4</v>
      </c>
      <c r="I48" s="46">
        <v>0.20305067586606851</v>
      </c>
      <c r="J48" s="46">
        <v>0.45061144666560404</v>
      </c>
      <c r="K48" s="45">
        <v>226.15640392234977</v>
      </c>
      <c r="L48" s="46">
        <v>1.5528198026616688E-2</v>
      </c>
      <c r="M48" s="40">
        <v>968.1</v>
      </c>
      <c r="N48" s="40">
        <v>573.55671121058526</v>
      </c>
      <c r="O48" s="47">
        <v>6.1520619131783568E-4</v>
      </c>
    </row>
    <row r="49" spans="1:15">
      <c r="A49" s="49">
        <v>45000</v>
      </c>
      <c r="B49" s="45">
        <v>-69.680000000000007</v>
      </c>
      <c r="C49" s="45">
        <v>389.99</v>
      </c>
      <c r="D49" s="45">
        <v>-56.488888888888894</v>
      </c>
      <c r="E49" s="46">
        <v>0.75187491565289477</v>
      </c>
      <c r="F49" s="46">
        <v>0.14549915488743104</v>
      </c>
      <c r="G49" s="40">
        <v>307.90822155587927</v>
      </c>
      <c r="H49" s="47">
        <v>4.5996605825268877E-4</v>
      </c>
      <c r="I49" s="46">
        <v>0.19351510717854717</v>
      </c>
      <c r="J49" s="46">
        <v>0.43990352030706364</v>
      </c>
      <c r="K49" s="45">
        <v>215.53575508911553</v>
      </c>
      <c r="L49" s="46">
        <v>1.4798970220579227E-2</v>
      </c>
      <c r="M49" s="40">
        <v>968.1</v>
      </c>
      <c r="N49" s="40">
        <v>573.55671121058526</v>
      </c>
      <c r="O49" s="47">
        <v>6.4552083176028468E-4</v>
      </c>
    </row>
    <row r="50" spans="1:15">
      <c r="A50" s="49">
        <v>46000</v>
      </c>
      <c r="B50" s="45">
        <v>-69.680000000000007</v>
      </c>
      <c r="C50" s="45">
        <v>389.99</v>
      </c>
      <c r="D50" s="45">
        <v>-56.488888888888894</v>
      </c>
      <c r="E50" s="46">
        <v>0.75187491565289477</v>
      </c>
      <c r="F50" s="46">
        <v>0.13866629319175983</v>
      </c>
      <c r="G50" s="40">
        <v>293.44838297826595</v>
      </c>
      <c r="H50" s="47">
        <v>4.3836535230236731E-4</v>
      </c>
      <c r="I50" s="46">
        <v>0.18442734330529989</v>
      </c>
      <c r="J50" s="46">
        <v>0.42945004750878757</v>
      </c>
      <c r="K50" s="45">
        <v>205.4138680847862</v>
      </c>
      <c r="L50" s="46">
        <v>1.4103988061859416E-2</v>
      </c>
      <c r="M50" s="40">
        <v>968.1</v>
      </c>
      <c r="N50" s="40">
        <v>573.55671121058526</v>
      </c>
      <c r="O50" s="47">
        <v>6.7732924362136392E-4</v>
      </c>
    </row>
    <row r="51" spans="1:15">
      <c r="A51" s="49">
        <v>47000</v>
      </c>
      <c r="B51" s="45">
        <v>-69.680000000000007</v>
      </c>
      <c r="C51" s="45">
        <v>389.99</v>
      </c>
      <c r="D51" s="45">
        <v>-56.488888888888894</v>
      </c>
      <c r="E51" s="46">
        <v>0.75187491565289477</v>
      </c>
      <c r="F51" s="46">
        <v>0.13215431307776024</v>
      </c>
      <c r="G51" s="40">
        <v>279.66760042141777</v>
      </c>
      <c r="H51" s="47">
        <v>4.1777904836971791E-4</v>
      </c>
      <c r="I51" s="46">
        <v>0.17576635465089735</v>
      </c>
      <c r="J51" s="46">
        <v>0.41924498166453628</v>
      </c>
      <c r="K51" s="45">
        <v>195.76732029499246</v>
      </c>
      <c r="L51" s="46">
        <v>1.3441643322753244E-2</v>
      </c>
      <c r="M51" s="40">
        <v>968.1</v>
      </c>
      <c r="N51" s="40">
        <v>573.55671121058526</v>
      </c>
      <c r="O51" s="47">
        <v>7.1070503335058288E-4</v>
      </c>
    </row>
    <row r="52" spans="1:15">
      <c r="A52" s="49">
        <v>48000</v>
      </c>
      <c r="B52" s="45">
        <v>-69.680000000000007</v>
      </c>
      <c r="C52" s="45">
        <v>389.99</v>
      </c>
      <c r="D52" s="45">
        <v>-56.488888888888894</v>
      </c>
      <c r="E52" s="46">
        <v>0.75187491565289477</v>
      </c>
      <c r="F52" s="46">
        <v>0.12594814545812433</v>
      </c>
      <c r="G52" s="40">
        <v>266.53398438139186</v>
      </c>
      <c r="H52" s="47">
        <v>3.9815950859254219E-4</v>
      </c>
      <c r="I52" s="46">
        <v>0.16751209920170904</v>
      </c>
      <c r="J52" s="46">
        <v>0.40928241985419928</v>
      </c>
      <c r="K52" s="45">
        <v>186.57378906697431</v>
      </c>
      <c r="L52" s="46">
        <v>1.2810403300376668E-2</v>
      </c>
      <c r="M52" s="40">
        <v>968.1</v>
      </c>
      <c r="N52" s="40">
        <v>573.55671121058526</v>
      </c>
      <c r="O52" s="47">
        <v>7.4572543439776747E-4</v>
      </c>
    </row>
    <row r="53" spans="1:15">
      <c r="A53" s="49">
        <v>49000</v>
      </c>
      <c r="B53" s="45">
        <v>-69.680000000000007</v>
      </c>
      <c r="C53" s="45">
        <v>389.99</v>
      </c>
      <c r="D53" s="45">
        <v>-56.488888888888894</v>
      </c>
      <c r="E53" s="46">
        <v>0.75187491565289477</v>
      </c>
      <c r="F53" s="46">
        <v>0.12003342891281205</v>
      </c>
      <c r="G53" s="40">
        <v>254.01714293387107</v>
      </c>
      <c r="H53" s="47">
        <v>3.7946133225513263E-4</v>
      </c>
      <c r="I53" s="46">
        <v>0.15964547614755886</v>
      </c>
      <c r="J53" s="46">
        <v>0.39955659942936605</v>
      </c>
      <c r="K53" s="45">
        <v>177.81200005370977</v>
      </c>
      <c r="L53" s="46">
        <v>1.2208807269905118E-2</v>
      </c>
      <c r="M53" s="40">
        <v>968.1</v>
      </c>
      <c r="N53" s="40">
        <v>573.55671121058526</v>
      </c>
      <c r="O53" s="47">
        <v>7.8247148593559772E-4</v>
      </c>
    </row>
    <row r="54" spans="1:15">
      <c r="A54" s="49">
        <v>50000</v>
      </c>
      <c r="B54" s="45">
        <v>-69.680000000000007</v>
      </c>
      <c r="C54" s="45">
        <v>389.99</v>
      </c>
      <c r="D54" s="45">
        <v>-56.488888888888894</v>
      </c>
      <c r="E54" s="46">
        <v>0.75187491565289477</v>
      </c>
      <c r="F54" s="46">
        <v>0.11439647645591997</v>
      </c>
      <c r="G54" s="40">
        <v>242.08811140554693</v>
      </c>
      <c r="H54" s="47">
        <v>3.6164125072847054E-4</v>
      </c>
      <c r="I54" s="46">
        <v>0.15214828168137934</v>
      </c>
      <c r="J54" s="46">
        <v>0.39006189468003577</v>
      </c>
      <c r="K54" s="45">
        <v>169.46167798388288</v>
      </c>
      <c r="L54" s="46">
        <v>1.1635463104374345E-2</v>
      </c>
      <c r="M54" s="40">
        <v>968.1</v>
      </c>
      <c r="N54" s="40">
        <v>573.55671121058526</v>
      </c>
      <c r="O54" s="47">
        <v>8.2102822038879772E-4</v>
      </c>
    </row>
    <row r="55" spans="1:15">
      <c r="A55" s="49">
        <v>51000</v>
      </c>
      <c r="B55" s="45">
        <v>-69.680000000000007</v>
      </c>
      <c r="C55" s="45">
        <v>389.99</v>
      </c>
      <c r="D55" s="45">
        <v>-56.488888888888894</v>
      </c>
      <c r="E55" s="46">
        <v>0.75187491565289477</v>
      </c>
      <c r="F55" s="46">
        <v>0.10902424386322787</v>
      </c>
      <c r="G55" s="40">
        <v>230.71928534824008</v>
      </c>
      <c r="H55" s="47">
        <v>3.4465802734419046E-4</v>
      </c>
      <c r="I55" s="46">
        <v>0.14500316687458054</v>
      </c>
      <c r="J55" s="46">
        <v>0.38079281358053557</v>
      </c>
      <c r="K55" s="45">
        <v>161.50349974376806</v>
      </c>
      <c r="L55" s="46">
        <v>1.1089044053220505E-2</v>
      </c>
      <c r="M55" s="40">
        <v>968.1</v>
      </c>
      <c r="N55" s="40">
        <v>573.55671121058526</v>
      </c>
      <c r="O55" s="47">
        <v>8.614848602039386E-4</v>
      </c>
    </row>
    <row r="56" spans="1:15">
      <c r="A56" s="49">
        <v>52000</v>
      </c>
      <c r="B56" s="45">
        <v>-69.680000000000007</v>
      </c>
      <c r="C56" s="45">
        <v>389.99</v>
      </c>
      <c r="D56" s="45">
        <v>-56.488888888888894</v>
      </c>
      <c r="E56" s="46">
        <v>0.75187491565289477</v>
      </c>
      <c r="F56" s="46">
        <v>0.10390429948713228</v>
      </c>
      <c r="G56" s="40">
        <v>219.88435666065905</v>
      </c>
      <c r="H56" s="47">
        <v>3.2847236197061695E-4</v>
      </c>
      <c r="I56" s="46">
        <v>0.1381935975306563</v>
      </c>
      <c r="J56" s="46">
        <v>0.37174399461276614</v>
      </c>
      <c r="K56" s="45">
        <v>153.91904966246136</v>
      </c>
      <c r="L56" s="46">
        <v>1.0568285672104948E-2</v>
      </c>
      <c r="M56" s="40">
        <v>968.1</v>
      </c>
      <c r="N56" s="40">
        <v>573.55671121058526</v>
      </c>
      <c r="O56" s="47">
        <v>9.039350243151827E-4</v>
      </c>
    </row>
    <row r="57" spans="1:15">
      <c r="A57" s="49">
        <v>53000</v>
      </c>
      <c r="B57" s="45">
        <v>-69.680000000000007</v>
      </c>
      <c r="C57" s="45">
        <v>389.99</v>
      </c>
      <c r="D57" s="45">
        <v>-56.488888888888894</v>
      </c>
      <c r="E57" s="46">
        <v>0.75187491565289477</v>
      </c>
      <c r="F57" s="46">
        <v>9.9024795489116219E-2</v>
      </c>
      <c r="G57" s="40">
        <v>209.55825270997749</v>
      </c>
      <c r="H57" s="47">
        <v>3.1304680007005381E-4</v>
      </c>
      <c r="I57" s="46">
        <v>0.13170381592412547</v>
      </c>
      <c r="J57" s="46">
        <v>0.3629102036649362</v>
      </c>
      <c r="K57" s="45">
        <v>146.69077689698426</v>
      </c>
      <c r="L57" s="46">
        <v>1.0071982896919034E-2</v>
      </c>
      <c r="M57" s="40">
        <v>968.1</v>
      </c>
      <c r="N57" s="40">
        <v>573.55671121058526</v>
      </c>
      <c r="O57" s="47">
        <v>9.4847694478375358E-4</v>
      </c>
    </row>
    <row r="58" spans="1:15">
      <c r="A58" s="49">
        <v>54000</v>
      </c>
      <c r="B58" s="45">
        <v>-69.680000000000007</v>
      </c>
      <c r="C58" s="45">
        <v>389.99</v>
      </c>
      <c r="D58" s="45">
        <v>-56.488888888888894</v>
      </c>
      <c r="E58" s="46">
        <v>0.75187491565289477</v>
      </c>
      <c r="F58" s="46">
        <v>9.4374440423186504E-2</v>
      </c>
      <c r="G58" s="40">
        <v>199.71707831235571</v>
      </c>
      <c r="H58" s="47">
        <v>2.9834564602688421E-4</v>
      </c>
      <c r="I58" s="46">
        <v>0.12551880433627172</v>
      </c>
      <c r="J58" s="46">
        <v>0.35428633100399415</v>
      </c>
      <c r="K58" s="45">
        <v>139.80195481864902</v>
      </c>
      <c r="L58" s="46">
        <v>9.5989872551982391E-3</v>
      </c>
      <c r="M58" s="40">
        <v>968.1</v>
      </c>
      <c r="N58" s="40">
        <v>573.55671121058526</v>
      </c>
      <c r="O58" s="47">
        <v>9.9521369411243094E-4</v>
      </c>
    </row>
    <row r="59" spans="1:15">
      <c r="A59" s="49">
        <v>55000</v>
      </c>
      <c r="B59" s="45">
        <v>-69.680000000000007</v>
      </c>
      <c r="C59" s="45">
        <v>389.99</v>
      </c>
      <c r="D59" s="45">
        <v>-56.488888888888894</v>
      </c>
      <c r="E59" s="46">
        <v>0.75187491565289477</v>
      </c>
      <c r="F59" s="46">
        <v>8.9942473106834064E-2</v>
      </c>
      <c r="G59" s="40">
        <v>190.33806043814437</v>
      </c>
      <c r="H59" s="47">
        <v>2.8433488054591252E-4</v>
      </c>
      <c r="I59" s="46">
        <v>0.11962425030329947</v>
      </c>
      <c r="J59" s="46">
        <v>0.34586738832000258</v>
      </c>
      <c r="K59" s="45">
        <v>133.23664230670107</v>
      </c>
      <c r="L59" s="46">
        <v>9.1482042084924074E-3</v>
      </c>
      <c r="M59" s="40">
        <v>968.1</v>
      </c>
      <c r="N59" s="40">
        <v>573.55671121058526</v>
      </c>
      <c r="O59" s="47">
        <v>1.0442534237611093E-3</v>
      </c>
    </row>
    <row r="60" spans="1:15">
      <c r="A60" s="49">
        <v>56000</v>
      </c>
      <c r="B60" s="45">
        <v>-69.680000000000007</v>
      </c>
      <c r="C60" s="45">
        <v>389.99</v>
      </c>
      <c r="D60" s="45">
        <v>-56.488888888888894</v>
      </c>
      <c r="E60" s="46">
        <v>0.75187491565289477</v>
      </c>
      <c r="F60" s="46">
        <v>8.5718637719053997E-2</v>
      </c>
      <c r="G60" s="40">
        <v>181.39949551381642</v>
      </c>
      <c r="H60" s="47">
        <v>2.7098208192980698E-4</v>
      </c>
      <c r="I60" s="46">
        <v>0.11400651349648996</v>
      </c>
      <c r="J60" s="46">
        <v>0.33764850584074846</v>
      </c>
      <c r="K60" s="45">
        <v>126.97964685967152</v>
      </c>
      <c r="L60" s="46">
        <v>8.718590619542374E-3</v>
      </c>
      <c r="M60" s="40">
        <v>968.1</v>
      </c>
      <c r="N60" s="40">
        <v>573.55671121058526</v>
      </c>
      <c r="O60" s="47">
        <v>1.0957096144153409E-3</v>
      </c>
    </row>
    <row r="61" spans="1:15">
      <c r="A61" s="49">
        <v>57000</v>
      </c>
      <c r="B61" s="45">
        <v>-69.680000000000007</v>
      </c>
      <c r="C61" s="45">
        <v>389.99</v>
      </c>
      <c r="D61" s="45">
        <v>-56.488888888888894</v>
      </c>
      <c r="E61" s="46">
        <v>0.75187491565289477</v>
      </c>
      <c r="F61" s="46">
        <v>8.1693160067800391E-2</v>
      </c>
      <c r="G61" s="40">
        <v>172.88069919868053</v>
      </c>
      <c r="H61" s="47">
        <v>2.5825635105347346E-4</v>
      </c>
      <c r="I61" s="46">
        <v>0.10865259415771529</v>
      </c>
      <c r="J61" s="46">
        <v>0.32962492951491895</v>
      </c>
      <c r="K61" s="45">
        <v>121.01648943907638</v>
      </c>
      <c r="L61" s="46">
        <v>8.3091523384018449E-3</v>
      </c>
      <c r="M61" s="40">
        <v>968.1</v>
      </c>
      <c r="N61" s="40">
        <v>573.55671121058526</v>
      </c>
      <c r="O61" s="47">
        <v>1.1497013385870099E-3</v>
      </c>
    </row>
    <row r="62" spans="1:15">
      <c r="A62" s="49">
        <v>58000</v>
      </c>
      <c r="B62" s="45">
        <v>-69.680000000000007</v>
      </c>
      <c r="C62" s="45">
        <v>389.99</v>
      </c>
      <c r="D62" s="45">
        <v>-56.488888888888894</v>
      </c>
      <c r="E62" s="46">
        <v>0.75187491565289477</v>
      </c>
      <c r="F62" s="46">
        <v>7.7856724971957558E-2</v>
      </c>
      <c r="G62" s="40">
        <v>164.76195852015601</v>
      </c>
      <c r="H62" s="47">
        <v>2.4612823986174627E-4</v>
      </c>
      <c r="I62" s="46">
        <v>0.10355010301726883</v>
      </c>
      <c r="J62" s="46">
        <v>0.32179201826221365</v>
      </c>
      <c r="K62" s="45">
        <v>115.33337096410922</v>
      </c>
      <c r="L62" s="46">
        <v>7.9189419019186323E-3</v>
      </c>
      <c r="M62" s="40">
        <v>968.1</v>
      </c>
      <c r="N62" s="40">
        <v>573.55671121058526</v>
      </c>
      <c r="O62" s="47">
        <v>1.2063535361548029E-3</v>
      </c>
    </row>
    <row r="63" spans="1:15">
      <c r="A63" s="49">
        <v>59000</v>
      </c>
      <c r="B63" s="45">
        <v>-69.680000000000007</v>
      </c>
      <c r="C63" s="45">
        <v>389.99</v>
      </c>
      <c r="D63" s="45">
        <v>-56.488888888888894</v>
      </c>
      <c r="E63" s="46">
        <v>0.75187491565289477</v>
      </c>
      <c r="F63" s="46">
        <v>7.4200454705488458E-2</v>
      </c>
      <c r="G63" s="40">
        <v>157.02448625684877</v>
      </c>
      <c r="H63" s="47">
        <v>2.3456968322493668E-4</v>
      </c>
      <c r="I63" s="46">
        <v>9.8687232624400142E-2</v>
      </c>
      <c r="J63" s="46">
        <v>0.31414524128880283</v>
      </c>
      <c r="K63" s="45">
        <v>109.91714037979415</v>
      </c>
      <c r="L63" s="46">
        <v>7.5470563412517802E-3</v>
      </c>
      <c r="M63" s="40">
        <v>968.1</v>
      </c>
      <c r="N63" s="40">
        <v>573.55671121058526</v>
      </c>
      <c r="O63" s="47">
        <v>1.2657973034820996E-3</v>
      </c>
    </row>
    <row r="64" spans="1:15">
      <c r="A64" s="49">
        <v>60000</v>
      </c>
      <c r="B64" s="45">
        <v>-69.680000000000007</v>
      </c>
      <c r="C64" s="45">
        <v>389.99</v>
      </c>
      <c r="D64" s="45">
        <v>-56.488888888888894</v>
      </c>
      <c r="E64" s="46">
        <v>0.75187491565289477</v>
      </c>
      <c r="F64" s="46">
        <v>7.0715888453878453E-2</v>
      </c>
      <c r="G64" s="40">
        <v>149.65037746386665</v>
      </c>
      <c r="H64" s="47">
        <v>2.2355393399454813E-4</v>
      </c>
      <c r="I64" s="46">
        <v>9.4052730024211426E-2</v>
      </c>
      <c r="J64" s="46">
        <v>0.30668017546657855</v>
      </c>
      <c r="K64" s="45">
        <v>104.75526422470666</v>
      </c>
      <c r="L64" s="46">
        <v>7.1926350923509959E-3</v>
      </c>
      <c r="M64" s="40">
        <v>968.1</v>
      </c>
      <c r="N64" s="40">
        <v>573.55671121058526</v>
      </c>
      <c r="O64" s="47">
        <v>1.3281701967813109E-3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Study</dc:creator>
  <cp:keywords/>
  <dc:description/>
  <cp:lastModifiedBy>Long, Nathan (longnm)</cp:lastModifiedBy>
  <cp:revision/>
  <dcterms:created xsi:type="dcterms:W3CDTF">2016-01-30T23:05:58Z</dcterms:created>
  <dcterms:modified xsi:type="dcterms:W3CDTF">2023-04-03T20:02:58Z</dcterms:modified>
  <cp:category/>
  <cp:contentStatus/>
</cp:coreProperties>
</file>