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"/>
    </mc:Choice>
  </mc:AlternateContent>
  <xr:revisionPtr revIDLastSave="96" documentId="13_ncr:1_{48CAE36C-0EBE-4BDA-A75A-974E7C888DD6}" xr6:coauthVersionLast="47" xr6:coauthVersionMax="47" xr10:uidLastSave="{EBCEEFF7-7DA0-4803-ADF4-672117AF410B}"/>
  <bookViews>
    <workbookView minimized="1" xWindow="130" yWindow="-90" windowWidth="25580" windowHeight="13660" xr2:uid="{00000000-000D-0000-FFFF-FFFF00000000}"/>
  </bookViews>
  <sheets>
    <sheet name="WINGLOAD" sheetId="1" r:id="rId1"/>
    <sheet name="Sheet2" sheetId="2" r:id="rId2"/>
    <sheet name="Sheet3" sheetId="3" r:id="rId3"/>
  </sheets>
  <definedNames>
    <definedName name="A">WINGLOAD!$B$21</definedName>
    <definedName name="CD_0">WINGLOAD!$B$20</definedName>
    <definedName name="CLMX">WINGLOAD!$B$3</definedName>
    <definedName name="CMN">WINGLOAD!$B$9</definedName>
    <definedName name="H">WINGLOAD!$B$2</definedName>
    <definedName name="H_TO">WINGLOAD!$B$2</definedName>
    <definedName name="k">WINGLOAD!$B$29</definedName>
    <definedName name="LT">WINGLOAD!$B$14</definedName>
    <definedName name="MC">WINGLOAD!$B$23</definedName>
    <definedName name="RA">WINGLOAD!$B$6</definedName>
    <definedName name="RO_0">WINGLOAD!#REF!</definedName>
    <definedName name="S">WINGLOAD!$B$6</definedName>
    <definedName name="SIG">WINGLOAD!$B$2</definedName>
    <definedName name="TMX">WINGLOAD!$B$4</definedName>
    <definedName name="TO">WINGLOAD!#REF!</definedName>
    <definedName name="TOw">WINGLOAD!#REF!</definedName>
    <definedName name="TWO">WINGLOAD!#REF!</definedName>
    <definedName name="W">WINGLOAD!#REF!</definedName>
    <definedName name="WL">WINGLOAD!$E$5</definedName>
    <definedName name="WS">WINGLOAD!$B$8</definedName>
    <definedName name="WTO">WINGLOAD!$B$5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E23" i="1" l="1"/>
  <c r="H23" i="1"/>
  <c r="H22" i="1"/>
  <c r="K22" i="1" s="1"/>
  <c r="H21" i="1" l="1"/>
  <c r="K31" i="1"/>
  <c r="H31" i="1"/>
  <c r="K30" i="1"/>
  <c r="H30" i="1"/>
  <c r="K29" i="1"/>
  <c r="H29" i="1"/>
  <c r="K21" i="1"/>
  <c r="E5" i="1"/>
  <c r="E8" i="1" s="1"/>
  <c r="B8" i="1"/>
  <c r="B10" i="1"/>
  <c r="E24" i="1"/>
  <c r="K24" i="1" s="1"/>
  <c r="K34" i="1" s="1"/>
  <c r="B24" i="1"/>
  <c r="B34" i="1" s="1"/>
  <c r="E4" i="1"/>
  <c r="E10" i="1" s="1"/>
  <c r="B9" i="1"/>
  <c r="E9" i="1"/>
  <c r="E21" i="1"/>
  <c r="B29" i="1"/>
  <c r="E28" i="1" s="1"/>
  <c r="E29" i="1"/>
  <c r="B30" i="1"/>
  <c r="E30" i="1"/>
  <c r="B31" i="1"/>
  <c r="E31" i="1"/>
  <c r="E6" i="1"/>
  <c r="E34" i="1" l="1"/>
  <c r="H24" i="1"/>
  <c r="H34" i="1" s="1"/>
  <c r="E20" i="1"/>
  <c r="H32" i="1"/>
  <c r="H33" i="1" s="1"/>
  <c r="E32" i="1"/>
  <c r="E25" i="1" s="1"/>
  <c r="E26" i="1" s="1"/>
  <c r="B32" i="1"/>
  <c r="B33" i="1" s="1"/>
  <c r="E33" i="1"/>
  <c r="K28" i="1"/>
  <c r="B28" i="1"/>
  <c r="E11" i="1"/>
  <c r="E12" i="1" s="1"/>
  <c r="B11" i="1"/>
  <c r="B12" i="1" s="1"/>
  <c r="H20" i="1"/>
  <c r="K32" i="1"/>
  <c r="K33" i="1" s="1"/>
  <c r="H28" i="1"/>
  <c r="K20" i="1"/>
  <c r="H25" i="1" l="1"/>
  <c r="H26" i="1" s="1"/>
  <c r="B25" i="1"/>
  <c r="B26" i="1" s="1"/>
  <c r="K25" i="1"/>
  <c r="K26" i="1" s="1"/>
</calcChain>
</file>

<file path=xl/sharedStrings.xml><?xml version="1.0" encoding="utf-8"?>
<sst xmlns="http://schemas.openxmlformats.org/spreadsheetml/2006/main" count="111" uniqueCount="45">
  <si>
    <t>Take-off</t>
  </si>
  <si>
    <t>Landing</t>
  </si>
  <si>
    <t>Weights</t>
  </si>
  <si>
    <t>H (f)</t>
  </si>
  <si>
    <t>TOGW</t>
  </si>
  <si>
    <t>x</t>
  </si>
  <si>
    <t>CL(max)</t>
  </si>
  <si>
    <t>Start-up &amp; Takeoff</t>
  </si>
  <si>
    <t>T(max) (lb)</t>
  </si>
  <si>
    <t>Climb</t>
  </si>
  <si>
    <t>W_TO (lb)</t>
  </si>
  <si>
    <t>W_L (lb)</t>
  </si>
  <si>
    <t>Cruise Out</t>
  </si>
  <si>
    <t>S (f^2)</t>
  </si>
  <si>
    <t>Loiter</t>
  </si>
  <si>
    <t>W/S (lb/f^2)</t>
  </si>
  <si>
    <t>Updated:</t>
  </si>
  <si>
    <t>x next to grey cells</t>
  </si>
  <si>
    <t>SIGMA</t>
  </si>
  <si>
    <t>T/W</t>
  </si>
  <si>
    <t>TOP</t>
  </si>
  <si>
    <t>LP</t>
  </si>
  <si>
    <t>S_TO (f)</t>
  </si>
  <si>
    <t>S_LND (f)</t>
  </si>
  <si>
    <r>
      <t>C</t>
    </r>
    <r>
      <rPr>
        <vertAlign val="subscript"/>
        <sz val="10"/>
        <color rgb="FF000000"/>
        <rFont val="Arial"/>
        <family val="2"/>
      </rPr>
      <t>fe</t>
    </r>
  </si>
  <si>
    <r>
      <t>Rationale for C</t>
    </r>
    <r>
      <rPr>
        <vertAlign val="subscript"/>
        <sz val="10"/>
        <color rgb="FF000000"/>
        <rFont val="Arial"/>
        <family val="2"/>
      </rPr>
      <t>fe</t>
    </r>
    <r>
      <rPr>
        <sz val="10"/>
        <color indexed="8"/>
        <rFont val="Arial"/>
        <family val="2"/>
      </rPr>
      <t xml:space="preserve"> value:</t>
    </r>
  </si>
  <si>
    <t>The Boeing 747-Max8 is a civilian transport plane, therefore the Cfe should be 0.0030</t>
  </si>
  <si>
    <r>
      <t>S</t>
    </r>
    <r>
      <rPr>
        <vertAlign val="subscript"/>
        <sz val="10"/>
        <color rgb="FF000000"/>
        <rFont val="Arial"/>
        <family val="2"/>
      </rPr>
      <t>wet</t>
    </r>
    <r>
      <rPr>
        <sz val="10"/>
        <color indexed="8"/>
        <rFont val="Arial"/>
        <family val="2"/>
      </rPr>
      <t>/S</t>
    </r>
    <r>
      <rPr>
        <vertAlign val="subscript"/>
        <sz val="10"/>
        <color rgb="FF000000"/>
        <rFont val="Arial"/>
        <family val="2"/>
      </rPr>
      <t>ref</t>
    </r>
  </si>
  <si>
    <t>CRUISE CLIMB</t>
  </si>
  <si>
    <t>CONSTANT ALTITUDE CRUISE</t>
  </si>
  <si>
    <t>Cruise Start</t>
  </si>
  <si>
    <t>Cruise End</t>
  </si>
  <si>
    <t>CD_0</t>
  </si>
  <si>
    <t>A</t>
  </si>
  <si>
    <t>Cruise Mach</t>
  </si>
  <si>
    <t>W (lb)</t>
  </si>
  <si>
    <t>Lift (lb)</t>
  </si>
  <si>
    <t>Delta</t>
  </si>
  <si>
    <t>Cruise CL</t>
  </si>
  <si>
    <t>k</t>
  </si>
  <si>
    <t>V (f/s)</t>
  </si>
  <si>
    <t>rho (lbm/f^3)</t>
  </si>
  <si>
    <t>q (lbf/f^2)</t>
  </si>
  <si>
    <t>W/S_optimum</t>
  </si>
  <si>
    <t>W/S_actual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</si>
</sst>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#,##0.0000"/>
  </numFmts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167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3" fontId="0" fillId="2" borderId="0" xfId="0" applyNumberFormat="1" applyFill="1"/>
    <xf numFmtId="3" fontId="2" fillId="2" borderId="0" xfId="0" applyNumberFormat="1" applyFont="1" applyFill="1"/>
    <xf numFmtId="166" fontId="2" fillId="2" borderId="0" xfId="0" applyNumberFormat="1" applyFont="1" applyFill="1"/>
    <xf numFmtId="3" fontId="2" fillId="4" borderId="0" xfId="0" applyNumberFormat="1" applyFont="1" applyFill="1"/>
    <xf numFmtId="166" fontId="2" fillId="4" borderId="0" xfId="0" applyNumberFormat="1" applyFont="1" applyFill="1"/>
    <xf numFmtId="3" fontId="0" fillId="5" borderId="0" xfId="0" applyNumberFormat="1" applyFill="1"/>
    <xf numFmtId="167" fontId="2" fillId="2" borderId="0" xfId="0" applyNumberFormat="1" applyFont="1" applyFill="1"/>
    <xf numFmtId="4" fontId="2" fillId="2" borderId="0" xfId="0" applyNumberFormat="1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3" workbookViewId="0">
      <selection activeCell="B20" sqref="B20"/>
    </sheetView>
  </sheetViews>
  <sheetFormatPr defaultColWidth="11.453125" defaultRowHeight="12.5" x14ac:dyDescent="0.25"/>
  <cols>
    <col min="1" max="1" width="15.7265625" customWidth="1"/>
    <col min="2" max="2" width="10.7265625" customWidth="1"/>
    <col min="3" max="3" width="9" customWidth="1"/>
    <col min="4" max="4" width="15.7265625" customWidth="1"/>
    <col min="5" max="5" width="10.7265625" customWidth="1"/>
    <col min="6" max="6" width="9" customWidth="1"/>
    <col min="7" max="7" width="15.7265625" customWidth="1"/>
    <col min="8" max="8" width="10.7265625" customWidth="1"/>
    <col min="9" max="9" width="9" customWidth="1"/>
    <col min="10" max="10" width="15.7265625" customWidth="1"/>
    <col min="11" max="11" width="13.1796875" customWidth="1"/>
  </cols>
  <sheetData>
    <row r="1" spans="1:11" ht="13" x14ac:dyDescent="0.3">
      <c r="A1" s="1" t="s">
        <v>0</v>
      </c>
      <c r="B1" s="2"/>
      <c r="C1" s="2"/>
      <c r="D1" s="1" t="s">
        <v>1</v>
      </c>
      <c r="E1" s="2"/>
      <c r="G1" s="5" t="s">
        <v>2</v>
      </c>
    </row>
    <row r="2" spans="1:11" x14ac:dyDescent="0.25">
      <c r="A2" s="2" t="s">
        <v>3</v>
      </c>
      <c r="B2" s="2">
        <v>0</v>
      </c>
      <c r="C2" s="2"/>
      <c r="D2" s="2" t="s">
        <v>3</v>
      </c>
      <c r="E2" s="2">
        <v>0</v>
      </c>
      <c r="G2" s="6" t="s">
        <v>4</v>
      </c>
      <c r="H2" s="13">
        <v>181200</v>
      </c>
      <c r="I2" t="s">
        <v>5</v>
      </c>
    </row>
    <row r="3" spans="1:11" x14ac:dyDescent="0.25">
      <c r="A3" s="2" t="s">
        <v>6</v>
      </c>
      <c r="B3" s="12">
        <v>2</v>
      </c>
      <c r="C3" s="2" t="s">
        <v>5</v>
      </c>
      <c r="D3" s="2" t="s">
        <v>6</v>
      </c>
      <c r="E3" s="12">
        <v>2.8</v>
      </c>
      <c r="F3" s="2" t="s">
        <v>5</v>
      </c>
      <c r="G3" s="6" t="s">
        <v>7</v>
      </c>
      <c r="H3" s="13">
        <v>176669.99864893054</v>
      </c>
      <c r="I3" t="s">
        <v>5</v>
      </c>
    </row>
    <row r="4" spans="1:11" x14ac:dyDescent="0.25">
      <c r="A4" s="2" t="s">
        <v>8</v>
      </c>
      <c r="B4" s="14">
        <v>56000</v>
      </c>
      <c r="C4" s="2" t="s">
        <v>5</v>
      </c>
      <c r="D4" s="2" t="s">
        <v>8</v>
      </c>
      <c r="E4" s="3">
        <f>TMX</f>
        <v>56000</v>
      </c>
      <c r="G4" s="6" t="s">
        <v>9</v>
      </c>
      <c r="H4" s="13">
        <v>171087.22669162435</v>
      </c>
      <c r="I4" t="s">
        <v>5</v>
      </c>
    </row>
    <row r="5" spans="1:11" x14ac:dyDescent="0.25">
      <c r="A5" s="2" t="s">
        <v>10</v>
      </c>
      <c r="B5" s="3">
        <v>181200</v>
      </c>
      <c r="C5" s="2"/>
      <c r="D5" s="2" t="s">
        <v>11</v>
      </c>
      <c r="E5" s="3">
        <f>H6</f>
        <v>153103.04707983515</v>
      </c>
      <c r="G5" s="6" t="s">
        <v>12</v>
      </c>
      <c r="H5" s="13">
        <v>154614.06572472697</v>
      </c>
      <c r="I5" t="s">
        <v>5</v>
      </c>
    </row>
    <row r="6" spans="1:11" x14ac:dyDescent="0.25">
      <c r="A6" s="2" t="s">
        <v>13</v>
      </c>
      <c r="B6" s="12">
        <v>1370</v>
      </c>
      <c r="C6" s="2" t="s">
        <v>5</v>
      </c>
      <c r="D6" s="2" t="s">
        <v>13</v>
      </c>
      <c r="E6" s="2">
        <f>S</f>
        <v>1370</v>
      </c>
      <c r="G6" s="6" t="s">
        <v>14</v>
      </c>
      <c r="H6" s="13">
        <v>153103.04707983515</v>
      </c>
      <c r="I6" t="s">
        <v>5</v>
      </c>
    </row>
    <row r="7" spans="1:11" x14ac:dyDescent="0.25">
      <c r="A7" s="2"/>
      <c r="B7" s="2"/>
      <c r="C7" s="2"/>
      <c r="G7" s="6"/>
    </row>
    <row r="8" spans="1:11" x14ac:dyDescent="0.25">
      <c r="A8" s="2" t="s">
        <v>15</v>
      </c>
      <c r="B8" s="10">
        <f>B5/B6</f>
        <v>132.26277372262774</v>
      </c>
      <c r="C8" s="2"/>
      <c r="D8" s="2" t="s">
        <v>15</v>
      </c>
      <c r="E8" s="10">
        <f>WL/S</f>
        <v>111.75404896338331</v>
      </c>
      <c r="G8" s="6" t="s">
        <v>16</v>
      </c>
      <c r="H8" t="s">
        <v>17</v>
      </c>
    </row>
    <row r="9" spans="1:11" x14ac:dyDescent="0.25">
      <c r="A9" s="2" t="s">
        <v>18</v>
      </c>
      <c r="B9" s="9">
        <f>1-0.00002615*B2</f>
        <v>1</v>
      </c>
      <c r="C9" s="2"/>
      <c r="D9" s="2" t="s">
        <v>18</v>
      </c>
      <c r="E9" s="9">
        <f>1-0.00002615*E2</f>
        <v>1</v>
      </c>
    </row>
    <row r="10" spans="1:11" x14ac:dyDescent="0.25">
      <c r="A10" s="2" t="s">
        <v>19</v>
      </c>
      <c r="B10" s="4">
        <f>B4/WTO</f>
        <v>0.30905077262693159</v>
      </c>
      <c r="C10" s="2"/>
      <c r="D10" s="2" t="s">
        <v>19</v>
      </c>
      <c r="E10" s="4">
        <f>E4/WL</f>
        <v>0.36576672422985129</v>
      </c>
    </row>
    <row r="11" spans="1:11" x14ac:dyDescent="0.25">
      <c r="A11" s="2" t="s">
        <v>20</v>
      </c>
      <c r="B11" s="10">
        <f>WS/(B3*B10*B9)</f>
        <v>213.9822732012513</v>
      </c>
      <c r="C11" s="2"/>
      <c r="D11" s="2" t="s">
        <v>21</v>
      </c>
      <c r="E11" s="10">
        <f>E8/(E9*E3)</f>
        <v>39.91216034406547</v>
      </c>
    </row>
    <row r="12" spans="1:11" x14ac:dyDescent="0.25">
      <c r="A12" s="2" t="s">
        <v>22</v>
      </c>
      <c r="B12" s="3">
        <f>20.9*B11+87*SQRT(B11*B10)</f>
        <v>5179.7240096397436</v>
      </c>
      <c r="C12" s="2"/>
      <c r="D12" s="2" t="s">
        <v>23</v>
      </c>
      <c r="E12" s="3">
        <f>118*E11+400</f>
        <v>5109.6349205997258</v>
      </c>
    </row>
    <row r="13" spans="1:11" ht="13" thickBot="1" x14ac:dyDescent="0.3">
      <c r="A13" s="2"/>
      <c r="B13" s="3"/>
      <c r="C13" s="2"/>
      <c r="D13" s="2"/>
      <c r="E13" s="3"/>
    </row>
    <row r="14" spans="1:11" ht="20.149999999999999" customHeight="1" thickBot="1" x14ac:dyDescent="0.45">
      <c r="A14" s="2" t="s">
        <v>24</v>
      </c>
      <c r="B14" s="19">
        <v>3.0000000000000001E-3</v>
      </c>
      <c r="C14" s="2" t="s">
        <v>5</v>
      </c>
      <c r="D14" s="27" t="s">
        <v>25</v>
      </c>
      <c r="E14" s="28"/>
      <c r="F14" s="30" t="s">
        <v>26</v>
      </c>
      <c r="G14" s="30"/>
      <c r="H14" s="30"/>
      <c r="I14" s="30"/>
      <c r="J14" s="30"/>
      <c r="K14" s="31"/>
    </row>
    <row r="15" spans="1:11" ht="15.5" x14ac:dyDescent="0.4">
      <c r="A15" s="2" t="s">
        <v>27</v>
      </c>
      <c r="B15" s="20">
        <v>6.3</v>
      </c>
      <c r="C15" s="2" t="s">
        <v>5</v>
      </c>
      <c r="D15" s="29"/>
      <c r="E15" s="29"/>
      <c r="F15" s="32"/>
      <c r="G15" s="32"/>
      <c r="H15" s="32"/>
      <c r="I15" s="32"/>
      <c r="J15" s="32"/>
      <c r="K15" s="32"/>
    </row>
    <row r="16" spans="1:11" x14ac:dyDescent="0.25">
      <c r="A16" s="2"/>
      <c r="B16" s="3"/>
      <c r="C16" s="2"/>
      <c r="D16" s="2"/>
      <c r="E16" s="3"/>
    </row>
    <row r="17" spans="1:11" ht="13" x14ac:dyDescent="0.3">
      <c r="A17" s="21" t="s">
        <v>28</v>
      </c>
      <c r="B17" s="22"/>
      <c r="C17" s="22"/>
      <c r="D17" s="22"/>
      <c r="E17" s="23"/>
      <c r="G17" s="24" t="s">
        <v>29</v>
      </c>
      <c r="H17" s="25"/>
      <c r="I17" s="25"/>
      <c r="J17" s="25"/>
      <c r="K17" s="26"/>
    </row>
    <row r="18" spans="1:11" ht="13" x14ac:dyDescent="0.3">
      <c r="A18" s="1" t="s">
        <v>12</v>
      </c>
      <c r="B18" s="2"/>
      <c r="C18" s="2"/>
      <c r="D18" s="2"/>
      <c r="E18" s="2"/>
      <c r="G18" s="1" t="s">
        <v>12</v>
      </c>
      <c r="H18" s="2"/>
      <c r="I18" s="2"/>
      <c r="J18" s="2"/>
      <c r="K18" s="2"/>
    </row>
    <row r="19" spans="1:11" ht="13" x14ac:dyDescent="0.3">
      <c r="A19" s="1" t="s">
        <v>30</v>
      </c>
      <c r="B19" s="2"/>
      <c r="C19" s="2"/>
      <c r="D19" s="1" t="s">
        <v>31</v>
      </c>
      <c r="E19" s="2"/>
      <c r="G19" s="1" t="s">
        <v>30</v>
      </c>
      <c r="H19" s="2"/>
      <c r="I19" s="2"/>
      <c r="J19" s="1" t="s">
        <v>31</v>
      </c>
      <c r="K19" s="2"/>
    </row>
    <row r="20" spans="1:11" x14ac:dyDescent="0.25">
      <c r="A20" s="2" t="s">
        <v>32</v>
      </c>
      <c r="B20" s="9">
        <f>B14*B15</f>
        <v>1.89E-2</v>
      </c>
      <c r="C20" s="2"/>
      <c r="D20" s="2" t="s">
        <v>32</v>
      </c>
      <c r="E20" s="2">
        <f>CD_0</f>
        <v>1.89E-2</v>
      </c>
      <c r="G20" s="2" t="s">
        <v>32</v>
      </c>
      <c r="H20" s="2">
        <f>CD_0</f>
        <v>1.89E-2</v>
      </c>
      <c r="I20" s="2"/>
      <c r="J20" s="2" t="s">
        <v>32</v>
      </c>
      <c r="K20" s="2">
        <f>CD_0</f>
        <v>1.89E-2</v>
      </c>
    </row>
    <row r="21" spans="1:11" x14ac:dyDescent="0.25">
      <c r="A21" s="2" t="s">
        <v>33</v>
      </c>
      <c r="B21" s="12">
        <v>10.130000000000001</v>
      </c>
      <c r="C21" s="2" t="s">
        <v>5</v>
      </c>
      <c r="D21" s="2" t="s">
        <v>33</v>
      </c>
      <c r="E21" s="2">
        <f>A</f>
        <v>10.130000000000001</v>
      </c>
      <c r="G21" s="2" t="s">
        <v>33</v>
      </c>
      <c r="H21" s="2">
        <f>A</f>
        <v>10.130000000000001</v>
      </c>
      <c r="I21" s="2"/>
      <c r="J21" s="2" t="s">
        <v>33</v>
      </c>
      <c r="K21" s="2">
        <f>A</f>
        <v>10.130000000000001</v>
      </c>
    </row>
    <row r="22" spans="1:11" x14ac:dyDescent="0.25">
      <c r="A22" s="2" t="s">
        <v>3</v>
      </c>
      <c r="B22" s="16">
        <v>29146.3</v>
      </c>
      <c r="C22" s="2"/>
      <c r="D22" s="2" t="s">
        <v>3</v>
      </c>
      <c r="E22" s="16">
        <v>31215.8</v>
      </c>
      <c r="G22" s="2" t="s">
        <v>3</v>
      </c>
      <c r="H22" s="3">
        <f>B22</f>
        <v>29146.3</v>
      </c>
      <c r="I22" s="2"/>
      <c r="J22" s="2" t="s">
        <v>3</v>
      </c>
      <c r="K22" s="3">
        <f>H22</f>
        <v>29146.3</v>
      </c>
    </row>
    <row r="23" spans="1:11" x14ac:dyDescent="0.25">
      <c r="A23" s="2" t="s">
        <v>34</v>
      </c>
      <c r="B23" s="15">
        <v>0.79</v>
      </c>
      <c r="C23" s="2" t="s">
        <v>5</v>
      </c>
      <c r="D23" s="2" t="s">
        <v>34</v>
      </c>
      <c r="E23" s="9">
        <f>MC</f>
        <v>0.79</v>
      </c>
      <c r="G23" s="2" t="s">
        <v>34</v>
      </c>
      <c r="H23" s="9">
        <f>MC</f>
        <v>0.79</v>
      </c>
      <c r="I23" s="2"/>
      <c r="J23" s="2" t="s">
        <v>34</v>
      </c>
      <c r="K23" s="17">
        <v>0.75100500000000003</v>
      </c>
    </row>
    <row r="24" spans="1:11" x14ac:dyDescent="0.25">
      <c r="A24" s="2" t="s">
        <v>35</v>
      </c>
      <c r="B24" s="3">
        <f>H4</f>
        <v>171087.22669162435</v>
      </c>
      <c r="C24" s="2"/>
      <c r="D24" s="2" t="s">
        <v>35</v>
      </c>
      <c r="E24" s="3">
        <f>H5</f>
        <v>154614.06572472697</v>
      </c>
      <c r="G24" s="2" t="s">
        <v>35</v>
      </c>
      <c r="H24" s="3">
        <f>B24</f>
        <v>171087.22669162435</v>
      </c>
      <c r="I24" s="2"/>
      <c r="J24" s="2" t="s">
        <v>35</v>
      </c>
      <c r="K24" s="3">
        <f>E24</f>
        <v>154614.06572472697</v>
      </c>
    </row>
    <row r="25" spans="1:11" x14ac:dyDescent="0.25">
      <c r="A25" s="2" t="s">
        <v>36</v>
      </c>
      <c r="B25" s="3">
        <f>B28*B32*S</f>
        <v>171087.2523014996</v>
      </c>
      <c r="C25" s="2"/>
      <c r="D25" s="2" t="s">
        <v>36</v>
      </c>
      <c r="E25" s="3">
        <f>E28*E32*S</f>
        <v>154614.14054878001</v>
      </c>
      <c r="G25" s="2" t="s">
        <v>36</v>
      </c>
      <c r="H25" s="3">
        <f>H28*H32*S</f>
        <v>171087.2523014996</v>
      </c>
      <c r="I25" s="2"/>
      <c r="J25" s="2" t="s">
        <v>36</v>
      </c>
      <c r="K25" s="3">
        <f>K28*K32*S</f>
        <v>154614.11032661441</v>
      </c>
    </row>
    <row r="26" spans="1:11" x14ac:dyDescent="0.25">
      <c r="A26" s="2" t="s">
        <v>37</v>
      </c>
      <c r="B26" s="18">
        <f>B24-B25</f>
        <v>-2.5609875243389979E-2</v>
      </c>
      <c r="C26" s="2"/>
      <c r="D26" s="2" t="s">
        <v>37</v>
      </c>
      <c r="E26" s="18">
        <f>E24-E25</f>
        <v>-7.4824053037445992E-2</v>
      </c>
      <c r="G26" s="2" t="s">
        <v>37</v>
      </c>
      <c r="H26" s="18">
        <f>H24-H25</f>
        <v>-2.5609875243389979E-2</v>
      </c>
      <c r="I26" s="2"/>
      <c r="J26" s="2" t="s">
        <v>37</v>
      </c>
      <c r="K26" s="18">
        <f>K24-K25</f>
        <v>-4.4601887435419485E-2</v>
      </c>
    </row>
    <row r="27" spans="1:11" x14ac:dyDescent="0.25">
      <c r="A27" s="2"/>
      <c r="B27" s="3"/>
      <c r="C27" s="2"/>
      <c r="D27" s="2"/>
      <c r="E27" s="3"/>
      <c r="G27" s="2"/>
      <c r="H27" s="3"/>
      <c r="I27" s="2"/>
      <c r="J27" s="2"/>
      <c r="K27" s="3"/>
    </row>
    <row r="28" spans="1:11" x14ac:dyDescent="0.25">
      <c r="A28" s="2" t="s">
        <v>38</v>
      </c>
      <c r="B28" s="8">
        <f>SQRT(CD_0/(3*k))</f>
        <v>0.40049299775096897</v>
      </c>
      <c r="C28" s="2"/>
      <c r="D28" s="2" t="s">
        <v>38</v>
      </c>
      <c r="E28" s="8">
        <f>SQRT(CD_0/(3*k))</f>
        <v>0.40049299775096897</v>
      </c>
      <c r="G28" s="2" t="s">
        <v>38</v>
      </c>
      <c r="H28" s="8">
        <f>SQRT(CD_0/(3*k))</f>
        <v>0.40049299775096897</v>
      </c>
      <c r="I28" s="2"/>
      <c r="J28" s="2" t="s">
        <v>38</v>
      </c>
      <c r="K28" s="8">
        <f>SQRT(CD_0/(3*k))</f>
        <v>0.40049299775096897</v>
      </c>
    </row>
    <row r="29" spans="1:11" x14ac:dyDescent="0.25">
      <c r="A29" s="2" t="s">
        <v>39</v>
      </c>
      <c r="B29" s="9">
        <f>1/(PI()*A*0.8)</f>
        <v>3.92781202102407E-2</v>
      </c>
      <c r="C29" s="2"/>
      <c r="D29" s="2" t="s">
        <v>39</v>
      </c>
      <c r="E29" s="9">
        <f>1/(PI()*A*0.8)</f>
        <v>3.92781202102407E-2</v>
      </c>
      <c r="G29" s="2" t="s">
        <v>39</v>
      </c>
      <c r="H29" s="9">
        <f>1/(PI()*A*0.8)</f>
        <v>3.92781202102407E-2</v>
      </c>
      <c r="I29" s="2"/>
      <c r="J29" s="2" t="s">
        <v>39</v>
      </c>
      <c r="K29" s="9">
        <f>1/(PI()*A*0.8)</f>
        <v>3.92781202102407E-2</v>
      </c>
    </row>
    <row r="30" spans="1:11" x14ac:dyDescent="0.25">
      <c r="A30" s="2" t="s">
        <v>40</v>
      </c>
      <c r="B30" s="10">
        <f>(1036-0.0034*(B22-20000))*B23</f>
        <v>793.87303820000011</v>
      </c>
      <c r="C30" s="2"/>
      <c r="D30" s="2" t="s">
        <v>40</v>
      </c>
      <c r="E30" s="10">
        <f>(1036-0.0034*(E22-20000))*E23</f>
        <v>788.31436120000001</v>
      </c>
      <c r="G30" s="2" t="s">
        <v>40</v>
      </c>
      <c r="H30" s="10">
        <f>(1036-0.0034*(H22-20000))*H23</f>
        <v>793.87303820000011</v>
      </c>
      <c r="I30" s="2"/>
      <c r="J30" s="2" t="s">
        <v>40</v>
      </c>
      <c r="K30" s="10">
        <f>(1036-0.0034*(K22-20000))*K23</f>
        <v>754.68686209290013</v>
      </c>
    </row>
    <row r="31" spans="1:11" x14ac:dyDescent="0.25">
      <c r="A31" s="2" t="s">
        <v>41</v>
      </c>
      <c r="B31" s="11">
        <f>IF(B22&lt;10000,(1-0.00002615*B22)*0.076474,IF(B22&gt;40000,(-0.0000091*B22+0.6211)*0.076474,(-0.00001681*B22+0.9066)*0.076474))</f>
        <v>3.1862945402377996E-2</v>
      </c>
      <c r="C31" s="2"/>
      <c r="D31" s="2" t="s">
        <v>41</v>
      </c>
      <c r="E31" s="11">
        <f>IF(E22&lt;10000,(1-0.00002615*E22)*0.076474,IF(E22&gt;40000,(-0.0000091*E22+0.6211)*0.076474,(-0.00001681*E22+0.9066)*0.076474))</f>
        <v>2.9202545330547999E-2</v>
      </c>
      <c r="G31" s="2" t="s">
        <v>41</v>
      </c>
      <c r="H31" s="11">
        <f>IF(H22&lt;10000,(1-0.00002615*H22)*0.076474,IF(H22&gt;40000,(-0.0000091*H22+0.6211)*0.076474,(-0.00001681*H22+0.9066)*0.076474))</f>
        <v>3.1862945402377996E-2</v>
      </c>
      <c r="I31" s="2"/>
      <c r="J31" s="2" t="s">
        <v>41</v>
      </c>
      <c r="K31" s="11">
        <f>IF(K22&lt;10000,(1-0.00002615*K22)*0.076474,IF(K22&gt;40000,(-0.0000091*K22+0.6211)*0.076474,(-0.00001681*K22+0.9066)*0.076474))</f>
        <v>3.1862945402377996E-2</v>
      </c>
    </row>
    <row r="32" spans="1:11" x14ac:dyDescent="0.25">
      <c r="A32" s="2" t="s">
        <v>42</v>
      </c>
      <c r="B32" s="10">
        <f>0.5*B31*(B30^2)/32.2</f>
        <v>311.81870035376068</v>
      </c>
      <c r="C32" s="2"/>
      <c r="D32" s="2" t="s">
        <v>42</v>
      </c>
      <c r="E32" s="10">
        <f>0.5*E31*(E30^2)/32.2</f>
        <v>281.7952811427067</v>
      </c>
      <c r="G32" s="2" t="s">
        <v>42</v>
      </c>
      <c r="H32" s="10">
        <f>0.5*H31*(H30^2)/32.2</f>
        <v>311.81870035376068</v>
      </c>
      <c r="I32" s="2"/>
      <c r="J32" s="2" t="s">
        <v>42</v>
      </c>
      <c r="K32" s="10">
        <f>0.5*K31*(K30^2)/32.2</f>
        <v>281.7952260606578</v>
      </c>
    </row>
    <row r="33" spans="1:11" x14ac:dyDescent="0.25">
      <c r="A33" s="2" t="s">
        <v>15</v>
      </c>
      <c r="B33" s="10">
        <f>SQRT(CD_0/(3*k))*B32</f>
        <v>124.88120605948875</v>
      </c>
      <c r="C33" s="2"/>
      <c r="D33" s="2" t="s">
        <v>43</v>
      </c>
      <c r="E33" s="10">
        <f>SQRT(CD_0/(3*k))*E32</f>
        <v>112.85703689691971</v>
      </c>
      <c r="G33" s="2" t="s">
        <v>15</v>
      </c>
      <c r="H33" s="10">
        <f>SQRT(CD_0/(3*k))*H32</f>
        <v>124.88120605948875</v>
      </c>
      <c r="I33" s="2"/>
      <c r="J33" s="2" t="s">
        <v>43</v>
      </c>
      <c r="K33" s="10">
        <f>SQRT(CD_0/(3*k))*K32</f>
        <v>112.85701483694481</v>
      </c>
    </row>
    <row r="34" spans="1:11" x14ac:dyDescent="0.25">
      <c r="A34" s="2" t="s">
        <v>44</v>
      </c>
      <c r="B34" s="10">
        <f>B24/S</f>
        <v>124.88118736614916</v>
      </c>
      <c r="C34" s="2"/>
      <c r="D34" s="2" t="s">
        <v>44</v>
      </c>
      <c r="E34" s="10">
        <f>E24/S</f>
        <v>112.85698228082261</v>
      </c>
      <c r="G34" s="2" t="s">
        <v>44</v>
      </c>
      <c r="H34" s="10">
        <f>H24/S</f>
        <v>124.88118736614916</v>
      </c>
      <c r="I34" s="2"/>
      <c r="J34" s="2" t="s">
        <v>44</v>
      </c>
      <c r="K34" s="10">
        <f>K24/S</f>
        <v>112.85698228082261</v>
      </c>
    </row>
    <row r="35" spans="1:11" x14ac:dyDescent="0.25">
      <c r="A35" s="2"/>
      <c r="B35" s="2"/>
      <c r="C35" s="2"/>
      <c r="D35" s="2"/>
      <c r="E35" s="2"/>
    </row>
    <row r="44" spans="1:11" x14ac:dyDescent="0.25">
      <c r="A44" s="2"/>
      <c r="B44" s="3"/>
      <c r="C44" s="2"/>
      <c r="D44" s="2"/>
      <c r="E44" s="3"/>
      <c r="G44" s="2"/>
      <c r="H44" s="3"/>
      <c r="I44" s="2"/>
      <c r="J44" s="2"/>
      <c r="K44" s="3"/>
    </row>
    <row r="45" spans="1:11" x14ac:dyDescent="0.25">
      <c r="A45" s="2"/>
      <c r="B45" s="7"/>
      <c r="C45" s="2"/>
      <c r="D45" s="2"/>
      <c r="E45" s="7"/>
      <c r="G45" s="2"/>
      <c r="H45" s="7"/>
      <c r="I45" s="2"/>
      <c r="J45" s="2"/>
      <c r="K45" s="7"/>
    </row>
    <row r="46" spans="1:11" x14ac:dyDescent="0.25">
      <c r="A46" s="2"/>
      <c r="B46" s="3"/>
      <c r="C46" s="2"/>
      <c r="D46" s="2"/>
      <c r="E46" s="3"/>
      <c r="G46" s="2"/>
      <c r="H46" s="3"/>
      <c r="I46" s="2"/>
      <c r="J46" s="2"/>
      <c r="K46" s="3"/>
    </row>
    <row r="47" spans="1:11" x14ac:dyDescent="0.25">
      <c r="A47" s="2"/>
      <c r="B47" s="8"/>
      <c r="C47" s="2"/>
      <c r="D47" s="2"/>
      <c r="E47" s="8"/>
      <c r="G47" s="2"/>
      <c r="H47" s="8"/>
      <c r="I47" s="2"/>
      <c r="J47" s="2"/>
      <c r="K47" s="8"/>
    </row>
    <row r="48" spans="1:11" x14ac:dyDescent="0.25">
      <c r="A48" s="2"/>
      <c r="B48" s="9"/>
      <c r="C48" s="2"/>
      <c r="D48" s="2"/>
      <c r="E48" s="9"/>
      <c r="G48" s="2"/>
      <c r="H48" s="9"/>
      <c r="I48" s="2"/>
      <c r="J48" s="2"/>
      <c r="K48" s="9"/>
    </row>
    <row r="49" spans="1:11" x14ac:dyDescent="0.25">
      <c r="A49" s="2"/>
      <c r="B49" s="2"/>
      <c r="C49" s="2"/>
      <c r="D49" s="2"/>
      <c r="E49" s="10"/>
      <c r="G49" s="2"/>
      <c r="H49" s="10"/>
      <c r="I49" s="2"/>
      <c r="J49" s="2"/>
      <c r="K49" s="10"/>
    </row>
    <row r="50" spans="1:11" x14ac:dyDescent="0.25">
      <c r="A50" s="2"/>
      <c r="B50" s="11"/>
      <c r="C50" s="2"/>
      <c r="D50" s="2"/>
      <c r="E50" s="11"/>
      <c r="G50" s="2"/>
      <c r="H50" s="11"/>
      <c r="I50" s="2"/>
      <c r="J50" s="2"/>
      <c r="K50" s="11"/>
    </row>
    <row r="51" spans="1:11" x14ac:dyDescent="0.25">
      <c r="A51" s="2"/>
      <c r="B51" s="10"/>
      <c r="C51" s="2"/>
      <c r="D51" s="2"/>
      <c r="E51" s="10"/>
      <c r="G51" s="2"/>
      <c r="H51" s="10"/>
      <c r="I51" s="2"/>
      <c r="J51" s="2"/>
      <c r="K51" s="10"/>
    </row>
    <row r="52" spans="1:11" x14ac:dyDescent="0.25">
      <c r="A52" s="2"/>
      <c r="B52" s="10"/>
      <c r="C52" s="2"/>
      <c r="D52" s="2"/>
      <c r="E52" s="10"/>
      <c r="G52" s="2"/>
      <c r="H52" s="10"/>
      <c r="I52" s="2"/>
      <c r="J52" s="2"/>
      <c r="K52" s="10"/>
    </row>
    <row r="53" spans="1:11" x14ac:dyDescent="0.25">
      <c r="A53" s="2"/>
      <c r="B53" s="10"/>
      <c r="C53" s="2"/>
      <c r="D53" s="2"/>
      <c r="E53" s="10"/>
      <c r="G53" s="2"/>
      <c r="H53" s="10"/>
      <c r="I53" s="2"/>
      <c r="J53" s="2"/>
      <c r="K53" s="10"/>
    </row>
    <row r="54" spans="1:11" x14ac:dyDescent="0.25">
      <c r="A54" s="2"/>
      <c r="B54" s="2"/>
      <c r="C54" s="2"/>
      <c r="D54" s="2"/>
      <c r="E54" s="2"/>
    </row>
  </sheetData>
  <mergeCells count="6">
    <mergeCell ref="A17:E17"/>
    <mergeCell ref="G17:K17"/>
    <mergeCell ref="D14:E14"/>
    <mergeCell ref="D15:E15"/>
    <mergeCell ref="F14:K14"/>
    <mergeCell ref="F15:K15"/>
  </mergeCells>
  <phoneticPr fontId="0" type="noConversion"/>
  <printOptions gridLines="1" gridLinesSet="0"/>
  <pageMargins left="0.75" right="0.75" top="1" bottom="1" header="0.51181102300000003" footer="0.51181102300000003"/>
  <pageSetup orientation="portrait" r:id="rId1"/>
  <headerFooter alignWithMargins="0">
    <oddHeader>&amp;A</oddHeader>
    <oddFooter>Seite &amp;P</oddFooter>
  </headerFooter>
  <ignoredErrors>
    <ignoredError sqref="H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53125" defaultRowHeight="12.5" x14ac:dyDescent="0.25"/>
  <sheetData/>
  <phoneticPr fontId="0" type="noConversion"/>
  <printOptions gridLines="1" gridLinesSet="0"/>
  <pageMargins left="0.75" right="0.75" top="1" bottom="1" header="0.51181102300000003" footer="0.51181102300000003"/>
  <headerFooter alignWithMargins="0">
    <oddHeader>&amp;A</oddHeader>
    <oddFooter>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53125" defaultRowHeight="12.5" x14ac:dyDescent="0.25"/>
  <sheetData/>
  <phoneticPr fontId="0" type="noConversion"/>
  <printOptions gridLines="1" gridLinesSet="0"/>
  <pageMargins left="0.75" right="0.75" top="1" bottom="1" header="0.51181102300000003" footer="0.51181102300000003"/>
  <headerFooter alignWithMargins="0">
    <oddHeader>&amp;A</oddHeader>
    <oddFooter>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WINGLOAD</vt:lpstr>
      <vt:lpstr>Sheet2</vt:lpstr>
      <vt:lpstr>Sheet3</vt:lpstr>
      <vt:lpstr>A</vt:lpstr>
      <vt:lpstr>CD_0</vt:lpstr>
      <vt:lpstr>CLMX</vt:lpstr>
      <vt:lpstr>CMN</vt:lpstr>
      <vt:lpstr>H</vt:lpstr>
      <vt:lpstr>H_TO</vt:lpstr>
      <vt:lpstr>k</vt:lpstr>
      <vt:lpstr>LT</vt:lpstr>
      <vt:lpstr>MC</vt:lpstr>
      <vt:lpstr>RA</vt:lpstr>
      <vt:lpstr>S</vt:lpstr>
      <vt:lpstr>SIG</vt:lpstr>
      <vt:lpstr>TMX</vt:lpstr>
      <vt:lpstr>WL</vt:lpstr>
      <vt:lpstr>WS</vt:lpstr>
      <vt:lpstr>WTO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Study</dc:creator>
  <cp:keywords/>
  <dc:description/>
  <cp:lastModifiedBy>Melody Hatfield</cp:lastModifiedBy>
  <cp:revision/>
  <dcterms:created xsi:type="dcterms:W3CDTF">2002-11-07T19:35:35Z</dcterms:created>
  <dcterms:modified xsi:type="dcterms:W3CDTF">2023-04-17T07:47:22Z</dcterms:modified>
  <cp:category/>
  <cp:contentStatus/>
</cp:coreProperties>
</file>