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Team Assignments/"/>
    </mc:Choice>
  </mc:AlternateContent>
  <xr:revisionPtr revIDLastSave="63" documentId="13_ncr:1_{AFD36F19-FE0E-4BF7-99FE-F2489047B8DE}" xr6:coauthVersionLast="47" xr6:coauthVersionMax="47" xr10:uidLastSave="{BB05C062-EC5C-4732-A232-AF96FEC3914F}"/>
  <bookViews>
    <workbookView xWindow="-108" yWindow="-108" windowWidth="23256" windowHeight="13176" xr2:uid="{00000000-000D-0000-FFFF-FFFF00000000}"/>
  </bookViews>
  <sheets>
    <sheet name="WING" sheetId="1" r:id="rId1"/>
    <sheet name="Sheet2" sheetId="2" r:id="rId2"/>
    <sheet name="Sheet3" sheetId="3" r:id="rId3"/>
  </sheets>
  <externalReferences>
    <externalReference r:id="rId4"/>
  </externalReferences>
  <definedNames>
    <definedName name="A">WING!$B$6</definedName>
    <definedName name="CD_0">WING!$B$31</definedName>
    <definedName name="H">WING!$L$3</definedName>
    <definedName name="HC">WING!#REF!</definedName>
    <definedName name="k">'[1]Wing Loading'!$B$7</definedName>
    <definedName name="MC">'[1]Takeoff Weight'!$B$2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6" i="1"/>
  <c r="C49" i="1" l="1"/>
  <c r="L4" i="1"/>
  <c r="L5" i="1"/>
  <c r="L7" i="1"/>
  <c r="G9" i="1"/>
  <c r="B19" i="1"/>
  <c r="B24" i="1" s="1"/>
  <c r="B20" i="1"/>
  <c r="B25" i="1" s="1"/>
  <c r="G22" i="1"/>
  <c r="G23" i="1"/>
  <c r="B30" i="1"/>
  <c r="G32" i="1"/>
  <c r="A49" i="1"/>
  <c r="B50" i="1"/>
  <c r="A50" i="1" s="1"/>
  <c r="C50" i="1" s="1"/>
  <c r="L8" i="1" l="1"/>
  <c r="B43" i="1"/>
  <c r="L6" i="1"/>
  <c r="B44" i="1"/>
  <c r="B21" i="1"/>
  <c r="H23" i="1" s="1"/>
  <c r="B22" i="1" l="1"/>
  <c r="G33" i="1"/>
  <c r="B26" i="1"/>
  <c r="A42" i="1"/>
  <c r="B23" i="1"/>
  <c r="H22" i="1"/>
  <c r="H21" i="1"/>
  <c r="H20" i="1"/>
  <c r="H24" i="1"/>
  <c r="A43" i="1" s="1"/>
  <c r="E50" i="1" l="1"/>
  <c r="B27" i="1"/>
  <c r="G27" i="1"/>
  <c r="A44" i="1"/>
  <c r="G29" i="1" l="1"/>
  <c r="G28" i="1"/>
  <c r="B28" i="1"/>
  <c r="B29" i="1" s="1"/>
  <c r="G30" i="1" l="1"/>
  <c r="G31" i="1"/>
  <c r="G35" i="1" s="1"/>
  <c r="B31" i="1" s="1"/>
  <c r="B35" i="1" s="1"/>
  <c r="B32" i="1" l="1"/>
</calcChain>
</file>

<file path=xl/sharedStrings.xml><?xml version="1.0" encoding="utf-8"?>
<sst xmlns="http://schemas.openxmlformats.org/spreadsheetml/2006/main" count="115" uniqueCount="95">
  <si>
    <t>Design Parameters</t>
  </si>
  <si>
    <t>Airfoil Data</t>
  </si>
  <si>
    <t xml:space="preserve">  Air Properties</t>
  </si>
  <si>
    <t>M</t>
  </si>
  <si>
    <t>Name</t>
  </si>
  <si>
    <t>NACA 64A204</t>
  </si>
  <si>
    <t>Cruise Alt. (ft)</t>
  </si>
  <si>
    <t>ft</t>
  </si>
  <si>
    <r>
      <t>S</t>
    </r>
    <r>
      <rPr>
        <vertAlign val="subscript"/>
        <sz val="10"/>
        <rFont val="Arial"/>
        <family val="2"/>
      </rPr>
      <t>ref</t>
    </r>
  </si>
  <si>
    <r>
      <t>ft</t>
    </r>
    <r>
      <rPr>
        <vertAlign val="superscript"/>
        <sz val="8"/>
        <rFont val="Arial"/>
        <family val="2"/>
      </rPr>
      <t>2</t>
    </r>
  </si>
  <si>
    <r>
      <t>Cl</t>
    </r>
    <r>
      <rPr>
        <vertAlign val="subscript"/>
        <sz val="10"/>
        <rFont val="Arial"/>
        <family val="2"/>
      </rPr>
      <t>max</t>
    </r>
  </si>
  <si>
    <t xml:space="preserve"> V </t>
  </si>
  <si>
    <t>f/s</t>
  </si>
  <si>
    <r>
      <t>S</t>
    </r>
    <r>
      <rPr>
        <vertAlign val="subscript"/>
        <sz val="10"/>
        <rFont val="Arial"/>
        <family val="2"/>
      </rPr>
      <t>trap</t>
    </r>
  </si>
  <si>
    <r>
      <t>Cl</t>
    </r>
    <r>
      <rPr>
        <vertAlign val="subscript"/>
        <sz val="10"/>
        <rFont val="Symbol"/>
        <family val="1"/>
        <charset val="2"/>
      </rPr>
      <t>a</t>
    </r>
  </si>
  <si>
    <t>1/deg</t>
  </si>
  <si>
    <r>
      <t>r</t>
    </r>
    <r>
      <rPr>
        <sz val="10"/>
        <rFont val="Arial"/>
        <family val="2"/>
      </rPr>
      <t xml:space="preserve"> </t>
    </r>
  </si>
  <si>
    <t>lbm/f^3</t>
  </si>
  <si>
    <r>
      <t>AR</t>
    </r>
    <r>
      <rPr>
        <vertAlign val="subscript"/>
        <sz val="10"/>
        <rFont val="Arial"/>
        <family val="2"/>
      </rPr>
      <t>ref</t>
    </r>
  </si>
  <si>
    <t>a.c.</t>
  </si>
  <si>
    <t>c</t>
  </si>
  <si>
    <t xml:space="preserve">q </t>
  </si>
  <si>
    <t>lbf/f^2</t>
  </si>
  <si>
    <r>
      <t>AR</t>
    </r>
    <r>
      <rPr>
        <vertAlign val="subscript"/>
        <sz val="10"/>
        <rFont val="Arial"/>
        <family val="2"/>
      </rPr>
      <t>trap</t>
    </r>
  </si>
  <si>
    <r>
      <t>a</t>
    </r>
    <r>
      <rPr>
        <vertAlign val="subscript"/>
        <sz val="10"/>
        <rFont val="Arial"/>
        <family val="2"/>
      </rPr>
      <t>0L</t>
    </r>
  </si>
  <si>
    <t>deg</t>
  </si>
  <si>
    <r>
      <t>m</t>
    </r>
    <r>
      <rPr>
        <sz val="10"/>
        <rFont val="Arial"/>
        <family val="2"/>
      </rPr>
      <t xml:space="preserve">  </t>
    </r>
  </si>
  <si>
    <t xml:space="preserve">lbm/(f-s) </t>
  </si>
  <si>
    <r>
      <t>L</t>
    </r>
    <r>
      <rPr>
        <vertAlign val="subscript"/>
        <sz val="10"/>
        <rFont val="Arial"/>
        <family val="2"/>
      </rPr>
      <t>LE</t>
    </r>
  </si>
  <si>
    <r>
      <t>Cd</t>
    </r>
    <r>
      <rPr>
        <sz val="8"/>
        <rFont val="Arial"/>
        <family val="2"/>
      </rPr>
      <t>0</t>
    </r>
  </si>
  <si>
    <r>
      <t xml:space="preserve">n </t>
    </r>
    <r>
      <rPr>
        <sz val="10"/>
        <rFont val="Arial"/>
        <family val="2"/>
      </rPr>
      <t>(cruise)</t>
    </r>
  </si>
  <si>
    <t>f^2/s</t>
  </si>
  <si>
    <t>l</t>
  </si>
  <si>
    <r>
      <t>r</t>
    </r>
    <r>
      <rPr>
        <vertAlign val="subscript"/>
        <sz val="10"/>
        <rFont val="Arial"/>
        <family val="2"/>
      </rPr>
      <t>le</t>
    </r>
  </si>
  <si>
    <t>W c-start</t>
  </si>
  <si>
    <t>lb</t>
  </si>
  <si>
    <r>
      <t>Cl</t>
    </r>
    <r>
      <rPr>
        <vertAlign val="subscript"/>
        <sz val="10"/>
        <rFont val="Arial"/>
        <family val="2"/>
      </rPr>
      <t>minD</t>
    </r>
  </si>
  <si>
    <t>0.1 - 0.3</t>
  </si>
  <si>
    <t xml:space="preserve">W c-end </t>
  </si>
  <si>
    <t>(t/c)max</t>
  </si>
  <si>
    <t>q c-start</t>
  </si>
  <si>
    <r>
      <t>lbf/ft</t>
    </r>
    <r>
      <rPr>
        <vertAlign val="superscript"/>
        <sz val="10"/>
        <rFont val="Arial"/>
        <family val="2"/>
      </rPr>
      <t>2</t>
    </r>
  </si>
  <si>
    <t>t/c</t>
  </si>
  <si>
    <t>q c-end</t>
  </si>
  <si>
    <t>Cl c-start</t>
  </si>
  <si>
    <t>Cl c-end</t>
  </si>
  <si>
    <t>Calculations</t>
  </si>
  <si>
    <t>Comments</t>
  </si>
  <si>
    <t>Sweep Angles</t>
  </si>
  <si>
    <t>b</t>
  </si>
  <si>
    <t>x/c</t>
  </si>
  <si>
    <r>
      <t>L</t>
    </r>
    <r>
      <rPr>
        <vertAlign val="subscript"/>
        <sz val="10"/>
        <rFont val="Arial"/>
        <family val="2"/>
      </rPr>
      <t xml:space="preserve">x/c </t>
    </r>
    <r>
      <rPr>
        <sz val="10"/>
        <rFont val="Arial"/>
        <family val="2"/>
      </rPr>
      <t>(deg)</t>
    </r>
  </si>
  <si>
    <r>
      <t>M</t>
    </r>
    <r>
      <rPr>
        <vertAlign val="subscript"/>
        <sz val="10"/>
        <rFont val="Arial"/>
        <family val="2"/>
      </rPr>
      <t>eff</t>
    </r>
  </si>
  <si>
    <t>LE</t>
  </si>
  <si>
    <r>
      <t>c</t>
    </r>
    <r>
      <rPr>
        <vertAlign val="subscript"/>
        <sz val="10"/>
        <rFont val="Arial"/>
        <family val="2"/>
      </rPr>
      <t>r</t>
    </r>
  </si>
  <si>
    <t>1/4C</t>
  </si>
  <si>
    <r>
      <t>c</t>
    </r>
    <r>
      <rPr>
        <vertAlign val="subscript"/>
        <sz val="10"/>
        <rFont val="Arial"/>
        <family val="2"/>
      </rPr>
      <t>t</t>
    </r>
  </si>
  <si>
    <t>a.c</t>
  </si>
  <si>
    <t>MAC</t>
  </si>
  <si>
    <r>
      <t>y</t>
    </r>
    <r>
      <rPr>
        <vertAlign val="subscript"/>
        <sz val="10"/>
        <rFont val="Arial"/>
        <family val="2"/>
      </rPr>
      <t>mac</t>
    </r>
  </si>
  <si>
    <t>TE</t>
  </si>
  <si>
    <r>
      <t>C</t>
    </r>
    <r>
      <rPr>
        <vertAlign val="subscript"/>
        <sz val="10"/>
        <rFont val="Arial"/>
        <family val="2"/>
      </rPr>
      <t>L</t>
    </r>
    <r>
      <rPr>
        <vertAlign val="subscript"/>
        <sz val="10"/>
        <rFont val="Symbol"/>
        <family val="1"/>
        <charset val="2"/>
      </rPr>
      <t>a</t>
    </r>
  </si>
  <si>
    <t>Viscous Drag</t>
  </si>
  <si>
    <r>
      <t>C</t>
    </r>
    <r>
      <rPr>
        <vertAlign val="subscript"/>
        <sz val="10"/>
        <rFont val="Arial"/>
        <family val="2"/>
      </rPr>
      <t>Lo</t>
    </r>
  </si>
  <si>
    <t>V_eff</t>
  </si>
  <si>
    <r>
      <t>a</t>
    </r>
    <r>
      <rPr>
        <vertAlign val="subscript"/>
        <sz val="10"/>
        <rFont val="Arial"/>
        <family val="2"/>
      </rPr>
      <t>trim</t>
    </r>
  </si>
  <si>
    <t>q_eff</t>
  </si>
  <si>
    <r>
      <t>C</t>
    </r>
    <r>
      <rPr>
        <vertAlign val="subscript"/>
        <sz val="10"/>
        <rFont val="Arial"/>
        <family val="2"/>
      </rPr>
      <t>Ltrim</t>
    </r>
  </si>
  <si>
    <t>Re_mac</t>
  </si>
  <si>
    <t>k</t>
  </si>
  <si>
    <t>sqrt(Re)</t>
  </si>
  <si>
    <r>
      <t>C</t>
    </r>
    <r>
      <rPr>
        <vertAlign val="subscript"/>
        <sz val="10"/>
        <rFont val="Arial"/>
        <family val="2"/>
      </rPr>
      <t>D</t>
    </r>
  </si>
  <si>
    <t>Cf</t>
  </si>
  <si>
    <t>L/D</t>
  </si>
  <si>
    <t>S_wet</t>
  </si>
  <si>
    <t>F</t>
  </si>
  <si>
    <t>Q</t>
  </si>
  <si>
    <t>Total Drag</t>
  </si>
  <si>
    <t>lbf</t>
  </si>
  <si>
    <r>
      <t>C</t>
    </r>
    <r>
      <rPr>
        <vertAlign val="subscript"/>
        <sz val="10"/>
        <rFont val="Arial"/>
        <family val="2"/>
      </rPr>
      <t>D0</t>
    </r>
  </si>
  <si>
    <t>Plotting:</t>
  </si>
  <si>
    <t>Spanwise View</t>
  </si>
  <si>
    <t>x</t>
  </si>
  <si>
    <t>y</t>
  </si>
  <si>
    <t xml:space="preserve">Lift Curves </t>
  </si>
  <si>
    <t>a</t>
  </si>
  <si>
    <t>Cl</t>
  </si>
  <si>
    <t>CL</t>
  </si>
  <si>
    <t>This is identical to the wing span provided and meausred from the 3-view drawing</t>
  </si>
  <si>
    <t>This is slightly larger than the root chord measured from the drawing (17.0)</t>
  </si>
  <si>
    <t>This is also slightly larger than the tip cord from the 3-view (3.6)</t>
  </si>
  <si>
    <t>This is very close to the average of our measured and calculated values for MAC (12.3)</t>
  </si>
  <si>
    <t>This is the exact same as our calculated value for yMAC</t>
  </si>
  <si>
    <t>This is the exact same as our calculated value for quarter chord sweep</t>
  </si>
  <si>
    <t>This is slightly larger than our measured value for TE sweep (16.0)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</si>
</sst>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0"/>
    <numFmt numFmtId="167" formatCode="0.0000"/>
  </numFmts>
  <fonts count="11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vertAlign val="subscript"/>
      <sz val="10"/>
      <name val="Arial"/>
      <family val="2"/>
    </font>
    <font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sz val="8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3" fillId="0" borderId="1" xfId="0" applyFont="1" applyBorder="1"/>
    <xf numFmtId="2" fontId="7" fillId="0" borderId="1" xfId="0" applyNumberFormat="1" applyFont="1" applyBorder="1"/>
    <xf numFmtId="0" fontId="7" fillId="0" borderId="1" xfId="0" applyFont="1" applyBorder="1"/>
    <xf numFmtId="164" fontId="0" fillId="0" borderId="1" xfId="0" applyNumberFormat="1" applyBorder="1"/>
    <xf numFmtId="0" fontId="3" fillId="0" borderId="0" xfId="0" applyFont="1"/>
    <xf numFmtId="4" fontId="2" fillId="0" borderId="0" xfId="0" applyNumberFormat="1" applyFont="1"/>
    <xf numFmtId="2" fontId="3" fillId="0" borderId="1" xfId="0" applyNumberFormat="1" applyFont="1" applyBorder="1"/>
    <xf numFmtId="4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2" fontId="1" fillId="0" borderId="1" xfId="0" applyNumberFormat="1" applyFont="1" applyBorder="1"/>
    <xf numFmtId="164" fontId="1" fillId="0" borderId="1" xfId="0" applyNumberFormat="1" applyFon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10" xfId="0" applyFont="1" applyBorder="1"/>
    <xf numFmtId="164" fontId="0" fillId="0" borderId="6" xfId="0" applyNumberFormat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/>
    <xf numFmtId="2" fontId="1" fillId="0" borderId="0" xfId="0" applyNumberFormat="1" applyFont="1"/>
    <xf numFmtId="0" fontId="0" fillId="0" borderId="12" xfId="0" applyBorder="1"/>
    <xf numFmtId="4" fontId="0" fillId="0" borderId="1" xfId="0" applyNumberFormat="1" applyBorder="1"/>
    <xf numFmtId="0" fontId="7" fillId="0" borderId="12" xfId="0" applyFont="1" applyBorder="1"/>
    <xf numFmtId="0" fontId="2" fillId="0" borderId="1" xfId="0" applyFont="1" applyBorder="1"/>
    <xf numFmtId="11" fontId="0" fillId="0" borderId="1" xfId="0" applyNumberFormat="1" applyBorder="1"/>
    <xf numFmtId="167" fontId="0" fillId="0" borderId="1" xfId="0" applyNumberFormat="1" applyBorder="1"/>
    <xf numFmtId="164" fontId="3" fillId="2" borderId="1" xfId="0" applyNumberFormat="1" applyFont="1" applyFill="1" applyBorder="1"/>
    <xf numFmtId="3" fontId="3" fillId="2" borderId="1" xfId="0" applyNumberFormat="1" applyFont="1" applyFill="1" applyBorder="1"/>
    <xf numFmtId="4" fontId="3" fillId="2" borderId="1" xfId="0" applyNumberFormat="1" applyFont="1" applyFill="1" applyBorder="1"/>
    <xf numFmtId="166" fontId="3" fillId="2" borderId="1" xfId="0" applyNumberFormat="1" applyFont="1" applyFill="1" applyBorder="1"/>
    <xf numFmtId="3" fontId="0" fillId="2" borderId="1" xfId="0" applyNumberFormat="1" applyFill="1" applyBorder="1"/>
    <xf numFmtId="167" fontId="3" fillId="2" borderId="1" xfId="0" applyNumberFormat="1" applyFont="1" applyFill="1" applyBorder="1"/>
    <xf numFmtId="4" fontId="3" fillId="0" borderId="0" xfId="0" applyNumberFormat="1" applyFont="1"/>
    <xf numFmtId="166" fontId="3" fillId="0" borderId="0" xfId="0" applyNumberFormat="1" applyFont="1"/>
    <xf numFmtId="164" fontId="1" fillId="0" borderId="13" xfId="0" applyNumberFormat="1" applyFont="1" applyBorder="1"/>
    <xf numFmtId="0" fontId="7" fillId="0" borderId="5" xfId="0" applyFont="1" applyBorder="1"/>
    <xf numFmtId="167" fontId="1" fillId="0" borderId="1" xfId="0" applyNumberFormat="1" applyFont="1" applyBorder="1"/>
    <xf numFmtId="2" fontId="2" fillId="0" borderId="1" xfId="0" applyNumberFormat="1" applyFont="1" applyBorder="1"/>
    <xf numFmtId="1" fontId="3" fillId="2" borderId="1" xfId="0" applyNumberFormat="1" applyFont="1" applyFill="1" applyBorder="1"/>
    <xf numFmtId="2" fontId="3" fillId="0" borderId="1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3" fillId="0" borderId="0" xfId="0" applyNumberFormat="1" applyFont="1"/>
    <xf numFmtId="0" fontId="2" fillId="0" borderId="0" xfId="0" applyFont="1" applyAlignment="1">
      <alignment horizontal="right"/>
    </xf>
    <xf numFmtId="165" fontId="1" fillId="0" borderId="1" xfId="0" applyNumberFormat="1" applyFont="1" applyBorder="1"/>
    <xf numFmtId="2" fontId="3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Wing Plan View</a:t>
            </a:r>
          </a:p>
        </c:rich>
      </c:tx>
      <c:layout>
        <c:manualLayout>
          <c:xMode val="edge"/>
          <c:yMode val="edge"/>
          <c:x val="0.3364207251871294"/>
          <c:y val="5.721784776902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56860824353853"/>
          <c:y val="0.15625"/>
          <c:w val="0.59670943909789065"/>
          <c:h val="0.705357142857142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WING!$A$41:$A$45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17.446730625847774</c:v>
                </c:pt>
                <c:pt idx="2" formatCode="General">
                  <c:v>37.52583690990987</c:v>
                </c:pt>
                <c:pt idx="3" formatCode="General">
                  <c:v>33.86900217073218</c:v>
                </c:pt>
                <c:pt idx="4" formatCode="General">
                  <c:v>0</c:v>
                </c:pt>
              </c:numCache>
            </c:numRef>
          </c:xVal>
          <c:yVal>
            <c:numRef>
              <c:f>WING!$B$41:$B$45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58.9</c:v>
                </c:pt>
                <c:pt idx="3">
                  <c:v>58.9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0-45D5-99A3-CDF0ACFF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07808"/>
        <c:axId val="1"/>
      </c:scatterChart>
      <c:valAx>
        <c:axId val="308607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9691520041476295"/>
              <c:y val="0.8883928571428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10185217588542173"/>
              <c:y val="0.486607142857142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8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Lift versus alpha</a:t>
            </a:r>
          </a:p>
        </c:rich>
      </c:tx>
      <c:layout>
        <c:manualLayout>
          <c:xMode val="edge"/>
          <c:yMode val="edge"/>
          <c:x val="0.33436532507739936"/>
          <c:y val="4.2056074766355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03405572755415E-2"/>
          <c:y val="0.26635574792765204"/>
          <c:w val="0.6099071207430341"/>
          <c:h val="0.537384403713684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WING!$A$49:$A$50</c:f>
              <c:numCache>
                <c:formatCode>General</c:formatCode>
                <c:ptCount val="2"/>
                <c:pt idx="0">
                  <c:v>-1.33</c:v>
                </c:pt>
                <c:pt idx="1">
                  <c:v>8.0336363636363632</c:v>
                </c:pt>
              </c:numCache>
            </c:numRef>
          </c:xVal>
          <c:yVal>
            <c:numRef>
              <c:f>WING!$B$49:$B$50</c:f>
              <c:numCache>
                <c:formatCode>General</c:formatCode>
                <c:ptCount val="2"/>
                <c:pt idx="0">
                  <c:v>0</c:v>
                </c:pt>
                <c:pt idx="1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8-4769-94CA-A60BDDC93A6D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WING!$A$49:$A$50</c:f>
              <c:numCache>
                <c:formatCode>General</c:formatCode>
                <c:ptCount val="2"/>
                <c:pt idx="0">
                  <c:v>-1.33</c:v>
                </c:pt>
                <c:pt idx="1">
                  <c:v>8.0336363636363632</c:v>
                </c:pt>
              </c:numCache>
            </c:numRef>
          </c:xVal>
          <c:yVal>
            <c:numRef>
              <c:f>WING!$E$49:$E$50</c:f>
              <c:numCache>
                <c:formatCode>General</c:formatCode>
                <c:ptCount val="2"/>
                <c:pt idx="0">
                  <c:v>0</c:v>
                </c:pt>
                <c:pt idx="1">
                  <c:v>0.93961840410886066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8-4769-94CA-A60BDDC9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00584"/>
        <c:axId val="1"/>
      </c:scatterChart>
      <c:valAx>
        <c:axId val="462000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000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93808049535603"/>
          <c:y val="0.45794490641940783"/>
          <c:w val="0.2321981424148607"/>
          <c:h val="0.182243481247087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403861</xdr:colOff>
      <xdr:row>24</xdr:row>
      <xdr:rowOff>38100</xdr:rowOff>
    </xdr:from>
    <xdr:to>
      <xdr:col>9</xdr:col>
      <xdr:colOff>464820</xdr:colOff>
      <xdr:row>45</xdr:row>
      <xdr:rowOff>22860</xdr:rowOff>
    </xdr:to>
    <xdr:graphicFrame macro="">
      <xdr:nvGraphicFramePr>
        <xdr:cNvPr id="1072" name="Chart 1">
          <a:extLst>
            <a:ext uri="{FF2B5EF4-FFF2-40B4-BE49-F238E27FC236}">
              <a16:creationId xmlns:a16="http://schemas.microsoft.com/office/drawing/2014/main" id="{3C3BEFEC-2B21-478D-88FB-F77C7E67D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411480</xdr:colOff>
      <xdr:row>45</xdr:row>
      <xdr:rowOff>150495</xdr:rowOff>
    </xdr:from>
    <xdr:to>
      <xdr:col>10</xdr:col>
      <xdr:colOff>163830</xdr:colOff>
      <xdr:row>58</xdr:row>
      <xdr:rowOff>78105</xdr:rowOff>
    </xdr:to>
    <xdr:graphicFrame macro="">
      <xdr:nvGraphicFramePr>
        <xdr:cNvPr id="1073" name="Chart 3">
          <a:extLst>
            <a:ext uri="{FF2B5EF4-FFF2-40B4-BE49-F238E27FC236}">
              <a16:creationId xmlns:a16="http://schemas.microsoft.com/office/drawing/2014/main" id="{33CE312A-0612-439F-9922-077E55999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NDR_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keoff Weight"/>
      <sheetName val="Wing Load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24" workbookViewId="0">
      <selection activeCell="I24" sqref="I24"/>
    </sheetView>
  </sheetViews>
  <sheetFormatPr defaultRowHeight="13.2" x14ac:dyDescent="0.25"/>
  <cols>
    <col min="2" max="2" width="9.5546875" bestFit="1" customWidth="1"/>
    <col min="4" max="4" width="40.6640625" customWidth="1"/>
    <col min="9" max="9" width="40.66406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</row>
    <row r="2" spans="1:13" x14ac:dyDescent="0.25">
      <c r="A2" s="29" t="s">
        <v>0</v>
      </c>
      <c r="B2" s="1"/>
      <c r="C2" s="1"/>
      <c r="D2" s="1"/>
      <c r="E2" s="1"/>
      <c r="F2" s="29" t="s">
        <v>1</v>
      </c>
      <c r="G2" s="1"/>
      <c r="H2" s="1"/>
      <c r="I2" s="1"/>
      <c r="K2" s="29" t="s">
        <v>2</v>
      </c>
      <c r="M2" s="1"/>
    </row>
    <row r="3" spans="1:13" x14ac:dyDescent="0.25">
      <c r="A3" s="9" t="s">
        <v>3</v>
      </c>
      <c r="B3" s="41">
        <v>0.79</v>
      </c>
      <c r="C3" s="2"/>
      <c r="D3" s="1"/>
      <c r="E3" s="1"/>
      <c r="F3" s="9" t="s">
        <v>4</v>
      </c>
      <c r="G3" s="47" t="s">
        <v>5</v>
      </c>
      <c r="H3" s="2"/>
      <c r="I3" s="1"/>
      <c r="K3" s="30" t="s">
        <v>6</v>
      </c>
      <c r="L3" s="40">
        <v>24714</v>
      </c>
      <c r="M3" s="18" t="s">
        <v>7</v>
      </c>
    </row>
    <row r="4" spans="1:13" ht="15.6" x14ac:dyDescent="0.35">
      <c r="A4" s="9" t="s">
        <v>8</v>
      </c>
      <c r="B4" s="48">
        <v>1370</v>
      </c>
      <c r="C4" s="49" t="s">
        <v>9</v>
      </c>
      <c r="D4" s="50"/>
      <c r="E4" s="1"/>
      <c r="F4" s="3" t="s">
        <v>10</v>
      </c>
      <c r="G4" s="3">
        <v>1.03</v>
      </c>
      <c r="H4" s="3"/>
      <c r="I4" s="7"/>
      <c r="K4" s="30" t="s">
        <v>11</v>
      </c>
      <c r="L4" s="31">
        <f>(1036-0.0034*(H-20000))*B3</f>
        <v>805.77819599999998</v>
      </c>
      <c r="M4" s="18" t="s">
        <v>12</v>
      </c>
    </row>
    <row r="5" spans="1:13" ht="15.6" x14ac:dyDescent="0.35">
      <c r="A5" s="9" t="s">
        <v>13</v>
      </c>
      <c r="B5" s="48">
        <v>1243</v>
      </c>
      <c r="C5" s="49" t="s">
        <v>9</v>
      </c>
      <c r="D5" s="50"/>
      <c r="E5" s="1"/>
      <c r="F5" s="3" t="s">
        <v>14</v>
      </c>
      <c r="G5" s="3">
        <v>0.11</v>
      </c>
      <c r="H5" s="3" t="s">
        <v>15</v>
      </c>
      <c r="I5" s="7"/>
      <c r="K5" s="32" t="s">
        <v>16</v>
      </c>
      <c r="L5" s="25">
        <f>IF(H&lt;10000,(1-0.00002615*H)*0.076474,IF(H&gt;40000,(-0.0000091*H+0.6211)*0.076474,(-0.00001681*H+0.9066)*0.076474))</f>
        <v>3.7560790890839996E-2</v>
      </c>
      <c r="M5" s="25" t="s">
        <v>17</v>
      </c>
    </row>
    <row r="6" spans="1:13" ht="15.6" x14ac:dyDescent="0.35">
      <c r="A6" s="9" t="s">
        <v>18</v>
      </c>
      <c r="B6" s="41">
        <f>117.8^2/B4</f>
        <v>10.129080291970803</v>
      </c>
      <c r="C6" s="2"/>
      <c r="D6" s="1"/>
      <c r="E6" s="1"/>
      <c r="F6" s="3" t="s">
        <v>19</v>
      </c>
      <c r="G6" s="3">
        <v>0.253</v>
      </c>
      <c r="H6" s="3" t="s">
        <v>20</v>
      </c>
      <c r="I6" s="7"/>
      <c r="K6" s="30" t="s">
        <v>21</v>
      </c>
      <c r="L6" s="25">
        <f>0.5*L5*(L4^2)/32.2</f>
        <v>378.68655297478483</v>
      </c>
      <c r="M6" s="25" t="s">
        <v>22</v>
      </c>
    </row>
    <row r="7" spans="1:13" ht="15.6" x14ac:dyDescent="0.35">
      <c r="A7" s="9" t="s">
        <v>23</v>
      </c>
      <c r="B7" s="41">
        <f>117.8^2/B5</f>
        <v>11.163990345937249</v>
      </c>
      <c r="C7" s="2"/>
      <c r="D7" s="1"/>
      <c r="E7" s="1"/>
      <c r="F7" s="5" t="s">
        <v>24</v>
      </c>
      <c r="G7" s="3">
        <v>-1.33</v>
      </c>
      <c r="H7" s="3" t="s">
        <v>25</v>
      </c>
      <c r="I7" s="7"/>
      <c r="K7" s="32" t="s">
        <v>26</v>
      </c>
      <c r="L7" s="25">
        <f>0.0000107</f>
        <v>1.0699999999999999E-5</v>
      </c>
      <c r="M7" s="25" t="s">
        <v>27</v>
      </c>
    </row>
    <row r="8" spans="1:13" ht="15.6" x14ac:dyDescent="0.35">
      <c r="A8" s="4" t="s">
        <v>28</v>
      </c>
      <c r="B8" s="36">
        <v>29.9</v>
      </c>
      <c r="C8" s="2" t="s">
        <v>25</v>
      </c>
      <c r="D8" s="1"/>
      <c r="E8" s="1"/>
      <c r="F8" s="3" t="s">
        <v>29</v>
      </c>
      <c r="G8" s="3">
        <v>4.0000000000000001E-3</v>
      </c>
      <c r="H8" s="3"/>
      <c r="I8" s="7"/>
      <c r="K8" s="32" t="s">
        <v>30</v>
      </c>
      <c r="L8" s="25">
        <f>L7/L5</f>
        <v>2.8487153082310158E-4</v>
      </c>
      <c r="M8" s="3" t="s">
        <v>31</v>
      </c>
    </row>
    <row r="9" spans="1:13" ht="15.6" x14ac:dyDescent="0.35">
      <c r="A9" s="4" t="s">
        <v>32</v>
      </c>
      <c r="B9" s="41">
        <f>0.2096</f>
        <v>0.20960000000000001</v>
      </c>
      <c r="C9" s="2"/>
      <c r="D9" s="1"/>
      <c r="E9" s="1"/>
      <c r="F9" s="3" t="s">
        <v>33</v>
      </c>
      <c r="G9" s="3">
        <f>0.24/100</f>
        <v>2.3999999999999998E-3</v>
      </c>
      <c r="H9" s="3" t="s">
        <v>20</v>
      </c>
    </row>
    <row r="10" spans="1:13" ht="15.6" x14ac:dyDescent="0.35">
      <c r="A10" s="2" t="s">
        <v>34</v>
      </c>
      <c r="B10" s="37">
        <v>171087</v>
      </c>
      <c r="C10" s="49" t="s">
        <v>35</v>
      </c>
      <c r="D10" s="50"/>
      <c r="E10" s="1"/>
      <c r="F10" s="3" t="s">
        <v>36</v>
      </c>
      <c r="G10" s="11" t="s">
        <v>37</v>
      </c>
      <c r="H10" s="3"/>
    </row>
    <row r="11" spans="1:13" x14ac:dyDescent="0.25">
      <c r="A11" s="9" t="s">
        <v>38</v>
      </c>
      <c r="B11" s="37">
        <v>154614</v>
      </c>
      <c r="C11" s="9" t="s">
        <v>35</v>
      </c>
      <c r="D11" s="51"/>
      <c r="E11" s="1"/>
      <c r="F11" s="2" t="s">
        <v>39</v>
      </c>
      <c r="G11" s="2">
        <v>0.4</v>
      </c>
      <c r="H11" s="3" t="s">
        <v>20</v>
      </c>
    </row>
    <row r="12" spans="1:13" ht="15.6" x14ac:dyDescent="0.25">
      <c r="A12" s="2" t="s">
        <v>40</v>
      </c>
      <c r="B12" s="38">
        <v>311.82</v>
      </c>
      <c r="C12" s="49" t="s">
        <v>41</v>
      </c>
      <c r="D12" s="50"/>
      <c r="E12" s="1"/>
      <c r="F12" s="2" t="s">
        <v>42</v>
      </c>
      <c r="G12" s="9">
        <v>0.1</v>
      </c>
      <c r="H12" s="2"/>
    </row>
    <row r="13" spans="1:13" ht="15.6" x14ac:dyDescent="0.25">
      <c r="A13" s="9" t="s">
        <v>43</v>
      </c>
      <c r="B13" s="38">
        <v>281.8</v>
      </c>
      <c r="C13" s="49" t="s">
        <v>41</v>
      </c>
      <c r="D13" s="50"/>
      <c r="E13" s="1"/>
      <c r="F13" s="7"/>
      <c r="G13" s="52"/>
      <c r="H13" s="7"/>
    </row>
    <row r="14" spans="1:13" x14ac:dyDescent="0.25">
      <c r="A14" s="9" t="s">
        <v>44</v>
      </c>
      <c r="B14" s="39">
        <v>0.40050000000000002</v>
      </c>
      <c r="C14" s="2"/>
      <c r="D14" s="1"/>
      <c r="E14" s="1"/>
      <c r="F14" s="7"/>
      <c r="G14" s="52"/>
      <c r="H14" s="7"/>
    </row>
    <row r="15" spans="1:13" x14ac:dyDescent="0.25">
      <c r="A15" s="9" t="s">
        <v>45</v>
      </c>
      <c r="B15" s="39">
        <v>0.40050000000000002</v>
      </c>
      <c r="C15" s="10"/>
      <c r="D15" s="42"/>
      <c r="E15" s="1"/>
      <c r="F15" s="7"/>
      <c r="G15" s="52"/>
      <c r="H15" s="7"/>
    </row>
    <row r="16" spans="1:13" x14ac:dyDescent="0.25">
      <c r="A16" s="51"/>
      <c r="B16" s="43"/>
      <c r="C16" s="42"/>
      <c r="D16" s="42"/>
      <c r="E16" s="1"/>
      <c r="F16" s="7"/>
      <c r="G16" s="52"/>
      <c r="H16" s="7"/>
    </row>
    <row r="17" spans="1:9" x14ac:dyDescent="0.25">
      <c r="A17" s="51"/>
      <c r="B17" s="8"/>
      <c r="C17" s="1"/>
      <c r="D17" s="1"/>
      <c r="E17" s="1"/>
      <c r="F17" s="7"/>
      <c r="G17" s="52"/>
      <c r="H17" s="7"/>
    </row>
    <row r="18" spans="1:9" x14ac:dyDescent="0.25">
      <c r="A18" s="29" t="s">
        <v>46</v>
      </c>
      <c r="B18" s="1"/>
      <c r="C18" s="1"/>
      <c r="D18" s="29" t="s">
        <v>47</v>
      </c>
      <c r="E18" s="1"/>
      <c r="F18" s="29" t="s">
        <v>48</v>
      </c>
      <c r="G18" s="1"/>
      <c r="H18" s="1"/>
      <c r="I18" s="29" t="s">
        <v>47</v>
      </c>
    </row>
    <row r="19" spans="1:9" ht="27.6" x14ac:dyDescent="0.35">
      <c r="A19" s="2" t="s">
        <v>49</v>
      </c>
      <c r="B19" s="6">
        <f>SQRT(B4*B6)</f>
        <v>117.8</v>
      </c>
      <c r="C19" s="2" t="s">
        <v>7</v>
      </c>
      <c r="D19" s="54" t="s">
        <v>88</v>
      </c>
      <c r="E19" s="1"/>
      <c r="F19" s="2"/>
      <c r="G19" s="2" t="s">
        <v>50</v>
      </c>
      <c r="H19" s="4" t="s">
        <v>51</v>
      </c>
    </row>
    <row r="20" spans="1:9" ht="15.6" x14ac:dyDescent="0.35">
      <c r="A20" s="2" t="s">
        <v>52</v>
      </c>
      <c r="B20" s="2">
        <f>B3*COS(B8*PI()/180)</f>
        <v>0.68484843165912623</v>
      </c>
      <c r="C20" s="2"/>
      <c r="D20" s="1"/>
      <c r="E20" s="1"/>
      <c r="F20" s="2" t="s">
        <v>53</v>
      </c>
      <c r="G20" s="2">
        <v>0</v>
      </c>
      <c r="H20" s="6">
        <f>180*ATAN(TAN($B$8*PI()/180)-G20*(2*$B$21*(1-$B$9)/$B$19))/PI()</f>
        <v>29.9</v>
      </c>
    </row>
    <row r="21" spans="1:9" ht="27.6" x14ac:dyDescent="0.35">
      <c r="A21" s="2" t="s">
        <v>54</v>
      </c>
      <c r="B21" s="6">
        <f>2*B19/(B7*(1+B9))</f>
        <v>17.446730625847774</v>
      </c>
      <c r="C21" s="2" t="s">
        <v>7</v>
      </c>
      <c r="D21" s="54" t="s">
        <v>89</v>
      </c>
      <c r="E21" s="1"/>
      <c r="F21" s="2" t="s">
        <v>55</v>
      </c>
      <c r="G21" s="2">
        <v>0.25</v>
      </c>
      <c r="H21" s="6">
        <f>180*ATAN(TAN($B$8*PI()/180)-G21*(2*$B$21*(1-$B$9)/$B$19))/PI()</f>
        <v>27.316106409779771</v>
      </c>
      <c r="I21" s="54" t="s">
        <v>93</v>
      </c>
    </row>
    <row r="22" spans="1:9" ht="27.6" x14ac:dyDescent="0.35">
      <c r="A22" s="2" t="s">
        <v>56</v>
      </c>
      <c r="B22" s="6">
        <f>B21*B9</f>
        <v>3.6568347391776936</v>
      </c>
      <c r="C22" s="2" t="s">
        <v>7</v>
      </c>
      <c r="D22" s="54" t="s">
        <v>90</v>
      </c>
      <c r="E22" s="1"/>
      <c r="F22" s="2" t="s">
        <v>57</v>
      </c>
      <c r="G22" s="2">
        <f>G6</f>
        <v>0.253</v>
      </c>
      <c r="H22" s="6">
        <f>180*ATAN(TAN($B$8*PI()/180)-G22*(2*$B$21*(1-$B$9)/$B$19))/PI()</f>
        <v>27.284329086073033</v>
      </c>
    </row>
    <row r="23" spans="1:9" ht="26.4" x14ac:dyDescent="0.25">
      <c r="A23" s="9" t="s">
        <v>58</v>
      </c>
      <c r="B23" s="13">
        <f>(2*B21/3)*(1+B9+B9^2)/(1+B9)</f>
        <v>12.053592331546026</v>
      </c>
      <c r="C23" s="2" t="s">
        <v>7</v>
      </c>
      <c r="D23" s="54" t="s">
        <v>91</v>
      </c>
      <c r="E23" s="1"/>
      <c r="F23" s="2" t="s">
        <v>39</v>
      </c>
      <c r="G23" s="2">
        <f>G11</f>
        <v>0.4</v>
      </c>
      <c r="H23" s="6">
        <f>180*ATAN(TAN($B$8*PI()/180)-G23*(2*$B$21*(1-$B$9)/$B$19))/PI()</f>
        <v>25.705045283658848</v>
      </c>
    </row>
    <row r="24" spans="1:9" ht="27.6" x14ac:dyDescent="0.35">
      <c r="A24" s="9" t="s">
        <v>59</v>
      </c>
      <c r="B24" s="6">
        <f>B19/6*(1+2*B9)/(1+B9)</f>
        <v>23.035405643738976</v>
      </c>
      <c r="C24" s="9" t="s">
        <v>7</v>
      </c>
      <c r="D24" s="54" t="s">
        <v>92</v>
      </c>
      <c r="E24" s="1"/>
      <c r="F24" s="2" t="s">
        <v>60</v>
      </c>
      <c r="G24" s="2">
        <v>1</v>
      </c>
      <c r="H24" s="6">
        <f>180*ATAN(TAN($B$8*PI()/180)-G24*(2*$B$21*(1-$B$9)/$B$19))/PI()</f>
        <v>18.824327288635946</v>
      </c>
      <c r="I24" s="54" t="s">
        <v>94</v>
      </c>
    </row>
    <row r="25" spans="1:9" x14ac:dyDescent="0.25">
      <c r="A25" s="4" t="s">
        <v>49</v>
      </c>
      <c r="B25" s="2">
        <f>IF(B20&lt;1,SQRT(1-B20^2))</f>
        <v>0.72868554648355355</v>
      </c>
      <c r="C25" s="2"/>
      <c r="D25" s="1"/>
      <c r="E25" s="1"/>
      <c r="F25" s="1"/>
      <c r="G25" s="1"/>
      <c r="H25" s="1"/>
    </row>
    <row r="26" spans="1:9" ht="15.6" x14ac:dyDescent="0.35">
      <c r="A26" s="3" t="s">
        <v>61</v>
      </c>
      <c r="B26" s="53">
        <f>(PI()/180)*2*PI()*B6/(2+SQRT(4+B6^2*B25^2*(1+((TAN(H23*PI()/180))^2)/B25^2)))</f>
        <v>0.10034759655531522</v>
      </c>
      <c r="C26" s="2" t="s">
        <v>15</v>
      </c>
      <c r="D26" s="1"/>
      <c r="E26" s="1"/>
      <c r="F26" s="14" t="s">
        <v>62</v>
      </c>
    </row>
    <row r="27" spans="1:9" ht="15.6" x14ac:dyDescent="0.35">
      <c r="A27" s="2" t="s">
        <v>63</v>
      </c>
      <c r="B27" s="2">
        <f>-B26*G7</f>
        <v>0.13346230341856924</v>
      </c>
      <c r="C27" s="2"/>
      <c r="D27" s="1"/>
      <c r="E27" s="1"/>
      <c r="F27" s="25" t="s">
        <v>64</v>
      </c>
      <c r="G27" s="25">
        <f>L4*COS(PI()*H20/180)</f>
        <v>698.52649847559485</v>
      </c>
      <c r="H27" s="25" t="s">
        <v>12</v>
      </c>
    </row>
    <row r="28" spans="1:9" ht="15.6" x14ac:dyDescent="0.35">
      <c r="A28" s="5" t="s">
        <v>65</v>
      </c>
      <c r="B28" s="13">
        <f>(B14-B27)/B26</f>
        <v>2.6611269800989201</v>
      </c>
      <c r="C28" s="2" t="s">
        <v>25</v>
      </c>
      <c r="D28" s="1"/>
      <c r="E28" s="1"/>
      <c r="F28" s="25" t="s">
        <v>66</v>
      </c>
      <c r="G28" s="25">
        <f>0.5*L5*(G27^2)/32.2</f>
        <v>284.58672132087435</v>
      </c>
      <c r="H28" s="25" t="s">
        <v>22</v>
      </c>
    </row>
    <row r="29" spans="1:9" ht="15.6" x14ac:dyDescent="0.35">
      <c r="A29" s="9" t="s">
        <v>67</v>
      </c>
      <c r="B29" s="35">
        <f>B27+B26*B28</f>
        <v>0.40050000000000002</v>
      </c>
      <c r="C29" s="2"/>
      <c r="D29" s="1"/>
      <c r="E29" s="1"/>
      <c r="F29" s="25" t="s">
        <v>68</v>
      </c>
      <c r="G29" s="34">
        <f>G27*B23/L8</f>
        <v>29556318.320329428</v>
      </c>
      <c r="H29" s="25"/>
    </row>
    <row r="30" spans="1:9" x14ac:dyDescent="0.25">
      <c r="A30" s="2" t="s">
        <v>69</v>
      </c>
      <c r="B30">
        <f>1/(PI()*B6*0.8)</f>
        <v>3.9281686615233832E-2</v>
      </c>
      <c r="C30" s="2"/>
      <c r="D30" s="1"/>
      <c r="E30" s="1"/>
      <c r="F30" s="25" t="s">
        <v>70</v>
      </c>
      <c r="G30" s="25">
        <f>SQRT(G29)</f>
        <v>5436.5722951441958</v>
      </c>
      <c r="H30" s="25"/>
    </row>
    <row r="31" spans="1:9" ht="15.6" x14ac:dyDescent="0.35">
      <c r="A31" s="2" t="s">
        <v>71</v>
      </c>
      <c r="B31" s="46">
        <f>G35+B30*B29^2</f>
        <v>1.3446467805762283E-2</v>
      </c>
      <c r="C31" s="2"/>
      <c r="D31" s="1"/>
      <c r="E31" s="1"/>
      <c r="F31" s="25" t="s">
        <v>72</v>
      </c>
      <c r="G31" s="28">
        <f>IF(G29&lt;1000000,1.328/SQRT(G29), 0.455/( (LOG(G29)^2.58)*(1+0.144*B20^2)^0.65))</f>
        <v>2.4338700917603488E-3</v>
      </c>
      <c r="H31" s="25"/>
    </row>
    <row r="32" spans="1:9" x14ac:dyDescent="0.25">
      <c r="A32" s="2" t="s">
        <v>73</v>
      </c>
      <c r="B32" s="12">
        <f>B29/B31</f>
        <v>29.78477365099344</v>
      </c>
      <c r="C32" s="2"/>
      <c r="D32" s="1"/>
      <c r="F32" s="25" t="s">
        <v>74</v>
      </c>
      <c r="G32" s="25">
        <f>IF(G12&lt;=0.05,2.003*B4, (1.977+0.52*G12)*B4)</f>
        <v>2779.73</v>
      </c>
      <c r="H32" s="9" t="s">
        <v>9</v>
      </c>
    </row>
    <row r="33" spans="1:8" x14ac:dyDescent="0.25">
      <c r="F33" s="33" t="s">
        <v>75</v>
      </c>
      <c r="G33" s="25">
        <f>(1+(0.6/G23)*G12+100*G12^4)*(1.34*(B3^0.18)*(COS(H23*PI()/180))^0.28)</f>
        <v>1.4469843906591411</v>
      </c>
      <c r="H33" s="25"/>
    </row>
    <row r="34" spans="1:8" ht="13.8" thickBot="1" x14ac:dyDescent="0.3">
      <c r="F34" s="33" t="s">
        <v>76</v>
      </c>
      <c r="G34" s="25">
        <v>1</v>
      </c>
      <c r="H34" s="25"/>
    </row>
    <row r="35" spans="1:8" ht="16.8" thickTop="1" thickBot="1" x14ac:dyDescent="0.4">
      <c r="A35" s="25" t="s">
        <v>77</v>
      </c>
      <c r="B35" s="44">
        <f>B31*L6*B4</f>
        <v>6976.0352639792372</v>
      </c>
      <c r="C35" s="25" t="s">
        <v>78</v>
      </c>
      <c r="F35" s="2" t="s">
        <v>79</v>
      </c>
      <c r="G35" s="46">
        <f>G31*G32*G33*G34/B4</f>
        <v>7.145675452257123E-3</v>
      </c>
      <c r="H35" s="25"/>
    </row>
    <row r="36" spans="1:8" ht="13.8" thickTop="1" x14ac:dyDescent="0.25"/>
    <row r="37" spans="1:8" x14ac:dyDescent="0.25">
      <c r="A37" s="14" t="s">
        <v>80</v>
      </c>
    </row>
    <row r="39" spans="1:8" x14ac:dyDescent="0.25">
      <c r="A39" s="14" t="s">
        <v>81</v>
      </c>
    </row>
    <row r="40" spans="1:8" x14ac:dyDescent="0.25">
      <c r="A40" s="25" t="s">
        <v>82</v>
      </c>
      <c r="B40" s="26" t="s">
        <v>83</v>
      </c>
    </row>
    <row r="41" spans="1:8" x14ac:dyDescent="0.25">
      <c r="A41" s="19">
        <v>0</v>
      </c>
      <c r="B41" s="27">
        <v>0</v>
      </c>
    </row>
    <row r="42" spans="1:8" x14ac:dyDescent="0.25">
      <c r="A42" s="24">
        <f>B21</f>
        <v>17.446730625847774</v>
      </c>
      <c r="B42" s="27">
        <v>0</v>
      </c>
    </row>
    <row r="43" spans="1:8" x14ac:dyDescent="0.25">
      <c r="A43" s="19">
        <f>B21+(B19/2)*TAN(PI()*H24/180)</f>
        <v>37.52583690990987</v>
      </c>
      <c r="B43" s="27">
        <f>B19/2</f>
        <v>58.9</v>
      </c>
    </row>
    <row r="44" spans="1:8" x14ac:dyDescent="0.25">
      <c r="A44" s="19">
        <f>B19/2*TAN(PI()*H20/180)</f>
        <v>33.86900217073218</v>
      </c>
      <c r="B44" s="27">
        <f>B19/2</f>
        <v>58.9</v>
      </c>
    </row>
    <row r="45" spans="1:8" x14ac:dyDescent="0.25">
      <c r="A45" s="20">
        <v>0</v>
      </c>
      <c r="B45" s="22">
        <v>0</v>
      </c>
    </row>
    <row r="47" spans="1:8" x14ac:dyDescent="0.25">
      <c r="A47" s="14" t="s">
        <v>84</v>
      </c>
    </row>
    <row r="48" spans="1:8" x14ac:dyDescent="0.25">
      <c r="A48" s="5" t="s">
        <v>85</v>
      </c>
      <c r="B48" s="18" t="s">
        <v>86</v>
      </c>
      <c r="C48" s="23" t="s">
        <v>85</v>
      </c>
      <c r="D48" s="45"/>
      <c r="E48" s="18" t="s">
        <v>87</v>
      </c>
    </row>
    <row r="49" spans="1:5" x14ac:dyDescent="0.25">
      <c r="A49" s="19">
        <f>G7</f>
        <v>-1.33</v>
      </c>
      <c r="B49" s="16">
        <v>0</v>
      </c>
      <c r="C49" s="21">
        <f>G7</f>
        <v>-1.33</v>
      </c>
      <c r="D49" s="15"/>
      <c r="E49" s="15">
        <v>0</v>
      </c>
    </row>
    <row r="50" spans="1:5" x14ac:dyDescent="0.25">
      <c r="A50" s="20">
        <f>B50/G5 +G7</f>
        <v>8.0336363636363632</v>
      </c>
      <c r="B50" s="17">
        <f>G4</f>
        <v>1.03</v>
      </c>
      <c r="C50" s="22">
        <f>A50</f>
        <v>8.0336363636363632</v>
      </c>
      <c r="D50" s="17"/>
      <c r="E50" s="17">
        <f>B26*(A50-G7)</f>
        <v>0.93961840410886066</v>
      </c>
    </row>
  </sheetData>
  <phoneticPr fontId="9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9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9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WING</vt:lpstr>
      <vt:lpstr>Sheet2</vt:lpstr>
      <vt:lpstr>Sheet3</vt:lpstr>
      <vt:lpstr>A</vt:lpstr>
      <vt:lpstr>CD_0</vt:lpstr>
      <vt:lpstr>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Hassan M. Nagib</dc:creator>
  <cp:keywords/>
  <dc:description/>
  <cp:lastModifiedBy>Long, Nathan (longnm)</cp:lastModifiedBy>
  <cp:revision/>
  <dcterms:created xsi:type="dcterms:W3CDTF">2002-08-27T17:52:41Z</dcterms:created>
  <dcterms:modified xsi:type="dcterms:W3CDTF">2023-04-07T22:50:07Z</dcterms:modified>
  <cp:category/>
  <cp:contentStatus/>
</cp:coreProperties>
</file>