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marti2bc_mail_uc_edu/Documents/Spring 2023/Aircraft Performance and Design/Assignments/Team Assignments/"/>
    </mc:Choice>
  </mc:AlternateContent>
  <xr:revisionPtr revIDLastSave="196" documentId="13_ncr:1_{A9DEFCD6-F077-4D3F-9BA1-473204DC5C23}" xr6:coauthVersionLast="47" xr6:coauthVersionMax="47" xr10:uidLastSave="{C805A217-C817-4EEE-AA9A-0BE530D412F2}"/>
  <bookViews>
    <workbookView xWindow="12710" yWindow="0" windowWidth="12980" windowHeight="13770" xr2:uid="{00000000-000D-0000-FFFF-FFFF00000000}"/>
  </bookViews>
  <sheets>
    <sheet name="TAIL" sheetId="1" r:id="rId1"/>
    <sheet name="Data Table" sheetId="2" r:id="rId2"/>
  </sheets>
  <definedNames>
    <definedName name="H">TAIL!$B$5</definedName>
    <definedName name="HC">TAIL!$B$12</definedName>
    <definedName name="M">TAIL!$B$5</definedName>
    <definedName name="MC">TAIL!$B$5</definedName>
    <definedName name="MCC">TAIL!$B$4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E20" i="2"/>
  <c r="N3" i="1"/>
  <c r="N11" i="1" s="1"/>
  <c r="N4" i="1"/>
  <c r="N8" i="1"/>
  <c r="N7" i="1"/>
  <c r="N5" i="1"/>
  <c r="E16" i="2"/>
  <c r="E15" i="2"/>
  <c r="E14" i="2"/>
  <c r="E13" i="2"/>
  <c r="E12" i="2"/>
  <c r="E11" i="2"/>
  <c r="E9" i="2"/>
  <c r="E8" i="2"/>
  <c r="E6" i="2" s="1"/>
  <c r="E7" i="2"/>
  <c r="G23" i="1"/>
  <c r="F18" i="2"/>
  <c r="F3" i="1"/>
  <c r="F14" i="2"/>
  <c r="F15" i="2"/>
  <c r="F13" i="2"/>
  <c r="F10" i="2"/>
  <c r="F11" i="2"/>
  <c r="F8" i="1"/>
  <c r="F4" i="1"/>
  <c r="L5" i="1"/>
  <c r="F7" i="1"/>
  <c r="J6" i="1"/>
  <c r="J5" i="1"/>
  <c r="F6" i="2"/>
  <c r="J4" i="1"/>
  <c r="J2" i="1"/>
  <c r="J3" i="1"/>
  <c r="F11" i="1" l="1"/>
  <c r="F12" i="2" s="1"/>
  <c r="F21" i="2" s="1"/>
  <c r="F12" i="1" l="1"/>
  <c r="N38" i="1"/>
  <c r="N42" i="1"/>
  <c r="B13" i="1"/>
  <c r="N36" i="1" s="1"/>
  <c r="B14" i="1"/>
  <c r="B16" i="1"/>
  <c r="F17" i="1"/>
  <c r="N17" i="1"/>
  <c r="F38" i="1"/>
  <c r="F42" i="1" l="1"/>
  <c r="N12" i="1"/>
  <c r="O25" i="1" s="1"/>
  <c r="M53" i="1" s="1"/>
  <c r="F53" i="1"/>
  <c r="F16" i="1"/>
  <c r="F54" i="1"/>
  <c r="F13" i="1"/>
  <c r="G24" i="1" s="1"/>
  <c r="B15" i="1"/>
  <c r="F36" i="1"/>
  <c r="F37" i="1" s="1"/>
  <c r="B17" i="1"/>
  <c r="N37" i="1"/>
  <c r="O23" i="1" l="1"/>
  <c r="O22" i="1"/>
  <c r="M54" i="1" s="1"/>
  <c r="M52" i="1"/>
  <c r="N53" i="1"/>
  <c r="N39" i="1"/>
  <c r="O24" i="1"/>
  <c r="N54" i="1"/>
  <c r="E52" i="1"/>
  <c r="G22" i="1"/>
  <c r="E54" i="1" s="1"/>
  <c r="F14" i="1"/>
  <c r="F15" i="1"/>
  <c r="F39" i="1" s="1"/>
  <c r="G25" i="1"/>
  <c r="E53" i="1" s="1"/>
  <c r="F43" i="1"/>
  <c r="F18" i="1"/>
  <c r="N40" i="1" l="1"/>
  <c r="N41" i="1"/>
  <c r="N18" i="1"/>
  <c r="N43" i="1"/>
  <c r="F41" i="1"/>
  <c r="F45" i="1" s="1"/>
  <c r="F47" i="1" s="1"/>
  <c r="F40" i="1"/>
  <c r="N45" i="1" l="1"/>
  <c r="N47" i="1" s="1"/>
</calcChain>
</file>

<file path=xl/sharedStrings.xml><?xml version="1.0" encoding="utf-8"?>
<sst xmlns="http://schemas.openxmlformats.org/spreadsheetml/2006/main" count="243" uniqueCount="136">
  <si>
    <t xml:space="preserve">   Main Wing Reference</t>
  </si>
  <si>
    <t>Vertical Tail</t>
  </si>
  <si>
    <t>Measured</t>
  </si>
  <si>
    <t>Horizontal Tail</t>
  </si>
  <si>
    <t>b</t>
  </si>
  <si>
    <t>ft</t>
  </si>
  <si>
    <t>Design Parameters</t>
  </si>
  <si>
    <t>h_vt</t>
  </si>
  <si>
    <t>m.a.c.</t>
  </si>
  <si>
    <r>
      <t>C</t>
    </r>
    <r>
      <rPr>
        <vertAlign val="subscript"/>
        <sz val="10"/>
        <rFont val="Arial"/>
        <family val="2"/>
      </rPr>
      <t>VT</t>
    </r>
  </si>
  <si>
    <t>Tip c</t>
  </si>
  <si>
    <r>
      <t>C</t>
    </r>
    <r>
      <rPr>
        <vertAlign val="subscript"/>
        <sz val="10"/>
        <rFont val="Arial"/>
        <family val="2"/>
      </rPr>
      <t>HT</t>
    </r>
  </si>
  <si>
    <t>S</t>
  </si>
  <si>
    <r>
      <t>ft</t>
    </r>
    <r>
      <rPr>
        <vertAlign val="superscript"/>
        <sz val="8"/>
        <rFont val="Arial"/>
        <family val="2"/>
      </rPr>
      <t>2</t>
    </r>
  </si>
  <si>
    <r>
      <t>l</t>
    </r>
    <r>
      <rPr>
        <vertAlign val="subscript"/>
        <sz val="10"/>
        <rFont val="Arial"/>
        <family val="2"/>
      </rPr>
      <t>VT</t>
    </r>
  </si>
  <si>
    <t>root c</t>
  </si>
  <si>
    <r>
      <t>l</t>
    </r>
    <r>
      <rPr>
        <vertAlign val="subscript"/>
        <sz val="10"/>
        <rFont val="Arial"/>
        <family val="2"/>
      </rPr>
      <t>HT</t>
    </r>
  </si>
  <si>
    <t>Cruise M</t>
  </si>
  <si>
    <r>
      <t>L</t>
    </r>
    <r>
      <rPr>
        <vertAlign val="subscript"/>
        <sz val="10"/>
        <rFont val="Arial"/>
        <family val="2"/>
      </rPr>
      <t>LE</t>
    </r>
  </si>
  <si>
    <t>deg</t>
  </si>
  <si>
    <t>y_mac</t>
  </si>
  <si>
    <t>t/c</t>
  </si>
  <si>
    <t>S_meas</t>
  </si>
  <si>
    <r>
      <t>l-</t>
    </r>
    <r>
      <rPr>
        <sz val="10"/>
        <rFont val="Arial"/>
        <family val="2"/>
      </rPr>
      <t>vt</t>
    </r>
  </si>
  <si>
    <r>
      <t>l-</t>
    </r>
    <r>
      <rPr>
        <sz val="10"/>
        <rFont val="Arial"/>
        <family val="2"/>
      </rPr>
      <t>ht</t>
    </r>
  </si>
  <si>
    <t>l</t>
  </si>
  <si>
    <t>AR-vt</t>
  </si>
  <si>
    <t>AR-ht</t>
  </si>
  <si>
    <t>Length</t>
  </si>
  <si>
    <t>Calculations</t>
  </si>
  <si>
    <t xml:space="preserve">  Air Properties</t>
  </si>
  <si>
    <r>
      <t>S</t>
    </r>
    <r>
      <rPr>
        <vertAlign val="subscript"/>
        <sz val="10"/>
        <rFont val="Arial"/>
        <family val="2"/>
      </rPr>
      <t>VT</t>
    </r>
  </si>
  <si>
    <t>Basically exact same as measured, likely since it uses the measured value in its own calculation</t>
  </si>
  <si>
    <r>
      <t>S</t>
    </r>
    <r>
      <rPr>
        <vertAlign val="subscript"/>
        <sz val="10"/>
        <rFont val="Arial"/>
        <family val="2"/>
      </rPr>
      <t>HT</t>
    </r>
  </si>
  <si>
    <t>Same as calculated my with rounding</t>
  </si>
  <si>
    <t>Cruise Alt. (ft)</t>
  </si>
  <si>
    <r>
      <t>h</t>
    </r>
    <r>
      <rPr>
        <vertAlign val="subscript"/>
        <sz val="10"/>
        <rFont val="Arial"/>
        <family val="2"/>
      </rPr>
      <t>VT</t>
    </r>
  </si>
  <si>
    <t>The calculation is spot on to the measured</t>
  </si>
  <si>
    <r>
      <t>b</t>
    </r>
    <r>
      <rPr>
        <vertAlign val="subscript"/>
        <sz val="10"/>
        <rFont val="Arial"/>
        <family val="2"/>
      </rPr>
      <t>HT</t>
    </r>
  </si>
  <si>
    <t>Same as our measured values</t>
  </si>
  <si>
    <t xml:space="preserve"> V </t>
  </si>
  <si>
    <t>f/s</t>
  </si>
  <si>
    <r>
      <t>c</t>
    </r>
    <r>
      <rPr>
        <vertAlign val="subscript"/>
        <sz val="10"/>
        <rFont val="Arial"/>
        <family val="2"/>
      </rPr>
      <t>r</t>
    </r>
  </si>
  <si>
    <t>Root chord is spot on except for rounding</t>
  </si>
  <si>
    <r>
      <t>r</t>
    </r>
    <r>
      <rPr>
        <sz val="10"/>
        <rFont val="Arial"/>
        <family val="2"/>
      </rPr>
      <t xml:space="preserve"> </t>
    </r>
  </si>
  <si>
    <t>lbm/f^3</t>
  </si>
  <si>
    <r>
      <t>c</t>
    </r>
    <r>
      <rPr>
        <vertAlign val="subscript"/>
        <sz val="10"/>
        <rFont val="Arial"/>
        <family val="2"/>
      </rPr>
      <t>t</t>
    </r>
  </si>
  <si>
    <t>Same with tip chord</t>
  </si>
  <si>
    <t>Still the same as our measured values</t>
  </si>
  <si>
    <t xml:space="preserve">q </t>
  </si>
  <si>
    <t>lbf/f^2</t>
  </si>
  <si>
    <t>MAC-vt</t>
  </si>
  <si>
    <t>Same value as the one that I calculated myself, which is to be expected</t>
  </si>
  <si>
    <t>MAC-ht</t>
  </si>
  <si>
    <t>Sasme as our calculated MAC length</t>
  </si>
  <si>
    <r>
      <t>m</t>
    </r>
    <r>
      <rPr>
        <sz val="10"/>
        <rFont val="Arial"/>
        <family val="2"/>
      </rPr>
      <t xml:space="preserve">  </t>
    </r>
  </si>
  <si>
    <t xml:space="preserve">lbm/(f-s) </t>
  </si>
  <si>
    <r>
      <t>y</t>
    </r>
    <r>
      <rPr>
        <vertAlign val="subscript"/>
        <sz val="10"/>
        <rFont val="Arial"/>
        <family val="2"/>
      </rPr>
      <t>MAC</t>
    </r>
    <r>
      <rPr>
        <sz val="10"/>
        <rFont val="Arial"/>
        <family val="2"/>
      </rPr>
      <t>-vt</t>
    </r>
  </si>
  <si>
    <t>Same as the one I calculated, as to be expected since they are found using numbers based on my measurements</t>
  </si>
  <si>
    <r>
      <t>y</t>
    </r>
    <r>
      <rPr>
        <vertAlign val="subscript"/>
        <sz val="10"/>
        <rFont val="Arial"/>
        <family val="2"/>
      </rPr>
      <t>MAC</t>
    </r>
    <r>
      <rPr>
        <sz val="10"/>
        <rFont val="Arial"/>
        <family val="2"/>
      </rPr>
      <t>-ht</t>
    </r>
  </si>
  <si>
    <t>Same as our caluclated y_mac</t>
  </si>
  <si>
    <r>
      <t xml:space="preserve">n </t>
    </r>
    <r>
      <rPr>
        <sz val="10"/>
        <rFont val="Arial"/>
        <family val="2"/>
      </rPr>
      <t>(cruise)</t>
    </r>
  </si>
  <si>
    <t>f^2/s</t>
  </si>
  <si>
    <r>
      <t>C</t>
    </r>
    <r>
      <rPr>
        <vertAlign val="subscript"/>
        <sz val="10"/>
        <rFont val="Arial"/>
        <family val="2"/>
      </rPr>
      <t>L</t>
    </r>
    <r>
      <rPr>
        <vertAlign val="subscript"/>
        <sz val="10"/>
        <rFont val="Symbol"/>
        <family val="1"/>
        <charset val="2"/>
      </rPr>
      <t>a</t>
    </r>
  </si>
  <si>
    <t>1/deg</t>
  </si>
  <si>
    <t>Sweep Angles</t>
  </si>
  <si>
    <t>x/c</t>
  </si>
  <si>
    <r>
      <t>L</t>
    </r>
    <r>
      <rPr>
        <vertAlign val="subscript"/>
        <sz val="10"/>
        <rFont val="Arial"/>
        <family val="2"/>
      </rPr>
      <t xml:space="preserve">x/c </t>
    </r>
    <r>
      <rPr>
        <sz val="10"/>
        <rFont val="Arial"/>
        <family val="2"/>
      </rPr>
      <t>(deg)</t>
    </r>
  </si>
  <si>
    <t>LE</t>
  </si>
  <si>
    <t>s</t>
  </si>
  <si>
    <t>1/4 chord</t>
  </si>
  <si>
    <t>I calculated this value but got a different number. I got 22.85 degrees.</t>
  </si>
  <si>
    <t>This one is the same as our calculated value</t>
  </si>
  <si>
    <t>(t/c)max</t>
  </si>
  <si>
    <t>TE</t>
  </si>
  <si>
    <t>I had 12° for the sweep of the trailing edge</t>
  </si>
  <si>
    <t>This is also almost the exact same as our measured value</t>
  </si>
  <si>
    <t>Airfoil Data</t>
  </si>
  <si>
    <t>Name</t>
  </si>
  <si>
    <t>NACA 64-004</t>
  </si>
  <si>
    <r>
      <t>Cl</t>
    </r>
    <r>
      <rPr>
        <vertAlign val="subscript"/>
        <sz val="10"/>
        <rFont val="Arial"/>
        <family val="2"/>
      </rPr>
      <t>max</t>
    </r>
  </si>
  <si>
    <r>
      <t>Cl</t>
    </r>
    <r>
      <rPr>
        <vertAlign val="subscript"/>
        <sz val="10"/>
        <rFont val="Symbol"/>
        <family val="1"/>
        <charset val="2"/>
      </rPr>
      <t>a</t>
    </r>
  </si>
  <si>
    <t>a.c.</t>
  </si>
  <si>
    <t>c</t>
  </si>
  <si>
    <r>
      <t>a</t>
    </r>
    <r>
      <rPr>
        <vertAlign val="subscript"/>
        <sz val="10"/>
        <rFont val="Arial"/>
        <family val="2"/>
      </rPr>
      <t>0L</t>
    </r>
  </si>
  <si>
    <t>Cd</t>
  </si>
  <si>
    <t>Viscous Drag</t>
  </si>
  <si>
    <t>V_eff</t>
  </si>
  <si>
    <t>q_eff</t>
  </si>
  <si>
    <t>M_eff</t>
  </si>
  <si>
    <t>Re_mac</t>
  </si>
  <si>
    <t>sqrt(Re)</t>
  </si>
  <si>
    <t>Cf</t>
  </si>
  <si>
    <t>S_wet</t>
  </si>
  <si>
    <t>F</t>
  </si>
  <si>
    <t>Q</t>
  </si>
  <si>
    <r>
      <t>C</t>
    </r>
    <r>
      <rPr>
        <vertAlign val="subscript"/>
        <sz val="10"/>
        <rFont val="Arial"/>
        <family val="2"/>
      </rPr>
      <t>D0</t>
    </r>
  </si>
  <si>
    <t>Total Drag</t>
  </si>
  <si>
    <t>lbf</t>
  </si>
  <si>
    <t>Spanwise View</t>
  </si>
  <si>
    <t>x (ft)</t>
  </si>
  <si>
    <t>y (ft)</t>
  </si>
  <si>
    <t>Parameter</t>
  </si>
  <si>
    <t>Main Wing</t>
  </si>
  <si>
    <t>Leading Edge Sweep Angle</t>
  </si>
  <si>
    <r>
      <rPr>
        <sz val="12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LE</t>
    </r>
  </si>
  <si>
    <t>Trailing Edge Sweep Angle</t>
  </si>
  <si>
    <r>
      <rPr>
        <sz val="12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TE</t>
    </r>
  </si>
  <si>
    <t>Quarter-Chord Sweep Angle</t>
  </si>
  <si>
    <r>
      <rPr>
        <sz val="12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c/4</t>
    </r>
  </si>
  <si>
    <t>Tip Chord</t>
  </si>
  <si>
    <r>
      <t>c</t>
    </r>
    <r>
      <rPr>
        <vertAlign val="subscript"/>
        <sz val="12"/>
        <rFont val="Arial"/>
        <family val="2"/>
      </rPr>
      <t>t</t>
    </r>
  </si>
  <si>
    <t>Root Chord</t>
  </si>
  <si>
    <r>
      <t>c</t>
    </r>
    <r>
      <rPr>
        <vertAlign val="subscript"/>
        <sz val="12"/>
        <rFont val="Arial"/>
        <family val="2"/>
      </rPr>
      <t>r</t>
    </r>
  </si>
  <si>
    <t>Span</t>
  </si>
  <si>
    <t xml:space="preserve"> </t>
  </si>
  <si>
    <t>Height</t>
  </si>
  <si>
    <t>h</t>
  </si>
  <si>
    <t>Taper Ratio</t>
  </si>
  <si>
    <t>--</t>
  </si>
  <si>
    <t>Surface Area</t>
  </si>
  <si>
    <r>
      <t>ft</t>
    </r>
    <r>
      <rPr>
        <vertAlign val="superscript"/>
        <sz val="12"/>
        <rFont val="Arial"/>
        <family val="2"/>
      </rPr>
      <t>2</t>
    </r>
  </si>
  <si>
    <t>Aspect Ratio</t>
  </si>
  <si>
    <t>AR</t>
  </si>
  <si>
    <t>MAC length</t>
  </si>
  <si>
    <t>MAC</t>
  </si>
  <si>
    <t>yMAC location</t>
  </si>
  <si>
    <r>
      <t>y</t>
    </r>
    <r>
      <rPr>
        <vertAlign val="subscript"/>
        <sz val="12"/>
        <rFont val="Arial"/>
        <family val="2"/>
      </rPr>
      <t>MAC</t>
    </r>
  </si>
  <si>
    <t>Distance from HT's c/4 of MAC to wing's c/4 of MAC</t>
  </si>
  <si>
    <r>
      <t>l</t>
    </r>
    <r>
      <rPr>
        <vertAlign val="subscript"/>
        <sz val="12"/>
        <rFont val="Arial"/>
        <family val="2"/>
      </rPr>
      <t>HT</t>
    </r>
  </si>
  <si>
    <t>Distance from VT's c/4 of MAC to wing's c/4 of MAC</t>
  </si>
  <si>
    <r>
      <t>l</t>
    </r>
    <r>
      <rPr>
        <vertAlign val="subscript"/>
        <sz val="12"/>
        <rFont val="Arial"/>
        <family val="2"/>
      </rPr>
      <t>VT</t>
    </r>
  </si>
  <si>
    <t>Horizontal Tail Volume Coefficient</t>
  </si>
  <si>
    <r>
      <t>C</t>
    </r>
    <r>
      <rPr>
        <vertAlign val="subscript"/>
        <sz val="12"/>
        <rFont val="Arial"/>
        <family val="2"/>
      </rPr>
      <t>HT</t>
    </r>
  </si>
  <si>
    <t>Vertical Tail Volume Coefficient</t>
  </si>
  <si>
    <r>
      <t>C</t>
    </r>
    <r>
      <rPr>
        <vertAlign val="subscript"/>
        <sz val="12"/>
        <rFont val="Arial"/>
        <family val="2"/>
      </rPr>
      <t>VT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</si>
</sst>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vertAlign val="superscript"/>
      <sz val="8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sz val="8"/>
      <name val="Arial"/>
      <family val="2"/>
    </font>
    <font>
      <sz val="12"/>
      <name val="Arial"/>
      <family val="2"/>
    </font>
    <font>
      <sz val="12"/>
      <name val="Arial"/>
      <family val="1"/>
      <charset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3" fillId="0" borderId="1" xfId="0" applyFont="1" applyBorder="1"/>
    <xf numFmtId="2" fontId="7" fillId="0" borderId="1" xfId="0" applyNumberFormat="1" applyFont="1" applyBorder="1"/>
    <xf numFmtId="0" fontId="7" fillId="0" borderId="1" xfId="0" applyFont="1" applyBorder="1"/>
    <xf numFmtId="164" fontId="0" fillId="0" borderId="1" xfId="0" applyNumberFormat="1" applyBorder="1"/>
    <xf numFmtId="2" fontId="4" fillId="0" borderId="0" xfId="0" applyNumberFormat="1" applyFont="1"/>
    <xf numFmtId="2" fontId="3" fillId="0" borderId="1" xfId="0" applyNumberFormat="1" applyFont="1" applyBorder="1"/>
    <xf numFmtId="0" fontId="1" fillId="0" borderId="0" xfId="0" applyFont="1"/>
    <xf numFmtId="0" fontId="0" fillId="0" borderId="1" xfId="0" applyBorder="1"/>
    <xf numFmtId="2" fontId="1" fillId="0" borderId="0" xfId="0" applyNumberFormat="1" applyFont="1"/>
    <xf numFmtId="0" fontId="0" fillId="0" borderId="2" xfId="0" applyBorder="1"/>
    <xf numFmtId="0" fontId="0" fillId="0" borderId="3" xfId="0" applyBorder="1"/>
    <xf numFmtId="4" fontId="0" fillId="0" borderId="1" xfId="0" applyNumberFormat="1" applyBorder="1"/>
    <xf numFmtId="0" fontId="7" fillId="0" borderId="2" xfId="0" applyFont="1" applyBorder="1"/>
    <xf numFmtId="2" fontId="0" fillId="0" borderId="5" xfId="0" applyNumberFormat="1" applyBorder="1"/>
    <xf numFmtId="0" fontId="0" fillId="0" borderId="6" xfId="0" applyBorder="1"/>
    <xf numFmtId="11" fontId="0" fillId="0" borderId="0" xfId="0" applyNumberFormat="1"/>
    <xf numFmtId="11" fontId="0" fillId="0" borderId="1" xfId="0" applyNumberFormat="1" applyBorder="1"/>
    <xf numFmtId="0" fontId="2" fillId="0" borderId="1" xfId="0" applyFont="1" applyBorder="1"/>
    <xf numFmtId="3" fontId="0" fillId="2" borderId="1" xfId="0" applyNumberFormat="1" applyFill="1" applyBorder="1"/>
    <xf numFmtId="2" fontId="0" fillId="2" borderId="1" xfId="0" applyNumberFormat="1" applyFill="1" applyBorder="1"/>
    <xf numFmtId="165" fontId="3" fillId="2" borderId="1" xfId="0" applyNumberFormat="1" applyFont="1" applyFill="1" applyBorder="1"/>
    <xf numFmtId="2" fontId="0" fillId="0" borderId="7" xfId="0" applyNumberFormat="1" applyBorder="1"/>
    <xf numFmtId="2" fontId="0" fillId="0" borderId="8" xfId="0" applyNumberFormat="1" applyBorder="1"/>
    <xf numFmtId="2" fontId="3" fillId="2" borderId="1" xfId="0" applyNumberFormat="1" applyFont="1" applyFill="1" applyBorder="1"/>
    <xf numFmtId="2" fontId="0" fillId="0" borderId="9" xfId="0" applyNumberFormat="1" applyBorder="1"/>
    <xf numFmtId="2" fontId="0" fillId="0" borderId="10" xfId="0" applyNumberFormat="1" applyBorder="1"/>
    <xf numFmtId="0" fontId="3" fillId="0" borderId="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3" fillId="0" borderId="7" xfId="0" applyNumberFormat="1" applyFont="1" applyBorder="1"/>
    <xf numFmtId="166" fontId="1" fillId="0" borderId="1" xfId="0" applyNumberFormat="1" applyFont="1" applyBorder="1"/>
    <xf numFmtId="0" fontId="10" fillId="0" borderId="0" xfId="0" applyFont="1"/>
    <xf numFmtId="0" fontId="1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2" fontId="0" fillId="0" borderId="12" xfId="0" applyNumberFormat="1" applyBorder="1"/>
    <xf numFmtId="2" fontId="0" fillId="0" borderId="13" xfId="0" applyNumberFormat="1" applyBorder="1"/>
    <xf numFmtId="0" fontId="7" fillId="0" borderId="14" xfId="0" applyFont="1" applyBorder="1"/>
    <xf numFmtId="2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10" fillId="4" borderId="1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2" fontId="10" fillId="4" borderId="12" xfId="0" applyNumberFormat="1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2" fillId="0" borderId="0" xfId="0" applyNumberFormat="1" applyFont="1"/>
    <xf numFmtId="2" fontId="1" fillId="3" borderId="0" xfId="0" applyNumberFormat="1" applyFont="1" applyFill="1"/>
    <xf numFmtId="164" fontId="3" fillId="2" borderId="1" xfId="0" applyNumberFormat="1" applyFont="1" applyFill="1" applyBorder="1"/>
    <xf numFmtId="1" fontId="3" fillId="2" borderId="1" xfId="0" applyNumberFormat="1" applyFont="1" applyFill="1" applyBorder="1"/>
    <xf numFmtId="0" fontId="3" fillId="0" borderId="0" xfId="0" applyFont="1"/>
    <xf numFmtId="165" fontId="1" fillId="0" borderId="1" xfId="0" applyNumberFormat="1" applyFont="1" applyBorder="1"/>
    <xf numFmtId="0" fontId="3" fillId="0" borderId="12" xfId="0" applyFont="1" applyBorder="1"/>
    <xf numFmtId="165" fontId="1" fillId="0" borderId="12" xfId="0" applyNumberFormat="1" applyFont="1" applyBorder="1"/>
    <xf numFmtId="165" fontId="1" fillId="0" borderId="0" xfId="0" applyNumberFormat="1" applyFont="1"/>
    <xf numFmtId="165" fontId="1" fillId="0" borderId="13" xfId="0" applyNumberFormat="1" applyFont="1" applyBorder="1"/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Horizontal Tail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517274037905016"/>
          <c:y val="0.19736842105263158"/>
          <c:w val="0.72844980900165213"/>
          <c:h val="0.6933536329106897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TAIL!$M$51:$M$55</c:f>
              <c:numCache>
                <c:formatCode>0.00</c:formatCode>
                <c:ptCount val="5"/>
                <c:pt idx="0">
                  <c:v>0</c:v>
                </c:pt>
                <c:pt idx="1">
                  <c:v>13.8</c:v>
                </c:pt>
                <c:pt idx="2">
                  <c:v>21.838881100694788</c:v>
                </c:pt>
                <c:pt idx="3">
                  <c:v>16.496945616823819</c:v>
                </c:pt>
                <c:pt idx="4">
                  <c:v>0</c:v>
                </c:pt>
              </c:numCache>
            </c:numRef>
          </c:xVal>
          <c:yVal>
            <c:numRef>
              <c:f>TAIL!$N$51:$N$55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23.560080000000003</c:v>
                </c:pt>
                <c:pt idx="3">
                  <c:v>23.560080000000003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D-4D07-9954-3A28AFF5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37864"/>
        <c:axId val="1"/>
      </c:scatterChart>
      <c:valAx>
        <c:axId val="310537864"/>
        <c:scaling>
          <c:orientation val="minMax"/>
          <c:max val="25"/>
        </c:scaling>
        <c:delete val="0"/>
        <c:axPos val="b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5"/>
        </c:scaling>
        <c:delete val="0"/>
        <c:axPos val="l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537864"/>
        <c:crosses val="autoZero"/>
        <c:crossBetween val="midCat"/>
        <c:maj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Vertical Tail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511560140859331"/>
          <c:y val="0.14207726091434486"/>
          <c:w val="0.71889562683527786"/>
          <c:h val="0.6775992443607217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TAIL!$E$51:$E$55</c:f>
              <c:numCache>
                <c:formatCode>0.00</c:formatCode>
                <c:ptCount val="5"/>
                <c:pt idx="0">
                  <c:v>0</c:v>
                </c:pt>
                <c:pt idx="1">
                  <c:v>18.288175000000003</c:v>
                </c:pt>
                <c:pt idx="2">
                  <c:v>21.951144209327424</c:v>
                </c:pt>
                <c:pt idx="3">
                  <c:v>17.996944209327424</c:v>
                </c:pt>
                <c:pt idx="4">
                  <c:v>0</c:v>
                </c:pt>
              </c:numCache>
            </c:numRef>
          </c:xVal>
          <c:yVal>
            <c:numRef>
              <c:f>TAIL!$F$51:$F$55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25.702300000000001</c:v>
                </c:pt>
                <c:pt idx="3">
                  <c:v>25.702300000000001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9-4270-9301-F80E603B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38192"/>
        <c:axId val="1"/>
      </c:scatterChart>
      <c:valAx>
        <c:axId val="310538192"/>
        <c:scaling>
          <c:orientation val="minMax"/>
          <c:min val="0"/>
        </c:scaling>
        <c:delete val="0"/>
        <c:axPos val="b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"/>
      </c:valAx>
      <c:valAx>
        <c:axId val="1"/>
        <c:scaling>
          <c:orientation val="minMax"/>
          <c:max val="30"/>
          <c:min val="0"/>
        </c:scaling>
        <c:delete val="0"/>
        <c:axPos val="l"/>
        <c:majorGridlines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538192"/>
        <c:crosses val="autoZero"/>
        <c:crossBetween val="midCat"/>
        <c:maj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373874</xdr:colOff>
      <xdr:row>26</xdr:row>
      <xdr:rowOff>99075</xdr:rowOff>
    </xdr:from>
    <xdr:to>
      <xdr:col>21</xdr:col>
      <xdr:colOff>272143</xdr:colOff>
      <xdr:row>53</xdr:row>
      <xdr:rowOff>155510</xdr:rowOff>
    </xdr:to>
    <xdr:graphicFrame macro="">
      <xdr:nvGraphicFramePr>
        <xdr:cNvPr id="1093" name="Chart 4">
          <a:extLst>
            <a:ext uri="{FF2B5EF4-FFF2-40B4-BE49-F238E27FC236}">
              <a16:creationId xmlns:a16="http://schemas.microsoft.com/office/drawing/2014/main" id="{6AEE14D2-1030-42E1-A34C-F0F86A1DF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206375</xdr:colOff>
      <xdr:row>27</xdr:row>
      <xdr:rowOff>19048</xdr:rowOff>
    </xdr:from>
    <xdr:to>
      <xdr:col>10</xdr:col>
      <xdr:colOff>2400300</xdr:colOff>
      <xdr:row>54</xdr:row>
      <xdr:rowOff>133349</xdr:rowOff>
    </xdr:to>
    <xdr:graphicFrame macro="">
      <xdr:nvGraphicFramePr>
        <xdr:cNvPr id="1094" name="Chart 6">
          <a:extLst>
            <a:ext uri="{FF2B5EF4-FFF2-40B4-BE49-F238E27FC236}">
              <a16:creationId xmlns:a16="http://schemas.microsoft.com/office/drawing/2014/main" id="{8579CB32-B504-4E84-9974-AE953E3B8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topLeftCell="K28" zoomScale="98" zoomScaleNormal="98" workbookViewId="0">
      <selection activeCell="F45" sqref="F45"/>
    </sheetView>
  </sheetViews>
  <sheetFormatPr defaultRowHeight="12.6"/>
  <cols>
    <col min="1" max="1" width="12.7109375" customWidth="1"/>
    <col min="11" max="11" width="53.42578125" customWidth="1"/>
    <col min="19" max="19" width="28.42578125" customWidth="1"/>
  </cols>
  <sheetData>
    <row r="1" spans="1:19" ht="12.95">
      <c r="A1" s="11" t="s">
        <v>0</v>
      </c>
      <c r="B1" s="1"/>
      <c r="C1" s="1"/>
      <c r="D1" s="1"/>
      <c r="E1" s="63" t="s">
        <v>1</v>
      </c>
      <c r="F1" s="63"/>
      <c r="G1" s="64"/>
      <c r="I1" t="s">
        <v>2</v>
      </c>
      <c r="M1" s="65" t="s">
        <v>3</v>
      </c>
      <c r="N1" s="65"/>
      <c r="O1" s="1"/>
      <c r="P1" s="1"/>
      <c r="Q1" s="1"/>
      <c r="R1" s="1"/>
    </row>
    <row r="2" spans="1:19" ht="12.95">
      <c r="A2" s="2" t="s">
        <v>4</v>
      </c>
      <c r="B2" s="66">
        <v>117.8</v>
      </c>
      <c r="C2" s="2" t="s">
        <v>5</v>
      </c>
      <c r="E2" s="11" t="s">
        <v>6</v>
      </c>
      <c r="F2" s="1"/>
      <c r="G2" s="1"/>
      <c r="I2" t="s">
        <v>7</v>
      </c>
      <c r="J2">
        <f xml:space="preserve"> 2.6*9.8855</f>
        <v>25.702300000000001</v>
      </c>
      <c r="K2" t="s">
        <v>5</v>
      </c>
      <c r="M2" s="11" t="s">
        <v>6</v>
      </c>
      <c r="N2" s="1"/>
      <c r="O2" s="1"/>
    </row>
    <row r="3" spans="1:19" ht="15.6">
      <c r="A3" s="2" t="s">
        <v>8</v>
      </c>
      <c r="B3" s="66">
        <v>12.3</v>
      </c>
      <c r="C3" s="2" t="s">
        <v>5</v>
      </c>
      <c r="E3" s="8" t="s">
        <v>9</v>
      </c>
      <c r="F3" s="23">
        <f>F4*J6/(B2*MCC)</f>
        <v>9.2796544330671527E-2</v>
      </c>
      <c r="G3" s="2"/>
      <c r="I3" t="s">
        <v>10</v>
      </c>
      <c r="J3">
        <f>0.4*9.8855</f>
        <v>3.9542000000000002</v>
      </c>
      <c r="K3" t="s">
        <v>5</v>
      </c>
      <c r="M3" s="8" t="s">
        <v>11</v>
      </c>
      <c r="N3" s="26">
        <f>N4*'Data Table'!E12/('Data Table'!G14*'Data Table'!G12)</f>
        <v>1.5932475883749266</v>
      </c>
      <c r="O3" s="2"/>
    </row>
    <row r="4" spans="1:19" ht="15.6">
      <c r="A4" s="2" t="s">
        <v>12</v>
      </c>
      <c r="B4" s="67">
        <v>1370</v>
      </c>
      <c r="C4" s="8" t="s">
        <v>13</v>
      </c>
      <c r="E4" s="8" t="s">
        <v>14</v>
      </c>
      <c r="F4" s="26">
        <f>5.3*9.8855</f>
        <v>52.393149999999999</v>
      </c>
      <c r="G4" s="2" t="s">
        <v>5</v>
      </c>
      <c r="I4" t="s">
        <v>15</v>
      </c>
      <c r="J4">
        <f>1.85*9.8855</f>
        <v>18.288175000000003</v>
      </c>
      <c r="K4" t="s">
        <v>5</v>
      </c>
      <c r="M4" s="8" t="s">
        <v>16</v>
      </c>
      <c r="N4" s="66">
        <f>'Data Table'!E16</f>
        <v>53.991850000000007</v>
      </c>
      <c r="O4" s="2" t="s">
        <v>5</v>
      </c>
    </row>
    <row r="5" spans="1:19" ht="15.6">
      <c r="A5" s="8" t="s">
        <v>17</v>
      </c>
      <c r="B5" s="26">
        <v>0.79</v>
      </c>
      <c r="C5" s="2"/>
      <c r="E5" s="4" t="s">
        <v>18</v>
      </c>
      <c r="F5" s="67">
        <v>35</v>
      </c>
      <c r="G5" s="2" t="s">
        <v>19</v>
      </c>
      <c r="I5" t="s">
        <v>20</v>
      </c>
      <c r="J5">
        <f>(J2/3)*(1+2*F7)/(1+F7)</f>
        <v>10.090532592592593</v>
      </c>
      <c r="K5" t="s">
        <v>5</v>
      </c>
      <c r="L5">
        <f>J5/9.8855</f>
        <v>1.0207407407407407</v>
      </c>
      <c r="M5" s="4" t="s">
        <v>18</v>
      </c>
      <c r="N5" s="66">
        <f>'Data Table'!E4</f>
        <v>35</v>
      </c>
      <c r="O5" s="2" t="s">
        <v>19</v>
      </c>
    </row>
    <row r="6" spans="1:19" ht="15.6">
      <c r="A6" s="4" t="s">
        <v>18</v>
      </c>
      <c r="B6" s="26">
        <v>29.9</v>
      </c>
      <c r="C6" s="2" t="s">
        <v>19</v>
      </c>
      <c r="E6" s="2" t="s">
        <v>21</v>
      </c>
      <c r="F6" s="8">
        <v>0.1</v>
      </c>
      <c r="G6" s="2"/>
      <c r="I6" t="s">
        <v>22</v>
      </c>
      <c r="J6">
        <f>J2*(J4+J3)/2</f>
        <v>285.84009748125004</v>
      </c>
      <c r="M6" s="2" t="s">
        <v>21</v>
      </c>
      <c r="N6" s="8">
        <v>0.1</v>
      </c>
      <c r="O6" s="2"/>
    </row>
    <row r="7" spans="1:19">
      <c r="A7" s="2" t="s">
        <v>21</v>
      </c>
      <c r="B7" s="8">
        <v>0.04</v>
      </c>
      <c r="C7" s="2"/>
      <c r="E7" s="4" t="s">
        <v>23</v>
      </c>
      <c r="F7" s="23">
        <f>J3/J4</f>
        <v>0.2162162162162162</v>
      </c>
      <c r="G7" s="2"/>
      <c r="M7" s="31" t="s">
        <v>24</v>
      </c>
      <c r="N7" s="23">
        <f>'Data Table'!E11</f>
        <v>0.38709677419354838</v>
      </c>
      <c r="O7" s="2"/>
    </row>
    <row r="8" spans="1:19">
      <c r="A8" s="4" t="s">
        <v>25</v>
      </c>
      <c r="B8" s="23">
        <v>0.21</v>
      </c>
      <c r="C8" s="2"/>
      <c r="E8" s="8" t="s">
        <v>26</v>
      </c>
      <c r="F8" s="26">
        <f>J2*J2/J6</f>
        <v>2.3111111111111109</v>
      </c>
      <c r="G8" s="2"/>
      <c r="M8" s="8" t="s">
        <v>27</v>
      </c>
      <c r="N8" s="22">
        <f>'Data Table'!E13</f>
        <v>4.4651162790697674</v>
      </c>
      <c r="O8" s="2"/>
    </row>
    <row r="9" spans="1:19">
      <c r="A9" s="8" t="s">
        <v>28</v>
      </c>
      <c r="B9" s="22">
        <v>129.5</v>
      </c>
      <c r="C9" s="8" t="s">
        <v>5</v>
      </c>
      <c r="M9" s="1"/>
      <c r="N9" s="1"/>
      <c r="O9" s="1"/>
      <c r="P9" s="68"/>
    </row>
    <row r="10" spans="1:19" ht="12.95">
      <c r="A10" s="1"/>
      <c r="B10" s="7"/>
      <c r="C10" s="1"/>
      <c r="D10" s="1"/>
      <c r="E10" s="11" t="s">
        <v>29</v>
      </c>
      <c r="F10" s="1"/>
      <c r="G10" s="1"/>
      <c r="M10" s="11" t="s">
        <v>29</v>
      </c>
      <c r="N10" s="1"/>
      <c r="O10" s="1"/>
    </row>
    <row r="11" spans="1:19" ht="15.6">
      <c r="A11" s="11" t="s">
        <v>30</v>
      </c>
      <c r="B11" s="1"/>
      <c r="D11" s="64"/>
      <c r="E11" s="8" t="s">
        <v>31</v>
      </c>
      <c r="F11" s="6">
        <f>(F3*B2*B4)/F4</f>
        <v>285.84009748125004</v>
      </c>
      <c r="G11" s="8" t="s">
        <v>13</v>
      </c>
      <c r="H11" s="51" t="s">
        <v>32</v>
      </c>
      <c r="I11" s="51"/>
      <c r="J11" s="51"/>
      <c r="K11" s="51"/>
      <c r="M11" s="8" t="s">
        <v>33</v>
      </c>
      <c r="N11" s="6">
        <f>(N3*B3*B4)/N4</f>
        <v>497.25681027240006</v>
      </c>
      <c r="O11" s="8" t="s">
        <v>13</v>
      </c>
      <c r="P11" s="51" t="s">
        <v>34</v>
      </c>
      <c r="Q11" s="51"/>
      <c r="R11" s="51"/>
      <c r="S11" s="51"/>
    </row>
    <row r="12" spans="1:19" ht="15.6">
      <c r="A12" s="12" t="s">
        <v>35</v>
      </c>
      <c r="B12" s="21">
        <v>29146</v>
      </c>
      <c r="C12" s="13" t="s">
        <v>5</v>
      </c>
      <c r="E12" s="8" t="s">
        <v>36</v>
      </c>
      <c r="F12" s="2">
        <f>SQRT(F8*F11)</f>
        <v>25.702300000000001</v>
      </c>
      <c r="G12" s="2" t="s">
        <v>5</v>
      </c>
      <c r="H12" s="51" t="s">
        <v>37</v>
      </c>
      <c r="I12" s="51"/>
      <c r="J12" s="51"/>
      <c r="K12" s="51"/>
      <c r="M12" s="8" t="s">
        <v>38</v>
      </c>
      <c r="N12" s="2">
        <f>SQRT(N8*N11)</f>
        <v>47.120160000000006</v>
      </c>
      <c r="O12" s="2" t="s">
        <v>5</v>
      </c>
      <c r="P12" s="51" t="s">
        <v>39</v>
      </c>
      <c r="Q12" s="51"/>
      <c r="R12" s="51"/>
      <c r="S12" s="51"/>
    </row>
    <row r="13" spans="1:19" ht="15.6">
      <c r="A13" s="12" t="s">
        <v>40</v>
      </c>
      <c r="B13" s="14">
        <f>(1036-0.0034*(HC-20000))*B5</f>
        <v>793.87384400000008</v>
      </c>
      <c r="C13" s="13" t="s">
        <v>41</v>
      </c>
      <c r="E13" s="2" t="s">
        <v>42</v>
      </c>
      <c r="F13" s="2">
        <f>2*F12/(F8*(1+F7))</f>
        <v>18.288175000000003</v>
      </c>
      <c r="G13" s="2" t="s">
        <v>5</v>
      </c>
      <c r="H13" s="51" t="s">
        <v>43</v>
      </c>
      <c r="I13" s="51"/>
      <c r="J13" s="51"/>
      <c r="K13" s="51"/>
      <c r="M13" s="2" t="s">
        <v>42</v>
      </c>
      <c r="N13" s="2">
        <v>13.8</v>
      </c>
      <c r="O13" s="2" t="s">
        <v>5</v>
      </c>
      <c r="P13" s="51" t="s">
        <v>39</v>
      </c>
      <c r="Q13" s="51"/>
      <c r="R13" s="51"/>
      <c r="S13" s="51"/>
    </row>
    <row r="14" spans="1:19" ht="15.6">
      <c r="A14" s="15" t="s">
        <v>44</v>
      </c>
      <c r="B14" s="10">
        <f>IF(HC&lt;10000,(1-0.00002615*HC)*0.076474,IF(HC&gt;40000,(-0.0000091*HC+0.6211)*0.076474,(-0.00001681*HC+0.9066)*0.076474))</f>
        <v>3.1863331060759996E-2</v>
      </c>
      <c r="C14" s="10" t="s">
        <v>45</v>
      </c>
      <c r="E14" s="2" t="s">
        <v>46</v>
      </c>
      <c r="F14" s="2">
        <f>F7*F13</f>
        <v>3.9542000000000002</v>
      </c>
      <c r="G14" s="2" t="s">
        <v>5</v>
      </c>
      <c r="H14" s="51" t="s">
        <v>47</v>
      </c>
      <c r="I14" s="51"/>
      <c r="J14" s="51"/>
      <c r="K14" s="51"/>
      <c r="M14" s="2" t="s">
        <v>46</v>
      </c>
      <c r="N14" s="2">
        <f>N7*N13</f>
        <v>5.3419354838709676</v>
      </c>
      <c r="O14" s="2" t="s">
        <v>5</v>
      </c>
      <c r="P14" s="51" t="s">
        <v>48</v>
      </c>
      <c r="Q14" s="51"/>
      <c r="R14" s="51"/>
      <c r="S14" s="51"/>
    </row>
    <row r="15" spans="1:19">
      <c r="A15" s="12" t="s">
        <v>49</v>
      </c>
      <c r="B15" s="10">
        <f>0.5*B14*(B13^2)/32.2</f>
        <v>311.82310751727266</v>
      </c>
      <c r="C15" s="10" t="s">
        <v>50</v>
      </c>
      <c r="E15" s="8" t="s">
        <v>51</v>
      </c>
      <c r="F15" s="2">
        <f>(2*F13/3)*(1+F7+F7^2)/(1+F7)</f>
        <v>12.660762592592594</v>
      </c>
      <c r="G15" s="2" t="s">
        <v>5</v>
      </c>
      <c r="H15" s="51" t="s">
        <v>52</v>
      </c>
      <c r="I15" s="51"/>
      <c r="J15" s="51"/>
      <c r="K15" s="51"/>
      <c r="M15" s="8" t="s">
        <v>53</v>
      </c>
      <c r="N15" s="2">
        <f>(2*N13/3)*(1+N7+N7^2)/(1+N7)</f>
        <v>10.193848462115529</v>
      </c>
      <c r="O15" s="2" t="s">
        <v>5</v>
      </c>
      <c r="P15" s="51" t="s">
        <v>54</v>
      </c>
      <c r="Q15" s="51"/>
      <c r="R15" s="51"/>
      <c r="S15" s="51"/>
    </row>
    <row r="16" spans="1:19" ht="29.1" customHeight="1">
      <c r="A16" s="15" t="s">
        <v>55</v>
      </c>
      <c r="B16" s="10">
        <f>0.0000107</f>
        <v>1.0699999999999999E-5</v>
      </c>
      <c r="C16" s="10" t="s">
        <v>56</v>
      </c>
      <c r="E16" s="32" t="s">
        <v>57</v>
      </c>
      <c r="F16" s="1">
        <f>F12/3*(1+2*F7)/(1+F7)</f>
        <v>10.090532592592593</v>
      </c>
      <c r="G16" s="24" t="s">
        <v>5</v>
      </c>
      <c r="H16" s="52" t="s">
        <v>58</v>
      </c>
      <c r="I16" s="52"/>
      <c r="J16" s="52"/>
      <c r="K16" s="52"/>
      <c r="M16" s="32" t="s">
        <v>59</v>
      </c>
      <c r="N16" s="1">
        <f>N12/6*(1+2*N7)/(1+N7)</f>
        <v>10.04499534883721</v>
      </c>
      <c r="O16" s="24" t="s">
        <v>5</v>
      </c>
      <c r="P16" s="51" t="s">
        <v>60</v>
      </c>
      <c r="Q16" s="51"/>
      <c r="R16" s="51"/>
      <c r="S16" s="51"/>
    </row>
    <row r="17" spans="1:19">
      <c r="A17" s="15" t="s">
        <v>61</v>
      </c>
      <c r="B17" s="10">
        <f>B16/B14</f>
        <v>3.3580920901195901E-4</v>
      </c>
      <c r="C17" s="3" t="s">
        <v>62</v>
      </c>
      <c r="E17" s="4" t="s">
        <v>4</v>
      </c>
      <c r="F17" s="2">
        <f>IF(B5&lt;1,SQRT(1-B5^2),SQRT(B5^2-1))</f>
        <v>0.61310684223877321</v>
      </c>
      <c r="G17" s="2"/>
      <c r="H17" s="50"/>
      <c r="I17" s="50"/>
      <c r="J17" s="50"/>
      <c r="K17" s="50"/>
      <c r="M17" s="4" t="s">
        <v>4</v>
      </c>
      <c r="N17" s="2">
        <f>IF(B5&lt;1,SQRT(1-B5^2),SQRT(B5^2-1))</f>
        <v>0.61310684223877321</v>
      </c>
      <c r="O17" s="2"/>
      <c r="P17" s="50"/>
      <c r="Q17" s="50"/>
      <c r="R17" s="50"/>
      <c r="S17" s="50"/>
    </row>
    <row r="18" spans="1:19" ht="15.6">
      <c r="A18" s="46"/>
      <c r="E18" s="3" t="s">
        <v>63</v>
      </c>
      <c r="F18" s="69">
        <f>(PI()/180)*2*PI()*F8/(2+SQRT(4+F8^2*F17^2*(1+((TAN(G24*PI()/180))^2)/F17^2)))</f>
        <v>5.3754785786324963E-2</v>
      </c>
      <c r="G18" s="2" t="s">
        <v>64</v>
      </c>
      <c r="H18" s="50"/>
      <c r="I18" s="50"/>
      <c r="J18" s="50"/>
      <c r="K18" s="50"/>
      <c r="M18" s="70" t="s">
        <v>63</v>
      </c>
      <c r="N18" s="71">
        <f>(PI()/180)*2*PI()*N8/(2+SQRT(4+N8^2*N17^2*(1+((TAN(O24*PI()/180))^2)/N17^2)))</f>
        <v>7.832481418001902E-2</v>
      </c>
      <c r="O18" s="44" t="s">
        <v>64</v>
      </c>
      <c r="P18" s="50"/>
      <c r="Q18" s="50"/>
      <c r="R18" s="50"/>
      <c r="S18" s="50"/>
    </row>
    <row r="19" spans="1:19" ht="12.95">
      <c r="A19" s="46"/>
      <c r="E19" s="1"/>
      <c r="F19" s="72"/>
      <c r="G19" s="1"/>
      <c r="H19" s="50"/>
      <c r="I19" s="50"/>
      <c r="J19" s="50"/>
      <c r="K19" s="50"/>
      <c r="M19" s="45"/>
      <c r="N19" s="73"/>
      <c r="O19" s="45"/>
      <c r="P19" s="50"/>
      <c r="Q19" s="50"/>
      <c r="R19" s="50"/>
      <c r="S19" s="50"/>
    </row>
    <row r="20" spans="1:19" ht="12.95">
      <c r="A20" s="46"/>
      <c r="E20" s="11" t="s">
        <v>65</v>
      </c>
      <c r="F20" s="1"/>
      <c r="G20" s="1"/>
      <c r="H20" s="50"/>
      <c r="I20" s="50"/>
      <c r="J20" s="50"/>
      <c r="K20" s="50"/>
      <c r="M20" s="11" t="s">
        <v>65</v>
      </c>
      <c r="N20" s="1"/>
      <c r="O20" s="1"/>
      <c r="P20" s="50"/>
      <c r="Q20" s="50"/>
      <c r="R20" s="50"/>
      <c r="S20" s="50"/>
    </row>
    <row r="21" spans="1:19" ht="15.6">
      <c r="A21" s="46"/>
      <c r="E21" s="2"/>
      <c r="F21" s="2" t="s">
        <v>66</v>
      </c>
      <c r="G21" s="4" t="s">
        <v>67</v>
      </c>
      <c r="H21" s="50"/>
      <c r="I21" s="50"/>
      <c r="J21" s="50"/>
      <c r="K21" s="50"/>
      <c r="M21" s="2"/>
      <c r="N21" s="2" t="s">
        <v>66</v>
      </c>
      <c r="O21" s="4" t="s">
        <v>67</v>
      </c>
      <c r="P21" s="50"/>
      <c r="Q21" s="50"/>
      <c r="R21" s="50"/>
      <c r="S21" s="50"/>
    </row>
    <row r="22" spans="1:19">
      <c r="E22" s="2" t="s">
        <v>68</v>
      </c>
      <c r="F22" s="2">
        <v>0</v>
      </c>
      <c r="G22" s="6">
        <f>180*ATAN(TAN($F$5*PI()/180)-F22*($F$13*(1-$F$7)/$F$12))/PI()</f>
        <v>35</v>
      </c>
      <c r="H22" s="50"/>
      <c r="I22" s="50"/>
      <c r="J22" s="50" t="s">
        <v>69</v>
      </c>
      <c r="K22" s="50"/>
      <c r="M22" s="2" t="s">
        <v>68</v>
      </c>
      <c r="N22" s="2">
        <v>0</v>
      </c>
      <c r="O22" s="6">
        <f>180*ATAN(TAN($N$5*PI()/180)-N22*(2*$N$13*(1-$N$7)/$N$12))/PI()</f>
        <v>35</v>
      </c>
      <c r="P22" s="50"/>
      <c r="Q22" s="50"/>
      <c r="R22" s="50"/>
      <c r="S22" s="50"/>
    </row>
    <row r="23" spans="1:19">
      <c r="E23" s="2" t="s">
        <v>70</v>
      </c>
      <c r="F23" s="2">
        <v>0.25</v>
      </c>
      <c r="G23" s="6">
        <f>180*ATAN(TAN($F$5*PI()/180)-F23*($F$13*(1-$F$7)/$F$12))/PI()</f>
        <v>29.283031033189939</v>
      </c>
      <c r="H23" s="51" t="s">
        <v>71</v>
      </c>
      <c r="I23" s="51"/>
      <c r="J23" s="51"/>
      <c r="K23" s="51"/>
      <c r="M23" s="2" t="s">
        <v>70</v>
      </c>
      <c r="N23" s="2">
        <v>0.25</v>
      </c>
      <c r="O23" s="6">
        <f>180*ATAN(TAN($N$5*PI()/180)-N23*(2*$N$13*(1-$N$7)/$N$12))/PI()</f>
        <v>31.402294788536736</v>
      </c>
      <c r="P23" s="51" t="s">
        <v>72</v>
      </c>
      <c r="Q23" s="51"/>
      <c r="R23" s="51"/>
      <c r="S23" s="51"/>
    </row>
    <row r="24" spans="1:19">
      <c r="E24" s="2" t="s">
        <v>73</v>
      </c>
      <c r="F24" s="2">
        <v>0.35</v>
      </c>
      <c r="G24" s="6">
        <f>180*ATAN(TAN($F$5*PI()/180)-F24*($F$13*(1-$F$7)/$F$12))/PI()</f>
        <v>26.794470944847806</v>
      </c>
      <c r="H24" s="50"/>
      <c r="I24" s="50"/>
      <c r="J24" s="50"/>
      <c r="K24" s="50"/>
      <c r="M24" s="2" t="s">
        <v>73</v>
      </c>
      <c r="N24" s="2">
        <v>0.35</v>
      </c>
      <c r="O24" s="6">
        <f>180*ATAN(TAN($N$5*PI()/180)-N24*(2*$N$13*(1-$N$7)/$N$12))/PI()</f>
        <v>29.87984879154056</v>
      </c>
      <c r="P24" s="50"/>
      <c r="Q24" s="50"/>
      <c r="R24" s="50"/>
      <c r="S24" s="50"/>
    </row>
    <row r="25" spans="1:19">
      <c r="E25" s="2" t="s">
        <v>74</v>
      </c>
      <c r="F25" s="2">
        <v>1</v>
      </c>
      <c r="G25" s="6">
        <f>180*ATAN(TAN($F$5*PI()/180)-F25*($F$13*(1-$F$7)/$F$12))/PI()</f>
        <v>8.1109031045001085</v>
      </c>
      <c r="H25" s="51" t="s">
        <v>75</v>
      </c>
      <c r="I25" s="51"/>
      <c r="J25" s="51"/>
      <c r="K25" s="51"/>
      <c r="M25" s="2" t="s">
        <v>74</v>
      </c>
      <c r="N25" s="2">
        <v>1</v>
      </c>
      <c r="O25" s="6">
        <f>180*ATAN(TAN($N$5*PI()/180)-N25*(2*$N$13*(1-$N$7)/$N$12))/PI()</f>
        <v>18.840037147798601</v>
      </c>
      <c r="P25" s="51" t="s">
        <v>76</v>
      </c>
      <c r="Q25" s="51"/>
      <c r="R25" s="51"/>
      <c r="S25" s="51"/>
    </row>
    <row r="27" spans="1:19" ht="12.95">
      <c r="E27" s="11" t="s">
        <v>77</v>
      </c>
      <c r="F27" s="1"/>
      <c r="G27" s="1"/>
      <c r="M27" s="11" t="s">
        <v>77</v>
      </c>
      <c r="N27" s="1"/>
      <c r="O27" s="1"/>
    </row>
    <row r="28" spans="1:19">
      <c r="E28" s="8" t="s">
        <v>78</v>
      </c>
      <c r="F28" s="8" t="s">
        <v>79</v>
      </c>
      <c r="G28" s="2"/>
      <c r="M28" s="8" t="s">
        <v>78</v>
      </c>
      <c r="N28" s="8" t="s">
        <v>79</v>
      </c>
      <c r="O28" s="2"/>
    </row>
    <row r="29" spans="1:19" ht="15.6">
      <c r="D29" s="1"/>
      <c r="E29" s="3" t="s">
        <v>80</v>
      </c>
      <c r="F29" s="3">
        <v>0.8</v>
      </c>
      <c r="G29" s="3"/>
      <c r="M29" s="3" t="s">
        <v>80</v>
      </c>
      <c r="N29" s="3">
        <v>0.8</v>
      </c>
      <c r="O29" s="3"/>
    </row>
    <row r="30" spans="1:19" ht="15.6">
      <c r="D30" s="1"/>
      <c r="E30" s="3" t="s">
        <v>81</v>
      </c>
      <c r="F30" s="3">
        <v>0.111</v>
      </c>
      <c r="G30" s="3" t="s">
        <v>64</v>
      </c>
      <c r="M30" s="3" t="s">
        <v>81</v>
      </c>
      <c r="N30" s="3">
        <v>0.111</v>
      </c>
      <c r="O30" s="3" t="s">
        <v>64</v>
      </c>
    </row>
    <row r="31" spans="1:19" ht="12.95">
      <c r="A31" s="1"/>
      <c r="B31" s="72"/>
      <c r="C31" s="1"/>
      <c r="D31" s="1"/>
      <c r="E31" s="3" t="s">
        <v>82</v>
      </c>
      <c r="F31" s="3">
        <v>0.25800000000000001</v>
      </c>
      <c r="G31" s="3" t="s">
        <v>83</v>
      </c>
      <c r="M31" s="3" t="s">
        <v>82</v>
      </c>
      <c r="N31" s="3">
        <v>0.25800000000000001</v>
      </c>
      <c r="O31" s="3" t="s">
        <v>83</v>
      </c>
    </row>
    <row r="32" spans="1:19" ht="15.6">
      <c r="C32" s="1"/>
      <c r="D32" s="1"/>
      <c r="E32" s="5" t="s">
        <v>84</v>
      </c>
      <c r="F32" s="3">
        <v>0</v>
      </c>
      <c r="G32" s="3" t="s">
        <v>19</v>
      </c>
      <c r="M32" s="5" t="s">
        <v>84</v>
      </c>
      <c r="N32" s="3">
        <v>0</v>
      </c>
      <c r="O32" s="3" t="s">
        <v>19</v>
      </c>
    </row>
    <row r="33" spans="3:15">
      <c r="C33" s="1"/>
      <c r="D33" s="1"/>
      <c r="E33" s="3" t="s">
        <v>85</v>
      </c>
      <c r="F33" s="3">
        <v>4.0000000000000001E-3</v>
      </c>
      <c r="G33" s="3"/>
      <c r="M33" s="3" t="s">
        <v>85</v>
      </c>
      <c r="N33" s="3">
        <v>4.0000000000000001E-3</v>
      </c>
      <c r="O33" s="3"/>
    </row>
    <row r="34" spans="3:15">
      <c r="C34" s="1"/>
      <c r="D34" s="1"/>
    </row>
    <row r="35" spans="3:15" ht="12.95">
      <c r="C35" s="1"/>
      <c r="D35" s="1"/>
      <c r="E35" s="9" t="s">
        <v>86</v>
      </c>
      <c r="M35" s="9" t="s">
        <v>86</v>
      </c>
    </row>
    <row r="36" spans="3:15">
      <c r="C36" s="1"/>
      <c r="D36" s="1"/>
      <c r="E36" s="10" t="s">
        <v>87</v>
      </c>
      <c r="F36" s="10">
        <f>B13*COS(PI()*F5/180)</f>
        <v>650.30338222016019</v>
      </c>
      <c r="G36" s="10" t="s">
        <v>41</v>
      </c>
      <c r="M36" s="10" t="s">
        <v>87</v>
      </c>
      <c r="N36" s="10">
        <f>B13*COS(PI()*N5/180)</f>
        <v>650.30338222016019</v>
      </c>
      <c r="O36" s="10" t="s">
        <v>41</v>
      </c>
    </row>
    <row r="37" spans="3:15">
      <c r="C37" s="1"/>
      <c r="D37" s="1"/>
      <c r="E37" s="10" t="s">
        <v>88</v>
      </c>
      <c r="F37" s="10">
        <f>0.5*B14*(F36^2)/32.2</f>
        <v>209.23644572129282</v>
      </c>
      <c r="G37" s="10" t="s">
        <v>50</v>
      </c>
      <c r="M37" s="10" t="s">
        <v>88</v>
      </c>
      <c r="N37" s="10">
        <f>0.5*B14*(N36^2)/32.2</f>
        <v>209.23644572129282</v>
      </c>
      <c r="O37" s="10" t="s">
        <v>50</v>
      </c>
    </row>
    <row r="38" spans="3:15">
      <c r="C38" s="1"/>
      <c r="D38" s="1"/>
      <c r="E38" t="s">
        <v>89</v>
      </c>
      <c r="F38" s="10">
        <f>B5*COS(F5*PI()/180)</f>
        <v>0.64713011498830353</v>
      </c>
      <c r="G38" s="10"/>
      <c r="M38" t="s">
        <v>89</v>
      </c>
      <c r="N38" s="10">
        <f>B5*COS(N5*PI()/180)</f>
        <v>0.64713011498830353</v>
      </c>
      <c r="O38" s="10"/>
    </row>
    <row r="39" spans="3:15">
      <c r="C39" s="1"/>
      <c r="D39" s="1"/>
      <c r="E39" s="10" t="s">
        <v>90</v>
      </c>
      <c r="F39" s="10">
        <f>F15*F36/B17</f>
        <v>24517900.386574086</v>
      </c>
      <c r="G39" s="10"/>
      <c r="M39" s="10" t="s">
        <v>90</v>
      </c>
      <c r="N39" s="10">
        <f>N15*N36/B17</f>
        <v>19740656.166809969</v>
      </c>
      <c r="O39" s="10"/>
    </row>
    <row r="40" spans="3:15">
      <c r="C40" s="1"/>
      <c r="D40" s="1"/>
      <c r="E40" s="10" t="s">
        <v>91</v>
      </c>
      <c r="F40" s="10">
        <f>SQRT(F39)</f>
        <v>4951.5553502484536</v>
      </c>
      <c r="G40" s="10"/>
      <c r="M40" s="10" t="s">
        <v>91</v>
      </c>
      <c r="N40" s="10">
        <f>SQRT(N39)</f>
        <v>4443.0458209217213</v>
      </c>
      <c r="O40" s="10"/>
    </row>
    <row r="41" spans="3:15">
      <c r="C41" s="1"/>
      <c r="D41" s="1"/>
      <c r="E41" s="10" t="s">
        <v>92</v>
      </c>
      <c r="F41" s="19">
        <f>IF(F39&lt;1000000,1.328/SQRT(F39), 0.455/( (LOG(F39)^2.58)*(1+0.144*F38^2)^0.65))</f>
        <v>2.5145330589027475E-3</v>
      </c>
      <c r="G41" s="10"/>
      <c r="M41" s="10" t="s">
        <v>92</v>
      </c>
      <c r="N41" s="18">
        <f>IF(N39&lt;1000000,1.328/SQRT(N39), 0.455/( (LOG(N39)^2.58)*(1+0.144*N38^2)^0.65))</f>
        <v>2.5990872045377148E-3</v>
      </c>
      <c r="O41" s="10"/>
    </row>
    <row r="42" spans="3:15">
      <c r="C42" s="1"/>
      <c r="D42" s="1"/>
      <c r="E42" s="10" t="s">
        <v>93</v>
      </c>
      <c r="F42" s="6">
        <f>IF(F6&lt;=0.05,2.003*F11, (1.977+0.52*F6)*F11)</f>
        <v>579.9695577894563</v>
      </c>
      <c r="G42" s="8" t="s">
        <v>13</v>
      </c>
      <c r="M42" s="10" t="s">
        <v>93</v>
      </c>
      <c r="N42" s="6">
        <f>IF(N6&lt;=0.05,2.003*N11, (1.977+0.52*N6)*N11)</f>
        <v>1008.9340680426997</v>
      </c>
      <c r="O42" s="8" t="s">
        <v>13</v>
      </c>
    </row>
    <row r="43" spans="3:15" ht="12.95">
      <c r="C43" s="1"/>
      <c r="D43" s="1"/>
      <c r="E43" s="20" t="s">
        <v>94</v>
      </c>
      <c r="F43" s="10">
        <f>1.1*(1+(0.6/F24)*F6+100*F6^4)*(1.34*(B5^0.18)*(COS(G24*PI()/180))^0.28)</f>
        <v>1.616835184593558</v>
      </c>
      <c r="G43" s="10"/>
      <c r="M43" s="20" t="s">
        <v>94</v>
      </c>
      <c r="N43" s="10">
        <f>1.1*(1+(0.6/N24)*N6+100*N6^4)*(1.34*(B5^0.18)*(COS(O24*PI()/180))^0.28)</f>
        <v>1.6037374730268177</v>
      </c>
      <c r="O43" s="10"/>
    </row>
    <row r="44" spans="3:15" ht="12.95">
      <c r="C44" s="1"/>
      <c r="D44" s="1"/>
      <c r="E44" s="20" t="s">
        <v>95</v>
      </c>
      <c r="F44" s="10">
        <v>1.05</v>
      </c>
      <c r="G44" s="10"/>
      <c r="M44" s="20" t="s">
        <v>95</v>
      </c>
      <c r="N44" s="10">
        <v>1.05</v>
      </c>
      <c r="O44" s="10"/>
    </row>
    <row r="45" spans="3:15" ht="15.6">
      <c r="C45" s="1"/>
      <c r="D45" s="1"/>
      <c r="E45" s="2" t="s">
        <v>96</v>
      </c>
      <c r="F45" s="33">
        <f>F41*F42*F43*F44/MCC</f>
        <v>1.8071617733545361E-3</v>
      </c>
      <c r="G45" s="10"/>
      <c r="M45" s="2" t="s">
        <v>96</v>
      </c>
      <c r="N45" s="33">
        <f>N41*N42*N43*N44/MCC</f>
        <v>3.2231880705809899E-3</v>
      </c>
      <c r="O45" s="10"/>
    </row>
    <row r="46" spans="3:15" ht="12.95" thickBot="1">
      <c r="C46" s="1"/>
      <c r="D46" s="1"/>
      <c r="E46" s="1"/>
      <c r="F46" s="1"/>
    </row>
    <row r="47" spans="3:15" ht="14.1" thickTop="1" thickBot="1">
      <c r="C47" s="1"/>
      <c r="D47" s="1"/>
      <c r="E47" s="16" t="s">
        <v>97</v>
      </c>
      <c r="F47" s="74">
        <f>F45*MCC*B15</f>
        <v>772.01527593675621</v>
      </c>
      <c r="G47" s="17" t="s">
        <v>98</v>
      </c>
      <c r="M47" s="16" t="s">
        <v>97</v>
      </c>
      <c r="N47" s="74">
        <f>N45*MCC*B15</f>
        <v>1376.9383927851982</v>
      </c>
      <c r="O47" s="17" t="s">
        <v>98</v>
      </c>
    </row>
    <row r="48" spans="3:15">
      <c r="C48" s="1"/>
      <c r="D48" s="1"/>
    </row>
    <row r="49" spans="1:14" ht="12.95">
      <c r="C49" s="1"/>
      <c r="D49" s="1"/>
      <c r="E49" s="9" t="s">
        <v>99</v>
      </c>
      <c r="M49" s="9" t="s">
        <v>99</v>
      </c>
    </row>
    <row r="50" spans="1:14">
      <c r="C50" s="1"/>
      <c r="D50" s="1"/>
      <c r="E50" s="29" t="s">
        <v>100</v>
      </c>
      <c r="F50" s="30" t="s">
        <v>101</v>
      </c>
      <c r="M50" s="29" t="s">
        <v>100</v>
      </c>
      <c r="N50" s="30" t="s">
        <v>101</v>
      </c>
    </row>
    <row r="51" spans="1:14" ht="12.95">
      <c r="A51" s="1"/>
      <c r="B51" s="72"/>
      <c r="C51" s="1"/>
      <c r="D51" s="1"/>
      <c r="E51" s="24">
        <v>0</v>
      </c>
      <c r="F51" s="25">
        <v>0</v>
      </c>
      <c r="M51" s="24">
        <v>0</v>
      </c>
      <c r="N51" s="25">
        <v>0</v>
      </c>
    </row>
    <row r="52" spans="1:14">
      <c r="E52" s="24">
        <f>F13</f>
        <v>18.288175000000003</v>
      </c>
      <c r="F52" s="25">
        <v>0</v>
      </c>
      <c r="M52" s="24">
        <f>N13</f>
        <v>13.8</v>
      </c>
      <c r="N52" s="25">
        <v>0</v>
      </c>
    </row>
    <row r="53" spans="1:14">
      <c r="E53" s="24">
        <f>F13+F12*TAN(PI()*G25/180)</f>
        <v>21.951144209327424</v>
      </c>
      <c r="F53" s="25">
        <f>F12</f>
        <v>25.702300000000001</v>
      </c>
      <c r="M53" s="24">
        <f>N13+(N12/2)*TAN(PI()*O25/180)</f>
        <v>21.838881100694788</v>
      </c>
      <c r="N53" s="25">
        <f>N12/2</f>
        <v>23.560080000000003</v>
      </c>
    </row>
    <row r="54" spans="1:14">
      <c r="E54" s="24">
        <f>F12*TAN(PI()*G22/180)</f>
        <v>17.996944209327424</v>
      </c>
      <c r="F54" s="25">
        <f>F12</f>
        <v>25.702300000000001</v>
      </c>
      <c r="M54" s="24">
        <f>N12/2*TAN(PI()*O22/180)</f>
        <v>16.496945616823819</v>
      </c>
      <c r="N54" s="25">
        <f>N12/2</f>
        <v>23.560080000000003</v>
      </c>
    </row>
    <row r="55" spans="1:14">
      <c r="E55" s="27">
        <v>0</v>
      </c>
      <c r="F55" s="28">
        <v>0</v>
      </c>
      <c r="M55" s="27">
        <v>0</v>
      </c>
      <c r="N55" s="28">
        <v>0</v>
      </c>
    </row>
    <row r="72" spans="1:6" ht="12.95">
      <c r="A72" s="1"/>
      <c r="B72" s="72"/>
      <c r="C72" s="1"/>
      <c r="D72" s="1"/>
      <c r="E72" s="1"/>
      <c r="F72" s="11"/>
    </row>
    <row r="73" spans="1:6" ht="12.95">
      <c r="A73" s="1"/>
      <c r="B73" s="72"/>
      <c r="C73" s="1"/>
      <c r="D73" s="1"/>
      <c r="E73" s="1"/>
      <c r="F73" s="11"/>
    </row>
    <row r="74" spans="1:6" ht="12.95">
      <c r="A74" s="1"/>
      <c r="B74" s="72"/>
      <c r="C74" s="1"/>
      <c r="D74" s="1"/>
      <c r="E74" s="1"/>
      <c r="F74" s="11"/>
    </row>
  </sheetData>
  <mergeCells count="17">
    <mergeCell ref="H15:K15"/>
    <mergeCell ref="H16:K16"/>
    <mergeCell ref="H25:K25"/>
    <mergeCell ref="H23:K23"/>
    <mergeCell ref="E1:F1"/>
    <mergeCell ref="H11:K11"/>
    <mergeCell ref="H12:K12"/>
    <mergeCell ref="H13:K13"/>
    <mergeCell ref="H14:K14"/>
    <mergeCell ref="P16:S16"/>
    <mergeCell ref="P23:S23"/>
    <mergeCell ref="P25:S25"/>
    <mergeCell ref="P11:S11"/>
    <mergeCell ref="P12:S12"/>
    <mergeCell ref="P13:S13"/>
    <mergeCell ref="P14:S14"/>
    <mergeCell ref="P15:S15"/>
  </mergeCells>
  <phoneticPr fontId="9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1"/>
  <sheetViews>
    <sheetView zoomScale="85" zoomScaleNormal="85" workbookViewId="0">
      <selection activeCell="F13" sqref="F13"/>
    </sheetView>
  </sheetViews>
  <sheetFormatPr defaultRowHeight="12.6"/>
  <cols>
    <col min="2" max="2" width="38.7109375" customWidth="1"/>
    <col min="5" max="7" width="18.7109375" customWidth="1"/>
  </cols>
  <sheetData>
    <row r="3" spans="2:7" s="34" customFormat="1" ht="21" customHeight="1">
      <c r="B3" s="40" t="s">
        <v>102</v>
      </c>
      <c r="C3" s="41"/>
      <c r="D3" s="41"/>
      <c r="E3" s="42" t="s">
        <v>3</v>
      </c>
      <c r="F3" s="42" t="s">
        <v>1</v>
      </c>
      <c r="G3" s="42" t="s">
        <v>103</v>
      </c>
    </row>
    <row r="4" spans="2:7" s="34" customFormat="1" ht="21" customHeight="1">
      <c r="B4" s="35" t="s">
        <v>104</v>
      </c>
      <c r="C4" s="36" t="s">
        <v>105</v>
      </c>
      <c r="D4" s="37" t="s">
        <v>19</v>
      </c>
      <c r="E4" s="37">
        <v>35</v>
      </c>
      <c r="F4" s="37">
        <v>35</v>
      </c>
      <c r="G4" s="37">
        <v>29.9</v>
      </c>
    </row>
    <row r="5" spans="2:7" s="34" customFormat="1" ht="21" customHeight="1">
      <c r="B5" s="35" t="s">
        <v>106</v>
      </c>
      <c r="C5" s="36" t="s">
        <v>107</v>
      </c>
      <c r="D5" s="37" t="s">
        <v>19</v>
      </c>
      <c r="E5" s="37">
        <v>17</v>
      </c>
      <c r="F5" s="37">
        <v>12</v>
      </c>
      <c r="G5" s="37">
        <v>16</v>
      </c>
    </row>
    <row r="6" spans="2:7" s="34" customFormat="1" ht="21" customHeight="1">
      <c r="B6" s="35" t="s">
        <v>108</v>
      </c>
      <c r="C6" s="36" t="s">
        <v>109</v>
      </c>
      <c r="D6" s="37" t="s">
        <v>19</v>
      </c>
      <c r="E6" s="47">
        <f>DEGREES(ATAN(TAN(RADIANS(E4))-(0.25*E8*(1-E11)/(E9/2))))</f>
        <v>31.016355592995993</v>
      </c>
      <c r="F6" s="47">
        <f>DEGREES(ATAN(TAN(RADIANS(F4))-(0.25*F8*(1-F11)/(F10/2))))</f>
        <v>22.846762020998373</v>
      </c>
      <c r="G6" s="37">
        <v>27.4</v>
      </c>
    </row>
    <row r="7" spans="2:7" s="34" customFormat="1" ht="21" customHeight="1">
      <c r="B7" s="35" t="s">
        <v>110</v>
      </c>
      <c r="C7" s="37" t="s">
        <v>111</v>
      </c>
      <c r="D7" s="37" t="s">
        <v>5</v>
      </c>
      <c r="E7" s="47">
        <f>0.6*9.8167</f>
        <v>5.8900200000000007</v>
      </c>
      <c r="F7" s="47">
        <v>3.9540000000000002</v>
      </c>
      <c r="G7" s="37">
        <v>3.6</v>
      </c>
    </row>
    <row r="8" spans="2:7" s="34" customFormat="1" ht="21" customHeight="1">
      <c r="B8" s="35" t="s">
        <v>112</v>
      </c>
      <c r="C8" s="37" t="s">
        <v>113</v>
      </c>
      <c r="D8" s="37" t="s">
        <v>5</v>
      </c>
      <c r="E8" s="47">
        <f>1.55*9.8167</f>
        <v>15.215885000000002</v>
      </c>
      <c r="F8" s="47">
        <v>18.29</v>
      </c>
      <c r="G8" s="37">
        <v>17</v>
      </c>
    </row>
    <row r="9" spans="2:7" s="34" customFormat="1" ht="21" customHeight="1">
      <c r="B9" s="35" t="s">
        <v>114</v>
      </c>
      <c r="C9" s="37" t="s">
        <v>4</v>
      </c>
      <c r="D9" s="37" t="s">
        <v>5</v>
      </c>
      <c r="E9" s="47">
        <f>4.8*9.8167</f>
        <v>47.120160000000006</v>
      </c>
      <c r="F9" s="49" t="s">
        <v>115</v>
      </c>
      <c r="G9" s="37">
        <v>117.8</v>
      </c>
    </row>
    <row r="10" spans="2:7" s="34" customFormat="1" ht="21" customHeight="1">
      <c r="B10" s="35" t="s">
        <v>116</v>
      </c>
      <c r="C10" s="37" t="s">
        <v>117</v>
      </c>
      <c r="D10" s="37" t="s">
        <v>5</v>
      </c>
      <c r="E10" s="49" t="s">
        <v>115</v>
      </c>
      <c r="F10" s="47">
        <f>TAIL!J2</f>
        <v>25.702300000000001</v>
      </c>
      <c r="G10" s="43" t="s">
        <v>115</v>
      </c>
    </row>
    <row r="11" spans="2:7" s="34" customFormat="1" ht="21" customHeight="1">
      <c r="B11" s="35" t="s">
        <v>118</v>
      </c>
      <c r="C11" s="38" t="s">
        <v>25</v>
      </c>
      <c r="D11" s="39" t="s">
        <v>119</v>
      </c>
      <c r="E11" s="47">
        <f>E7/E8</f>
        <v>0.38709677419354838</v>
      </c>
      <c r="F11" s="47">
        <f>F7/F8</f>
        <v>0.21618370694368511</v>
      </c>
      <c r="G11" s="37">
        <v>0.21</v>
      </c>
    </row>
    <row r="12" spans="2:7" s="34" customFormat="1" ht="21" customHeight="1">
      <c r="B12" s="35" t="s">
        <v>120</v>
      </c>
      <c r="C12" s="37" t="s">
        <v>12</v>
      </c>
      <c r="D12" s="37" t="s">
        <v>121</v>
      </c>
      <c r="E12" s="47">
        <f>E9*(E8+E7)/2</f>
        <v>497.25681027240012</v>
      </c>
      <c r="F12" s="47">
        <f>TAIL!F11</f>
        <v>285.84009748125004</v>
      </c>
      <c r="G12" s="37">
        <v>1370</v>
      </c>
    </row>
    <row r="13" spans="2:7" s="34" customFormat="1" ht="21" customHeight="1">
      <c r="B13" s="35" t="s">
        <v>122</v>
      </c>
      <c r="C13" s="37" t="s">
        <v>123</v>
      </c>
      <c r="D13" s="39" t="s">
        <v>119</v>
      </c>
      <c r="E13" s="47">
        <f>E9*E9/E12</f>
        <v>4.4651162790697674</v>
      </c>
      <c r="F13" s="47">
        <f>TAIL!F8</f>
        <v>2.3111111111111109</v>
      </c>
      <c r="G13" s="37">
        <v>10.130000000000001</v>
      </c>
    </row>
    <row r="14" spans="2:7" s="34" customFormat="1" ht="21" customHeight="1">
      <c r="B14" s="35" t="s">
        <v>124</v>
      </c>
      <c r="C14" s="37" t="s">
        <v>125</v>
      </c>
      <c r="D14" s="37" t="s">
        <v>5</v>
      </c>
      <c r="E14" s="47">
        <f>(2/3)*E8*(1+E11+E11*E11)/(1+E11)</f>
        <v>11.239741007751936</v>
      </c>
      <c r="F14" s="47">
        <f>(2/3)*F8*(1+F11+F11*F11)/(1+F11)</f>
        <v>12.661897620332072</v>
      </c>
      <c r="G14" s="37">
        <v>12.3</v>
      </c>
    </row>
    <row r="15" spans="2:7" s="34" customFormat="1" ht="21" customHeight="1">
      <c r="B15" s="35" t="s">
        <v>126</v>
      </c>
      <c r="C15" s="37" t="s">
        <v>127</v>
      </c>
      <c r="D15" s="37" t="s">
        <v>5</v>
      </c>
      <c r="E15" s="47">
        <f>E9*(1+2*E11)/(6+6*E11)</f>
        <v>10.044995348837212</v>
      </c>
      <c r="F15" s="47">
        <f>TAIL!J5</f>
        <v>10.090532592592593</v>
      </c>
      <c r="G15" s="37">
        <v>23</v>
      </c>
    </row>
    <row r="16" spans="2:7" s="34" customFormat="1" ht="18" customHeight="1">
      <c r="B16" s="59" t="s">
        <v>128</v>
      </c>
      <c r="C16" s="60" t="s">
        <v>129</v>
      </c>
      <c r="D16" s="60" t="s">
        <v>5</v>
      </c>
      <c r="E16" s="55">
        <f>5.5*9.8167</f>
        <v>53.991850000000007</v>
      </c>
      <c r="F16" s="61" t="s">
        <v>115</v>
      </c>
      <c r="G16" s="53" t="s">
        <v>115</v>
      </c>
    </row>
    <row r="17" spans="2:7" s="34" customFormat="1" ht="18" customHeight="1">
      <c r="B17" s="59"/>
      <c r="C17" s="60"/>
      <c r="D17" s="60"/>
      <c r="E17" s="56"/>
      <c r="F17" s="62"/>
      <c r="G17" s="54"/>
    </row>
    <row r="18" spans="2:7" s="34" customFormat="1" ht="18" customHeight="1">
      <c r="B18" s="57" t="s">
        <v>130</v>
      </c>
      <c r="C18" s="60" t="s">
        <v>131</v>
      </c>
      <c r="D18" s="60" t="s">
        <v>5</v>
      </c>
      <c r="E18" s="53" t="s">
        <v>115</v>
      </c>
      <c r="F18" s="55">
        <f>TAIL!F4</f>
        <v>52.393149999999999</v>
      </c>
      <c r="G18" s="53" t="s">
        <v>115</v>
      </c>
    </row>
    <row r="19" spans="2:7" s="34" customFormat="1" ht="18" customHeight="1">
      <c r="B19" s="58"/>
      <c r="C19" s="60"/>
      <c r="D19" s="60"/>
      <c r="E19" s="54"/>
      <c r="F19" s="56"/>
      <c r="G19" s="54"/>
    </row>
    <row r="20" spans="2:7" s="34" customFormat="1" ht="21" customHeight="1">
      <c r="B20" s="35" t="s">
        <v>132</v>
      </c>
      <c r="C20" s="37" t="s">
        <v>133</v>
      </c>
      <c r="D20" s="39" t="s">
        <v>119</v>
      </c>
      <c r="E20" s="47">
        <f>TAIL!N3</f>
        <v>1.5932475883749266</v>
      </c>
      <c r="F20" s="49" t="s">
        <v>115</v>
      </c>
      <c r="G20" s="43" t="s">
        <v>115</v>
      </c>
    </row>
    <row r="21" spans="2:7" s="34" customFormat="1" ht="21" customHeight="1">
      <c r="B21" s="35" t="s">
        <v>134</v>
      </c>
      <c r="C21" s="37" t="s">
        <v>135</v>
      </c>
      <c r="D21" s="39" t="s">
        <v>119</v>
      </c>
      <c r="E21" s="43" t="s">
        <v>115</v>
      </c>
      <c r="F21" s="48">
        <f>F18*F12/(G12*G9)</f>
        <v>9.2796544330671527E-2</v>
      </c>
      <c r="G21" s="43" t="s">
        <v>115</v>
      </c>
    </row>
  </sheetData>
  <mergeCells count="12">
    <mergeCell ref="G16:G17"/>
    <mergeCell ref="E18:E19"/>
    <mergeCell ref="F18:F19"/>
    <mergeCell ref="G18:G19"/>
    <mergeCell ref="B18:B19"/>
    <mergeCell ref="B16:B17"/>
    <mergeCell ref="C16:C17"/>
    <mergeCell ref="D16:D17"/>
    <mergeCell ref="C18:C19"/>
    <mergeCell ref="D18:D19"/>
    <mergeCell ref="F16:F17"/>
    <mergeCell ref="E16:E17"/>
  </mergeCells>
  <phoneticPr fontId="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Hassan M. Nagib</dc:creator>
  <cp:keywords/>
  <dc:description/>
  <cp:lastModifiedBy>Long, Nathan (longnm)</cp:lastModifiedBy>
  <cp:revision/>
  <dcterms:created xsi:type="dcterms:W3CDTF">2002-08-27T17:54:42Z</dcterms:created>
  <dcterms:modified xsi:type="dcterms:W3CDTF">2023-04-16T05:38:04Z</dcterms:modified>
  <cp:category/>
  <cp:contentStatus/>
</cp:coreProperties>
</file>