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Team Assignments/"/>
    </mc:Choice>
  </mc:AlternateContent>
  <xr:revisionPtr revIDLastSave="133" documentId="13_ncr:1_{5B6C8FC4-B025-4290-9A55-D3DFEEA65C7A}" xr6:coauthVersionLast="47" xr6:coauthVersionMax="47" xr10:uidLastSave="{D4C7EFF2-852E-4F9A-B7C8-5600DA0C6C60}"/>
  <bookViews>
    <workbookView xWindow="-110" yWindow="-110" windowWidth="25820" windowHeight="13900" tabRatio="667" xr2:uid="{00000000-000D-0000-FFFF-FFFF00000000}"/>
  </bookViews>
  <sheets>
    <sheet name="ITERATION2-BIZ" sheetId="18" r:id="rId1"/>
    <sheet name="Sheet2" sheetId="19" r:id="rId2"/>
  </sheets>
  <definedNames>
    <definedName name="A">#REF!</definedName>
    <definedName name="CD_0">#REF!</definedName>
    <definedName name="CMN">#REF!</definedName>
    <definedName name="D">#REF!</definedName>
    <definedName name="EXP">#REF!</definedName>
    <definedName name="FR">#REF!</definedName>
    <definedName name="FT">#REF!</definedName>
    <definedName name="H">#REF!</definedName>
    <definedName name="HC">#REF!</definedName>
    <definedName name="k">#REF!</definedName>
    <definedName name="LL">#REF!</definedName>
    <definedName name="LT">#REF!</definedName>
    <definedName name="M">#REF!</definedName>
    <definedName name="MC">#REF!</definedName>
    <definedName name="MMX">#REF!</definedName>
    <definedName name="NONEXP">#REF!</definedName>
    <definedName name="RA">#REF!</definedName>
    <definedName name="S">#REF!</definedName>
    <definedName name="SFACT">#REF!</definedName>
    <definedName name="SHT">'ITERATION2-BIZ'!$H$34</definedName>
    <definedName name="T">#REF!</definedName>
    <definedName name="tcht">'ITERATION2-BIZ'!$H$35</definedName>
    <definedName name="TMX">#REF!</definedName>
    <definedName name="WL">#REF!</definedName>
    <definedName name="WS">#REF!</definedName>
    <definedName name="WTO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8" l="1"/>
  <c r="I51" i="18" l="1"/>
  <c r="I38" i="18"/>
  <c r="I23" i="18"/>
  <c r="I15" i="18"/>
  <c r="D105" i="18"/>
  <c r="D139" i="18"/>
  <c r="D142" i="18"/>
  <c r="D113" i="18"/>
  <c r="D20" i="18"/>
  <c r="D87" i="18"/>
  <c r="D44" i="18" l="1"/>
  <c r="D26" i="18"/>
  <c r="I10" i="18"/>
  <c r="D146" i="18" l="1"/>
  <c r="D145" i="18"/>
  <c r="D100" i="18"/>
  <c r="D141" i="18" s="1"/>
  <c r="I97" i="18"/>
  <c r="I96" i="18"/>
  <c r="D85" i="18"/>
  <c r="D72" i="18"/>
  <c r="D56" i="18"/>
  <c r="D37" i="18"/>
  <c r="D22" i="18"/>
  <c r="I140" i="18" l="1"/>
  <c r="H136" i="18" s="1"/>
  <c r="H137" i="18" l="1"/>
  <c r="H138" i="18"/>
  <c r="H135" i="18"/>
  <c r="H140" i="18" l="1"/>
  <c r="I115" i="18"/>
  <c r="I101" i="18" l="1"/>
  <c r="I119" i="18" s="1"/>
  <c r="D63" i="18" l="1"/>
  <c r="I13" i="18" l="1"/>
  <c r="I36" i="18" l="1"/>
  <c r="I21" i="18"/>
  <c r="I145" i="18" l="1"/>
  <c r="D135" i="18" l="1"/>
  <c r="I6" i="18"/>
  <c r="D65" i="18" l="1"/>
  <c r="I11" i="18" l="1"/>
  <c r="I12" i="18" l="1"/>
  <c r="I112" i="18" s="1"/>
  <c r="D140" i="18" l="1"/>
  <c r="D119" i="18"/>
  <c r="D38" i="18"/>
  <c r="D86" i="18" s="1"/>
  <c r="D57" i="18"/>
  <c r="D23" i="18"/>
  <c r="D15" i="18"/>
  <c r="D112" i="18" s="1"/>
  <c r="D78" i="18" l="1"/>
  <c r="D80" i="18" s="1"/>
  <c r="D116" i="18" s="1"/>
  <c r="D90" i="18"/>
  <c r="D117" i="18" s="1"/>
  <c r="D41" i="18" l="1"/>
  <c r="D60" i="18"/>
  <c r="D137" i="18" l="1"/>
  <c r="I35" i="18"/>
  <c r="I114" i="18" s="1"/>
  <c r="D136" i="18"/>
  <c r="I20" i="18"/>
  <c r="I113" i="18" s="1"/>
  <c r="I121" i="18" l="1"/>
  <c r="H119" i="18" s="1"/>
  <c r="D46" i="18"/>
  <c r="D114" i="18" s="1"/>
  <c r="D30" i="18"/>
  <c r="H116" i="18" l="1"/>
  <c r="H114" i="18"/>
  <c r="H113" i="18"/>
  <c r="H112" i="18"/>
  <c r="H123" i="18"/>
  <c r="H117" i="18"/>
  <c r="H115" i="18"/>
  <c r="H118" i="18"/>
  <c r="D67" i="18"/>
  <c r="D115" i="18" s="1"/>
  <c r="D138" i="18"/>
  <c r="D95" i="18"/>
  <c r="I95" i="18" s="1"/>
  <c r="H121" i="18" l="1"/>
  <c r="D144" i="18"/>
  <c r="C141" i="18" s="1"/>
  <c r="D118" i="18"/>
  <c r="D121" i="18" l="1"/>
  <c r="C118" i="18" s="1"/>
  <c r="C136" i="18"/>
  <c r="D148" i="18"/>
  <c r="C135" i="18"/>
  <c r="C137" i="18"/>
  <c r="C139" i="18"/>
  <c r="C142" i="18"/>
  <c r="C138" i="18"/>
  <c r="C140" i="18"/>
  <c r="C144" i="18" l="1"/>
  <c r="C112" i="18"/>
  <c r="C113" i="18"/>
  <c r="C119" i="18"/>
  <c r="C115" i="18"/>
  <c r="C117" i="18"/>
  <c r="C116" i="18"/>
  <c r="C114" i="18"/>
  <c r="D125" i="18"/>
  <c r="C121" i="18" l="1"/>
</calcChain>
</file>

<file path=xl/sharedStrings.xml><?xml version="1.0" encoding="utf-8"?>
<sst xmlns="http://schemas.openxmlformats.org/spreadsheetml/2006/main" count="291" uniqueCount="171">
  <si>
    <t>Component Weights</t>
  </si>
  <si>
    <t>Component Wetted Areas</t>
  </si>
  <si>
    <t>Wing Weight</t>
  </si>
  <si>
    <t>Wing Wetted Area</t>
  </si>
  <si>
    <r>
      <t>n</t>
    </r>
    <r>
      <rPr>
        <vertAlign val="subscript"/>
        <sz val="10"/>
        <rFont val="Arial"/>
        <family val="2"/>
      </rPr>
      <t>z</t>
    </r>
  </si>
  <si>
    <t>Max Load Factor</t>
  </si>
  <si>
    <t>S</t>
  </si>
  <si>
    <r>
      <t xml:space="preserve"> ft</t>
    </r>
    <r>
      <rPr>
        <vertAlign val="superscript"/>
        <sz val="10"/>
        <rFont val="Arial"/>
        <family val="2"/>
      </rPr>
      <t>2</t>
    </r>
  </si>
  <si>
    <t>Wing Area</t>
  </si>
  <si>
    <r>
      <t>W</t>
    </r>
    <r>
      <rPr>
        <vertAlign val="subscript"/>
        <sz val="10"/>
        <rFont val="Arial"/>
        <family val="2"/>
      </rPr>
      <t>TO</t>
    </r>
  </si>
  <si>
    <t xml:space="preserve"> lbs</t>
  </si>
  <si>
    <t>Max Takeoff Gross Weight</t>
  </si>
  <si>
    <r>
      <t>c</t>
    </r>
    <r>
      <rPr>
        <vertAlign val="subscript"/>
        <sz val="10"/>
        <rFont val="Arial"/>
        <family val="2"/>
      </rPr>
      <t>r</t>
    </r>
  </si>
  <si>
    <t xml:space="preserve"> ft</t>
  </si>
  <si>
    <t>Root Chord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</si>
  <si>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LE</t>
    </r>
  </si>
  <si>
    <t xml:space="preserve"> deg</t>
  </si>
  <si>
    <t>Leading Edge Sweep Angle</t>
  </si>
  <si>
    <t>A</t>
  </si>
  <si>
    <t>Wing Aspect Ratio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</si>
  <si>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TE</t>
    </r>
  </si>
  <si>
    <t>Trailing Edge Sweep Angle</t>
  </si>
  <si>
    <t>t/c</t>
  </si>
  <si>
    <t>Wing Thickness-to-Chord Ratio</t>
  </si>
  <si>
    <r>
      <t>D</t>
    </r>
    <r>
      <rPr>
        <vertAlign val="subscript"/>
        <sz val="10"/>
        <rFont val="Arial"/>
        <family val="2"/>
      </rPr>
      <t>fuse</t>
    </r>
  </si>
  <si>
    <t>Fuselage Diameter</t>
  </si>
  <si>
    <t>l</t>
  </si>
  <si>
    <t>Wing Taper Ratio</t>
  </si>
  <si>
    <r>
      <t>c</t>
    </r>
    <r>
      <rPr>
        <vertAlign val="subscript"/>
        <sz val="10"/>
        <rFont val="Arial"/>
        <family val="2"/>
      </rPr>
      <t>fuse</t>
    </r>
  </si>
  <si>
    <t>Chord at the Fuselage</t>
  </si>
  <si>
    <r>
      <t>L</t>
    </r>
    <r>
      <rPr>
        <vertAlign val="subscript"/>
        <sz val="10"/>
        <rFont val="Calibri"/>
        <family val="2"/>
        <scheme val="minor"/>
      </rPr>
      <t>c/4</t>
    </r>
  </si>
  <si>
    <t>deg</t>
  </si>
  <si>
    <t>Wing c/4 Sweep Angle</t>
  </si>
  <si>
    <r>
      <t>S</t>
    </r>
    <r>
      <rPr>
        <vertAlign val="subscript"/>
        <sz val="10"/>
        <rFont val="Arial"/>
        <family val="2"/>
      </rPr>
      <t>exp</t>
    </r>
  </si>
  <si>
    <t>Exposed Wing Area</t>
  </si>
  <si>
    <r>
      <t>S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/S</t>
    </r>
  </si>
  <si>
    <t>Flapped Wing Area Ratio (= 0.60 for transports)</t>
  </si>
  <si>
    <r>
      <t>W</t>
    </r>
    <r>
      <rPr>
        <b/>
        <vertAlign val="subscript"/>
        <sz val="10"/>
        <rFont val="Arial"/>
        <family val="2"/>
      </rPr>
      <t>wing</t>
    </r>
  </si>
  <si>
    <r>
      <t>S</t>
    </r>
    <r>
      <rPr>
        <b/>
        <vertAlign val="subscript"/>
        <sz val="10"/>
        <rFont val="Arial"/>
        <family val="2"/>
      </rPr>
      <t>wet-wing</t>
    </r>
  </si>
  <si>
    <r>
      <t xml:space="preserve"> ft</t>
    </r>
    <r>
      <rPr>
        <b/>
        <vertAlign val="superscript"/>
        <sz val="10"/>
        <rFont val="Arial"/>
        <family val="2"/>
      </rPr>
      <t>2</t>
    </r>
  </si>
  <si>
    <t>Horizontal Tail Weight</t>
  </si>
  <si>
    <t>Horizontal Tail Wetted Area</t>
  </si>
  <si>
    <r>
      <t>F</t>
    </r>
    <r>
      <rPr>
        <vertAlign val="subscript"/>
        <sz val="10"/>
        <rFont val="Arial"/>
        <family val="2"/>
      </rPr>
      <t>w</t>
    </r>
  </si>
  <si>
    <t>Fuselage Width at the HT's Intersection (= 0 for T-Tail)</t>
  </si>
  <si>
    <r>
      <t>S</t>
    </r>
    <r>
      <rPr>
        <vertAlign val="subscript"/>
        <sz val="10"/>
        <rFont val="Arial"/>
        <family val="2"/>
      </rPr>
      <t>HT</t>
    </r>
  </si>
  <si>
    <t>Exposed Horizontal Tail Area</t>
  </si>
  <si>
    <r>
      <t>b</t>
    </r>
    <r>
      <rPr>
        <vertAlign val="subscript"/>
        <sz val="10"/>
        <rFont val="Arial"/>
        <family val="2"/>
      </rPr>
      <t>HT</t>
    </r>
  </si>
  <si>
    <t>Horizontal Tail Span</t>
  </si>
  <si>
    <r>
      <t>(t/c)</t>
    </r>
    <r>
      <rPr>
        <vertAlign val="subscript"/>
        <sz val="10"/>
        <rFont val="Arial"/>
        <family val="2"/>
      </rPr>
      <t>HT</t>
    </r>
  </si>
  <si>
    <t>Horizontal Tail Thickness-to-Chord Ratio</t>
  </si>
  <si>
    <r>
      <t>S</t>
    </r>
    <r>
      <rPr>
        <b/>
        <vertAlign val="subscript"/>
        <sz val="10"/>
        <rFont val="Arial"/>
        <family val="2"/>
      </rPr>
      <t>wet-HT</t>
    </r>
  </si>
  <si>
    <t>Horizontal Tail Surface Area</t>
  </si>
  <si>
    <r>
      <t>l</t>
    </r>
    <r>
      <rPr>
        <vertAlign val="subscript"/>
        <sz val="10"/>
        <rFont val="Arial"/>
        <family val="2"/>
      </rPr>
      <t>HT</t>
    </r>
  </si>
  <si>
    <t>Distance from Wing MAC c/4 to Horizontal Tail MAC c/4</t>
  </si>
  <si>
    <r>
      <t>K</t>
    </r>
    <r>
      <rPr>
        <vertAlign val="subscript"/>
        <sz val="10"/>
        <rFont val="Arial"/>
        <family val="2"/>
      </rPr>
      <t>y</t>
    </r>
  </si>
  <si>
    <t>Pitching Radius of Gyration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</si>
  <si>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HT</t>
    </r>
  </si>
  <si>
    <t>Horizontal Tail c/4 Sweep Angle</t>
  </si>
  <si>
    <r>
      <t>A</t>
    </r>
    <r>
      <rPr>
        <vertAlign val="subscript"/>
        <sz val="10"/>
        <rFont val="Arial"/>
        <family val="2"/>
      </rPr>
      <t>HT</t>
    </r>
  </si>
  <si>
    <t>Horizontal Tail Aspect Ratio</t>
  </si>
  <si>
    <r>
      <t>W</t>
    </r>
    <r>
      <rPr>
        <b/>
        <vertAlign val="subscript"/>
        <sz val="10"/>
        <rFont val="Arial"/>
        <family val="2"/>
      </rPr>
      <t>HT</t>
    </r>
  </si>
  <si>
    <t>Vertical Tail Weight</t>
  </si>
  <si>
    <t>Vertical Tail Wetted Area</t>
  </si>
  <si>
    <r>
      <t>H</t>
    </r>
    <r>
      <rPr>
        <vertAlign val="subscript"/>
        <sz val="10"/>
        <rFont val="Arial"/>
        <family val="2"/>
      </rPr>
      <t>HT</t>
    </r>
    <r>
      <rPr>
        <sz val="10"/>
        <rFont val="Arial"/>
        <family val="2"/>
      </rPr>
      <t>/H</t>
    </r>
    <r>
      <rPr>
        <vertAlign val="subscript"/>
        <sz val="10"/>
        <rFont val="Arial"/>
        <family val="2"/>
      </rPr>
      <t>VT</t>
    </r>
  </si>
  <si>
    <t xml:space="preserve"> = 0 for conventional tail</t>
  </si>
  <si>
    <r>
      <t>S</t>
    </r>
    <r>
      <rPr>
        <vertAlign val="subscript"/>
        <sz val="10"/>
        <rFont val="Arial"/>
        <family val="2"/>
      </rPr>
      <t>VT</t>
    </r>
  </si>
  <si>
    <t>Exposed Vertical Tail Area</t>
  </si>
  <si>
    <t xml:space="preserve"> = 1 for T-Tail</t>
  </si>
  <si>
    <r>
      <t>(t/c)</t>
    </r>
    <r>
      <rPr>
        <vertAlign val="subscript"/>
        <sz val="10"/>
        <rFont val="Arial"/>
        <family val="2"/>
      </rPr>
      <t>VT</t>
    </r>
  </si>
  <si>
    <t>Vertical Tail Thickness-to-Chord Ratio</t>
  </si>
  <si>
    <r>
      <t>S</t>
    </r>
    <r>
      <rPr>
        <b/>
        <vertAlign val="subscript"/>
        <sz val="10"/>
        <rFont val="Arial"/>
        <family val="2"/>
      </rPr>
      <t>wet-VT</t>
    </r>
  </si>
  <si>
    <t>Vertical Tail Surface Area</t>
  </si>
  <si>
    <r>
      <t>l</t>
    </r>
    <r>
      <rPr>
        <vertAlign val="subscript"/>
        <sz val="10"/>
        <rFont val="Arial"/>
        <family val="2"/>
      </rPr>
      <t>VT</t>
    </r>
  </si>
  <si>
    <t>Distance from Wing MAC c/4 to Vertical Tail MAC c/4</t>
  </si>
  <si>
    <r>
      <t>K</t>
    </r>
    <r>
      <rPr>
        <vertAlign val="subscript"/>
        <sz val="10"/>
        <rFont val="Arial"/>
        <family val="2"/>
      </rPr>
      <t>z</t>
    </r>
  </si>
  <si>
    <t>Yawing Radius of Gyration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</si>
  <si>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VT</t>
    </r>
  </si>
  <si>
    <t>Vertical Tail c/4 Sweep Angle</t>
  </si>
  <si>
    <r>
      <t>A</t>
    </r>
    <r>
      <rPr>
        <vertAlign val="subscript"/>
        <sz val="10"/>
        <rFont val="Arial"/>
        <family val="2"/>
      </rPr>
      <t>VT</t>
    </r>
  </si>
  <si>
    <t>Vertical Tail Aspect Ratio</t>
  </si>
  <si>
    <r>
      <t>W</t>
    </r>
    <r>
      <rPr>
        <b/>
        <vertAlign val="subscript"/>
        <sz val="10"/>
        <rFont val="Arial"/>
        <family val="2"/>
      </rPr>
      <t>VT</t>
    </r>
  </si>
  <si>
    <t>Fuselage Weight</t>
  </si>
  <si>
    <t>Fuselage Wetted Area</t>
  </si>
  <si>
    <t>K_door</t>
  </si>
  <si>
    <t xml:space="preserve"> = 1.00 for no cargo door</t>
  </si>
  <si>
    <r>
      <t>S</t>
    </r>
    <r>
      <rPr>
        <b/>
        <vertAlign val="subscript"/>
        <sz val="10"/>
        <rFont val="Arial"/>
        <family val="2"/>
      </rPr>
      <t>wet-fuse</t>
    </r>
  </si>
  <si>
    <t xml:space="preserve"> = 1.06 for one cargo door</t>
  </si>
  <si>
    <t xml:space="preserve"> = 1.12 for two cargo doors</t>
  </si>
  <si>
    <t>K_lg</t>
  </si>
  <si>
    <t xml:space="preserve"> = 1.00 for wing-mounted landing gear</t>
  </si>
  <si>
    <t xml:space="preserve"> = 1.12 for fuselage-mounted landing gear</t>
  </si>
  <si>
    <r>
      <t>L</t>
    </r>
    <r>
      <rPr>
        <vertAlign val="subscript"/>
        <sz val="10"/>
        <rFont val="Arial"/>
        <family val="2"/>
      </rPr>
      <t>fuse</t>
    </r>
  </si>
  <si>
    <t>Fuselage Length</t>
  </si>
  <si>
    <r>
      <t>S</t>
    </r>
    <r>
      <rPr>
        <vertAlign val="subscript"/>
        <sz val="10"/>
        <rFont val="Arial"/>
        <family val="2"/>
      </rPr>
      <t>fuse</t>
    </r>
  </si>
  <si>
    <r>
      <t>K</t>
    </r>
    <r>
      <rPr>
        <vertAlign val="subscript"/>
        <sz val="10"/>
        <rFont val="Arial"/>
        <family val="2"/>
      </rPr>
      <t>ws</t>
    </r>
  </si>
  <si>
    <r>
      <t>b</t>
    </r>
    <r>
      <rPr>
        <vertAlign val="subscript"/>
        <sz val="10"/>
        <rFont val="Arial"/>
        <family val="2"/>
      </rPr>
      <t>wing</t>
    </r>
  </si>
  <si>
    <t>Wing Span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</si>
  <si>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wing c/4</t>
    </r>
  </si>
  <si>
    <t>Wing Sweep at the c/4</t>
  </si>
  <si>
    <r>
      <t>W</t>
    </r>
    <r>
      <rPr>
        <b/>
        <vertAlign val="subscript"/>
        <sz val="10"/>
        <rFont val="Arial"/>
        <family val="2"/>
      </rPr>
      <t>fuse</t>
    </r>
  </si>
  <si>
    <t>Main Landing Gear Weight</t>
  </si>
  <si>
    <r>
      <t>W</t>
    </r>
    <r>
      <rPr>
        <vertAlign val="subscript"/>
        <sz val="10"/>
        <rFont val="Arial"/>
        <family val="2"/>
      </rPr>
      <t>LND</t>
    </r>
  </si>
  <si>
    <t>Max Landing Gross Weight</t>
  </si>
  <si>
    <r>
      <t>L</t>
    </r>
    <r>
      <rPr>
        <vertAlign val="subscript"/>
        <sz val="10"/>
        <rFont val="Arial"/>
        <family val="2"/>
      </rPr>
      <t>MLG</t>
    </r>
  </si>
  <si>
    <t>Main Landing Gear Length</t>
  </si>
  <si>
    <r>
      <t>N</t>
    </r>
    <r>
      <rPr>
        <vertAlign val="subscript"/>
        <sz val="10"/>
        <rFont val="Arial"/>
        <family val="2"/>
      </rPr>
      <t>mw</t>
    </r>
  </si>
  <si>
    <t xml:space="preserve"> wheels</t>
  </si>
  <si>
    <t># of MLG Wheels</t>
  </si>
  <si>
    <r>
      <t>N</t>
    </r>
    <r>
      <rPr>
        <vertAlign val="subscript"/>
        <sz val="10"/>
        <rFont val="Arial"/>
        <family val="2"/>
      </rPr>
      <t>mss</t>
    </r>
  </si>
  <si>
    <t xml:space="preserve"> struts</t>
  </si>
  <si>
    <t># of MLG Struts</t>
  </si>
  <si>
    <r>
      <t>C</t>
    </r>
    <r>
      <rPr>
        <vertAlign val="subscript"/>
        <sz val="10"/>
        <rFont val="Arial"/>
        <family val="2"/>
      </rPr>
      <t>Lmax</t>
    </r>
  </si>
  <si>
    <r>
      <t>Landing C</t>
    </r>
    <r>
      <rPr>
        <vertAlign val="subscript"/>
        <sz val="10"/>
        <rFont val="Arial"/>
        <family val="2"/>
      </rPr>
      <t>Lmax</t>
    </r>
  </si>
  <si>
    <r>
      <t>V</t>
    </r>
    <r>
      <rPr>
        <vertAlign val="subscript"/>
        <sz val="10"/>
        <rFont val="Arial"/>
        <family val="2"/>
      </rPr>
      <t>stall</t>
    </r>
  </si>
  <si>
    <t xml:space="preserve"> ft/sec</t>
  </si>
  <si>
    <t>Stall Speed @ Max Landing Weight</t>
  </si>
  <si>
    <r>
      <t>W</t>
    </r>
    <r>
      <rPr>
        <b/>
        <vertAlign val="subscript"/>
        <sz val="10"/>
        <rFont val="Arial"/>
        <family val="2"/>
      </rPr>
      <t>MLG</t>
    </r>
  </si>
  <si>
    <t>Nose Landing Gear Weight</t>
  </si>
  <si>
    <r>
      <t>L</t>
    </r>
    <r>
      <rPr>
        <vertAlign val="subscript"/>
        <sz val="10"/>
        <rFont val="Arial"/>
        <family val="2"/>
      </rPr>
      <t>NLG</t>
    </r>
  </si>
  <si>
    <t>Nose Landing Gear Length</t>
  </si>
  <si>
    <r>
      <t>N</t>
    </r>
    <r>
      <rPr>
        <vertAlign val="subscript"/>
        <sz val="10"/>
        <rFont val="Arial"/>
        <family val="2"/>
      </rPr>
      <t>nw</t>
    </r>
  </si>
  <si>
    <t># of NLG Wheels</t>
  </si>
  <si>
    <r>
      <t>W</t>
    </r>
    <r>
      <rPr>
        <b/>
        <vertAlign val="subscript"/>
        <sz val="10"/>
        <rFont val="Arial"/>
        <family val="2"/>
      </rPr>
      <t>NLG</t>
    </r>
  </si>
  <si>
    <t>Propulsion System Weight</t>
  </si>
  <si>
    <t>Engine Wetted Area</t>
  </si>
  <si>
    <r>
      <t>T</t>
    </r>
    <r>
      <rPr>
        <vertAlign val="subscript"/>
        <sz val="10"/>
        <rFont val="Arial"/>
        <family val="2"/>
      </rPr>
      <t>total</t>
    </r>
  </si>
  <si>
    <t>Total Thrust</t>
  </si>
  <si>
    <r>
      <t>N</t>
    </r>
    <r>
      <rPr>
        <vertAlign val="subscript"/>
        <sz val="10"/>
        <rFont val="Arial"/>
        <family val="2"/>
      </rPr>
      <t>eng</t>
    </r>
  </si>
  <si>
    <t>Number of Engines</t>
  </si>
  <si>
    <r>
      <t>T</t>
    </r>
    <r>
      <rPr>
        <vertAlign val="subscript"/>
        <sz val="10"/>
        <rFont val="Arial"/>
        <family val="2"/>
      </rPr>
      <t>design</t>
    </r>
  </si>
  <si>
    <t>Thrust per Engine</t>
  </si>
  <si>
    <r>
      <t>W</t>
    </r>
    <r>
      <rPr>
        <vertAlign val="subscript"/>
        <sz val="10"/>
        <rFont val="Arial"/>
        <family val="2"/>
      </rPr>
      <t>eng</t>
    </r>
  </si>
  <si>
    <t>Total Weight of Engines</t>
  </si>
  <si>
    <r>
      <t>L</t>
    </r>
    <r>
      <rPr>
        <vertAlign val="subscript"/>
        <sz val="10"/>
        <rFont val="Arial"/>
        <family val="2"/>
      </rPr>
      <t>design</t>
    </r>
  </si>
  <si>
    <t xml:space="preserve"> in</t>
  </si>
  <si>
    <t>Engine Length</t>
  </si>
  <si>
    <r>
      <t>D</t>
    </r>
    <r>
      <rPr>
        <vertAlign val="subscript"/>
        <sz val="10"/>
        <rFont val="Arial"/>
        <family val="2"/>
      </rPr>
      <t>design</t>
    </r>
  </si>
  <si>
    <t>Engine Diameter</t>
  </si>
  <si>
    <r>
      <t>W</t>
    </r>
    <r>
      <rPr>
        <b/>
        <vertAlign val="subscript"/>
        <sz val="10"/>
        <rFont val="Arial"/>
        <family val="2"/>
      </rPr>
      <t>prop</t>
    </r>
  </si>
  <si>
    <r>
      <t>S</t>
    </r>
    <r>
      <rPr>
        <b/>
        <vertAlign val="subscript"/>
        <sz val="10"/>
        <rFont val="Arial"/>
        <family val="2"/>
      </rPr>
      <t>wet-eng</t>
    </r>
  </si>
  <si>
    <t>Equipment Systems Weight</t>
  </si>
  <si>
    <r>
      <t>W</t>
    </r>
    <r>
      <rPr>
        <b/>
        <vertAlign val="subscript"/>
        <sz val="10"/>
        <rFont val="Arial"/>
        <family val="2"/>
      </rPr>
      <t>equip</t>
    </r>
  </si>
  <si>
    <t>Statistical Group Weights Method</t>
  </si>
  <si>
    <t>Aircraft Wetted Area</t>
  </si>
  <si>
    <t>Aircraft Component</t>
  </si>
  <si>
    <t>%OW</t>
  </si>
  <si>
    <t>Weight (lb)</t>
  </si>
  <si>
    <r>
      <t>%S</t>
    </r>
    <r>
      <rPr>
        <b/>
        <vertAlign val="subscript"/>
        <sz val="10"/>
        <rFont val="Arial"/>
        <family val="2"/>
      </rPr>
      <t>wet</t>
    </r>
  </si>
  <si>
    <r>
      <t>S</t>
    </r>
    <r>
      <rPr>
        <b/>
        <vertAlign val="subscript"/>
        <sz val="10"/>
        <rFont val="Arial"/>
        <family val="2"/>
      </rPr>
      <t>wet</t>
    </r>
  </si>
  <si>
    <t>Wing</t>
  </si>
  <si>
    <t>Horizontal Tail</t>
  </si>
  <si>
    <t>Vertical Tail</t>
  </si>
  <si>
    <t>Fuselage</t>
  </si>
  <si>
    <t>Main Gear</t>
  </si>
  <si>
    <t>Nose Gear</t>
  </si>
  <si>
    <t>Propulsion System</t>
  </si>
  <si>
    <t>Equipment Systems</t>
  </si>
  <si>
    <t>Operating Weight</t>
  </si>
  <si>
    <t>Total Wetted Area</t>
  </si>
  <si>
    <t>Payload</t>
  </si>
  <si>
    <t>Fuel Capacity</t>
  </si>
  <si>
    <r>
      <t>S</t>
    </r>
    <r>
      <rPr>
        <b/>
        <vertAlign val="subscript"/>
        <sz val="10"/>
        <rFont val="Arial"/>
        <family val="2"/>
      </rPr>
      <t>wet</t>
    </r>
    <r>
      <rPr>
        <b/>
        <sz val="10"/>
        <rFont val="Arial"/>
        <family val="2"/>
      </rPr>
      <t>/S</t>
    </r>
    <r>
      <rPr>
        <b/>
        <vertAlign val="subscript"/>
        <sz val="10"/>
        <rFont val="Arial"/>
        <family val="2"/>
      </rPr>
      <t>ref</t>
    </r>
  </si>
  <si>
    <t>Takeoff Gross Weight</t>
  </si>
  <si>
    <t>Approximate Group Weights Method</t>
  </si>
  <si>
    <t>Aircraft Drag Polar</t>
  </si>
  <si>
    <r>
      <t>%C</t>
    </r>
    <r>
      <rPr>
        <b/>
        <vertAlign val="subscript"/>
        <sz val="10"/>
        <rFont val="Arial"/>
        <family val="2"/>
      </rPr>
      <t>D0</t>
    </r>
  </si>
  <si>
    <r>
      <t>C</t>
    </r>
    <r>
      <rPr>
        <b/>
        <vertAlign val="subscript"/>
        <sz val="10"/>
        <rFont val="Arial"/>
        <family val="2"/>
      </rPr>
      <t>D0</t>
    </r>
  </si>
  <si>
    <r>
      <t>Total C</t>
    </r>
    <r>
      <rPr>
        <b/>
        <vertAlign val="subscript"/>
        <sz val="10"/>
        <rFont val="Arial"/>
        <family val="2"/>
      </rPr>
      <t>D0</t>
    </r>
  </si>
  <si>
    <r>
      <t>Initial C</t>
    </r>
    <r>
      <rPr>
        <b/>
        <vertAlign val="subscript"/>
        <sz val="10"/>
        <rFont val="Arial"/>
        <family val="2"/>
      </rPr>
      <t>D0</t>
    </r>
  </si>
  <si>
    <t>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</si>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</sst>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#,##0.0"/>
  </numFmts>
  <fonts count="1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b/>
      <sz val="12"/>
      <name val="Arial"/>
      <family val="2"/>
    </font>
    <font>
      <sz val="10"/>
      <name val="Arial"/>
      <family val="2"/>
    </font>
    <font>
      <vertAlign val="subscript"/>
      <sz val="10"/>
      <name val="Calibri"/>
      <family val="2"/>
      <scheme val="minor"/>
    </font>
    <font>
      <vertAlign val="superscript"/>
      <sz val="10"/>
      <name val="Arial"/>
      <family val="2"/>
    </font>
    <font>
      <sz val="10"/>
      <name val="Aria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5" fillId="0" borderId="0"/>
    <xf numFmtId="9" fontId="9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3" fontId="0" fillId="2" borderId="0" xfId="0" applyNumberFormat="1" applyFill="1"/>
    <xf numFmtId="2" fontId="0" fillId="2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3" fontId="0" fillId="0" borderId="0" xfId="0" applyNumberFormat="1"/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165" fontId="0" fillId="2" borderId="0" xfId="0" applyNumberFormat="1" applyFill="1"/>
    <xf numFmtId="0" fontId="7" fillId="0" borderId="0" xfId="0" applyFont="1"/>
    <xf numFmtId="0" fontId="12" fillId="0" borderId="0" xfId="0" applyFont="1"/>
    <xf numFmtId="0" fontId="1" fillId="2" borderId="0" xfId="0" applyFont="1" applyFill="1"/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1" fillId="2" borderId="0" xfId="0" quotePrefix="1" applyFont="1" applyFill="1"/>
    <xf numFmtId="0" fontId="4" fillId="0" borderId="1" xfId="0" applyFont="1" applyBorder="1"/>
    <xf numFmtId="0" fontId="4" fillId="0" borderId="3" xfId="0" applyFont="1" applyBorder="1"/>
    <xf numFmtId="4" fontId="4" fillId="0" borderId="2" xfId="0" applyNumberFormat="1" applyFont="1" applyBorder="1"/>
    <xf numFmtId="0" fontId="4" fillId="0" borderId="0" xfId="0" applyFont="1" applyAlignment="1">
      <alignment horizontal="center"/>
    </xf>
    <xf numFmtId="10" fontId="1" fillId="0" borderId="0" xfId="2" applyNumberFormat="1" applyFont="1"/>
    <xf numFmtId="3" fontId="1" fillId="0" borderId="0" xfId="0" applyNumberFormat="1" applyFont="1"/>
    <xf numFmtId="165" fontId="4" fillId="0" borderId="2" xfId="0" applyNumberFormat="1" applyFont="1" applyBorder="1"/>
    <xf numFmtId="0" fontId="4" fillId="0" borderId="3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6" fontId="4" fillId="0" borderId="2" xfId="0" applyNumberFormat="1" applyFont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0" fontId="1" fillId="0" borderId="0" xfId="2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0" fontId="0" fillId="0" borderId="0" xfId="2" applyNumberFormat="1" applyFont="1" applyAlignment="1">
      <alignment vertical="center"/>
    </xf>
    <xf numFmtId="0" fontId="2" fillId="0" borderId="0" xfId="0" applyFont="1" applyAlignment="1">
      <alignment vertical="center"/>
    </xf>
    <xf numFmtId="166" fontId="1" fillId="0" borderId="0" xfId="0" applyNumberFormat="1" applyFont="1"/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7" fillId="2" borderId="0" xfId="0" applyFont="1" applyFill="1"/>
    <xf numFmtId="0" fontId="1" fillId="2" borderId="0" xfId="0" applyFont="1" applyFill="1" applyAlignment="1">
      <alignment horizontal="left" vertical="top"/>
    </xf>
    <xf numFmtId="0" fontId="12" fillId="2" borderId="0" xfId="0" applyFont="1" applyFill="1"/>
    <xf numFmtId="0" fontId="1" fillId="2" borderId="0" xfId="0" applyFont="1" applyFill="1" applyAlignment="1">
      <alignment vertical="top"/>
    </xf>
    <xf numFmtId="166" fontId="0" fillId="2" borderId="0" xfId="0" applyNumberFormat="1" applyFill="1"/>
    <xf numFmtId="0" fontId="1" fillId="0" borderId="0" xfId="0" applyFont="1" applyAlignment="1">
      <alignment horizontal="left" vertical="top"/>
    </xf>
    <xf numFmtId="164" fontId="0" fillId="0" borderId="0" xfId="0" applyNumberFormat="1"/>
    <xf numFmtId="0" fontId="2" fillId="2" borderId="0" xfId="0" applyFont="1" applyFill="1" applyAlignment="1">
      <alignment vertical="center"/>
    </xf>
    <xf numFmtId="3" fontId="1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164" fontId="0" fillId="2" borderId="0" xfId="0" applyNumberFormat="1" applyFill="1" applyAlignment="1">
      <alignment horizontal="right"/>
    </xf>
    <xf numFmtId="165" fontId="1" fillId="2" borderId="0" xfId="0" applyNumberFormat="1" applyFont="1" applyFill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7" borderId="0" xfId="0" applyNumberFormat="1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151"/>
  <sheetViews>
    <sheetView tabSelected="1" zoomScale="55" zoomScaleNormal="55" workbookViewId="0">
      <selection activeCell="P7" sqref="P7"/>
    </sheetView>
  </sheetViews>
  <sheetFormatPr defaultRowHeight="12.5"/>
  <cols>
    <col min="1" max="1" width="4.7265625" customWidth="1"/>
    <col min="2" max="2" width="20.7265625" customWidth="1"/>
    <col min="3" max="3" width="8.7265625" customWidth="1"/>
    <col min="4" max="4" width="12.7265625" customWidth="1"/>
    <col min="5" max="5" width="10.54296875" customWidth="1"/>
    <col min="6" max="6" width="48.7265625" customWidth="1"/>
    <col min="7" max="7" width="20.7265625" customWidth="1"/>
    <col min="8" max="8" width="8.7265625" customWidth="1"/>
    <col min="9" max="9" width="12.7265625" customWidth="1"/>
    <col min="10" max="10" width="10.7265625" customWidth="1"/>
    <col min="11" max="11" width="35" bestFit="1" customWidth="1"/>
  </cols>
  <sheetData>
    <row r="1" spans="2:11" ht="13" thickBot="1"/>
    <row r="2" spans="2:11" ht="15.75" customHeight="1" thickTop="1" thickBot="1">
      <c r="B2" s="73" t="s">
        <v>0</v>
      </c>
      <c r="C2" s="73"/>
      <c r="D2" s="73"/>
      <c r="E2" s="73"/>
      <c r="G2" s="74" t="s">
        <v>1</v>
      </c>
      <c r="H2" s="74"/>
      <c r="I2" s="74"/>
      <c r="J2" s="74"/>
    </row>
    <row r="3" spans="2:11" ht="15.75" customHeight="1" thickTop="1"/>
    <row r="4" spans="2:11" ht="15.75" customHeight="1">
      <c r="C4" s="78" t="s">
        <v>2</v>
      </c>
      <c r="D4" s="78"/>
      <c r="E4" s="78"/>
      <c r="H4" s="75" t="s">
        <v>3</v>
      </c>
      <c r="I4" s="76"/>
      <c r="J4" s="77"/>
    </row>
    <row r="5" spans="2:11" ht="15.75" customHeight="1"/>
    <row r="6" spans="2:11" ht="15.75" customHeight="1">
      <c r="C6" s="15" t="s">
        <v>4</v>
      </c>
      <c r="D6" s="12">
        <v>3.5</v>
      </c>
      <c r="E6" s="1"/>
      <c r="F6" s="15" t="s">
        <v>5</v>
      </c>
      <c r="H6" s="9" t="s">
        <v>6</v>
      </c>
      <c r="I6" s="10">
        <f>D8</f>
        <v>1370</v>
      </c>
      <c r="J6" s="53" t="s">
        <v>7</v>
      </c>
      <c r="K6" s="9" t="s">
        <v>8</v>
      </c>
    </row>
    <row r="7" spans="2:11" ht="15.75" customHeight="1">
      <c r="C7" s="15" t="s">
        <v>9</v>
      </c>
      <c r="D7" s="2">
        <v>181200</v>
      </c>
      <c r="E7" s="15" t="s">
        <v>10</v>
      </c>
      <c r="F7" s="15" t="s">
        <v>11</v>
      </c>
      <c r="H7" s="15" t="s">
        <v>12</v>
      </c>
      <c r="I7" s="12">
        <v>17</v>
      </c>
      <c r="J7" s="15" t="s">
        <v>13</v>
      </c>
      <c r="K7" s="15" t="s">
        <v>14</v>
      </c>
    </row>
    <row r="8" spans="2:11" ht="15.75" customHeight="1">
      <c r="C8" s="15" t="s">
        <v>6</v>
      </c>
      <c r="D8" s="1">
        <v>1370</v>
      </c>
      <c r="E8" s="44" t="s">
        <v>7</v>
      </c>
      <c r="F8" s="15" t="s">
        <v>8</v>
      </c>
      <c r="H8" s="50" t="s">
        <v>15</v>
      </c>
      <c r="I8" s="12">
        <v>29.9</v>
      </c>
      <c r="J8" s="15" t="s">
        <v>16</v>
      </c>
      <c r="K8" s="15" t="s">
        <v>17</v>
      </c>
    </row>
    <row r="9" spans="2:11" ht="15.75" customHeight="1">
      <c r="C9" s="1" t="s">
        <v>18</v>
      </c>
      <c r="D9" s="3">
        <v>10.130000000000001</v>
      </c>
      <c r="E9" s="1"/>
      <c r="F9" s="15" t="s">
        <v>19</v>
      </c>
      <c r="H9" s="50" t="s">
        <v>20</v>
      </c>
      <c r="I9" s="12">
        <v>16</v>
      </c>
      <c r="J9" s="15" t="s">
        <v>16</v>
      </c>
      <c r="K9" s="15" t="s">
        <v>21</v>
      </c>
    </row>
    <row r="10" spans="2:11" ht="15.75" customHeight="1">
      <c r="C10" t="s">
        <v>22</v>
      </c>
      <c r="D10" s="7">
        <v>0.129</v>
      </c>
      <c r="F10" s="9" t="s">
        <v>23</v>
      </c>
      <c r="H10" s="15" t="s">
        <v>24</v>
      </c>
      <c r="I10" s="59">
        <f>148/12</f>
        <v>12.333333333333334</v>
      </c>
      <c r="J10" s="15" t="s">
        <v>13</v>
      </c>
      <c r="K10" s="15" t="s">
        <v>25</v>
      </c>
    </row>
    <row r="11" spans="2:11" ht="15.75" customHeight="1">
      <c r="C11" s="45" t="s">
        <v>26</v>
      </c>
      <c r="D11" s="46">
        <v>0.21</v>
      </c>
      <c r="E11" s="46"/>
      <c r="F11" s="47" t="s">
        <v>27</v>
      </c>
      <c r="H11" s="9" t="s">
        <v>28</v>
      </c>
      <c r="I11" s="10">
        <f>I7-I10/2*TAN(I8*PI()/180)+I10/2*TAN(I9*PI()/180)</f>
        <v>15.222272605735935</v>
      </c>
      <c r="J11" s="9" t="s">
        <v>13</v>
      </c>
      <c r="K11" s="9" t="s">
        <v>29</v>
      </c>
    </row>
    <row r="12" spans="2:11" ht="15.75" customHeight="1">
      <c r="C12" s="48" t="s">
        <v>30</v>
      </c>
      <c r="D12" s="3">
        <v>25</v>
      </c>
      <c r="E12" s="1" t="s">
        <v>31</v>
      </c>
      <c r="F12" s="15" t="s">
        <v>32</v>
      </c>
      <c r="H12" s="9" t="s">
        <v>33</v>
      </c>
      <c r="I12" s="10">
        <f>I6-(I10/2)*(I11+I7)</f>
        <v>1171.2959855979616</v>
      </c>
      <c r="J12" s="53" t="s">
        <v>7</v>
      </c>
      <c r="K12" s="9" t="s">
        <v>34</v>
      </c>
    </row>
    <row r="13" spans="2:11" ht="15.75" customHeight="1">
      <c r="C13" s="15" t="s">
        <v>35</v>
      </c>
      <c r="D13" s="3">
        <v>0.6</v>
      </c>
      <c r="E13" s="1"/>
      <c r="F13" s="15" t="s">
        <v>36</v>
      </c>
      <c r="H13" s="9" t="s">
        <v>22</v>
      </c>
      <c r="I13" s="7">
        <f>D10</f>
        <v>0.129</v>
      </c>
      <c r="J13" s="10"/>
      <c r="K13" s="9" t="s">
        <v>23</v>
      </c>
    </row>
    <row r="14" spans="2:11" ht="15.75" customHeight="1"/>
    <row r="15" spans="2:11" ht="15.75" customHeight="1">
      <c r="C15" s="19" t="s">
        <v>37</v>
      </c>
      <c r="D15" s="21">
        <f>0.0051*D7^0.557*D6^0.577*D8^0.649*D9^0.5*D10^(-0.4)*(1+D11)^0.1*(COS(D12*PI()/180))^(-1)*(D13*D8)^0.1</f>
        <v>15384.452502943479</v>
      </c>
      <c r="E15" s="20" t="s">
        <v>10</v>
      </c>
      <c r="F15" s="7"/>
      <c r="H15" s="19" t="s">
        <v>38</v>
      </c>
      <c r="I15" s="29">
        <f>I12*(1.977+0.52*I13)</f>
        <v>2394.2226982410816</v>
      </c>
      <c r="J15" s="26" t="s">
        <v>39</v>
      </c>
    </row>
    <row r="16" spans="2:11" ht="15.75" customHeight="1"/>
    <row r="17" spans="3:13" ht="15.75" customHeight="1"/>
    <row r="18" spans="3:13" ht="15.75" customHeight="1">
      <c r="C18" s="78" t="s">
        <v>40</v>
      </c>
      <c r="D18" s="78"/>
      <c r="E18" s="78"/>
      <c r="H18" s="75" t="s">
        <v>41</v>
      </c>
      <c r="I18" s="76"/>
      <c r="J18" s="77"/>
    </row>
    <row r="19" spans="3:13" ht="15.75" customHeight="1">
      <c r="C19" s="17"/>
      <c r="D19" s="17"/>
      <c r="E19" s="17"/>
    </row>
    <row r="20" spans="3:13" ht="15.75" customHeight="1">
      <c r="C20" s="15" t="s">
        <v>42</v>
      </c>
      <c r="D20" s="59">
        <f>2.18*4.1922</f>
        <v>9.1389960000000006</v>
      </c>
      <c r="E20" s="15" t="s">
        <v>13</v>
      </c>
      <c r="F20" s="15" t="s">
        <v>43</v>
      </c>
      <c r="H20" s="9" t="s">
        <v>44</v>
      </c>
      <c r="I20" s="10">
        <f>D24</f>
        <v>497.3</v>
      </c>
      <c r="K20" s="9" t="s">
        <v>45</v>
      </c>
    </row>
    <row r="21" spans="3:13" ht="15.75" customHeight="1">
      <c r="C21" s="15" t="s">
        <v>46</v>
      </c>
      <c r="D21" s="12">
        <v>47.12</v>
      </c>
      <c r="E21" s="15" t="s">
        <v>13</v>
      </c>
      <c r="F21" s="15" t="s">
        <v>47</v>
      </c>
      <c r="H21" s="9" t="s">
        <v>48</v>
      </c>
      <c r="I21" s="7">
        <f>D44</f>
        <v>0.129</v>
      </c>
      <c r="K21" s="9" t="s">
        <v>49</v>
      </c>
      <c r="M21" s="9"/>
    </row>
    <row r="22" spans="3:13" ht="15.75" customHeight="1">
      <c r="C22" s="9" t="s">
        <v>4</v>
      </c>
      <c r="D22" s="10">
        <f>D6</f>
        <v>3.5</v>
      </c>
      <c r="F22" s="9" t="s">
        <v>5</v>
      </c>
    </row>
    <row r="23" spans="3:13" ht="15.75" customHeight="1">
      <c r="C23" s="9" t="s">
        <v>9</v>
      </c>
      <c r="D23" s="8">
        <f>D7</f>
        <v>181200</v>
      </c>
      <c r="E23" s="9" t="s">
        <v>10</v>
      </c>
      <c r="F23" s="9" t="s">
        <v>11</v>
      </c>
      <c r="H23" s="19" t="s">
        <v>50</v>
      </c>
      <c r="I23" s="29">
        <f>I20*(1.977+0.52*I21)</f>
        <v>1016.5209840000001</v>
      </c>
      <c r="J23" s="26" t="s">
        <v>39</v>
      </c>
    </row>
    <row r="24" spans="3:13" ht="15.75" customHeight="1">
      <c r="C24" s="15" t="s">
        <v>44</v>
      </c>
      <c r="D24" s="12">
        <v>497.3</v>
      </c>
      <c r="E24" s="49" t="s">
        <v>7</v>
      </c>
      <c r="F24" s="15" t="s">
        <v>51</v>
      </c>
    </row>
    <row r="25" spans="3:13" ht="15.75" customHeight="1">
      <c r="C25" s="15" t="s">
        <v>52</v>
      </c>
      <c r="D25" s="12">
        <v>53.99</v>
      </c>
      <c r="E25" s="15" t="s">
        <v>13</v>
      </c>
      <c r="F25" s="15" t="s">
        <v>53</v>
      </c>
    </row>
    <row r="26" spans="3:13" ht="15.75" customHeight="1">
      <c r="C26" s="9" t="s">
        <v>54</v>
      </c>
      <c r="D26" s="10">
        <f>0.3*D25</f>
        <v>16.196999999999999</v>
      </c>
      <c r="E26" s="9" t="s">
        <v>13</v>
      </c>
      <c r="F26" s="9" t="s">
        <v>55</v>
      </c>
    </row>
    <row r="27" spans="3:13" ht="15.75" customHeight="1">
      <c r="C27" s="50" t="s">
        <v>56</v>
      </c>
      <c r="D27" s="12">
        <v>31.02</v>
      </c>
      <c r="E27" s="15" t="s">
        <v>16</v>
      </c>
      <c r="F27" s="15" t="s">
        <v>57</v>
      </c>
    </row>
    <row r="28" spans="3:13" ht="15.75" customHeight="1">
      <c r="C28" s="15" t="s">
        <v>58</v>
      </c>
      <c r="D28" s="3">
        <v>4.47</v>
      </c>
      <c r="E28" s="1"/>
      <c r="F28" s="15" t="s">
        <v>59</v>
      </c>
    </row>
    <row r="29" spans="3:13" ht="15.75" customHeight="1"/>
    <row r="30" spans="3:13" ht="15.75" customHeight="1">
      <c r="C30" s="19" t="s">
        <v>60</v>
      </c>
      <c r="D30" s="21">
        <f>0.0379*(1+(D20/D21))^(-0.25)*D23^0.639*D22^0.1*D24^0.75*D25^(-1)*D26^0.704*(COS(D27*PI()/180))^(-1)*D28^0.116</f>
        <v>1810.5732148958243</v>
      </c>
      <c r="E30" s="20" t="s">
        <v>10</v>
      </c>
      <c r="F30" s="7"/>
    </row>
    <row r="31" spans="3:13" ht="15.75" customHeight="1"/>
    <row r="32" spans="3:13" ht="15.75" customHeight="1"/>
    <row r="33" spans="3:11" ht="15.75" customHeight="1">
      <c r="C33" s="78" t="s">
        <v>61</v>
      </c>
      <c r="D33" s="78"/>
      <c r="E33" s="78"/>
      <c r="H33" s="75" t="s">
        <v>62</v>
      </c>
      <c r="I33" s="76"/>
      <c r="J33" s="77"/>
    </row>
    <row r="34" spans="3:11" ht="15.75" customHeight="1"/>
    <row r="35" spans="3:11" ht="15.75" customHeight="1">
      <c r="C35" s="15" t="s">
        <v>63</v>
      </c>
      <c r="D35" s="1">
        <v>0</v>
      </c>
      <c r="E35" s="1"/>
      <c r="F35" s="18" t="s">
        <v>64</v>
      </c>
      <c r="H35" s="9" t="s">
        <v>65</v>
      </c>
      <c r="I35" s="10">
        <f>D39</f>
        <v>285.8</v>
      </c>
      <c r="K35" s="9" t="s">
        <v>66</v>
      </c>
    </row>
    <row r="36" spans="3:11" ht="15.75" customHeight="1">
      <c r="F36" s="18" t="s">
        <v>67</v>
      </c>
      <c r="H36" s="9" t="s">
        <v>68</v>
      </c>
      <c r="I36" s="7">
        <f>D44</f>
        <v>0.129</v>
      </c>
      <c r="K36" s="9" t="s">
        <v>69</v>
      </c>
    </row>
    <row r="37" spans="3:11" ht="15.75" customHeight="1">
      <c r="C37" s="9" t="s">
        <v>4</v>
      </c>
      <c r="D37" s="10">
        <f>D6</f>
        <v>3.5</v>
      </c>
      <c r="F37" s="9" t="s">
        <v>5</v>
      </c>
    </row>
    <row r="38" spans="3:11" ht="15.75" customHeight="1">
      <c r="C38" s="9" t="s">
        <v>9</v>
      </c>
      <c r="D38" s="8">
        <f>D7</f>
        <v>181200</v>
      </c>
      <c r="E38" s="9" t="s">
        <v>10</v>
      </c>
      <c r="F38" s="9" t="s">
        <v>11</v>
      </c>
      <c r="H38" s="19" t="s">
        <v>70</v>
      </c>
      <c r="I38" s="29">
        <f>I35*(1.977+0.52*I36)</f>
        <v>584.19806400000004</v>
      </c>
      <c r="J38" s="26" t="s">
        <v>39</v>
      </c>
    </row>
    <row r="39" spans="3:11" ht="15.75" customHeight="1">
      <c r="C39" s="15" t="s">
        <v>65</v>
      </c>
      <c r="D39" s="12">
        <v>285.8</v>
      </c>
      <c r="E39" s="51" t="s">
        <v>7</v>
      </c>
      <c r="F39" s="15" t="s">
        <v>71</v>
      </c>
    </row>
    <row r="40" spans="3:11" ht="15.75" customHeight="1">
      <c r="C40" s="15" t="s">
        <v>72</v>
      </c>
      <c r="D40" s="12">
        <v>52.39</v>
      </c>
      <c r="E40" s="15" t="s">
        <v>13</v>
      </c>
      <c r="F40" s="15" t="s">
        <v>73</v>
      </c>
    </row>
    <row r="41" spans="3:11" ht="15.75" customHeight="1">
      <c r="C41" s="9" t="s">
        <v>74</v>
      </c>
      <c r="D41" s="10">
        <f>D40</f>
        <v>52.39</v>
      </c>
      <c r="E41" s="9" t="s">
        <v>13</v>
      </c>
      <c r="F41" s="9" t="s">
        <v>75</v>
      </c>
    </row>
    <row r="42" spans="3:11" ht="15.75" customHeight="1">
      <c r="C42" s="50" t="s">
        <v>76</v>
      </c>
      <c r="D42" s="12">
        <v>22.85</v>
      </c>
      <c r="E42" s="15" t="s">
        <v>16</v>
      </c>
      <c r="F42" s="15" t="s">
        <v>77</v>
      </c>
    </row>
    <row r="43" spans="3:11" ht="15.75" customHeight="1">
      <c r="C43" s="15" t="s">
        <v>78</v>
      </c>
      <c r="D43" s="3">
        <v>2.31</v>
      </c>
      <c r="E43" s="1"/>
      <c r="F43" s="15" t="s">
        <v>79</v>
      </c>
    </row>
    <row r="44" spans="3:11" ht="15.75" customHeight="1">
      <c r="C44" s="9" t="s">
        <v>68</v>
      </c>
      <c r="D44" s="7">
        <f>D10</f>
        <v>0.129</v>
      </c>
      <c r="F44" s="9" t="s">
        <v>69</v>
      </c>
    </row>
    <row r="45" spans="3:11" ht="15.75" customHeight="1">
      <c r="F45" s="7"/>
    </row>
    <row r="46" spans="3:11" ht="15.75" customHeight="1">
      <c r="C46" s="19" t="s">
        <v>80</v>
      </c>
      <c r="D46" s="21">
        <f>0.0026*(1+D35)^0.225*D38^0.556*D37^0.536*D39^0.5*D40^(-0.5)*D43^0.35*(COS(D42*PI()/180))^(-1)*D44^(-0.5)*D41^0.875</f>
        <v>1289.2627281993543</v>
      </c>
      <c r="E46" s="20" t="s">
        <v>10</v>
      </c>
    </row>
    <row r="47" spans="3:11" ht="15.75" customHeight="1"/>
    <row r="48" spans="3:11" ht="15.75" customHeight="1"/>
    <row r="49" spans="3:10" ht="15.75" customHeight="1">
      <c r="C49" s="78" t="s">
        <v>81</v>
      </c>
      <c r="D49" s="78"/>
      <c r="E49" s="78"/>
      <c r="H49" s="75" t="s">
        <v>82</v>
      </c>
      <c r="I49" s="76"/>
      <c r="J49" s="77"/>
    </row>
    <row r="50" spans="3:10" ht="15.75" customHeight="1">
      <c r="C50" s="4"/>
    </row>
    <row r="51" spans="3:10" ht="15.75" customHeight="1">
      <c r="C51" s="1" t="s">
        <v>83</v>
      </c>
      <c r="D51" s="1">
        <v>1.1200000000000001</v>
      </c>
      <c r="E51" s="1"/>
      <c r="F51" s="18" t="s">
        <v>84</v>
      </c>
      <c r="H51" s="19" t="s">
        <v>85</v>
      </c>
      <c r="I51" s="25">
        <f>D59</f>
        <v>4392.2</v>
      </c>
      <c r="J51" s="26" t="s">
        <v>39</v>
      </c>
    </row>
    <row r="52" spans="3:10" ht="15.75" customHeight="1">
      <c r="C52" s="1"/>
      <c r="D52" s="1"/>
      <c r="E52" s="1"/>
      <c r="F52" s="18" t="s">
        <v>86</v>
      </c>
    </row>
    <row r="53" spans="3:10" ht="15.75" customHeight="1">
      <c r="C53" s="1"/>
      <c r="D53" s="1"/>
      <c r="E53" s="1"/>
      <c r="F53" s="18" t="s">
        <v>87</v>
      </c>
    </row>
    <row r="54" spans="3:10" ht="15.75" customHeight="1">
      <c r="C54" s="1" t="s">
        <v>88</v>
      </c>
      <c r="D54" s="3">
        <v>1.1200000000000001</v>
      </c>
      <c r="E54" s="1"/>
      <c r="F54" s="18" t="s">
        <v>89</v>
      </c>
    </row>
    <row r="55" spans="3:10" ht="15.75" customHeight="1">
      <c r="C55" s="1"/>
      <c r="D55" s="3"/>
      <c r="E55" s="1"/>
      <c r="F55" s="18" t="s">
        <v>90</v>
      </c>
    </row>
    <row r="56" spans="3:10" ht="15.75" customHeight="1">
      <c r="C56" s="9" t="s">
        <v>4</v>
      </c>
      <c r="D56" s="10">
        <f>D6</f>
        <v>3.5</v>
      </c>
      <c r="F56" s="9" t="s">
        <v>5</v>
      </c>
    </row>
    <row r="57" spans="3:10" ht="15.75" customHeight="1">
      <c r="C57" s="9" t="s">
        <v>9</v>
      </c>
      <c r="D57" s="8">
        <f>D7</f>
        <v>181200</v>
      </c>
      <c r="E57" s="9" t="s">
        <v>10</v>
      </c>
      <c r="F57" s="9" t="s">
        <v>11</v>
      </c>
    </row>
    <row r="58" spans="3:10" ht="15.75" customHeight="1">
      <c r="C58" s="15" t="s">
        <v>91</v>
      </c>
      <c r="D58" s="1">
        <v>129.5</v>
      </c>
      <c r="E58" s="15" t="s">
        <v>13</v>
      </c>
      <c r="F58" s="15" t="s">
        <v>92</v>
      </c>
    </row>
    <row r="59" spans="3:10" ht="15.75" customHeight="1">
      <c r="C59" s="15" t="s">
        <v>93</v>
      </c>
      <c r="D59" s="52">
        <v>4392.2</v>
      </c>
      <c r="E59" s="51" t="s">
        <v>7</v>
      </c>
      <c r="F59" s="15" t="s">
        <v>82</v>
      </c>
    </row>
    <row r="60" spans="3:10" ht="15.75" customHeight="1">
      <c r="C60" s="9" t="s">
        <v>94</v>
      </c>
      <c r="D60" s="54">
        <f>0.75*((1+2*D63)/(1+D63))*((D64/D58)*TAN(D65*PI()/180))</f>
        <v>0.37334669178436863</v>
      </c>
    </row>
    <row r="61" spans="3:10" ht="15.75" customHeight="1">
      <c r="C61" s="15" t="s">
        <v>24</v>
      </c>
      <c r="D61" s="12">
        <v>12.333333333333334</v>
      </c>
      <c r="E61" s="15" t="s">
        <v>13</v>
      </c>
      <c r="F61" s="15" t="s">
        <v>25</v>
      </c>
    </row>
    <row r="62" spans="3:10" ht="15.75" customHeight="1"/>
    <row r="63" spans="3:10" ht="15.75" customHeight="1">
      <c r="C63" s="13" t="s">
        <v>26</v>
      </c>
      <c r="D63">
        <f>D11</f>
        <v>0.21</v>
      </c>
      <c r="F63" s="9" t="s">
        <v>27</v>
      </c>
    </row>
    <row r="64" spans="3:10" ht="15.75" customHeight="1">
      <c r="C64" s="15" t="s">
        <v>95</v>
      </c>
      <c r="D64" s="12">
        <v>117.8</v>
      </c>
      <c r="E64" s="15" t="s">
        <v>13</v>
      </c>
      <c r="F64" s="15" t="s">
        <v>96</v>
      </c>
    </row>
    <row r="65" spans="3:6" ht="15.75" customHeight="1">
      <c r="C65" s="14" t="s">
        <v>97</v>
      </c>
      <c r="D65" s="10">
        <f>D12</f>
        <v>25</v>
      </c>
      <c r="E65" s="9" t="s">
        <v>16</v>
      </c>
      <c r="F65" s="9" t="s">
        <v>98</v>
      </c>
    </row>
    <row r="66" spans="3:6" ht="15.75" customHeight="1"/>
    <row r="67" spans="3:6" ht="15.75" customHeight="1">
      <c r="C67" s="19" t="s">
        <v>99</v>
      </c>
      <c r="D67" s="21">
        <f>0.328*D51*D54*D57^0.5*D56^0.5*D58^0.35*D61^(-0.1)*D59^0.302*(1+D60)^0.04</f>
        <v>17832.432296583906</v>
      </c>
      <c r="E67" s="20" t="s">
        <v>10</v>
      </c>
      <c r="F67" s="7"/>
    </row>
    <row r="68" spans="3:6" ht="15.75" customHeight="1"/>
    <row r="69" spans="3:6" ht="15.75" customHeight="1"/>
    <row r="70" spans="3:6" ht="15.75" customHeight="1">
      <c r="C70" s="79" t="s">
        <v>100</v>
      </c>
      <c r="D70" s="80"/>
      <c r="E70" s="81"/>
    </row>
    <row r="71" spans="3:6" ht="15.75" customHeight="1"/>
    <row r="72" spans="3:6" ht="15.75" customHeight="1">
      <c r="C72" s="9" t="s">
        <v>4</v>
      </c>
      <c r="D72" s="10">
        <f>D6</f>
        <v>3.5</v>
      </c>
      <c r="F72" s="9" t="s">
        <v>5</v>
      </c>
    </row>
    <row r="73" spans="3:6" ht="15.75" customHeight="1">
      <c r="C73" s="15" t="s">
        <v>101</v>
      </c>
      <c r="D73" s="2">
        <f>0.85*0.043*D38</f>
        <v>6622.86</v>
      </c>
      <c r="E73" s="15" t="s">
        <v>10</v>
      </c>
      <c r="F73" s="15" t="s">
        <v>102</v>
      </c>
    </row>
    <row r="74" spans="3:6" ht="15.75" customHeight="1">
      <c r="C74" s="15" t="s">
        <v>103</v>
      </c>
      <c r="D74" s="1">
        <v>3.7</v>
      </c>
      <c r="E74" s="15" t="s">
        <v>13</v>
      </c>
      <c r="F74" s="15" t="s">
        <v>104</v>
      </c>
    </row>
    <row r="75" spans="3:6" ht="15.75" customHeight="1">
      <c r="C75" s="15" t="s">
        <v>105</v>
      </c>
      <c r="D75" s="1">
        <v>4</v>
      </c>
      <c r="E75" s="15" t="s">
        <v>106</v>
      </c>
      <c r="F75" s="15" t="s">
        <v>107</v>
      </c>
    </row>
    <row r="76" spans="3:6" ht="15.75" customHeight="1">
      <c r="C76" s="15" t="s">
        <v>108</v>
      </c>
      <c r="D76" s="1">
        <v>2</v>
      </c>
      <c r="E76" s="15" t="s">
        <v>109</v>
      </c>
      <c r="F76" s="15" t="s">
        <v>110</v>
      </c>
    </row>
    <row r="77" spans="3:6" ht="15.75" customHeight="1">
      <c r="C77" s="15" t="s">
        <v>111</v>
      </c>
      <c r="D77" s="1">
        <v>2.8</v>
      </c>
      <c r="E77" s="15"/>
      <c r="F77" s="15" t="s">
        <v>112</v>
      </c>
    </row>
    <row r="78" spans="3:6" ht="15.75" customHeight="1">
      <c r="C78" s="9" t="s">
        <v>113</v>
      </c>
      <c r="D78" s="10">
        <f>SQRT(D73*2/(0.002377*D8*D77))</f>
        <v>38.113944306968108</v>
      </c>
      <c r="E78" s="9" t="s">
        <v>114</v>
      </c>
      <c r="F78" s="9" t="s">
        <v>115</v>
      </c>
    </row>
    <row r="79" spans="3:6" ht="15.75" customHeight="1"/>
    <row r="80" spans="3:6" ht="15.75" customHeight="1">
      <c r="C80" s="19" t="s">
        <v>116</v>
      </c>
      <c r="D80" s="21">
        <f>0.0106*D73^0.888*D72^0.25*(D74*12)^0.4*D75^0.321*D76^(-0.5)*D78^0.1</f>
        <v>259.54889458307883</v>
      </c>
      <c r="E80" s="20" t="s">
        <v>10</v>
      </c>
      <c r="F80" s="7"/>
    </row>
    <row r="81" spans="3:11" ht="15.75" customHeight="1"/>
    <row r="82" spans="3:11" ht="15.75" customHeight="1"/>
    <row r="83" spans="3:11" ht="15.75" customHeight="1">
      <c r="C83" s="79" t="s">
        <v>117</v>
      </c>
      <c r="D83" s="80"/>
      <c r="E83" s="81"/>
    </row>
    <row r="84" spans="3:11" ht="15.75" customHeight="1"/>
    <row r="85" spans="3:11" ht="15.75" customHeight="1">
      <c r="C85" s="9" t="s">
        <v>4</v>
      </c>
      <c r="D85" s="10">
        <f>D6</f>
        <v>3.5</v>
      </c>
      <c r="F85" s="9" t="s">
        <v>5</v>
      </c>
    </row>
    <row r="86" spans="3:11" ht="15.75" customHeight="1">
      <c r="C86" s="9" t="s">
        <v>101</v>
      </c>
      <c r="D86" s="8">
        <f>D73</f>
        <v>6622.86</v>
      </c>
      <c r="E86" s="9" t="s">
        <v>10</v>
      </c>
      <c r="F86" s="9" t="s">
        <v>102</v>
      </c>
    </row>
    <row r="87" spans="3:11" ht="15.75" customHeight="1">
      <c r="C87" s="15" t="s">
        <v>118</v>
      </c>
      <c r="D87" s="1">
        <f>D74</f>
        <v>3.7</v>
      </c>
      <c r="E87" s="15" t="s">
        <v>13</v>
      </c>
      <c r="F87" s="15" t="s">
        <v>119</v>
      </c>
    </row>
    <row r="88" spans="3:11" ht="15.75" customHeight="1">
      <c r="C88" s="15" t="s">
        <v>120</v>
      </c>
      <c r="D88" s="1">
        <v>2</v>
      </c>
      <c r="E88" s="15" t="s">
        <v>106</v>
      </c>
      <c r="F88" s="15" t="s">
        <v>121</v>
      </c>
    </row>
    <row r="89" spans="3:11" ht="15.75" customHeight="1"/>
    <row r="90" spans="3:11" ht="15.75" customHeight="1">
      <c r="C90" s="19" t="s">
        <v>122</v>
      </c>
      <c r="D90" s="21">
        <f>0.032*D86^0.646*D85^0.2*(D87*12)^0.5*D88^0.45</f>
        <v>110.03073436024482</v>
      </c>
      <c r="E90" s="20" t="s">
        <v>10</v>
      </c>
      <c r="F90" s="7"/>
    </row>
    <row r="91" spans="3:11" ht="15.75" customHeight="1"/>
    <row r="92" spans="3:11" ht="15.75" customHeight="1"/>
    <row r="93" spans="3:11" ht="15.75" customHeight="1">
      <c r="C93" s="60" t="s">
        <v>123</v>
      </c>
      <c r="D93" s="61"/>
      <c r="E93" s="62"/>
      <c r="H93" s="75" t="s">
        <v>124</v>
      </c>
      <c r="I93" s="76"/>
      <c r="J93" s="77"/>
    </row>
    <row r="94" spans="3:11" ht="15.75" customHeight="1"/>
    <row r="95" spans="3:11" ht="15.75" customHeight="1">
      <c r="C95" s="9" t="s">
        <v>125</v>
      </c>
      <c r="D95" s="8">
        <f>D96*D97</f>
        <v>56000</v>
      </c>
      <c r="E95" s="9" t="s">
        <v>10</v>
      </c>
      <c r="F95" s="9" t="s">
        <v>126</v>
      </c>
      <c r="H95" s="9" t="s">
        <v>125</v>
      </c>
      <c r="I95" s="8">
        <f>D95</f>
        <v>56000</v>
      </c>
      <c r="J95" s="9" t="s">
        <v>10</v>
      </c>
      <c r="K95" s="9" t="s">
        <v>126</v>
      </c>
    </row>
    <row r="96" spans="3:11" ht="15.75" customHeight="1">
      <c r="C96" s="15" t="s">
        <v>127</v>
      </c>
      <c r="D96" s="1">
        <v>2</v>
      </c>
      <c r="E96" s="1"/>
      <c r="F96" s="15" t="s">
        <v>128</v>
      </c>
      <c r="H96" s="9" t="s">
        <v>127</v>
      </c>
      <c r="I96">
        <f>D96</f>
        <v>2</v>
      </c>
      <c r="K96" s="9" t="s">
        <v>128</v>
      </c>
    </row>
    <row r="97" spans="2:14" ht="15.75" customHeight="1">
      <c r="C97" s="15" t="s">
        <v>129</v>
      </c>
      <c r="D97" s="2">
        <v>28000</v>
      </c>
      <c r="E97" s="15" t="s">
        <v>10</v>
      </c>
      <c r="F97" s="15" t="s">
        <v>130</v>
      </c>
      <c r="H97" s="15" t="s">
        <v>129</v>
      </c>
      <c r="I97" s="2">
        <f>D97</f>
        <v>28000</v>
      </c>
      <c r="J97" s="15" t="s">
        <v>10</v>
      </c>
      <c r="K97" s="15" t="s">
        <v>130</v>
      </c>
    </row>
    <row r="98" spans="2:14" ht="15.75" customHeight="1">
      <c r="C98" s="15" t="s">
        <v>131</v>
      </c>
      <c r="D98" s="2">
        <v>6130</v>
      </c>
      <c r="E98" s="15" t="s">
        <v>10</v>
      </c>
      <c r="F98" s="15" t="s">
        <v>132</v>
      </c>
      <c r="H98" s="15" t="s">
        <v>133</v>
      </c>
      <c r="I98" s="3">
        <v>123.9</v>
      </c>
      <c r="J98" s="15" t="s">
        <v>134</v>
      </c>
      <c r="K98" s="15" t="s">
        <v>135</v>
      </c>
    </row>
    <row r="99" spans="2:14" ht="15.75" customHeight="1">
      <c r="H99" s="15" t="s">
        <v>136</v>
      </c>
      <c r="I99" s="3">
        <v>69</v>
      </c>
      <c r="J99" s="15" t="s">
        <v>134</v>
      </c>
      <c r="K99" s="15" t="s">
        <v>137</v>
      </c>
    </row>
    <row r="100" spans="2:14" ht="15.75" customHeight="1">
      <c r="C100" s="19" t="s">
        <v>138</v>
      </c>
      <c r="D100" s="21">
        <f>1.3*D98</f>
        <v>7969</v>
      </c>
      <c r="E100" s="20" t="s">
        <v>10</v>
      </c>
    </row>
    <row r="101" spans="2:14" ht="15.75" customHeight="1">
      <c r="H101" s="19" t="s">
        <v>139</v>
      </c>
      <c r="I101" s="25">
        <f>(2*PI()*(1.5*I99/2)*1.5*I98/144)*I96*1.3</f>
        <v>1091.0977087889328</v>
      </c>
      <c r="J101" s="26" t="s">
        <v>39</v>
      </c>
    </row>
    <row r="102" spans="2:14" ht="15.75" customHeight="1"/>
    <row r="103" spans="2:14" ht="15.75" customHeight="1">
      <c r="C103" s="60" t="s">
        <v>140</v>
      </c>
      <c r="D103" s="61"/>
      <c r="E103" s="62"/>
      <c r="K103" s="9"/>
      <c r="M103" s="9"/>
      <c r="N103" s="9"/>
    </row>
    <row r="104" spans="2:14" ht="15.75" customHeight="1">
      <c r="K104" s="9"/>
      <c r="M104" s="9"/>
      <c r="N104" s="9"/>
    </row>
    <row r="105" spans="2:14" ht="15.75" customHeight="1">
      <c r="C105" s="19" t="s">
        <v>141</v>
      </c>
      <c r="D105" s="21">
        <f>0.17*D7</f>
        <v>30804.000000000004</v>
      </c>
      <c r="E105" s="20" t="s">
        <v>10</v>
      </c>
      <c r="K105" s="9"/>
      <c r="M105" s="9"/>
      <c r="N105" s="9"/>
    </row>
    <row r="106" spans="2:14" ht="15.75" customHeight="1">
      <c r="K106" s="9"/>
      <c r="M106" s="9"/>
      <c r="N106" s="9"/>
    </row>
    <row r="107" spans="2:14" ht="15.75" customHeight="1">
      <c r="K107" s="9"/>
      <c r="M107" s="9"/>
      <c r="N107" s="9"/>
    </row>
    <row r="108" spans="2:14" ht="15.75" customHeight="1">
      <c r="B108" s="67" t="s">
        <v>142</v>
      </c>
      <c r="C108" s="68"/>
      <c r="D108" s="69"/>
      <c r="G108" s="63" t="s">
        <v>143</v>
      </c>
      <c r="H108" s="64"/>
      <c r="I108" s="65"/>
      <c r="K108" s="9"/>
      <c r="M108" s="9"/>
      <c r="N108" s="9"/>
    </row>
    <row r="109" spans="2:14" ht="15.75" customHeight="1">
      <c r="K109" s="9"/>
      <c r="M109" s="9"/>
      <c r="N109" s="9"/>
    </row>
    <row r="110" spans="2:14" ht="15.75" customHeight="1">
      <c r="B110" s="30" t="s">
        <v>144</v>
      </c>
      <c r="C110" s="31" t="s">
        <v>145</v>
      </c>
      <c r="D110" s="32" t="s">
        <v>146</v>
      </c>
      <c r="E110" s="27"/>
      <c r="F110" s="27"/>
      <c r="G110" s="6" t="s">
        <v>144</v>
      </c>
      <c r="H110" s="22" t="s">
        <v>147</v>
      </c>
      <c r="I110" s="22" t="s">
        <v>148</v>
      </c>
      <c r="M110" s="9"/>
      <c r="N110" s="9"/>
    </row>
    <row r="111" spans="2:14" ht="15.75" customHeight="1">
      <c r="B111" s="30"/>
      <c r="C111" s="31"/>
      <c r="D111" s="27"/>
      <c r="E111" s="27"/>
      <c r="F111" s="27"/>
      <c r="M111" s="9"/>
      <c r="N111" s="9"/>
    </row>
    <row r="112" spans="2:14" ht="15.75" customHeight="1">
      <c r="B112" s="33" t="s">
        <v>149</v>
      </c>
      <c r="C112" s="34">
        <f t="shared" ref="C112:C117" si="0">D112/$D$121</f>
        <v>0.20387748663437849</v>
      </c>
      <c r="D112" s="35">
        <f>D15</f>
        <v>15384.452502943479</v>
      </c>
      <c r="E112" s="27"/>
      <c r="F112" s="27"/>
      <c r="G112" s="5" t="s">
        <v>149</v>
      </c>
      <c r="H112" s="23">
        <f>I112/$I$121</f>
        <v>0.25260204804917535</v>
      </c>
      <c r="I112" s="38">
        <f>I15</f>
        <v>2394.2226982410816</v>
      </c>
      <c r="J112" s="16" t="s">
        <v>7</v>
      </c>
    </row>
    <row r="113" spans="2:14" ht="15.75" customHeight="1">
      <c r="B113" s="33" t="s">
        <v>150</v>
      </c>
      <c r="C113" s="34">
        <f t="shared" si="0"/>
        <v>2.3994036599603474E-2</v>
      </c>
      <c r="D113" s="35">
        <f>D30</f>
        <v>1810.5732148958243</v>
      </c>
      <c r="E113" s="27"/>
      <c r="F113" s="27"/>
      <c r="G113" s="5" t="s">
        <v>150</v>
      </c>
      <c r="H113" s="23">
        <f t="shared" ref="H113:H119" si="1">I113/$I$121</f>
        <v>0.10724786906080344</v>
      </c>
      <c r="I113" s="38">
        <f>I23</f>
        <v>1016.5209840000001</v>
      </c>
      <c r="J113" s="16" t="s">
        <v>7</v>
      </c>
      <c r="K113" s="9"/>
      <c r="M113" s="9"/>
      <c r="N113" s="9"/>
    </row>
    <row r="114" spans="2:14" ht="15.75" customHeight="1">
      <c r="B114" s="33" t="s">
        <v>151</v>
      </c>
      <c r="C114" s="34">
        <f t="shared" si="0"/>
        <v>1.7085537791245758E-2</v>
      </c>
      <c r="D114" s="35">
        <f>D46</f>
        <v>1289.2627281993543</v>
      </c>
      <c r="E114" s="27"/>
      <c r="F114" s="27"/>
      <c r="G114" s="5" t="s">
        <v>151</v>
      </c>
      <c r="H114" s="23">
        <f t="shared" si="1"/>
        <v>6.1635714815157096E-2</v>
      </c>
      <c r="I114" s="38">
        <f>I38</f>
        <v>584.19806400000004</v>
      </c>
      <c r="J114" s="16" t="s">
        <v>7</v>
      </c>
      <c r="L114" s="11"/>
      <c r="M114" s="9"/>
      <c r="N114" s="9"/>
    </row>
    <row r="115" spans="2:14" ht="15.75" customHeight="1">
      <c r="B115" s="33" t="s">
        <v>152</v>
      </c>
      <c r="C115" s="34">
        <f t="shared" si="0"/>
        <v>0.23631854799575389</v>
      </c>
      <c r="D115" s="35">
        <f>D67</f>
        <v>17832.432296583906</v>
      </c>
      <c r="E115" s="27"/>
      <c r="F115" s="27"/>
      <c r="G115" s="5" t="s">
        <v>152</v>
      </c>
      <c r="H115" s="23">
        <f t="shared" si="1"/>
        <v>0.46339829467687682</v>
      </c>
      <c r="I115" s="38">
        <f>I51</f>
        <v>4392.2</v>
      </c>
      <c r="J115" s="16" t="s">
        <v>7</v>
      </c>
    </row>
    <row r="116" spans="2:14" ht="15.75" customHeight="1">
      <c r="B116" s="33" t="s">
        <v>153</v>
      </c>
      <c r="C116" s="34">
        <f t="shared" si="0"/>
        <v>3.4395878745899482E-3</v>
      </c>
      <c r="D116" s="35">
        <f>D80</f>
        <v>259.54889458307883</v>
      </c>
      <c r="E116" s="27"/>
      <c r="F116" s="27"/>
      <c r="G116" s="5" t="s">
        <v>153</v>
      </c>
      <c r="H116" s="23">
        <f t="shared" si="1"/>
        <v>0</v>
      </c>
      <c r="I116" s="38">
        <v>0</v>
      </c>
      <c r="J116" s="16" t="s">
        <v>7</v>
      </c>
    </row>
    <row r="117" spans="2:14" ht="15.75" customHeight="1">
      <c r="B117" s="33" t="s">
        <v>154</v>
      </c>
      <c r="C117" s="34">
        <f t="shared" si="0"/>
        <v>1.4581467601534497E-3</v>
      </c>
      <c r="D117" s="35">
        <f>D90</f>
        <v>110.03073436024482</v>
      </c>
      <c r="E117" s="27"/>
      <c r="F117" s="27"/>
      <c r="G117" s="5" t="s">
        <v>154</v>
      </c>
      <c r="H117" s="23">
        <f t="shared" si="1"/>
        <v>0</v>
      </c>
      <c r="I117" s="38">
        <v>0</v>
      </c>
      <c r="J117" s="16" t="s">
        <v>7</v>
      </c>
    </row>
    <row r="118" spans="2:14" ht="15.75" customHeight="1">
      <c r="B118" s="33" t="s">
        <v>155</v>
      </c>
      <c r="C118" s="34">
        <f>D118/$D$121</f>
        <v>0.10560659800395961</v>
      </c>
      <c r="D118" s="35">
        <f>D100</f>
        <v>7969</v>
      </c>
      <c r="E118" s="27"/>
      <c r="F118" s="27"/>
      <c r="G118" s="5" t="s">
        <v>156</v>
      </c>
      <c r="H118" s="23">
        <f t="shared" si="1"/>
        <v>0</v>
      </c>
      <c r="I118" s="38">
        <v>0</v>
      </c>
      <c r="J118" s="16" t="s">
        <v>7</v>
      </c>
    </row>
    <row r="119" spans="2:14" ht="15.75" customHeight="1">
      <c r="B119" s="33" t="s">
        <v>156</v>
      </c>
      <c r="C119" s="34">
        <f>D119/$D$121</f>
        <v>0.40822005834031527</v>
      </c>
      <c r="D119" s="35">
        <f>0.17*D7</f>
        <v>30804.000000000004</v>
      </c>
      <c r="E119" s="27"/>
      <c r="F119" s="27"/>
      <c r="G119" s="5" t="s">
        <v>155</v>
      </c>
      <c r="H119" s="23">
        <f t="shared" si="1"/>
        <v>0.11511607339798713</v>
      </c>
      <c r="I119" s="38">
        <f>I101</f>
        <v>1091.0977087889328</v>
      </c>
      <c r="J119" s="16" t="s">
        <v>7</v>
      </c>
    </row>
    <row r="120" spans="2:14" ht="15.75" customHeight="1">
      <c r="B120" s="27"/>
      <c r="C120" s="27"/>
      <c r="D120" s="27"/>
      <c r="E120" s="27"/>
      <c r="F120" s="36"/>
    </row>
    <row r="121" spans="2:14" ht="15.75" customHeight="1">
      <c r="B121" s="37" t="s">
        <v>157</v>
      </c>
      <c r="C121" s="34">
        <f>SUM(C112:C119)</f>
        <v>0.99999999999999978</v>
      </c>
      <c r="D121" s="35">
        <f>SUM(D112:D119)</f>
        <v>75459.3003715659</v>
      </c>
      <c r="E121" s="27"/>
      <c r="F121" s="27"/>
      <c r="G121" s="4" t="s">
        <v>158</v>
      </c>
      <c r="H121" s="23">
        <f>SUM(H112:H119)</f>
        <v>0.99999999999999989</v>
      </c>
      <c r="I121" s="38">
        <f>SUM(I112:I119)</f>
        <v>9478.239455030016</v>
      </c>
    </row>
    <row r="122" spans="2:14" ht="15.75" customHeight="1">
      <c r="B122" s="55" t="s">
        <v>159</v>
      </c>
      <c r="C122" s="47"/>
      <c r="D122" s="56">
        <v>48000</v>
      </c>
      <c r="E122" s="27"/>
      <c r="F122" s="27"/>
    </row>
    <row r="123" spans="2:14" ht="15.75" customHeight="1">
      <c r="B123" s="55" t="s">
        <v>160</v>
      </c>
      <c r="C123" s="47"/>
      <c r="D123" s="56">
        <v>45694</v>
      </c>
      <c r="E123" s="27"/>
      <c r="F123" s="27"/>
      <c r="G123" s="6" t="s">
        <v>161</v>
      </c>
      <c r="H123" s="7">
        <f>I121/I6</f>
        <v>6.9184229598759241</v>
      </c>
    </row>
    <row r="124" spans="2:14" ht="15.75" customHeight="1">
      <c r="B124" s="37"/>
      <c r="C124" s="28"/>
      <c r="D124" s="35"/>
      <c r="E124" s="27"/>
      <c r="F124" s="27"/>
      <c r="G124" s="6"/>
      <c r="H124" s="7"/>
    </row>
    <row r="125" spans="2:14" ht="15.75" customHeight="1">
      <c r="B125" s="37" t="s">
        <v>162</v>
      </c>
      <c r="C125" s="28"/>
      <c r="D125" s="35">
        <f>SUM(D121:D123)</f>
        <v>169153.30037156591</v>
      </c>
      <c r="E125" s="27"/>
      <c r="F125" s="27"/>
    </row>
    <row r="126" spans="2:14" ht="15.75" customHeight="1">
      <c r="B126" s="27"/>
      <c r="C126" s="28"/>
      <c r="D126" s="28"/>
      <c r="E126" s="27"/>
      <c r="F126" s="27"/>
    </row>
    <row r="127" spans="2:14" ht="15.75" customHeight="1">
      <c r="B127" s="37"/>
      <c r="C127" s="28"/>
      <c r="D127" s="35"/>
      <c r="E127" s="27"/>
      <c r="F127" s="27"/>
    </row>
    <row r="128" spans="2:14" ht="15.75" customHeight="1">
      <c r="B128" s="37"/>
      <c r="C128" s="28"/>
      <c r="D128" s="35"/>
      <c r="E128" s="27"/>
      <c r="F128" s="28"/>
    </row>
    <row r="129" spans="2:9" ht="15.75" customHeight="1">
      <c r="B129" s="4"/>
      <c r="C129" s="9"/>
      <c r="D129" s="24"/>
      <c r="F129" s="9"/>
    </row>
    <row r="130" spans="2:9" ht="15.75" customHeight="1"/>
    <row r="131" spans="2:9" ht="15.75" customHeight="1">
      <c r="B131" s="70" t="s">
        <v>163</v>
      </c>
      <c r="C131" s="71"/>
      <c r="D131" s="72"/>
      <c r="G131" s="66" t="s">
        <v>164</v>
      </c>
      <c r="H131" s="66"/>
      <c r="I131" s="66"/>
    </row>
    <row r="132" spans="2:9" ht="15.75" customHeight="1"/>
    <row r="133" spans="2:9" ht="15.75" customHeight="1">
      <c r="B133" s="30" t="s">
        <v>144</v>
      </c>
      <c r="C133" s="31" t="s">
        <v>145</v>
      </c>
      <c r="D133" s="32" t="s">
        <v>146</v>
      </c>
      <c r="E133" s="27"/>
      <c r="F133" s="27"/>
      <c r="G133" s="30" t="s">
        <v>144</v>
      </c>
      <c r="H133" s="22" t="s">
        <v>165</v>
      </c>
      <c r="I133" s="22" t="s">
        <v>166</v>
      </c>
    </row>
    <row r="134" spans="2:9" ht="15.75" customHeight="1">
      <c r="B134" s="30"/>
      <c r="C134" s="31"/>
      <c r="D134" s="27"/>
      <c r="E134" s="27"/>
      <c r="F134" s="27"/>
    </row>
    <row r="135" spans="2:9" ht="15.75" customHeight="1">
      <c r="B135" s="33" t="s">
        <v>149</v>
      </c>
      <c r="C135" s="34">
        <f>D135/$D$144</f>
        <v>0.15832174329573864</v>
      </c>
      <c r="D135" s="35">
        <f>10*D8</f>
        <v>13700</v>
      </c>
      <c r="E135" s="27"/>
      <c r="F135" s="27"/>
      <c r="G135" s="33" t="s">
        <v>149</v>
      </c>
      <c r="H135" s="34">
        <f>I135/$I$140</f>
        <v>0.32126696832579182</v>
      </c>
      <c r="I135" s="58">
        <v>7.1000000000000004E-3</v>
      </c>
    </row>
    <row r="136" spans="2:9" ht="15.75" customHeight="1">
      <c r="B136" s="33" t="s">
        <v>150</v>
      </c>
      <c r="C136" s="34">
        <f t="shared" ref="C136:C142" si="2">D136/$D$144</f>
        <v>3.160830045075471E-2</v>
      </c>
      <c r="D136" s="35">
        <f>5.5*D24</f>
        <v>2735.15</v>
      </c>
      <c r="E136" s="27"/>
      <c r="F136" s="27"/>
      <c r="G136" s="33" t="s">
        <v>150</v>
      </c>
      <c r="H136" s="34">
        <f t="shared" ref="H136:H138" si="3">I136/$I$140</f>
        <v>0.14479638009049772</v>
      </c>
      <c r="I136" s="58">
        <v>3.2000000000000002E-3</v>
      </c>
    </row>
    <row r="137" spans="2:9" ht="15.75" customHeight="1">
      <c r="B137" s="33" t="s">
        <v>151</v>
      </c>
      <c r="C137" s="34">
        <f t="shared" si="2"/>
        <v>1.816539768515121E-2</v>
      </c>
      <c r="D137" s="35">
        <f>5.5*D39</f>
        <v>1571.9</v>
      </c>
      <c r="E137" s="27"/>
      <c r="F137" s="27"/>
      <c r="G137" s="33" t="s">
        <v>151</v>
      </c>
      <c r="H137" s="34">
        <f t="shared" si="3"/>
        <v>8.1447963800904966E-2</v>
      </c>
      <c r="I137" s="58">
        <v>1.8E-3</v>
      </c>
    </row>
    <row r="138" spans="2:9" ht="15.75" customHeight="1">
      <c r="B138" s="33" t="s">
        <v>152</v>
      </c>
      <c r="C138" s="34">
        <f t="shared" si="2"/>
        <v>0.25378859886990629</v>
      </c>
      <c r="D138" s="35">
        <f>5*D59</f>
        <v>21961</v>
      </c>
      <c r="E138" s="27"/>
      <c r="F138" s="27"/>
      <c r="G138" s="33" t="s">
        <v>152</v>
      </c>
      <c r="H138" s="34">
        <f t="shared" si="3"/>
        <v>0.45248868778280543</v>
      </c>
      <c r="I138" s="82">
        <v>0.01</v>
      </c>
    </row>
    <row r="139" spans="2:9" ht="15.75" customHeight="1">
      <c r="B139" s="33" t="s">
        <v>153</v>
      </c>
      <c r="C139" s="34">
        <f t="shared" si="2"/>
        <v>7.653596648201573E-2</v>
      </c>
      <c r="D139" s="35">
        <f>0.85*0.043*D7</f>
        <v>6622.86</v>
      </c>
      <c r="E139" s="27"/>
      <c r="F139" s="27"/>
      <c r="I139" s="43"/>
    </row>
    <row r="140" spans="2:9" ht="15.75" customHeight="1">
      <c r="B140" s="33" t="s">
        <v>154</v>
      </c>
      <c r="C140" s="34">
        <f t="shared" si="2"/>
        <v>1.3506347026238069E-2</v>
      </c>
      <c r="D140" s="35">
        <f>0.15*0.043*D7</f>
        <v>1168.7399999999998</v>
      </c>
      <c r="E140" s="27"/>
      <c r="F140" s="27"/>
      <c r="G140" s="39" t="s">
        <v>167</v>
      </c>
      <c r="H140" s="34">
        <f>SUM(H135:H138)</f>
        <v>1</v>
      </c>
      <c r="I140" s="42">
        <f>SUM(I135:I138)</f>
        <v>2.2100000000000002E-2</v>
      </c>
    </row>
    <row r="141" spans="2:9" ht="15.75" customHeight="1">
      <c r="B141" s="33" t="s">
        <v>155</v>
      </c>
      <c r="C141" s="34">
        <f t="shared" si="2"/>
        <v>9.2092406738959215E-2</v>
      </c>
      <c r="D141" s="35">
        <f>D100</f>
        <v>7969</v>
      </c>
      <c r="E141" s="27"/>
      <c r="F141" s="27"/>
      <c r="I141" s="43"/>
    </row>
    <row r="142" spans="2:9" ht="15.75" customHeight="1">
      <c r="B142" s="33" t="s">
        <v>156</v>
      </c>
      <c r="C142" s="34">
        <f t="shared" si="2"/>
        <v>0.35598123945123605</v>
      </c>
      <c r="D142" s="35">
        <f>0.17*D7</f>
        <v>30804.000000000004</v>
      </c>
      <c r="E142" s="27"/>
      <c r="F142" s="27"/>
      <c r="G142" s="57" t="s">
        <v>168</v>
      </c>
      <c r="H142" s="1"/>
      <c r="I142" s="82">
        <v>1.89E-2</v>
      </c>
    </row>
    <row r="143" spans="2:9" ht="15.75" customHeight="1">
      <c r="B143" s="27"/>
      <c r="C143" s="27"/>
      <c r="D143" s="27"/>
      <c r="E143" s="27"/>
      <c r="F143" s="36"/>
    </row>
    <row r="144" spans="2:9" ht="15.75" customHeight="1">
      <c r="B144" s="37" t="s">
        <v>157</v>
      </c>
      <c r="C144" s="34">
        <f>SUM(C135:C142)</f>
        <v>1</v>
      </c>
      <c r="D144" s="35">
        <f>SUM(D135:D142)</f>
        <v>86532.650000000009</v>
      </c>
      <c r="E144" s="27"/>
      <c r="F144" s="27"/>
      <c r="G144" s="30" t="s">
        <v>169</v>
      </c>
      <c r="I144" s="40">
        <v>0.8</v>
      </c>
    </row>
    <row r="145" spans="2:9" ht="15.75" customHeight="1">
      <c r="B145" s="37" t="s">
        <v>159</v>
      </c>
      <c r="C145" s="28"/>
      <c r="D145" s="35">
        <f>D122</f>
        <v>48000</v>
      </c>
      <c r="E145" s="27"/>
      <c r="F145" s="27"/>
      <c r="G145" s="30" t="s">
        <v>170</v>
      </c>
      <c r="I145" s="41">
        <f>1/(PI()*D9*I144)</f>
        <v>3.92781202102407E-2</v>
      </c>
    </row>
    <row r="146" spans="2:9" ht="15.75" customHeight="1">
      <c r="B146" s="37" t="s">
        <v>160</v>
      </c>
      <c r="C146" s="28"/>
      <c r="D146" s="35">
        <f>D123</f>
        <v>45694</v>
      </c>
      <c r="E146" s="27"/>
      <c r="F146" s="27"/>
    </row>
    <row r="147" spans="2:9" ht="15.75" customHeight="1">
      <c r="B147" s="37"/>
      <c r="C147" s="28"/>
      <c r="D147" s="35"/>
      <c r="E147" s="27"/>
      <c r="F147" s="27"/>
    </row>
    <row r="148" spans="2:9" ht="15.75" customHeight="1">
      <c r="B148" s="37" t="s">
        <v>162</v>
      </c>
      <c r="C148" s="28"/>
      <c r="D148" s="35">
        <f>SUM(D144:D146)</f>
        <v>180226.65000000002</v>
      </c>
      <c r="E148" s="27"/>
      <c r="F148" s="27"/>
    </row>
    <row r="149" spans="2:9" ht="15.75" customHeight="1">
      <c r="B149" s="27"/>
      <c r="C149" s="28"/>
      <c r="D149" s="28"/>
      <c r="E149" s="27"/>
      <c r="F149" s="27"/>
    </row>
    <row r="150" spans="2:9" ht="15.75" customHeight="1">
      <c r="B150" s="37"/>
      <c r="C150" s="28"/>
      <c r="D150" s="35"/>
      <c r="E150" s="27"/>
      <c r="F150" s="27"/>
    </row>
    <row r="151" spans="2:9" ht="15.75" customHeight="1">
      <c r="B151" s="37"/>
      <c r="C151" s="28"/>
      <c r="D151" s="35"/>
      <c r="E151" s="27"/>
      <c r="F151" s="28"/>
    </row>
  </sheetData>
  <mergeCells count="19">
    <mergeCell ref="H49:J49"/>
    <mergeCell ref="H93:J93"/>
    <mergeCell ref="C18:E18"/>
    <mergeCell ref="C4:E4"/>
    <mergeCell ref="C33:E33"/>
    <mergeCell ref="C49:E49"/>
    <mergeCell ref="C70:E70"/>
    <mergeCell ref="C83:E83"/>
    <mergeCell ref="C93:E93"/>
    <mergeCell ref="B2:E2"/>
    <mergeCell ref="G2:J2"/>
    <mergeCell ref="H4:J4"/>
    <mergeCell ref="H18:J18"/>
    <mergeCell ref="H33:J33"/>
    <mergeCell ref="C103:E103"/>
    <mergeCell ref="G108:I108"/>
    <mergeCell ref="G131:I131"/>
    <mergeCell ref="B108:D108"/>
    <mergeCell ref="B131:D1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ITERATION2-BIZ</vt:lpstr>
      <vt:lpstr>Sheet2</vt:lpstr>
      <vt:lpstr>SHT</vt:lpstr>
      <vt:lpstr>tcht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iterative take-off weight</dc:title>
  <dc:subject/>
  <dc:creator>TCC</dc:creator>
  <cp:keywords/>
  <dc:description>from first choice original</dc:description>
  <cp:lastModifiedBy>Melody Hatfield</cp:lastModifiedBy>
  <cp:revision/>
  <dcterms:created xsi:type="dcterms:W3CDTF">2002-08-27T17:50:51Z</dcterms:created>
  <dcterms:modified xsi:type="dcterms:W3CDTF">2023-04-17T07:47:15Z</dcterms:modified>
  <cp:category/>
  <cp:contentStatus/>
</cp:coreProperties>
</file>