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40\PycharmProjects\CSV-Parse\"/>
    </mc:Choice>
  </mc:AlternateContent>
  <bookViews>
    <workbookView xWindow="360" yWindow="60" windowWidth="14880" windowHeight="7995"/>
  </bookViews>
  <sheets>
    <sheet name="Sheet1" sheetId="4" r:id="rId1"/>
    <sheet name="Formulas" sheetId="1" r:id="rId2"/>
    <sheet name="Test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T38" i="1" l="1"/>
  <c r="K38" i="1"/>
  <c r="Q37" i="1"/>
  <c r="K37" i="1"/>
  <c r="R37" i="1" s="1"/>
  <c r="Q2" i="4" l="1"/>
  <c r="K2" i="4"/>
  <c r="R2" i="4" s="1"/>
  <c r="K36" i="1" l="1"/>
  <c r="Q35" i="1" l="1"/>
  <c r="K35" i="1" s="1"/>
  <c r="R35" i="1" s="1"/>
  <c r="M26" i="1" l="1"/>
  <c r="J93" i="2" l="1"/>
  <c r="M93" i="2"/>
  <c r="O93" i="2"/>
  <c r="P93" i="2"/>
  <c r="Q93" i="2"/>
  <c r="K93" i="2" s="1"/>
  <c r="R93" i="2" s="1"/>
  <c r="J94" i="2"/>
  <c r="O94" i="2"/>
  <c r="K94" i="2" s="1"/>
  <c r="R94" i="2" s="1"/>
  <c r="P94" i="2"/>
  <c r="Q94" i="2"/>
  <c r="J95" i="2"/>
  <c r="O95" i="2"/>
  <c r="M95" i="2" s="1"/>
  <c r="P95" i="2"/>
  <c r="Q95" i="2"/>
  <c r="J96" i="2"/>
  <c r="O96" i="2"/>
  <c r="M96" i="2" s="1"/>
  <c r="P96" i="2"/>
  <c r="Q96" i="2"/>
  <c r="K96" i="2" s="1"/>
  <c r="R96" i="2" s="1"/>
  <c r="J97" i="2"/>
  <c r="M97" i="2"/>
  <c r="O97" i="2"/>
  <c r="P97" i="2"/>
  <c r="Q97" i="2"/>
  <c r="K97" i="2" s="1"/>
  <c r="R97" i="2" s="1"/>
  <c r="J98" i="2"/>
  <c r="K98" i="2"/>
  <c r="O98" i="2"/>
  <c r="M98" i="2" s="1"/>
  <c r="P98" i="2"/>
  <c r="Q98" i="2"/>
  <c r="R98" i="2"/>
  <c r="J99" i="2"/>
  <c r="O99" i="2"/>
  <c r="M99" i="2" s="1"/>
  <c r="P99" i="2"/>
  <c r="Q99" i="2"/>
  <c r="J100" i="2"/>
  <c r="O100" i="2"/>
  <c r="M100" i="2" s="1"/>
  <c r="P100" i="2"/>
  <c r="Q100" i="2"/>
  <c r="K100" i="2" s="1"/>
  <c r="R100" i="2" s="1"/>
  <c r="J101" i="2"/>
  <c r="M101" i="2"/>
  <c r="O101" i="2"/>
  <c r="P101" i="2"/>
  <c r="Q101" i="2"/>
  <c r="K101" i="2" s="1"/>
  <c r="R101" i="2" s="1"/>
  <c r="J102" i="2"/>
  <c r="O102" i="2"/>
  <c r="K102" i="2" s="1"/>
  <c r="R102" i="2" s="1"/>
  <c r="P102" i="2"/>
  <c r="Q102" i="2"/>
  <c r="J103" i="2"/>
  <c r="O103" i="2"/>
  <c r="M103" i="2" s="1"/>
  <c r="P103" i="2"/>
  <c r="Q103" i="2"/>
  <c r="J104" i="2"/>
  <c r="O104" i="2"/>
  <c r="M104" i="2" s="1"/>
  <c r="P104" i="2"/>
  <c r="Q104" i="2"/>
  <c r="K104" i="2" s="1"/>
  <c r="R104" i="2" s="1"/>
  <c r="J105" i="2"/>
  <c r="M105" i="2"/>
  <c r="O105" i="2"/>
  <c r="P105" i="2"/>
  <c r="Q105" i="2"/>
  <c r="K105" i="2" s="1"/>
  <c r="R105" i="2" s="1"/>
  <c r="J106" i="2"/>
  <c r="O106" i="2"/>
  <c r="M106" i="2" s="1"/>
  <c r="P106" i="2"/>
  <c r="Q106" i="2"/>
  <c r="J107" i="2"/>
  <c r="K107" i="2"/>
  <c r="O107" i="2"/>
  <c r="M107" i="2" s="1"/>
  <c r="P107" i="2"/>
  <c r="Q107" i="2"/>
  <c r="R107" i="2"/>
  <c r="J108" i="2"/>
  <c r="O108" i="2"/>
  <c r="M108" i="2" s="1"/>
  <c r="P108" i="2"/>
  <c r="Q108" i="2"/>
  <c r="K108" i="2" s="1"/>
  <c r="R108" i="2" s="1"/>
  <c r="J109" i="2"/>
  <c r="K109" i="2"/>
  <c r="M109" i="2"/>
  <c r="O109" i="2"/>
  <c r="P109" i="2"/>
  <c r="Q109" i="2"/>
  <c r="R109" i="2"/>
  <c r="J110" i="2"/>
  <c r="O110" i="2"/>
  <c r="K110" i="2" s="1"/>
  <c r="R110" i="2" s="1"/>
  <c r="P110" i="2"/>
  <c r="Q110" i="2"/>
  <c r="J111" i="2"/>
  <c r="O111" i="2"/>
  <c r="K111" i="2" s="1"/>
  <c r="R111" i="2" s="1"/>
  <c r="P111" i="2"/>
  <c r="Q111" i="2"/>
  <c r="J112" i="2"/>
  <c r="O112" i="2"/>
  <c r="M112" i="2" s="1"/>
  <c r="P112" i="2"/>
  <c r="Q112" i="2"/>
  <c r="K112" i="2" s="1"/>
  <c r="R112" i="2" s="1"/>
  <c r="J113" i="2"/>
  <c r="M113" i="2"/>
  <c r="O113" i="2"/>
  <c r="P113" i="2"/>
  <c r="Q113" i="2"/>
  <c r="K113" i="2" s="1"/>
  <c r="R113" i="2" s="1"/>
  <c r="J114" i="2"/>
  <c r="O114" i="2"/>
  <c r="K114" i="2" s="1"/>
  <c r="R114" i="2" s="1"/>
  <c r="P114" i="2"/>
  <c r="Q114" i="2"/>
  <c r="M114" i="2" l="1"/>
  <c r="M110" i="2"/>
  <c r="M111" i="2"/>
  <c r="K106" i="2"/>
  <c r="R106" i="2" s="1"/>
  <c r="K103" i="2"/>
  <c r="R103" i="2" s="1"/>
  <c r="K99" i="2"/>
  <c r="R99" i="2" s="1"/>
  <c r="K95" i="2"/>
  <c r="R95" i="2" s="1"/>
  <c r="M102" i="2"/>
  <c r="M94" i="2"/>
  <c r="J18" i="2"/>
  <c r="O18" i="2"/>
  <c r="K18" i="2" s="1"/>
  <c r="R18" i="2" s="1"/>
  <c r="P18" i="2"/>
  <c r="Q18" i="2"/>
  <c r="J19" i="2"/>
  <c r="M19" i="2"/>
  <c r="O19" i="2"/>
  <c r="K19" i="2" s="1"/>
  <c r="R19" i="2" s="1"/>
  <c r="P19" i="2"/>
  <c r="Q19" i="2"/>
  <c r="J20" i="2"/>
  <c r="O20" i="2"/>
  <c r="M20" i="2" s="1"/>
  <c r="P20" i="2"/>
  <c r="Q20" i="2"/>
  <c r="K20" i="2" s="1"/>
  <c r="R20" i="2" s="1"/>
  <c r="J21" i="2"/>
  <c r="M21" i="2"/>
  <c r="O21" i="2"/>
  <c r="K21" i="2" s="1"/>
  <c r="R21" i="2" s="1"/>
  <c r="P21" i="2"/>
  <c r="Q21" i="2"/>
  <c r="J22" i="2"/>
  <c r="O22" i="2"/>
  <c r="K22" i="2" s="1"/>
  <c r="R22" i="2" s="1"/>
  <c r="P22" i="2"/>
  <c r="Q22" i="2"/>
  <c r="J23" i="2"/>
  <c r="M23" i="2"/>
  <c r="O23" i="2"/>
  <c r="K23" i="2" s="1"/>
  <c r="R23" i="2" s="1"/>
  <c r="P23" i="2"/>
  <c r="Q23" i="2"/>
  <c r="J24" i="2"/>
  <c r="O24" i="2"/>
  <c r="M24" i="2" s="1"/>
  <c r="P24" i="2"/>
  <c r="Q24" i="2"/>
  <c r="K24" i="2" s="1"/>
  <c r="R24" i="2" s="1"/>
  <c r="J25" i="2"/>
  <c r="M25" i="2"/>
  <c r="O25" i="2"/>
  <c r="K25" i="2" s="1"/>
  <c r="R25" i="2" s="1"/>
  <c r="P25" i="2"/>
  <c r="Q25" i="2"/>
  <c r="J29" i="2"/>
  <c r="K29" i="2"/>
  <c r="M29" i="2"/>
  <c r="O29" i="2"/>
  <c r="P29" i="2"/>
  <c r="Q29" i="2"/>
  <c r="R29" i="2"/>
  <c r="J30" i="2"/>
  <c r="O30" i="2"/>
  <c r="K30" i="2" s="1"/>
  <c r="R30" i="2" s="1"/>
  <c r="P30" i="2"/>
  <c r="Q30" i="2"/>
  <c r="J31" i="2"/>
  <c r="M31" i="2"/>
  <c r="O31" i="2"/>
  <c r="K31" i="2" s="1"/>
  <c r="R31" i="2" s="1"/>
  <c r="P31" i="2"/>
  <c r="Q31" i="2"/>
  <c r="J32" i="2"/>
  <c r="O32" i="2"/>
  <c r="M32" i="2" s="1"/>
  <c r="P32" i="2"/>
  <c r="Q32" i="2"/>
  <c r="K32" i="2" s="1"/>
  <c r="R32" i="2" s="1"/>
  <c r="J33" i="2"/>
  <c r="M33" i="2"/>
  <c r="O33" i="2"/>
  <c r="P33" i="2"/>
  <c r="Q33" i="2"/>
  <c r="K33" i="2" s="1"/>
  <c r="R33" i="2" s="1"/>
  <c r="J34" i="2"/>
  <c r="O34" i="2"/>
  <c r="K34" i="2" s="1"/>
  <c r="R34" i="2" s="1"/>
  <c r="P34" i="2"/>
  <c r="Q34" i="2"/>
  <c r="J35" i="2"/>
  <c r="M35" i="2"/>
  <c r="O35" i="2"/>
  <c r="K35" i="2" s="1"/>
  <c r="R35" i="2" s="1"/>
  <c r="P35" i="2"/>
  <c r="Q35" i="2"/>
  <c r="J36" i="2"/>
  <c r="O36" i="2"/>
  <c r="M36" i="2" s="1"/>
  <c r="P36" i="2"/>
  <c r="Q36" i="2"/>
  <c r="K36" i="2" s="1"/>
  <c r="R36" i="2" s="1"/>
  <c r="J37" i="2"/>
  <c r="M37" i="2"/>
  <c r="O37" i="2"/>
  <c r="P37" i="2"/>
  <c r="Q37" i="2"/>
  <c r="K37" i="2" s="1"/>
  <c r="R37" i="2" s="1"/>
  <c r="J38" i="2"/>
  <c r="O38" i="2"/>
  <c r="K38" i="2" s="1"/>
  <c r="R38" i="2" s="1"/>
  <c r="P38" i="2"/>
  <c r="Q38" i="2"/>
  <c r="J39" i="2"/>
  <c r="M39" i="2"/>
  <c r="O39" i="2"/>
  <c r="K39" i="2" s="1"/>
  <c r="R39" i="2" s="1"/>
  <c r="P39" i="2"/>
  <c r="Q39" i="2"/>
  <c r="J40" i="2"/>
  <c r="O40" i="2"/>
  <c r="M40" i="2" s="1"/>
  <c r="P40" i="2"/>
  <c r="Q40" i="2"/>
  <c r="K40" i="2" s="1"/>
  <c r="R40" i="2" s="1"/>
  <c r="J41" i="2"/>
  <c r="M41" i="2"/>
  <c r="O41" i="2"/>
  <c r="P41" i="2"/>
  <c r="Q41" i="2"/>
  <c r="J42" i="2"/>
  <c r="O42" i="2"/>
  <c r="K42" i="2" s="1"/>
  <c r="R42" i="2" s="1"/>
  <c r="P42" i="2"/>
  <c r="Q42" i="2"/>
  <c r="J43" i="2"/>
  <c r="M43" i="2"/>
  <c r="O43" i="2"/>
  <c r="K43" i="2" s="1"/>
  <c r="R43" i="2" s="1"/>
  <c r="P43" i="2"/>
  <c r="Q43" i="2"/>
  <c r="J44" i="2"/>
  <c r="O44" i="2"/>
  <c r="M44" i="2" s="1"/>
  <c r="P44" i="2"/>
  <c r="Q44" i="2"/>
  <c r="K44" i="2" s="1"/>
  <c r="R44" i="2" s="1"/>
  <c r="J45" i="2"/>
  <c r="M45" i="2"/>
  <c r="O45" i="2"/>
  <c r="P45" i="2"/>
  <c r="Q45" i="2"/>
  <c r="J46" i="2"/>
  <c r="O46" i="2"/>
  <c r="K46" i="2" s="1"/>
  <c r="R46" i="2" s="1"/>
  <c r="P46" i="2"/>
  <c r="Q46" i="2"/>
  <c r="J47" i="2"/>
  <c r="M47" i="2"/>
  <c r="O47" i="2"/>
  <c r="K47" i="2" s="1"/>
  <c r="R47" i="2" s="1"/>
  <c r="P47" i="2"/>
  <c r="Q47" i="2"/>
  <c r="J48" i="2"/>
  <c r="O48" i="2"/>
  <c r="M48" i="2" s="1"/>
  <c r="P48" i="2"/>
  <c r="Q48" i="2"/>
  <c r="K48" i="2" s="1"/>
  <c r="R48" i="2" s="1"/>
  <c r="J49" i="2"/>
  <c r="M49" i="2"/>
  <c r="O49" i="2"/>
  <c r="P49" i="2"/>
  <c r="Q49" i="2"/>
  <c r="K49" i="2" s="1"/>
  <c r="R49" i="2" s="1"/>
  <c r="J50" i="2"/>
  <c r="O50" i="2"/>
  <c r="P50" i="2"/>
  <c r="Q50" i="2"/>
  <c r="J51" i="2"/>
  <c r="M51" i="2"/>
  <c r="O51" i="2"/>
  <c r="P51" i="2"/>
  <c r="Q51" i="2"/>
  <c r="J52" i="2"/>
  <c r="O52" i="2"/>
  <c r="M52" i="2" s="1"/>
  <c r="P52" i="2"/>
  <c r="Q52" i="2"/>
  <c r="K52" i="2" s="1"/>
  <c r="R52" i="2" s="1"/>
  <c r="J53" i="2"/>
  <c r="M53" i="2"/>
  <c r="O53" i="2"/>
  <c r="P53" i="2"/>
  <c r="Q53" i="2"/>
  <c r="K53" i="2" s="1"/>
  <c r="R53" i="2"/>
  <c r="J54" i="2"/>
  <c r="O54" i="2"/>
  <c r="P54" i="2"/>
  <c r="Q54" i="2"/>
  <c r="J55" i="2"/>
  <c r="M55" i="2"/>
  <c r="O55" i="2"/>
  <c r="P55" i="2"/>
  <c r="Q55" i="2"/>
  <c r="J56" i="2"/>
  <c r="O56" i="2"/>
  <c r="M56" i="2" s="1"/>
  <c r="P56" i="2"/>
  <c r="Q56" i="2"/>
  <c r="K56" i="2" s="1"/>
  <c r="R56" i="2" s="1"/>
  <c r="J57" i="2"/>
  <c r="M57" i="2"/>
  <c r="O57" i="2"/>
  <c r="P57" i="2"/>
  <c r="Q57" i="2"/>
  <c r="K57" i="2" s="1"/>
  <c r="R57" i="2"/>
  <c r="J58" i="2"/>
  <c r="O58" i="2"/>
  <c r="P58" i="2"/>
  <c r="Q58" i="2"/>
  <c r="J59" i="2"/>
  <c r="M59" i="2"/>
  <c r="O59" i="2"/>
  <c r="P59" i="2"/>
  <c r="Q59" i="2"/>
  <c r="J60" i="2"/>
  <c r="O60" i="2"/>
  <c r="M60" i="2" s="1"/>
  <c r="P60" i="2"/>
  <c r="Q60" i="2"/>
  <c r="K60" i="2" s="1"/>
  <c r="R60" i="2" s="1"/>
  <c r="J61" i="2"/>
  <c r="M61" i="2"/>
  <c r="O61" i="2"/>
  <c r="P61" i="2"/>
  <c r="Q61" i="2"/>
  <c r="K61" i="2" s="1"/>
  <c r="R61" i="2"/>
  <c r="J62" i="2"/>
  <c r="O62" i="2"/>
  <c r="P62" i="2"/>
  <c r="Q62" i="2"/>
  <c r="J63" i="2"/>
  <c r="M63" i="2"/>
  <c r="O63" i="2"/>
  <c r="P63" i="2"/>
  <c r="Q63" i="2"/>
  <c r="J64" i="2"/>
  <c r="O64" i="2"/>
  <c r="M64" i="2" s="1"/>
  <c r="P64" i="2"/>
  <c r="Q64" i="2"/>
  <c r="K64" i="2" s="1"/>
  <c r="R64" i="2" s="1"/>
  <c r="J65" i="2"/>
  <c r="M65" i="2"/>
  <c r="O65" i="2"/>
  <c r="P65" i="2"/>
  <c r="Q65" i="2"/>
  <c r="K65" i="2" s="1"/>
  <c r="R65" i="2"/>
  <c r="J66" i="2"/>
  <c r="O66" i="2"/>
  <c r="P66" i="2"/>
  <c r="Q66" i="2"/>
  <c r="J67" i="2"/>
  <c r="M67" i="2"/>
  <c r="O67" i="2"/>
  <c r="P67" i="2"/>
  <c r="Q67" i="2"/>
  <c r="J68" i="2"/>
  <c r="O68" i="2"/>
  <c r="M68" i="2" s="1"/>
  <c r="P68" i="2"/>
  <c r="Q68" i="2"/>
  <c r="K68" i="2" s="1"/>
  <c r="R68" i="2" s="1"/>
  <c r="J69" i="2"/>
  <c r="M69" i="2"/>
  <c r="O69" i="2"/>
  <c r="P69" i="2"/>
  <c r="Q69" i="2"/>
  <c r="K69" i="2" s="1"/>
  <c r="R69" i="2"/>
  <c r="J70" i="2"/>
  <c r="O70" i="2"/>
  <c r="P70" i="2"/>
  <c r="Q70" i="2"/>
  <c r="J71" i="2"/>
  <c r="M71" i="2"/>
  <c r="O71" i="2"/>
  <c r="P71" i="2"/>
  <c r="Q71" i="2"/>
  <c r="J72" i="2"/>
  <c r="K72" i="2"/>
  <c r="R72" i="2" s="1"/>
  <c r="O72" i="2"/>
  <c r="M72" i="2" s="1"/>
  <c r="P72" i="2"/>
  <c r="Q72" i="2"/>
  <c r="J73" i="2"/>
  <c r="M73" i="2"/>
  <c r="O73" i="2"/>
  <c r="P73" i="2"/>
  <c r="Q73" i="2"/>
  <c r="K73" i="2" s="1"/>
  <c r="R73" i="2"/>
  <c r="J74" i="2"/>
  <c r="O74" i="2"/>
  <c r="P74" i="2"/>
  <c r="Q74" i="2"/>
  <c r="J75" i="2"/>
  <c r="O75" i="2"/>
  <c r="K75" i="2" s="1"/>
  <c r="R75" i="2" s="1"/>
  <c r="P75" i="2"/>
  <c r="Q75" i="2"/>
  <c r="J76" i="2"/>
  <c r="K76" i="2"/>
  <c r="R76" i="2" s="1"/>
  <c r="O76" i="2"/>
  <c r="M76" i="2" s="1"/>
  <c r="P76" i="2"/>
  <c r="Q76" i="2"/>
  <c r="J77" i="2"/>
  <c r="M77" i="2"/>
  <c r="O77" i="2"/>
  <c r="P77" i="2"/>
  <c r="Q77" i="2"/>
  <c r="K77" i="2" s="1"/>
  <c r="R77" i="2"/>
  <c r="J78" i="2"/>
  <c r="O78" i="2"/>
  <c r="P78" i="2"/>
  <c r="Q78" i="2"/>
  <c r="J79" i="2"/>
  <c r="O79" i="2"/>
  <c r="K79" i="2" s="1"/>
  <c r="P79" i="2"/>
  <c r="Q79" i="2"/>
  <c r="J80" i="2"/>
  <c r="O80" i="2"/>
  <c r="M80" i="2" s="1"/>
  <c r="P80" i="2"/>
  <c r="Q80" i="2"/>
  <c r="K80" i="2" s="1"/>
  <c r="R80" i="2" s="1"/>
  <c r="J81" i="2"/>
  <c r="O81" i="2"/>
  <c r="M81" i="2" s="1"/>
  <c r="P81" i="2"/>
  <c r="Q81" i="2"/>
  <c r="J82" i="2"/>
  <c r="O82" i="2"/>
  <c r="P82" i="2"/>
  <c r="Q82" i="2"/>
  <c r="J83" i="2"/>
  <c r="O83" i="2"/>
  <c r="K83" i="2" s="1"/>
  <c r="R83" i="2" s="1"/>
  <c r="P83" i="2"/>
  <c r="Q83" i="2"/>
  <c r="J84" i="2"/>
  <c r="O84" i="2"/>
  <c r="M84" i="2" s="1"/>
  <c r="P84" i="2"/>
  <c r="Q84" i="2"/>
  <c r="J85" i="2"/>
  <c r="O85" i="2"/>
  <c r="M85" i="2" s="1"/>
  <c r="P85" i="2"/>
  <c r="Q85" i="2"/>
  <c r="J86" i="2"/>
  <c r="O86" i="2"/>
  <c r="P86" i="2"/>
  <c r="Q86" i="2"/>
  <c r="J87" i="2"/>
  <c r="O87" i="2"/>
  <c r="K87" i="2" s="1"/>
  <c r="R87" i="2" s="1"/>
  <c r="P87" i="2"/>
  <c r="Q87" i="2"/>
  <c r="J88" i="2"/>
  <c r="O88" i="2"/>
  <c r="M88" i="2" s="1"/>
  <c r="P88" i="2"/>
  <c r="Q88" i="2"/>
  <c r="J89" i="2"/>
  <c r="M89" i="2"/>
  <c r="O89" i="2"/>
  <c r="P89" i="2"/>
  <c r="Q89" i="2"/>
  <c r="K89" i="2" s="1"/>
  <c r="R89" i="2"/>
  <c r="J90" i="2"/>
  <c r="O90" i="2"/>
  <c r="P90" i="2"/>
  <c r="Q90" i="2"/>
  <c r="J91" i="2"/>
  <c r="O91" i="2"/>
  <c r="K91" i="2" s="1"/>
  <c r="R91" i="2" s="1"/>
  <c r="P91" i="2"/>
  <c r="Q91" i="2"/>
  <c r="J92" i="2"/>
  <c r="K92" i="2"/>
  <c r="R92" i="2" s="1"/>
  <c r="O92" i="2"/>
  <c r="M92" i="2" s="1"/>
  <c r="P92" i="2"/>
  <c r="Q92" i="2"/>
  <c r="Q17" i="2"/>
  <c r="P17" i="2"/>
  <c r="O17" i="2"/>
  <c r="M17" i="2" s="1"/>
  <c r="J17" i="2"/>
  <c r="K26" i="1"/>
  <c r="O26" i="1"/>
  <c r="R26" i="1"/>
  <c r="Q26" i="1"/>
  <c r="P26" i="1"/>
  <c r="J26" i="1"/>
  <c r="O25" i="1"/>
  <c r="K25" i="1"/>
  <c r="K88" i="2" l="1"/>
  <c r="R88" i="2" s="1"/>
  <c r="K85" i="2"/>
  <c r="R85" i="2" s="1"/>
  <c r="K84" i="2"/>
  <c r="R84" i="2" s="1"/>
  <c r="K81" i="2"/>
  <c r="R81" i="2" s="1"/>
  <c r="K71" i="2"/>
  <c r="R71" i="2" s="1"/>
  <c r="K67" i="2"/>
  <c r="R67" i="2" s="1"/>
  <c r="K63" i="2"/>
  <c r="R63" i="2" s="1"/>
  <c r="K59" i="2"/>
  <c r="R59" i="2" s="1"/>
  <c r="K55" i="2"/>
  <c r="R55" i="2" s="1"/>
  <c r="K51" i="2"/>
  <c r="R51" i="2" s="1"/>
  <c r="K45" i="2"/>
  <c r="R45" i="2" s="1"/>
  <c r="K41" i="2"/>
  <c r="R41" i="2" s="1"/>
  <c r="K82" i="2"/>
  <c r="R82" i="2" s="1"/>
  <c r="M82" i="2"/>
  <c r="R79" i="2"/>
  <c r="K78" i="2"/>
  <c r="R78" i="2" s="1"/>
  <c r="M78" i="2"/>
  <c r="K86" i="2"/>
  <c r="R86" i="2" s="1"/>
  <c r="M86" i="2"/>
  <c r="K90" i="2"/>
  <c r="R90" i="2" s="1"/>
  <c r="M90" i="2"/>
  <c r="K74" i="2"/>
  <c r="R74" i="2" s="1"/>
  <c r="M74" i="2"/>
  <c r="K70" i="2"/>
  <c r="R70" i="2" s="1"/>
  <c r="M70" i="2"/>
  <c r="K66" i="2"/>
  <c r="R66" i="2" s="1"/>
  <c r="M66" i="2"/>
  <c r="K62" i="2"/>
  <c r="R62" i="2" s="1"/>
  <c r="M62" i="2"/>
  <c r="K58" i="2"/>
  <c r="R58" i="2" s="1"/>
  <c r="M58" i="2"/>
  <c r="K54" i="2"/>
  <c r="R54" i="2" s="1"/>
  <c r="M54" i="2"/>
  <c r="K50" i="2"/>
  <c r="R50" i="2" s="1"/>
  <c r="M50" i="2"/>
  <c r="M46" i="2"/>
  <c r="M42" i="2"/>
  <c r="M38" i="2"/>
  <c r="M34" i="2"/>
  <c r="M30" i="2"/>
  <c r="M22" i="2"/>
  <c r="M18" i="2"/>
  <c r="M91" i="2"/>
  <c r="M79" i="2"/>
  <c r="M75" i="2"/>
  <c r="M87" i="2"/>
  <c r="M83" i="2"/>
  <c r="K17" i="2"/>
  <c r="R17" i="2" s="1"/>
  <c r="L6" i="1"/>
  <c r="J6" i="1"/>
  <c r="P6" i="1" s="1"/>
  <c r="Q6" i="1" l="1"/>
  <c r="K21" i="1" l="1"/>
  <c r="R25" i="1"/>
  <c r="R21" i="1"/>
  <c r="Q25" i="1"/>
  <c r="P25" i="1"/>
  <c r="M25" i="1"/>
  <c r="J25" i="1"/>
  <c r="Q21" i="1"/>
  <c r="P21" i="1"/>
  <c r="O21" i="1"/>
  <c r="M21" i="1"/>
  <c r="J21" i="1"/>
  <c r="Q20" i="1" l="1"/>
  <c r="K20" i="1"/>
  <c r="R20" i="1"/>
  <c r="P20" i="1"/>
  <c r="O20" i="1"/>
  <c r="M20" i="1"/>
  <c r="J20" i="1"/>
  <c r="K19" i="1" l="1"/>
  <c r="O19" i="1"/>
  <c r="V19" i="1"/>
  <c r="R19" i="1"/>
  <c r="Q19" i="1"/>
  <c r="P19" i="1"/>
  <c r="M19" i="1"/>
  <c r="J19" i="1"/>
  <c r="K18" i="1"/>
  <c r="R18" i="1"/>
  <c r="R17" i="1"/>
  <c r="R16" i="1"/>
  <c r="R15" i="1"/>
  <c r="R14" i="1"/>
  <c r="V18" i="1"/>
  <c r="Q18" i="1"/>
  <c r="P18" i="1"/>
  <c r="O18" i="1"/>
  <c r="M18" i="1"/>
  <c r="J18" i="1"/>
  <c r="O17" i="1"/>
  <c r="V17" i="1"/>
  <c r="Q17" i="1"/>
  <c r="P17" i="1"/>
  <c r="M17" i="1"/>
  <c r="K17" i="1"/>
  <c r="J17" i="1"/>
  <c r="O16" i="1"/>
  <c r="M16" i="1" l="1"/>
  <c r="K16" i="1" l="1"/>
  <c r="K15" i="1"/>
  <c r="V15" i="1"/>
  <c r="Q15" i="1"/>
  <c r="P15" i="1"/>
  <c r="M15" i="1"/>
  <c r="J15" i="1"/>
  <c r="K14" i="1" l="1"/>
  <c r="J2" i="1"/>
  <c r="Q14" i="1" l="1"/>
  <c r="M14" i="1"/>
  <c r="J16" i="1" l="1"/>
  <c r="J14" i="1"/>
  <c r="Q16" i="1"/>
  <c r="V16" i="1" l="1"/>
  <c r="P16" i="1"/>
  <c r="P14" i="1" l="1"/>
  <c r="V14" i="1"/>
  <c r="Q13" i="1"/>
  <c r="P13" i="1"/>
  <c r="K12" i="1" l="1"/>
  <c r="V12" i="1" s="1"/>
  <c r="K13" i="1"/>
  <c r="V13" i="1" s="1"/>
  <c r="M13" i="1" l="1"/>
  <c r="J13" i="1"/>
  <c r="R13" i="1" s="1"/>
  <c r="M10" i="1"/>
  <c r="M11" i="1"/>
  <c r="T11" i="1"/>
  <c r="M12" i="1"/>
  <c r="K11" i="1" l="1"/>
  <c r="K10" i="1"/>
  <c r="V10" i="1" s="1"/>
  <c r="Q12" i="1"/>
  <c r="P12" i="1"/>
  <c r="J12" i="1"/>
  <c r="R12" i="1" s="1"/>
  <c r="Q11" i="1"/>
  <c r="P11" i="1"/>
  <c r="J11" i="1"/>
  <c r="Q10" i="1"/>
  <c r="P10" i="1"/>
  <c r="J10" i="1"/>
  <c r="L2" i="1"/>
  <c r="L4" i="1"/>
  <c r="J4" i="1"/>
  <c r="Q2" i="1"/>
  <c r="P2" i="1"/>
  <c r="R11" i="1" l="1"/>
  <c r="V11" i="1"/>
  <c r="R10" i="1"/>
</calcChain>
</file>

<file path=xl/sharedStrings.xml><?xml version="1.0" encoding="utf-8"?>
<sst xmlns="http://schemas.openxmlformats.org/spreadsheetml/2006/main" count="1095" uniqueCount="294">
  <si>
    <t xml:space="preserve">qPCR RQ-Hom: </t>
  </si>
  <si>
    <t xml:space="preserve">qPCR RQ-WT: </t>
  </si>
  <si>
    <t>Viia7 - LoA genotyping for .edm analysis files - see genotyping LoA SOP</t>
  </si>
  <si>
    <t>LoA:</t>
  </si>
  <si>
    <t>LacZ:</t>
  </si>
  <si>
    <t>Viia7 - LoA gender call</t>
  </si>
  <si>
    <t>X-Linked?</t>
  </si>
  <si>
    <t>Gender</t>
  </si>
  <si>
    <t>Mouse Name</t>
  </si>
  <si>
    <t>Original genotype</t>
  </si>
  <si>
    <t>Mouse</t>
  </si>
  <si>
    <t>Genotype</t>
  </si>
  <si>
    <t>Allele</t>
  </si>
  <si>
    <t>Locked</t>
  </si>
  <si>
    <t>Plate Barcode</t>
  </si>
  <si>
    <t>Assay Type</t>
  </si>
  <si>
    <t>Assay Name</t>
  </si>
  <si>
    <t>Assay Result</t>
  </si>
  <si>
    <t>Confirmed</t>
  </si>
  <si>
    <t>Comments</t>
  </si>
  <si>
    <t xml:space="preserve">:qPCR RQ-WT: </t>
  </si>
  <si>
    <t>LoA</t>
  </si>
  <si>
    <t>Ver8</t>
  </si>
  <si>
    <t>Ver9</t>
  </si>
  <si>
    <t>Gender column now gives gender only if assay name = ACSL4_WT</t>
  </si>
  <si>
    <t>Ver10</t>
  </si>
  <si>
    <t>Genotype formula checks for ACSL4_WT then gives gender, If not gives normal genotype unless M is specified in Gender cell, then it will give x linked adjusted formula</t>
  </si>
  <si>
    <t>Ver6, but output matches upload file columns. Check column also checks for matching mouse name</t>
  </si>
  <si>
    <t>Ver11</t>
  </si>
  <si>
    <t>Ver10 but with Ver7 X linked switch. Very large, must be in .xlsx format</t>
  </si>
  <si>
    <t>Ver12</t>
  </si>
  <si>
    <t>Internal X Link adjust</t>
  </si>
  <si>
    <t>Ver13</t>
  </si>
  <si>
    <t>Confirmed flag now checks if genotype is "!". Removed "F&gt;=0" since it was redundant.</t>
  </si>
  <si>
    <t>Ver14</t>
  </si>
  <si>
    <t>Changelog</t>
  </si>
  <si>
    <t>Description</t>
  </si>
  <si>
    <t>Version</t>
  </si>
  <si>
    <t>Internal X Link adjust + Gender</t>
  </si>
  <si>
    <t>Internal X Link adjust w/ Switch + Gender</t>
  </si>
  <si>
    <t>Ver15</t>
  </si>
  <si>
    <t>Ver16</t>
  </si>
  <si>
    <t>Unified qPCR, LoA + Gender w/ X-Link adjust switch</t>
  </si>
  <si>
    <t>Holy Grail. Unified formula for LoA + qPCR + Gender, with auto X-link adjust. Added more Gender assay names. Tested and working.</t>
  </si>
  <si>
    <t>Ver17</t>
  </si>
  <si>
    <t>Internalised assay type check. Working.</t>
  </si>
  <si>
    <t>""</t>
  </si>
  <si>
    <t>Cleaned up, shorter, formula; less duplicated statements, less nesting, same functionality. ACSL4 fails now appear as "U" rather than "!". Cells now return descriptions rather than 0.</t>
  </si>
  <si>
    <t>Het control?</t>
  </si>
  <si>
    <t>Ver18</t>
  </si>
  <si>
    <t>Working. Het Control adjust added. Use column V as flag.</t>
  </si>
  <si>
    <t>Unified qPCR, LoA + Gender w/ X-Link + Het ctrl adjust switch</t>
  </si>
  <si>
    <t>Ver19</t>
  </si>
  <si>
    <t>Ver20</t>
  </si>
  <si>
    <t>Added Conditional formatting</t>
  </si>
  <si>
    <t>Apparently we are using words now.</t>
  </si>
  <si>
    <t>Previous  Versions</t>
  </si>
  <si>
    <t>Working. First step towards "The One Formula". Auto Assay Type Call. Auto Concat string.</t>
  </si>
  <si>
    <t>Found better way of determining Assay Type</t>
  </si>
  <si>
    <t>Viia7 - Cassette genotyping</t>
  </si>
  <si>
    <t xml:space="preserve">* Biological Replicate Reference Sample Name = </t>
  </si>
  <si>
    <t>* Chemistry = TaqManÂ® Reagents</t>
  </si>
  <si>
    <t>* Created By = DEFAULT</t>
  </si>
  <si>
    <t xml:space="preserve">* Description = </t>
  </si>
  <si>
    <t>* Endogenous Control Target Name = Tfrc</t>
  </si>
  <si>
    <t>* Instrument Type = QuantStudio(TM) Real-Time PCR Systems</t>
  </si>
  <si>
    <t>* Last Modified Date = Wed Jan 03 14:34:50 GMT 2018</t>
  </si>
  <si>
    <t>* Number of Experiments = 1</t>
  </si>
  <si>
    <t>* Quantification Cycling Method = CÑ‚</t>
  </si>
  <si>
    <t>* RQ Confidence = 95.0</t>
  </si>
  <si>
    <t>* Study Name = SL00063123_LoA_Gender_jb40</t>
  </si>
  <si>
    <t>* Study Type = RQ</t>
  </si>
  <si>
    <t>* Technical Replicate Reference Sample Name = Wt1</t>
  </si>
  <si>
    <t>[Results]</t>
  </si>
  <si>
    <t xml:space="preserve">Well </t>
  </si>
  <si>
    <t xml:space="preserve">Omitted </t>
  </si>
  <si>
    <t>Sample</t>
  </si>
  <si>
    <t>Target</t>
  </si>
  <si>
    <t>Reporter</t>
  </si>
  <si>
    <t xml:space="preserve">RQ   </t>
  </si>
  <si>
    <t>CÑ‚</t>
  </si>
  <si>
    <t>Î”CÑ‚</t>
  </si>
  <si>
    <t>Î”Î”CÑ‚</t>
  </si>
  <si>
    <t>C1</t>
  </si>
  <si>
    <t>DAGU40.1a</t>
  </si>
  <si>
    <t>ACSL4_WT</t>
  </si>
  <si>
    <t>FAM</t>
  </si>
  <si>
    <t>C2</t>
  </si>
  <si>
    <t>DAGU40.1b</t>
  </si>
  <si>
    <t>C3</t>
  </si>
  <si>
    <t>DAGU40.1c</t>
  </si>
  <si>
    <t>C4</t>
  </si>
  <si>
    <t>DAGU40.1d</t>
  </si>
  <si>
    <t>C5</t>
  </si>
  <si>
    <t>DAGU40.1e</t>
  </si>
  <si>
    <t>C6</t>
  </si>
  <si>
    <t>DAGU40.1f</t>
  </si>
  <si>
    <t>C7</t>
  </si>
  <si>
    <t>DAGU40.1g</t>
  </si>
  <si>
    <t>C8</t>
  </si>
  <si>
    <t>DAGU40.1h</t>
  </si>
  <si>
    <t>C9</t>
  </si>
  <si>
    <t>DAGU40.1i</t>
  </si>
  <si>
    <t>C12</t>
  </si>
  <si>
    <t>NTC</t>
  </si>
  <si>
    <t>C10</t>
  </si>
  <si>
    <t>Wt1</t>
  </si>
  <si>
    <t>C11</t>
  </si>
  <si>
    <t>Wt2</t>
  </si>
  <si>
    <t>F1</t>
  </si>
  <si>
    <t>DAGP38.5a</t>
  </si>
  <si>
    <t>Srcap_CR_WT</t>
  </si>
  <si>
    <t>F2</t>
  </si>
  <si>
    <t>DAGP38.5b</t>
  </si>
  <si>
    <t>F3</t>
  </si>
  <si>
    <t>DAGP38.5c</t>
  </si>
  <si>
    <t>F4</t>
  </si>
  <si>
    <t>DAGP38.5d</t>
  </si>
  <si>
    <t>F5</t>
  </si>
  <si>
    <t>DAGP38.5e</t>
  </si>
  <si>
    <t>F6</t>
  </si>
  <si>
    <t>DAGP38.5f</t>
  </si>
  <si>
    <t>F7</t>
  </si>
  <si>
    <t>DAGP38.5g</t>
  </si>
  <si>
    <t>F8</t>
  </si>
  <si>
    <t>DAGP38.5h</t>
  </si>
  <si>
    <t>F9</t>
  </si>
  <si>
    <t>DAGP38.5i</t>
  </si>
  <si>
    <t>G1</t>
  </si>
  <si>
    <t>Nr0b1_CR_WT</t>
  </si>
  <si>
    <t>G2</t>
  </si>
  <si>
    <t>G3</t>
  </si>
  <si>
    <t>G4</t>
  </si>
  <si>
    <t>Undetermined</t>
  </si>
  <si>
    <t>G5</t>
  </si>
  <si>
    <t>G6</t>
  </si>
  <si>
    <t>G7</t>
  </si>
  <si>
    <t>G8</t>
  </si>
  <si>
    <t>G9</t>
  </si>
  <si>
    <t>A1</t>
  </si>
  <si>
    <t>DAHP12.2a</t>
  </si>
  <si>
    <t>Palm_CR_WT</t>
  </si>
  <si>
    <t>A2</t>
  </si>
  <si>
    <t>DAHP12.2b</t>
  </si>
  <si>
    <t>A3</t>
  </si>
  <si>
    <t>DAHP12.2c</t>
  </si>
  <si>
    <t>A4</t>
  </si>
  <si>
    <t>DAHP12.2d</t>
  </si>
  <si>
    <t>A5</t>
  </si>
  <si>
    <t>DAHP12.2e</t>
  </si>
  <si>
    <t>A6</t>
  </si>
  <si>
    <t>DAHP12.2f</t>
  </si>
  <si>
    <t>A7</t>
  </si>
  <si>
    <t>DAHP12.2g</t>
  </si>
  <si>
    <t>A8</t>
  </si>
  <si>
    <t>DAHP12.2h</t>
  </si>
  <si>
    <t>A9</t>
  </si>
  <si>
    <t>DAHP13.2a</t>
  </si>
  <si>
    <t>A10</t>
  </si>
  <si>
    <t>DAHP13.2b</t>
  </si>
  <si>
    <t>A11</t>
  </si>
  <si>
    <t>DAHP13.2c</t>
  </si>
  <si>
    <t>A12</t>
  </si>
  <si>
    <t>DAHP13.2d</t>
  </si>
  <si>
    <t>B1</t>
  </si>
  <si>
    <t>DAHP13.2e</t>
  </si>
  <si>
    <t>B2</t>
  </si>
  <si>
    <t>DAHP13.2f</t>
  </si>
  <si>
    <t>B3</t>
  </si>
  <si>
    <t>DAHP15.2a</t>
  </si>
  <si>
    <t>B4</t>
  </si>
  <si>
    <t>DAHP15.2b</t>
  </si>
  <si>
    <t>B5</t>
  </si>
  <si>
    <t>DAHP15.2c</t>
  </si>
  <si>
    <t>B6</t>
  </si>
  <si>
    <t>DAHP15.2d</t>
  </si>
  <si>
    <t>B7</t>
  </si>
  <si>
    <t>DAHP15.2e</t>
  </si>
  <si>
    <t>B8</t>
  </si>
  <si>
    <t>DAHP15.2f</t>
  </si>
  <si>
    <t>B9</t>
  </si>
  <si>
    <t>DAHP15.2g</t>
  </si>
  <si>
    <t>B10</t>
  </si>
  <si>
    <t>DAHP15.2h</t>
  </si>
  <si>
    <t>B11</t>
  </si>
  <si>
    <t>DAHP15.2i</t>
  </si>
  <si>
    <t>B12</t>
  </si>
  <si>
    <t>DAHP15.2j</t>
  </si>
  <si>
    <t>H1</t>
  </si>
  <si>
    <t>DAHV8.2a</t>
  </si>
  <si>
    <t>Sirpb1c_CR_WT</t>
  </si>
  <si>
    <t>H2</t>
  </si>
  <si>
    <t>DAHV8.2b</t>
  </si>
  <si>
    <t>H3</t>
  </si>
  <si>
    <t>DAHV8.2c</t>
  </si>
  <si>
    <t>H4</t>
  </si>
  <si>
    <t>DAHV8.2d</t>
  </si>
  <si>
    <t>H5</t>
  </si>
  <si>
    <t>DAHV8.2e</t>
  </si>
  <si>
    <t>H6</t>
  </si>
  <si>
    <t>DAHV8.2f</t>
  </si>
  <si>
    <t>H7</t>
  </si>
  <si>
    <t>DAHV8.2g</t>
  </si>
  <si>
    <t>H8</t>
  </si>
  <si>
    <t>DAHV8.2h</t>
  </si>
  <si>
    <t>D1</t>
  </si>
  <si>
    <t>DALK7.2a</t>
  </si>
  <si>
    <t>Fam111a_CR_WT</t>
  </si>
  <si>
    <t>D2</t>
  </si>
  <si>
    <t>DALK7.2b</t>
  </si>
  <si>
    <t>D3</t>
  </si>
  <si>
    <t>DALK7.2c</t>
  </si>
  <si>
    <t>D4</t>
  </si>
  <si>
    <t>DALK7.2d</t>
  </si>
  <si>
    <t>D5</t>
  </si>
  <si>
    <t>DALK7.2e</t>
  </si>
  <si>
    <t>D6</t>
  </si>
  <si>
    <t>DALK9.1a</t>
  </si>
  <si>
    <t>D7</t>
  </si>
  <si>
    <t>DALK9.1b</t>
  </si>
  <si>
    <t>D8</t>
  </si>
  <si>
    <t>DALK9.1c</t>
  </si>
  <si>
    <t>D9</t>
  </si>
  <si>
    <t>DALK9.1d</t>
  </si>
  <si>
    <t>D10</t>
  </si>
  <si>
    <t>DALK9.1e</t>
  </si>
  <si>
    <t>D11</t>
  </si>
  <si>
    <t>DALK9.1f</t>
  </si>
  <si>
    <t>D12</t>
  </si>
  <si>
    <t>DALK9.1g</t>
  </si>
  <si>
    <t>E1</t>
  </si>
  <si>
    <t>DALK9.1h</t>
  </si>
  <si>
    <t>Limitations</t>
  </si>
  <si>
    <t>Ver21</t>
  </si>
  <si>
    <t>Formula detects LoA/qPCR by "_WT" or "_CE" in assay name - any LoAs without this will call as cassette qPCR. E.g: Il10ra_exon1. In cases like these, manually change the assay type to LoA. (column O)</t>
  </si>
  <si>
    <t>Cux1Del18</t>
  </si>
  <si>
    <t>Klrc_1-3_A</t>
  </si>
  <si>
    <t>Klrc_1-3_B</t>
  </si>
  <si>
    <t>ROSA26_DRE_D03</t>
  </si>
  <si>
    <t>Ankrd11_GENOMIC</t>
  </si>
  <si>
    <t>M</t>
  </si>
  <si>
    <t>F</t>
  </si>
  <si>
    <t>y</t>
  </si>
  <si>
    <t>Il10ra_exon1</t>
  </si>
  <si>
    <t>blah_CE</t>
  </si>
  <si>
    <t>AGAA24.3a</t>
  </si>
  <si>
    <t>LacZ_Reg</t>
  </si>
  <si>
    <t>AGAA24.3b</t>
  </si>
  <si>
    <t>MBCD168.2a</t>
  </si>
  <si>
    <t>MBCD168.2b</t>
  </si>
  <si>
    <t>MDWN82.1a</t>
  </si>
  <si>
    <t>MDWN82.1b</t>
  </si>
  <si>
    <t>MDWN82.1c</t>
  </si>
  <si>
    <t>MDWN82.1d</t>
  </si>
  <si>
    <t>MDWN82.1e</t>
  </si>
  <si>
    <t>MDWN82.1f</t>
  </si>
  <si>
    <t>MDWN82.1g</t>
  </si>
  <si>
    <t>MDWN82.1h</t>
  </si>
  <si>
    <t>MDWN82.1i</t>
  </si>
  <si>
    <t>MDWN82.1j</t>
  </si>
  <si>
    <t>MGZX56.1a</t>
  </si>
  <si>
    <t>MGZX56.1b</t>
  </si>
  <si>
    <t>MGZX56.1c</t>
  </si>
  <si>
    <t>MGZX56.1d</t>
  </si>
  <si>
    <t>MGZX56.1e</t>
  </si>
  <si>
    <t>MGZX56.1f</t>
  </si>
  <si>
    <t>MGZX56.1g</t>
  </si>
  <si>
    <t>MGZX56.1h</t>
  </si>
  <si>
    <t>Re- externalised  assay type check: _CE assays + _exon1 will now be called by LoA formula</t>
  </si>
  <si>
    <t>Version in Python Script 07.06.18</t>
  </si>
  <si>
    <t xml:space="preserve">Gender Formula </t>
  </si>
  <si>
    <t>LoA Formula</t>
  </si>
  <si>
    <t>qPCR</t>
  </si>
  <si>
    <t>Start</t>
  </si>
  <si>
    <t>IF(AND(Q35&gt;0.34,Q35&lt;0.66),"M",IF(AND(Q35&gt;0.84,Q35&lt;1.16),"F","U"))</t>
  </si>
  <si>
    <t>IF(AND(V36="M",OR(X36="Yes",X36="Y")),IF(Q36&lt;0.05,"WT",IF(AND(Q36&gt;0.34,Q36&lt;0.66),"Hemi","Failed")),IF(Q36&lt;0.05,"WT",IF(AND(Q36&gt;0.34,Q36&lt;0.66),"Het",IF(AND(Q36&gt;0.84,Q36&lt;1.16),"Hom","Failed"))))</t>
  </si>
  <si>
    <t>IF(AND(V36="M",OR(X36="Yes",X36="Y")),IF(Q36&lt;0.05,"Hemi",IF(AND(Q36&gt;0.34,Q36&lt;0.66),"WT","Failed")),IF(Q36&lt;0.05,"Hom",IF(AND(Q36&gt;0.34,Q36&lt;0.66),"Het",IF(AND(Q36&gt;0.84,Q36&lt;1.16),"WT","Failed")))),IF(AND(V36="M",OR(X36="Yes",X36="Y")),IF(Q36&lt;0.05,"WT",IF(AND(Q36&gt;0.34,Q36&lt;0.66),"Hemi","Failed")),IF(Q36&lt;0.05,"WT",IF(AND(Q36&gt;0.34,Q36&lt;0.66),"Het",IF(AND(Q36&gt;0.84,Q36&lt;1.16),"Hom","Failed"))))</t>
  </si>
  <si>
    <t>IF(ISBLANK(F37),"Omitted",IF(O37="Gender",IF(AND(Q37&gt;0.34,Q37&lt;0.66),"M",IF(AND(Q37&gt;0.84,Q37&lt;1.16),"F","U")),IF(O37="LoA",IF(AND(V37="M",OR(X37="Yes",X37="Y")),IF(Q37&lt;0.05,"Hemi",IF(AND(Q37&gt;0.34,Q37&lt;0.66),"WT","Failed")),IF(Q37&lt;0.05,"Hom",IF(AND(Q37&gt;0.34,Q37&lt;0.66),"Het",IF(AND(Q37&gt;0.84,Q37&lt;1.16),"WT","Failed")))),IF(AND(V37="M",OR(X37="Yes",X37="Y")),IF(Q37&lt;0.05,"WT",IF(AND(Q37&gt;0.34,Q37&lt;0.66),"Hemi","Failed")),IF(Q37&lt;0.05,"WT",IF(AND(Q37&gt;0.34,Q37&lt;0.66),"Het",IF(AND(Q37&gt;0.84,Q37&lt;1.16),"Hom","Failed")))))))</t>
  </si>
  <si>
    <t>Version in Python Script 08.06.18</t>
  </si>
  <si>
    <t>IF(ISBLANK(F{0}),"Omitted",IF(O{0}="Gender",IF(AND(Q{0}&gt;=0.34,Q{0}&lt;=0.66),"M",IF(AND(Q{0}&gt;=0.84,Q{0}&lt;=1.16),"F","U")),IF(O{0}="LoA",IF(AND(V{0}="M",OR(X{0}="Yes",X{0}="Y")),IF(Q{0}&lt;=0.05,"Hemi",IF(AND(Q{0}&gt;=0.34,Q{0}&lt;=0.66),"WT","Failed")),IF(Q{0}&lt;=0.05,"Hom",IF(AND(Q{0}&gt;=0.34,Q{0}&lt;=0.66),"Het",IF(AND(Q{0}&gt;=0.84,Q{0}&lt;=1.16),"WT","Failed")))),IF(AND(V{0}="M",OR(X{0}="Yes",X{0}="Y")),IF(Q{0}&lt;=0.05,"WT",IF(AND(Q{0}&gt;=0.34,Q{0}&lt;=0.66),"Hemi","Failed")),IF(Q{0}&lt;=0.05,"WT",IF(AND(Q{0}&gt;=0.34,Q{0}&lt;=0.66),"Het",IF(AND(Q{0}&gt;=0.84,Q{0}&lt;=1.16),"Hom","Failed")))))))</t>
  </si>
  <si>
    <t>Simplified due to taking advantage of the script being able to call Gender LoA or qPCR. Less than or equal to. Version with sub strings can be found in Sheet3</t>
  </si>
  <si>
    <t>K2</t>
  </si>
  <si>
    <t>Genotype formula</t>
  </si>
  <si>
    <t>Q2</t>
  </si>
  <si>
    <t>Assay formula</t>
  </si>
  <si>
    <t>R2</t>
  </si>
  <si>
    <t>Confirmed formula</t>
  </si>
  <si>
    <t>Name</t>
  </si>
  <si>
    <t>Compare</t>
  </si>
  <si>
    <t>Het Control?</t>
  </si>
  <si>
    <t>Version in Python Script 12.07.18</t>
  </si>
  <si>
    <t>Added support for Transgenes. Requires "Transgene" in column X, set automatically by script.</t>
  </si>
  <si>
    <t>Experimental</t>
  </si>
  <si>
    <t>Using a Copy Number Cell to make formula more readable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</si>
</sst>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6" fillId="3" borderId="1" applyNumberFormat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2" borderId="0" xfId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6" fillId="3" borderId="1" xfId="2"/>
    <xf numFmtId="0" fontId="1" fillId="0" borderId="0" xfId="0" applyFont="1" applyBorder="1" applyAlignment="1">
      <alignment horizontal="center" vertical="top"/>
    </xf>
  </cellXfs>
  <cellStyles count="3">
    <cellStyle name="Bad" xfId="1" builtinId="27"/>
    <cellStyle name="Input" xfId="2" builtinId="20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 patternType="lightUp">
          <fgColor theme="8" tint="0.39994506668294322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 patternType="lightUp">
          <fgColor theme="8" tint="0.39994506668294322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 patternType="lightUp">
          <fgColor theme="8" tint="0.39994506668294322"/>
          <bgColor theme="8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180975</xdr:rowOff>
    </xdr:from>
    <xdr:to>
      <xdr:col>18</xdr:col>
      <xdr:colOff>600075</xdr:colOff>
      <xdr:row>11</xdr:row>
      <xdr:rowOff>180975</xdr:rowOff>
    </xdr:to>
    <xdr:sp macro="" textlink="">
      <xdr:nvSpPr>
        <xdr:cNvPr id="2" name="TextBox 1"/>
        <xdr:cNvSpPr txBox="1"/>
      </xdr:nvSpPr>
      <xdr:spPr>
        <a:xfrm>
          <a:off x="3371850" y="942975"/>
          <a:ext cx="359092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# This file is used to load the excel formulas into the script. </a:t>
          </a:r>
        </a:p>
        <a:p>
          <a:r>
            <a:rPr lang="en-GB" sz="1100"/>
            <a:t>The formulas must be in the correct Cell. </a:t>
          </a:r>
        </a:p>
        <a:p>
          <a:r>
            <a:rPr lang="en-GB" sz="1100"/>
            <a:t>Hopefully this allows easier</a:t>
          </a:r>
          <a:r>
            <a:rPr lang="en-GB" sz="1100" baseline="0"/>
            <a:t> editing.</a:t>
          </a:r>
        </a:p>
        <a:p>
          <a:endParaRPr lang="en-GB" sz="1100" baseline="0"/>
        </a:p>
        <a:p>
          <a:r>
            <a:rPr lang="en-GB" sz="1100" baseline="0"/>
            <a:t>The script fills in Mouse, Plate Barcode, Assay Type, Assay Name, as well as the Transgene flag into their respective columns.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W8"/>
  <sheetViews>
    <sheetView tabSelected="1" topLeftCell="J1" workbookViewId="0">
      <selection activeCell="J2" sqref="J2"/>
    </sheetView>
  </sheetViews>
  <sheetFormatPr defaultRowHeight="15" x14ac:dyDescent="0.25"/>
  <cols>
    <col min="1" max="9" width="0" hidden="1" customWidth="1"/>
    <col min="11" max="11" width="9.85546875" bestFit="1" customWidth="1"/>
    <col min="14" max="14" width="13.28515625" bestFit="1" customWidth="1"/>
    <col min="15" max="15" width="10.7109375" bestFit="1" customWidth="1"/>
    <col min="16" max="16" width="11.7109375" bestFit="1" customWidth="1"/>
    <col min="17" max="17" width="12" bestFit="1" customWidth="1"/>
    <col min="18" max="18" width="10.42578125" bestFit="1" customWidth="1"/>
    <col min="19" max="19" width="10.5703125" bestFit="1" customWidth="1"/>
    <col min="22" max="22" width="12.140625" bestFit="1" customWidth="1"/>
  </cols>
  <sheetData>
    <row r="1" spans="10:23" x14ac:dyDescent="0.25"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12" t="s">
        <v>287</v>
      </c>
      <c r="T1" s="12" t="s">
        <v>288</v>
      </c>
      <c r="U1" s="12" t="s">
        <v>7</v>
      </c>
      <c r="V1" s="12" t="s">
        <v>289</v>
      </c>
      <c r="W1" s="12" t="s">
        <v>6</v>
      </c>
    </row>
    <row r="2" spans="10:23" x14ac:dyDescent="0.25">
      <c r="K2" s="11" t="str">
        <f>IF(ISBLANK(F2),"Omitted",IF(O2="Gender",IF(AND(Q2&gt;=0.34,Q2&lt;=0.66),"M",IF(AND(Q2&gt;=0.84,Q2&lt;=1.16),"F","U")),IF(O2="LoA",IF(AND(V2="M",OR(X2="Yes",X2="Y")),IF(Q2&lt;=0.05,"Hemi",IF(AND(Q2&gt;=0.34,Q2&lt;=0.66),"WT","Failed")),IF(Q2&lt;=0.05,"Hom",IF(AND(Q2&gt;=0.34,Q2&lt;=0.66),"Het",IF(AND(Q2&gt;=0.84,Q2&lt;=1.16),"WT","Failed")))),IF(AND(V2="M",OR(X2="Yes",X2="Y")),IF(Q2&lt;=0.05,"WT",IF(AND(Q2&gt;=0.34,Q2&lt;=0.66),"Hemi","Failed")),IF(Q2&lt;=0.05,"WT",IF(AND(Q2&gt;=0.34,Q2&lt;=0.66),IF(X2 = "Transgene","Hemi","Het"),IF(AND(Q2&gt;=0.84,Q2&lt;=1.16),"Hom","Failed")))))))</f>
        <v>Omitted</v>
      </c>
      <c r="Q2" s="11">
        <f>IF(OR(W2="Yes",W2="Y"),ROUND(F2/2,3),ROUND(F2,3))</f>
        <v>0</v>
      </c>
      <c r="R2" s="11" t="str">
        <f>IF(K2="Failed","Failed",IF(AND(K2=U2,J2=T2),"Yes",""))</f>
        <v/>
      </c>
    </row>
    <row r="4" spans="10:23" x14ac:dyDescent="0.25">
      <c r="J4" s="6"/>
      <c r="K4" s="6"/>
      <c r="L4" s="6"/>
      <c r="M4" s="6"/>
      <c r="N4" s="6"/>
      <c r="O4" s="6"/>
      <c r="P4" s="6"/>
      <c r="Q4" s="6"/>
    </row>
    <row r="6" spans="10:23" x14ac:dyDescent="0.25">
      <c r="J6" t="s">
        <v>281</v>
      </c>
      <c r="K6" t="s">
        <v>282</v>
      </c>
    </row>
    <row r="7" spans="10:23" x14ac:dyDescent="0.25">
      <c r="J7" t="s">
        <v>283</v>
      </c>
      <c r="K7" t="s">
        <v>284</v>
      </c>
    </row>
    <row r="8" spans="10:23" x14ac:dyDescent="0.25">
      <c r="J8" t="s">
        <v>285</v>
      </c>
      <c r="K8" t="s">
        <v>286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J16" zoomScale="85" zoomScaleNormal="85" workbookViewId="0">
      <selection activeCell="O36" sqref="O36"/>
    </sheetView>
  </sheetViews>
  <sheetFormatPr defaultRowHeight="15" x14ac:dyDescent="0.25"/>
  <cols>
    <col min="1" max="1" width="0.7109375" hidden="1" customWidth="1"/>
    <col min="2" max="9" width="9.140625" hidden="1" customWidth="1"/>
    <col min="10" max="10" width="9.140625" customWidth="1"/>
    <col min="11" max="11" width="14.7109375" customWidth="1"/>
    <col min="12" max="12" width="17" customWidth="1"/>
    <col min="13" max="13" width="15" bestFit="1" customWidth="1"/>
    <col min="14" max="14" width="12.7109375" bestFit="1" customWidth="1"/>
    <col min="15" max="15" width="17" bestFit="1" customWidth="1"/>
    <col min="16" max="16" width="12.28515625" bestFit="1" customWidth="1"/>
    <col min="17" max="17" width="12" bestFit="1" customWidth="1"/>
    <col min="18" max="18" width="11.85546875" bestFit="1" customWidth="1"/>
    <col min="19" max="19" width="9.7109375" bestFit="1" customWidth="1"/>
    <col min="22" max="22" width="9.5703125" customWidth="1"/>
    <col min="25" max="25" width="38.42578125" customWidth="1"/>
    <col min="26" max="26" width="154.85546875" customWidth="1"/>
  </cols>
  <sheetData>
    <row r="1" spans="1:26" ht="21" x14ac:dyDescent="0.35">
      <c r="J1" s="1" t="s">
        <v>2</v>
      </c>
    </row>
    <row r="2" spans="1:26" x14ac:dyDescent="0.25">
      <c r="J2" t="str">
        <f>IF(ISBLANK(G2),"!",IF(AND(F2&gt;=0,F2&lt;0.05),"-/-",IF(AND(F2&gt;0.34,F2&lt;0.66),"+/-",IF(AND(F2&gt;0.84,F2&lt;1.16),"+/+","!"))))</f>
        <v>!</v>
      </c>
      <c r="K2" t="s">
        <v>1</v>
      </c>
      <c r="L2" t="str">
        <f>CONCATENATE(R2,K2, F2)</f>
        <v xml:space="preserve">LoA:qPCR RQ-WT: </v>
      </c>
      <c r="N2" s="2" t="s">
        <v>8</v>
      </c>
      <c r="O2" s="2" t="s">
        <v>9</v>
      </c>
      <c r="P2" t="str">
        <f>IF(J2=O2,"correct","CHECK")</f>
        <v>CHECK</v>
      </c>
      <c r="Q2" t="str">
        <f>IF(J2=O2,O2,"!")</f>
        <v>!</v>
      </c>
      <c r="R2" t="s">
        <v>3</v>
      </c>
    </row>
    <row r="3" spans="1:26" ht="21" x14ac:dyDescent="0.35">
      <c r="J3" s="1" t="s">
        <v>5</v>
      </c>
    </row>
    <row r="4" spans="1:26" x14ac:dyDescent="0.25">
      <c r="J4" t="str">
        <f>IF(ISBLANK(G4),"!",IF(AND(F4&gt;=0,F4&lt;0.16),"!",IF(AND(F4&gt;0.34,F4&lt;0.66),"M",IF(AND(F4&gt;0.84,F4&lt;1.16),"F","!"))))</f>
        <v>!</v>
      </c>
      <c r="K4" t="s">
        <v>1</v>
      </c>
      <c r="L4" t="str">
        <f>CONCATENATE(R4,K4, F4," ",S4)</f>
        <v xml:space="preserve">qPCR RQ-WT:  </v>
      </c>
    </row>
    <row r="5" spans="1:26" ht="21" x14ac:dyDescent="0.35">
      <c r="J5" s="1" t="s">
        <v>59</v>
      </c>
    </row>
    <row r="6" spans="1:26" x14ac:dyDescent="0.25">
      <c r="J6" t="str">
        <f>IF(ISBLANK(F6),"!",IF(AND(F6&gt;=0,F6&lt;0.05),"WT",IF(AND(F6&gt;0.34,F6&lt;0.66),"Het",IF(AND(F6&gt;0.84,F6&lt;1.16),"Hom","Failed"))))</f>
        <v>!</v>
      </c>
      <c r="K6" t="s">
        <v>0</v>
      </c>
      <c r="L6" t="str">
        <f t="shared" ref="L6" si="0">CONCATENATE(R6,K6, F6," ",S6)</f>
        <v xml:space="preserve">LacZ:qPCR RQ-Hom:  </v>
      </c>
      <c r="N6" s="2" t="s">
        <v>8</v>
      </c>
      <c r="O6" s="2" t="s">
        <v>9</v>
      </c>
      <c r="P6" t="str">
        <f t="shared" ref="P6" si="1">IF(J6=O6,"correct","CHECK")</f>
        <v>CHECK</v>
      </c>
      <c r="Q6" t="str">
        <f t="shared" ref="Q6" si="2">IF(J6=O6,O6,"!")</f>
        <v>!</v>
      </c>
      <c r="R6" t="s">
        <v>4</v>
      </c>
    </row>
    <row r="8" spans="1:26" x14ac:dyDescent="0.25">
      <c r="J8" s="3" t="s">
        <v>56</v>
      </c>
    </row>
    <row r="9" spans="1:26" ht="15.75" x14ac:dyDescent="0.25">
      <c r="J9" s="3" t="s">
        <v>10</v>
      </c>
      <c r="K9" s="3" t="s">
        <v>11</v>
      </c>
      <c r="L9" s="3" t="s">
        <v>12</v>
      </c>
      <c r="M9" s="3" t="s">
        <v>13</v>
      </c>
      <c r="N9" s="3" t="s">
        <v>14</v>
      </c>
      <c r="O9" s="3" t="s">
        <v>15</v>
      </c>
      <c r="P9" s="3" t="s">
        <v>16</v>
      </c>
      <c r="Q9" s="3" t="s">
        <v>17</v>
      </c>
      <c r="R9" s="3" t="s">
        <v>18</v>
      </c>
      <c r="S9" s="3" t="s">
        <v>19</v>
      </c>
      <c r="X9" t="s">
        <v>37</v>
      </c>
      <c r="Y9" s="9" t="s">
        <v>36</v>
      </c>
      <c r="Z9" s="8" t="s">
        <v>35</v>
      </c>
    </row>
    <row r="10" spans="1:26" x14ac:dyDescent="0.25">
      <c r="J10">
        <f>C10</f>
        <v>0</v>
      </c>
      <c r="K10" t="str">
        <f>IF(ISBLANK(G10),"!",IF(AND(F10&gt;=0,F10&lt;0.16,NOT(U10="M")),"-/-",IF(AND(F10&gt;0.34,F10&lt;0.66,NOT(U10="M")),"+/-",IF(AND(F10&gt;0.84,F10&lt;1.16,NOT(U10="M")),"+/+",IF(AND(F10&gt;=0,F10&lt;0.16),"Y/-",IF(AND(F10&gt;0.34,F10&lt;0.66),"+/+","!"))))))</f>
        <v>!</v>
      </c>
      <c r="L10" t="s">
        <v>20</v>
      </c>
      <c r="M10" t="str">
        <f>CONCATENATE(O10,L10, F10)</f>
        <v xml:space="preserve">LoA:qPCR RQ-WT: </v>
      </c>
      <c r="N10" s="2"/>
      <c r="O10" t="s">
        <v>21</v>
      </c>
      <c r="P10">
        <f>D10</f>
        <v>0</v>
      </c>
      <c r="Q10">
        <f>F10</f>
        <v>0</v>
      </c>
      <c r="R10" t="str">
        <f>IF(AND(K10=T10,J10=S10),"Yes","CHECK")</f>
        <v>CHECK</v>
      </c>
      <c r="S10" s="2" t="s">
        <v>8</v>
      </c>
      <c r="T10" s="2" t="s">
        <v>9</v>
      </c>
      <c r="U10" s="2" t="s">
        <v>7</v>
      </c>
      <c r="V10" t="str">
        <f>IF(K10=T10,T10,"!")</f>
        <v>!</v>
      </c>
      <c r="X10" t="s">
        <v>22</v>
      </c>
      <c r="Y10" t="s">
        <v>31</v>
      </c>
      <c r="Z10" t="s">
        <v>27</v>
      </c>
    </row>
    <row r="11" spans="1:26" x14ac:dyDescent="0.25">
      <c r="J11">
        <f>C11</f>
        <v>0</v>
      </c>
      <c r="K11" t="str">
        <f>IF(ISBLANK(G11),"!",IF(AND(F11&gt;=0,F11&lt;0.16,NOT(U11="M")),"-/-",IF(AND(F11&gt;0.34,F11&lt;0.66,NOT(U11="M")),"+/-",IF(AND(F11&gt;0.84,F11&lt;1.16,NOT(U11="M")),"+/+",IF(AND(F11&gt;=0,F11&lt;0.16),"Y/-",IF(AND(F11&gt;0.34,F11&lt;0.66),"+/+","!"))))))</f>
        <v>!</v>
      </c>
      <c r="L11" t="s">
        <v>20</v>
      </c>
      <c r="M11" t="str">
        <f>CONCATENATE(O11,L11, F11)</f>
        <v xml:space="preserve">LoA:qPCR RQ-WT: </v>
      </c>
      <c r="N11" s="2"/>
      <c r="O11" t="s">
        <v>21</v>
      </c>
      <c r="P11">
        <f>D11</f>
        <v>0</v>
      </c>
      <c r="Q11">
        <f>F11</f>
        <v>0</v>
      </c>
      <c r="R11" t="str">
        <f>IF(AND(K11=U11,J11=S11),"Yes","CHECK")</f>
        <v>CHECK</v>
      </c>
      <c r="S11" s="2" t="s">
        <v>8</v>
      </c>
      <c r="T11" s="2" t="str">
        <f>IF(D11="ACSL4_WT",IF(ISBLANK(G11),"!",IF(AND(F11&gt;=0,F11&lt;0.16),"!",IF(AND(F11&gt;0.34,F11&lt;0.66),"M",IF(AND(F11&gt;0.84,F11&lt;1.16),"F","!")))),"Gender")</f>
        <v>Gender</v>
      </c>
      <c r="U11" s="2" t="s">
        <v>9</v>
      </c>
      <c r="V11" t="str">
        <f>IF(K11=U11,U11,"!")</f>
        <v>!</v>
      </c>
      <c r="X11" t="s">
        <v>23</v>
      </c>
      <c r="Y11" t="s">
        <v>31</v>
      </c>
      <c r="Z11" t="s">
        <v>24</v>
      </c>
    </row>
    <row r="12" spans="1:26" x14ac:dyDescent="0.25">
      <c r="J12">
        <f>C12</f>
        <v>0</v>
      </c>
      <c r="K12" t="str">
        <f>IF(D12="ACSL4_WT",IF(ISBLANK(G12),"!",IF(AND(F12&gt;=0,F12&lt;0.16),"!",IF(AND(F12&gt;0.34,F12&lt;0.66),"M",IF(AND(F12&gt;0.84,F12&lt;1.16),"F","!")))),IF(ISBLANK(G12),"!",IF(AND(F12&gt;=0,F12&lt;0.16,NOT(U12="M")),"-/-",IF(AND(F12&gt;0.34,F12&lt;0.66,NOT(U12="M")),"+/-",IF(AND(F12&gt;0.84,F12&lt;1.16,NOT(U12="M")),"+/+",IF(AND(F12&gt;=0,F12&lt;0.16),"Y/-",IF(AND(F12&gt;0.34,F12&lt;0.66),"+/+","!")))))))</f>
        <v>!</v>
      </c>
      <c r="L12" t="s">
        <v>20</v>
      </c>
      <c r="M12" t="str">
        <f>CONCATENATE(O12,L12, F12)</f>
        <v xml:space="preserve">LoA:qPCR RQ-WT: </v>
      </c>
      <c r="N12" s="2"/>
      <c r="O12" t="s">
        <v>21</v>
      </c>
      <c r="P12">
        <f>D12</f>
        <v>0</v>
      </c>
      <c r="Q12">
        <f>F12</f>
        <v>0</v>
      </c>
      <c r="R12" t="str">
        <f>IF(AND(K12=T12,J12=S12),"Yes","CHECK")</f>
        <v>CHECK</v>
      </c>
      <c r="S12" s="2" t="s">
        <v>8</v>
      </c>
      <c r="T12" s="2" t="s">
        <v>9</v>
      </c>
      <c r="U12" s="2" t="s">
        <v>7</v>
      </c>
      <c r="V12" t="str">
        <f>IF(K12=T12,T12,"!")</f>
        <v>!</v>
      </c>
      <c r="X12" t="s">
        <v>25</v>
      </c>
      <c r="Y12" t="s">
        <v>38</v>
      </c>
      <c r="Z12" t="s">
        <v>26</v>
      </c>
    </row>
    <row r="13" spans="1:26" x14ac:dyDescent="0.25">
      <c r="J13">
        <f>C13</f>
        <v>0</v>
      </c>
      <c r="K13" t="str">
        <f>IF(D13="ACSL4_WT",IF(ISBLANK(G13),"!",IF(AND(F13&gt;=0,F13&lt;0.16),"!",IF(AND(F13&gt;0.34,F13&lt;0.66),"M",IF(AND(F13&gt;0.84,F13&lt;1.16),"F","!")))),IF(ISBLANK(G13),"!",IF(AND(F13&gt;=0,F13&lt;0.16,NOT(AND(U13="M",OR(W13="Yes",W13="Y")))),"-/-",IF(AND(F13&gt;0.34,F13&lt;0.66,NOT(AND(U13="M",OR(W13="Yes",W13="Y")))),"+/-",IF(AND(F13&gt;0.84,F13&lt;1.16,NOT(AND(U13="M",OR(W13="Yes",W13="Y")))),"+/+",IF(AND(F13&gt;=0,F13&lt;0.16),"Y/-",IF(AND(F13&gt;0.34,F13&lt;0.66),"+/+","!")))))))</f>
        <v>!</v>
      </c>
      <c r="L13" t="s">
        <v>20</v>
      </c>
      <c r="M13" t="str">
        <f>CONCATENATE(O13,L13, F13)</f>
        <v xml:space="preserve">LoA:qPCR RQ-WT: </v>
      </c>
      <c r="N13" s="2"/>
      <c r="O13" t="s">
        <v>21</v>
      </c>
      <c r="P13" t="str">
        <f>IF(ISBLANK(D13),"",D13)</f>
        <v/>
      </c>
      <c r="Q13" t="str">
        <f>IF(ISBLANK(F13),"",F13)</f>
        <v/>
      </c>
      <c r="R13" t="str">
        <f>IF(AND(K13=T13,J13=S13),"Yes","CHECK")</f>
        <v>CHECK</v>
      </c>
      <c r="S13" s="2" t="s">
        <v>8</v>
      </c>
      <c r="T13" s="2" t="s">
        <v>9</v>
      </c>
      <c r="U13" s="2" t="s">
        <v>7</v>
      </c>
      <c r="V13" t="str">
        <f>IF(K13=T13,T13,"!")</f>
        <v>!</v>
      </c>
      <c r="W13" s="2" t="s">
        <v>6</v>
      </c>
      <c r="X13" t="s">
        <v>28</v>
      </c>
      <c r="Y13" t="s">
        <v>39</v>
      </c>
      <c r="Z13" t="s">
        <v>29</v>
      </c>
    </row>
    <row r="14" spans="1:26" x14ac:dyDescent="0.25">
      <c r="A14" s="4"/>
      <c r="J14" t="str">
        <f t="shared" ref="J14:J19" si="3">IF(ISBLANK(C14),"Mouse",C14)</f>
        <v>Mouse</v>
      </c>
      <c r="K14" t="str">
        <f>IF(ISBLANK(G14),"!",IF(D14="ACSL4_WT",IF(AND(F14&gt;0.34,F14&lt;0.66),"M",IF(AND(F14&gt;0.84,F14&lt;1.16),"F","U")),IF(AND(U14="M",OR(W14="Yes",W14="Y")),IF(AND(F14&gt;=0,F14&lt;0.05),"Y/-",IF(AND(F14&gt;0.34,F14&lt;0.66),"+/+","!")),IF(AND(F14&gt;=0,F14&lt;0.05),"-/-",IF(AND(F14&gt;0.34,F14&lt;0.66),"+/-",IF(AND(F14&gt;0.84,F14&lt;1.16),"+/+","!"))))))</f>
        <v>!</v>
      </c>
      <c r="M14" t="str">
        <f>CONCATENATE(O14,":qPCR RQ-WT:", F14)</f>
        <v>LoA:qPCR RQ-WT:</v>
      </c>
      <c r="N14" s="2"/>
      <c r="O14" t="s">
        <v>21</v>
      </c>
      <c r="P14" t="str">
        <f t="shared" ref="P14:P19" si="4">IF(ISBLANK(D14),"Assay Name",D14)</f>
        <v>Assay Name</v>
      </c>
      <c r="Q14" t="str">
        <f t="shared" ref="Q14:Q19" si="5">IF(ISBLANK(G14),"Result",F14)</f>
        <v>Result</v>
      </c>
      <c r="R14" t="str">
        <f>IF(ISBLANK(C14),"Match",IF(AND(K14=T14,J14=S14),"Yes","CHECK"))</f>
        <v>Match</v>
      </c>
      <c r="S14" s="2" t="s">
        <v>8</v>
      </c>
      <c r="T14" s="2" t="s">
        <v>9</v>
      </c>
      <c r="U14" s="2" t="s">
        <v>7</v>
      </c>
      <c r="V14" t="str">
        <f t="shared" ref="V14:V19" si="6">IF(ISBLANK(C14),"",IF(K14=T14,T14,"!"))</f>
        <v/>
      </c>
      <c r="W14" s="2" t="s">
        <v>6</v>
      </c>
      <c r="X14" t="s">
        <v>30</v>
      </c>
      <c r="Y14" t="s">
        <v>39</v>
      </c>
      <c r="Z14" t="s">
        <v>47</v>
      </c>
    </row>
    <row r="15" spans="1:26" x14ac:dyDescent="0.25">
      <c r="A15" s="4"/>
      <c r="J15" t="str">
        <f t="shared" si="3"/>
        <v>Mouse</v>
      </c>
      <c r="K15" t="str">
        <f>IF(ISBLANK(G15),"!",IF(D15="ACSL4_WT",IF(AND(F15&gt;0.34,F15&lt;0.66),"M",IF(AND(F15&gt;0.84,F15&lt;1.16),"F","U")),IF(AND(U15="M",OR(W15="Yes",W15="Y")),IF(F15&lt;0.05,"Y/-",IF(AND(F15&gt;0.34,F15&lt;0.66),"+/+","!")),IF(F15&lt;0.05,"-/-",IF(AND(F15&gt;0.34,F15&lt;0.66),"+/-",IF(AND(F15&gt;0.84,F15&lt;1.16),"+/+","!"))))))</f>
        <v>!</v>
      </c>
      <c r="M15" t="str">
        <f>CONCATENATE(O15,":qPCR RQ-WT:", F15)</f>
        <v>LoA:qPCR RQ-WT:</v>
      </c>
      <c r="N15" s="2"/>
      <c r="O15" t="s">
        <v>21</v>
      </c>
      <c r="P15" t="str">
        <f t="shared" si="4"/>
        <v>Assay Name</v>
      </c>
      <c r="Q15" t="str">
        <f t="shared" si="5"/>
        <v>Result</v>
      </c>
      <c r="R15" t="str">
        <f t="shared" ref="R15:R20" si="7">IF(ISBLANK(C15),"Match",IF(K15="!","!",IF(AND(K15=T15,J15=S15),"Yes","CHECK")))</f>
        <v>Match</v>
      </c>
      <c r="S15" s="2" t="s">
        <v>8</v>
      </c>
      <c r="T15" s="2" t="s">
        <v>9</v>
      </c>
      <c r="U15" s="2" t="s">
        <v>7</v>
      </c>
      <c r="V15" t="str">
        <f t="shared" si="6"/>
        <v/>
      </c>
      <c r="W15" s="2" t="s">
        <v>6</v>
      </c>
      <c r="X15" t="s">
        <v>32</v>
      </c>
      <c r="Y15" t="s">
        <v>39</v>
      </c>
      <c r="Z15" t="s">
        <v>33</v>
      </c>
    </row>
    <row r="16" spans="1:26" x14ac:dyDescent="0.25">
      <c r="J16" t="str">
        <f t="shared" si="3"/>
        <v>Mouse</v>
      </c>
      <c r="K16" t="str">
        <f>IF(ISBLANK(G16),IF(ISBLANK(C16),"Genotype","!"),IF(D16="ACSL4_WT",IF(AND(F16&gt;0.34,F16&lt;0.66),"M",IF(AND(F16&gt;0.84,F16&lt;1.16),"F","U")),IF(AND(U16="M",OR(W16="Yes",W16="Y")),IF(F16&lt;0.05,"Y/-",IF(AND(F16&gt;0.34,F16&lt;0.66),"+/+","!")),IF(F16&lt;0.05,"-/-",IF(AND(F16&gt;0.34,F16&lt;0.66),"+/-",IF(AND(F16&gt;0.84,F16&lt;1.16),"+/+","!"))))))</f>
        <v>Genotype</v>
      </c>
      <c r="M16" t="str">
        <f t="shared" ref="M16:M25" si="8">IF(ISBLANK(D16)," ",IF((O16="qPCR"),CONCATENATE(O16," RQ-Hom:",F16),CONCATENATE(O16,":qPCR RQ-WT:",F16)))</f>
        <v xml:space="preserve"> </v>
      </c>
      <c r="N16" s="2"/>
      <c r="O16" t="str">
        <f>IF(ISBLANK(C16),"Type",IF(OR(D16="Cre_2",D16="Cre",D16="Neo_reg",D16="Neo",D16="LacZ_reg",D16="LacZ",D16="Flp_O",D16="Flp_E", D16="FlpO",D16="LoxP",D16="3LOXP",D16="Tm1b",D16="Tm1b_prom",D16="5FRT",D16="FRT",D16="VF5",D16="Tm1c",D16="Puro",D16="Puro_3"),"qPCR","LoA"))</f>
        <v>Type</v>
      </c>
      <c r="P16" t="str">
        <f t="shared" si="4"/>
        <v>Assay Name</v>
      </c>
      <c r="Q16" t="str">
        <f t="shared" si="5"/>
        <v>Result</v>
      </c>
      <c r="R16" t="str">
        <f t="shared" si="7"/>
        <v>Match</v>
      </c>
      <c r="S16" s="2" t="s">
        <v>8</v>
      </c>
      <c r="T16" s="2" t="s">
        <v>9</v>
      </c>
      <c r="U16" s="2" t="s">
        <v>7</v>
      </c>
      <c r="V16" t="str">
        <f t="shared" si="6"/>
        <v/>
      </c>
      <c r="W16" s="2" t="s">
        <v>6</v>
      </c>
      <c r="X16" t="s">
        <v>34</v>
      </c>
      <c r="Z16" t="s">
        <v>57</v>
      </c>
    </row>
    <row r="17" spans="10:26" x14ac:dyDescent="0.25">
      <c r="J17" t="str">
        <f t="shared" si="3"/>
        <v>Mouse</v>
      </c>
      <c r="K17" t="str">
        <f>IF(ISBLANK(G17),IF(ISBLANK(C17),"Genotype","!"),IF(D17="ACSL4_WT",IF(AND(F17&gt;0.34,F17&lt;0.66),"M",IF(AND(F17&gt;0.84,F17&lt;1.16),"F","U")),IF(AND(U17="M",OR(W17="Yes",W17="Y")),IF(F17&lt;0.05,"Y/-",IF(AND(F17&gt;0.34,F17&lt;0.66),"+/+","!")),IF(F17&lt;0.05,"-/-",IF(AND(F17&gt;0.34,F17&lt;0.66),"+/-",IF(AND(F17&gt;0.84,F17&lt;1.16),"+/+","!"))))))</f>
        <v>Genotype</v>
      </c>
      <c r="M17" t="str">
        <f t="shared" si="8"/>
        <v xml:space="preserve"> </v>
      </c>
      <c r="N17" s="2"/>
      <c r="O17" t="str">
        <f t="shared" ref="O17:O21" si="9">IF(ISBLANK(C17),"Type",IF(ISNUMBER(SEARCH("_WT",D17)),"LoA","qPCR"))</f>
        <v>Type</v>
      </c>
      <c r="P17" t="str">
        <f t="shared" si="4"/>
        <v>Assay Name</v>
      </c>
      <c r="Q17" t="str">
        <f t="shared" si="5"/>
        <v>Result</v>
      </c>
      <c r="R17" t="str">
        <f t="shared" si="7"/>
        <v>Match</v>
      </c>
      <c r="S17" s="2" t="s">
        <v>8</v>
      </c>
      <c r="T17" s="2" t="s">
        <v>9</v>
      </c>
      <c r="U17" s="2" t="s">
        <v>7</v>
      </c>
      <c r="V17" t="str">
        <f t="shared" si="6"/>
        <v/>
      </c>
      <c r="W17" s="2" t="s">
        <v>6</v>
      </c>
      <c r="X17" t="s">
        <v>40</v>
      </c>
      <c r="Z17" t="s">
        <v>58</v>
      </c>
    </row>
    <row r="18" spans="10:26" x14ac:dyDescent="0.25">
      <c r="J18" t="str">
        <f t="shared" si="3"/>
        <v>Mouse</v>
      </c>
      <c r="K18" t="str">
        <f>IF(ISBLANK(G18),IF(ISBLANK(C18),"Genotype","!"),IF(O18="qPCR",IF(AND(U18="M",OR(W18="Yes",W18="Y")),IF(F18&lt;0.05,"+/+",IF(AND(F18&gt;0.34,F18&lt;0.66),"Y/-","!")),IF(F18&lt;0.05,"+/+",IF(AND(F18&gt;0.34,F18&lt;0.66),"+/-",IF(AND(F18&gt;0.84,F18&lt;1.16),"-/-","!")))),IF(OR(D18="ACSL4_WT",D18="ACSL4", D18="Gender"),IF(AND(F18&gt;0.34,F18&lt;0.66),"M",IF(AND(F18&gt;0.84,F18&lt;1.16),"F","U")),IF(AND(U18="M",OR(W18="Yes",W18="Y")),IF(F18&lt;0.05,"Y/-",IF(AND(F18&gt;0.34,F18&lt;0.66),"+/+","!")),IF(F18&lt;0.05,"-/-",IF(AND(F18&gt;0.34,F18&lt;0.66),"+/-",IF(AND(F18&gt;0.84,F18&lt;1.16),"+/+","!")))))))</f>
        <v>Genotype</v>
      </c>
      <c r="M18" t="str">
        <f t="shared" si="8"/>
        <v xml:space="preserve"> </v>
      </c>
      <c r="N18" s="2"/>
      <c r="O18" t="str">
        <f t="shared" si="9"/>
        <v>Type</v>
      </c>
      <c r="P18" t="str">
        <f t="shared" si="4"/>
        <v>Assay Name</v>
      </c>
      <c r="Q18" t="str">
        <f t="shared" si="5"/>
        <v>Result</v>
      </c>
      <c r="R18" t="str">
        <f t="shared" si="7"/>
        <v>Match</v>
      </c>
      <c r="S18" s="2" t="s">
        <v>8</v>
      </c>
      <c r="T18" s="2" t="s">
        <v>9</v>
      </c>
      <c r="U18" s="2" t="s">
        <v>7</v>
      </c>
      <c r="V18" t="str">
        <f t="shared" si="6"/>
        <v/>
      </c>
      <c r="W18" s="2" t="s">
        <v>6</v>
      </c>
      <c r="X18" t="s">
        <v>41</v>
      </c>
      <c r="Y18" t="s">
        <v>42</v>
      </c>
      <c r="Z18" t="s">
        <v>43</v>
      </c>
    </row>
    <row r="19" spans="10:26" x14ac:dyDescent="0.25">
      <c r="J19" t="str">
        <f t="shared" si="3"/>
        <v>Mouse</v>
      </c>
      <c r="K19" t="str">
        <f>IF(ISBLANK(G19),IF(ISBLANK(C19),"Genotype","!"),IF(ISNUMBER(SEARCH("_WT",D19)),IF(OR(D19="ACSL4_WT",D19="ACSL4",D19="Gender"),IF(AND(F19&gt;0.34,F19&lt;0.66),"M",IF(AND(F19&gt;0.84,F19&lt;1.16),"F","U")),IF(AND(U19="M",OR(W19="Yes",W19="Y")),IF(F19&lt;0.05,"Y/-",IF(AND(F19&gt;0.34,F19&lt;0.66),"+/+","!")),IF(F19&lt;0.05,"-/-",IF(AND(F19&gt;0.34,F19&lt;0.66),"+/-",IF(AND(F19&gt;0.84,F19&lt;1.16),"+/+","!"))))),IF(AND(U19="M",OR(W19="Yes",W19="Y")),IF(F19&lt;0.05,"+/+",IF(AND(F19&gt;0.34,F19&lt;0.66),"Y/-","!")),IF(F19&lt;0.05,"+/+",IF(AND(F19&gt;0.34,F19&lt;0.66),"+/-",IF(AND(F19&gt;0.84,F19&lt;1.16),"-/-","!"))))))</f>
        <v>Genotype</v>
      </c>
      <c r="M19" t="str">
        <f t="shared" si="8"/>
        <v xml:space="preserve"> </v>
      </c>
      <c r="N19" s="2"/>
      <c r="O19" t="str">
        <f t="shared" si="9"/>
        <v>Type</v>
      </c>
      <c r="P19" t="str">
        <f t="shared" si="4"/>
        <v>Assay Name</v>
      </c>
      <c r="Q19" t="str">
        <f t="shared" si="5"/>
        <v>Result</v>
      </c>
      <c r="R19" t="str">
        <f t="shared" si="7"/>
        <v>Match</v>
      </c>
      <c r="S19" s="2" t="s">
        <v>8</v>
      </c>
      <c r="T19" s="2" t="s">
        <v>9</v>
      </c>
      <c r="U19" s="2" t="s">
        <v>7</v>
      </c>
      <c r="V19" t="str">
        <f t="shared" si="6"/>
        <v/>
      </c>
      <c r="W19" s="2" t="s">
        <v>6</v>
      </c>
      <c r="X19" t="s">
        <v>44</v>
      </c>
      <c r="Y19" s="2" t="s">
        <v>46</v>
      </c>
      <c r="Z19" t="s">
        <v>45</v>
      </c>
    </row>
    <row r="20" spans="10:26" x14ac:dyDescent="0.25">
      <c r="J20" t="str">
        <f t="shared" ref="J20" si="10">IF(ISBLANK(C20),"Mouse",C20)</f>
        <v>Mouse</v>
      </c>
      <c r="K20" t="str">
        <f>IF(ISBLANK(G20),IF(ISBLANK(C20),"Genotype","!"),IF(ISNUMBER(SEARCH("_WT",D20)),IF(OR(D20="ACSL4_WT",D20="ACSL4",D20="Gender"),IF(AND(Q20&gt;0.34,Q20&lt;0.66),"M",IF(AND(P20&gt;0.84,P20&lt;1.16),"F","U")),IF(AND(U20="M",OR(W20="Yes",W20="Y")),IF(Q20&lt;0.05,"Y/-",IF(AND(Q20&gt;0.34,Q20&lt;0.66),"+/+","!")),IF(Q20&lt;0.05,"-/-",IF(AND(Q20&gt;0.34,Q20&lt;0.66),"+/-",IF(AND(Q20&gt;0.84,Q20&lt;1.16),"+/+","!"))))),IF(AND(U20="M",OR(W20="Yes",W20="Y")),IF(Q20&lt;0.05,"+/+",IF(AND(Q20&gt;0.34,Q20&lt;0.66),"Y/-","!")),IF(Q20&lt;0.05,"+/+",IF(AND(Q20&gt;0.34,Q20&lt;0.66),"+/-",IF(AND(Q20&gt;0.84,Q20&lt;1.16),"-/-","!"))))))</f>
        <v>Genotype</v>
      </c>
      <c r="M20" t="str">
        <f t="shared" si="8"/>
        <v xml:space="preserve"> </v>
      </c>
      <c r="N20" s="2"/>
      <c r="O20" t="str">
        <f t="shared" si="9"/>
        <v>Type</v>
      </c>
      <c r="P20" t="str">
        <f t="shared" ref="P20" si="11">IF(ISBLANK(D20),"Assay Name",D20)</f>
        <v>Assay Name</v>
      </c>
      <c r="Q20" t="str">
        <f>IF(ISBLANK(G20),"Result",IF(OR(V20="Yes",V20="Y"),F20/2,F20))</f>
        <v>Result</v>
      </c>
      <c r="R20" t="str">
        <f t="shared" si="7"/>
        <v>Match</v>
      </c>
      <c r="S20" s="2" t="s">
        <v>8</v>
      </c>
      <c r="T20" s="2" t="s">
        <v>9</v>
      </c>
      <c r="U20" s="2" t="s">
        <v>7</v>
      </c>
      <c r="V20" s="2" t="s">
        <v>48</v>
      </c>
      <c r="W20" s="2" t="s">
        <v>6</v>
      </c>
      <c r="X20" t="s">
        <v>49</v>
      </c>
      <c r="Y20" t="s">
        <v>51</v>
      </c>
      <c r="Z20" t="s">
        <v>50</v>
      </c>
    </row>
    <row r="21" spans="10:26" x14ac:dyDescent="0.25">
      <c r="J21" t="str">
        <f t="shared" ref="J21" si="12">IF(ISBLANK(C21),"Mouse",C21)</f>
        <v>Mouse</v>
      </c>
      <c r="K21" t="str">
        <f>IF(ISBLANK(G21),IF(ISBLANK(C21),"Genotype","Failed"),IF(ISNUMBER(SEARCH("_WT",D21)),IF(OR(D21="ACSL4_WT",D21="ACSL4",D21="Gender"),IF(AND(Q21&gt;0.34,Q21&lt;0.66),"M",IF(AND(P21&gt;0.84,P21&lt;1.16),"F","U")),IF(AND(U21="M",OR(W21="Yes",W21="Y")),IF(Q21&lt;0.05,"Hemi",IF(AND(Q21&gt;0.34,Q21&lt;0.66),"WT","Failed")),IF(Q21&lt;0.05,"Hom",IF(AND(Q21&gt;0.34,Q21&lt;0.66),"Het",IF(AND(Q21&gt;0.84,Q21&lt;1.16),"WT","Failed"))))),IF(AND(U21="M",OR(W21="Yes",W21="Y")),IF(Q21&lt;0.05,"WT",IF(AND(Q21&gt;0.34,Q21&lt;0.66),"Hemi","Failed")),IF(Q21&lt;0.05,"WT",IF(AND(Q21&gt;0.34,Q21&lt;0.66),"Het",IF(AND(Q21&gt;0.84,Q21&lt;1.16),"Hom","Failed"))))))</f>
        <v>Genotype</v>
      </c>
      <c r="M21" t="str">
        <f t="shared" si="8"/>
        <v xml:space="preserve"> </v>
      </c>
      <c r="N21" s="2"/>
      <c r="O21" t="str">
        <f t="shared" si="9"/>
        <v>Type</v>
      </c>
      <c r="P21" t="str">
        <f t="shared" ref="P21" si="13">IF(ISBLANK(D21),"Assay Name",D21)</f>
        <v>Assay Name</v>
      </c>
      <c r="Q21" t="str">
        <f>IF(ISBLANK(G21),"Result",IF(OR(V21="Yes",V21="Y"),F21/2,F21))</f>
        <v>Result</v>
      </c>
      <c r="R21" t="str">
        <f>IF(ISBLANK(C21),"Match",IF(K21="Failed","Failed",IF(AND(K21=T21,J21=S21),"Yes","CHECK")))</f>
        <v>Match</v>
      </c>
      <c r="S21" s="2" t="s">
        <v>8</v>
      </c>
      <c r="T21" s="2" t="s">
        <v>9</v>
      </c>
      <c r="U21" s="2" t="s">
        <v>7</v>
      </c>
      <c r="V21" s="2" t="s">
        <v>48</v>
      </c>
      <c r="W21" s="2" t="s">
        <v>6</v>
      </c>
      <c r="X21" t="s">
        <v>52</v>
      </c>
      <c r="Y21" t="s">
        <v>55</v>
      </c>
    </row>
    <row r="22" spans="10:26" x14ac:dyDescent="0.25">
      <c r="N22" s="2"/>
      <c r="S22" s="2"/>
      <c r="T22" s="2"/>
      <c r="U22" s="2"/>
      <c r="V22" s="2"/>
      <c r="W22" s="2"/>
    </row>
    <row r="23" spans="10:26" x14ac:dyDescent="0.25">
      <c r="J23" s="3" t="s">
        <v>10</v>
      </c>
      <c r="K23" s="3" t="s">
        <v>11</v>
      </c>
      <c r="L23" s="3" t="s">
        <v>12</v>
      </c>
      <c r="M23" s="3" t="s">
        <v>13</v>
      </c>
      <c r="N23" s="3" t="s">
        <v>14</v>
      </c>
      <c r="O23" s="3" t="s">
        <v>15</v>
      </c>
      <c r="P23" s="3" t="s">
        <v>16</v>
      </c>
      <c r="Q23" s="3" t="s">
        <v>17</v>
      </c>
      <c r="R23" s="3" t="s">
        <v>18</v>
      </c>
      <c r="S23" s="3" t="s">
        <v>19</v>
      </c>
      <c r="T23" s="2"/>
      <c r="U23" s="2"/>
      <c r="V23" s="2"/>
      <c r="W23" s="2"/>
    </row>
    <row r="24" spans="10:26" x14ac:dyDescent="0.25">
      <c r="J24" s="3"/>
      <c r="K24" s="3"/>
      <c r="L24" s="3"/>
      <c r="M24" s="3"/>
      <c r="N24" s="3"/>
      <c r="O24" s="3"/>
      <c r="P24" s="3"/>
      <c r="Q24" s="3"/>
      <c r="R24" s="3"/>
      <c r="S24" s="3"/>
      <c r="T24" s="2"/>
      <c r="U24" s="2"/>
      <c r="V24" s="2"/>
      <c r="W24" s="2"/>
    </row>
    <row r="25" spans="10:26" x14ac:dyDescent="0.25">
      <c r="J25" t="str">
        <f t="shared" ref="J25" si="14">IF(ISBLANK(C25),"Mouse",C25)</f>
        <v>Mouse</v>
      </c>
      <c r="K25" t="str">
        <f>IF(ISBLANK(G25),IF(ISBLANK(C25),"Genotype","Failed"),IF(ISNUMBER(SEARCH("_WT",D25)),IF(OR(D25="ACSL4_WT",D25="ACSL4",D25="Gender"),IF(AND(Q25&gt;0.34,Q25&lt;0.66),"M",IF(AND(Q25&gt;0.84,Q25&lt;1.16),"F","U")),IF(AND(U25="M",OR(W25="Yes",W25="Y")),IF(Q25&lt;0.05,"Hemi",IF(AND(Q25&gt;0.34,Q25&lt;0.66),"WT","Failed")),IF(Q25&lt;0.05,"Hom",IF(AND(Q25&gt;0.34,Q25&lt;0.66),"Het",IF(AND(Q25&gt;0.84,Q25&lt;1.16),"WT","Failed"))))),IF(AND(U25="M",OR(W25="Yes",W25="Y")),IF(Q25&lt;0.05,"WT",IF(AND(Q25&gt;0.34,Q25&lt;0.66),"Hemi","Failed")),IF(Q25&lt;0.05,"WT",IF(AND(Q25&gt;0.34,Q25&lt;0.66),"Het",IF(AND(Q25&gt;0.84,Q25&lt;1.16),"Hom","Failed"))))))</f>
        <v>Genotype</v>
      </c>
      <c r="M25" t="str">
        <f t="shared" si="8"/>
        <v xml:space="preserve"> </v>
      </c>
      <c r="N25" s="2"/>
      <c r="O25" t="str">
        <f>IF(ISBLANK(C25),"Type",IF(ISNUMBER(SEARCH("_WT",D25)),"LoA","qPCR"))</f>
        <v>Type</v>
      </c>
      <c r="P25" t="str">
        <f t="shared" ref="P25" si="15">IF(ISBLANK(D25),"Assay Name",D25)</f>
        <v>Assay Name</v>
      </c>
      <c r="Q25" t="str">
        <f>IF(ISBLANK(G25),"Result",IF(OR(V25="Yes",V25="Y"),F25/2,F25))</f>
        <v>Result</v>
      </c>
      <c r="R25" t="str">
        <f>IF(ISBLANK(C25),"Match",IF(K25="Failed","Failed",IF(AND(K25=T25,J25=S25),"Yes","CHECK")))</f>
        <v>Match</v>
      </c>
      <c r="S25" s="2" t="s">
        <v>8</v>
      </c>
      <c r="T25" s="2" t="s">
        <v>9</v>
      </c>
      <c r="U25" s="2" t="s">
        <v>7</v>
      </c>
      <c r="V25" s="2" t="s">
        <v>48</v>
      </c>
      <c r="W25" s="2" t="s">
        <v>6</v>
      </c>
      <c r="X25" s="5" t="s">
        <v>53</v>
      </c>
      <c r="Z25" t="s">
        <v>54</v>
      </c>
    </row>
    <row r="26" spans="10:26" x14ac:dyDescent="0.25">
      <c r="J26" t="str">
        <f t="shared" ref="J26" si="16">IF(ISBLANK(C26),"Mouse",C26)</f>
        <v>Mouse</v>
      </c>
      <c r="K26" t="str">
        <f>IF(ISBLANK(G26),IF(ISBLANK(C26),"Genotype","Failed"),IF(O26= "LoA",IF(OR(D26="ACSL4_WT",D26="ACSL4",D26="Gender"),IF(AND(Q26&gt;0.34,Q26&lt;0.66),"M",IF(AND(Q26&gt;0.84,Q26&lt;1.16),"F","U")),IF(AND(U26="M",OR(W26="Yes",W26="Y")),IF(Q26&lt;0.05,"Hemi",IF(AND(Q26&gt;0.34,Q26&lt;0.66),"WT","Failed")),IF(Q26&lt;0.05,"Hom",IF(AND(Q26&gt;0.34,Q26&lt;0.66),"Het",IF(AND(Q26&gt;0.84,Q26&lt;1.16),"WT","Failed"))))),IF(AND(U26="M",OR(W26="Yes",W26="Y")),IF(Q26&lt;0.05,"WT",IF(AND(Q26&gt;0.34,Q26&lt;0.66),"Hemi","Failed")),IF(Q26&lt;0.05,"WT",IF(AND(Q26&gt;0.34,Q26&lt;0.66),"Het",IF(AND(Q26&gt;0.84,Q26&lt;1.16),"Hom","Failed"))))))</f>
        <v>Genotype</v>
      </c>
      <c r="M26" t="str">
        <f>IF(ISBLANK(D26)," ",IF((O26="qPCR"),CONCATENATE(O26," RQ-Hom:",Q26),CONCATENATE(O26,":qPCR RQ-WT:",Q26)))</f>
        <v xml:space="preserve"> </v>
      </c>
      <c r="N26" s="2"/>
      <c r="O26" t="str">
        <f>IF( ISBLANK(C26),"Type",IF( OR( ISNUMBER( SEARCH("_WT",D26)), ISNUMBER( SEARCH("_CE", D26)), ISNUMBER( SEARCH("_exon1", D26))),"LoA","qPCR"))</f>
        <v>Type</v>
      </c>
      <c r="P26" t="str">
        <f t="shared" ref="P26" si="17">IF(ISBLANK(D26),"Assay Name",D26)</f>
        <v>Assay Name</v>
      </c>
      <c r="Q26" t="str">
        <f>IF(ISBLANK(G26),"Result",IF(OR(V26="Yes",V26="Y"),F26/2,F26))</f>
        <v>Result</v>
      </c>
      <c r="R26" t="str">
        <f>IF(ISBLANK(C26),"Match",IF(K26="Failed","Failed",IF(AND(K26=T26,J26=S26),"Yes","CHECK")))</f>
        <v>Match</v>
      </c>
      <c r="S26" s="2" t="s">
        <v>8</v>
      </c>
      <c r="T26" s="2" t="s">
        <v>9</v>
      </c>
      <c r="U26" s="2" t="s">
        <v>7</v>
      </c>
      <c r="V26" s="2" t="s">
        <v>48</v>
      </c>
      <c r="W26" s="2" t="s">
        <v>6</v>
      </c>
      <c r="X26" s="3" t="s">
        <v>233</v>
      </c>
      <c r="Z26" t="s">
        <v>268</v>
      </c>
    </row>
    <row r="27" spans="10:26" ht="15.75" x14ac:dyDescent="0.25">
      <c r="Z27" s="9" t="s">
        <v>232</v>
      </c>
    </row>
    <row r="28" spans="10:26" ht="30" x14ac:dyDescent="0.25">
      <c r="Z28" s="6" t="s">
        <v>234</v>
      </c>
    </row>
    <row r="29" spans="10:26" x14ac:dyDescent="0.25">
      <c r="Z29" t="s">
        <v>235</v>
      </c>
    </row>
    <row r="30" spans="10:26" x14ac:dyDescent="0.25">
      <c r="Z30" t="s">
        <v>236</v>
      </c>
    </row>
    <row r="31" spans="10:26" x14ac:dyDescent="0.25">
      <c r="Z31" t="s">
        <v>237</v>
      </c>
    </row>
    <row r="32" spans="10:26" x14ac:dyDescent="0.25">
      <c r="Z32" t="s">
        <v>238</v>
      </c>
    </row>
    <row r="33" spans="10:26" x14ac:dyDescent="0.25">
      <c r="Z33" s="7" t="s">
        <v>239</v>
      </c>
    </row>
    <row r="34" spans="10:26" x14ac:dyDescent="0.25">
      <c r="J34" s="3" t="s">
        <v>10</v>
      </c>
      <c r="K34" s="3" t="s">
        <v>11</v>
      </c>
      <c r="L34" s="3" t="s">
        <v>12</v>
      </c>
      <c r="M34" s="3" t="s">
        <v>13</v>
      </c>
      <c r="N34" s="3" t="s">
        <v>14</v>
      </c>
      <c r="O34" s="3" t="s">
        <v>15</v>
      </c>
      <c r="P34" s="3" t="s">
        <v>16</v>
      </c>
      <c r="Q34" s="3" t="s">
        <v>17</v>
      </c>
      <c r="R34" s="3" t="s">
        <v>18</v>
      </c>
      <c r="S34" s="3" t="s">
        <v>19</v>
      </c>
    </row>
    <row r="35" spans="10:26" x14ac:dyDescent="0.25">
      <c r="K35" t="str">
        <f>IF(ISBLANK(F35),"Omitted",IF(O35= "LoA",IF(OR(D35="ACSL4_WT",D35="ACSL4",D35="Gender"),IF(AND(Q35&gt;0.34,Q35&lt;0.66),"M",IF(AND(Q35&gt;0.84,Q35&lt;1.16),"F","U")),IF(AND(V35="M",OR(X35="Yes",X35="Y")),IF(Q35&lt;0.05,"Hemi",IF(AND(Q35&gt;0.34,Q35&lt;0.66),"WT","Failed")),IF(Q35&lt;0.05,"Hom",IF(AND(Q35&gt;0.34,Q35&lt;0.66),"Het",IF(AND(Q35&gt;0.84,Q35&lt;1.16),"WT","Failed"))))),IF(AND(V35="M",OR(X35="Yes",X35="Y")),IF(Q35&lt;0.05,"WT",IF(AND(Q35&gt;0.34,Q35&lt;0.66),"Hemi","Failed")),IF(Q35&lt;0.05,"WT",IF(AND(Q35&gt;0.34,Q35&lt;0.66),"Het",IF(AND(Q35&gt;0.84,Q35&lt;1.16),"Hom","Failed"))))))</f>
        <v>Omitted</v>
      </c>
      <c r="O35" t="s">
        <v>21</v>
      </c>
      <c r="Q35">
        <f t="shared" ref="Q35" si="18">IF(OR(W35="Yes",W35="Y"),F35/2,F35)</f>
        <v>0</v>
      </c>
      <c r="R35" t="str">
        <f t="shared" ref="R35" si="19">IF(K35="Failed","Failed",IF(AND(K35=U35,J35=T35),"Yes","CHECK"))</f>
        <v>CHECK</v>
      </c>
      <c r="Y35" t="s">
        <v>269</v>
      </c>
    </row>
    <row r="36" spans="10:26" x14ac:dyDescent="0.25">
      <c r="K36" t="str">
        <f>IF(ISBLANK(F36),"Omitted",IF(O36="Gender",IF(AND(Q36&gt;=0.34,Q36&lt;=0.66),"M",IF(AND(Q36&gt;=0.84,Q36&lt;=1.16),"F","U")),IF(O36="LoA",IF(AND(V36="M",OR(X36="Yes",X36="Y")),IF(Q36&lt;=0.05,"Hemi",IF(AND(Q36&gt;=0.34,Q36&lt;=0.66),"WT","Failed")),IF(Q36&lt;=0.05,"Hom",IF(AND(Q36&gt;=0.34,Q36&lt;=0.66),"Het",IF(AND(Q36&gt;=0.84,Q36&lt;=1.16),"WT","Failed")))),IF(AND(V36="M",OR(X36="Yes",X36="Y")),IF(Q36&lt;=0.05,"WT",IF(AND(Q36&gt;=0.34,Q36&lt;=0.66),"Hemi","Failed")),IF(Q36&lt;=0.05,"WT",IF(AND(Q36&gt;=0.34,Q36&lt;=0.66),"Het",IF(AND(Q36&gt;=0.84,Q36&lt;=1.16),"Hom","Failed")))))))</f>
        <v>Omitted</v>
      </c>
      <c r="Y36" t="s">
        <v>278</v>
      </c>
      <c r="Z36" t="s">
        <v>280</v>
      </c>
    </row>
    <row r="37" spans="10:26" x14ac:dyDescent="0.25">
      <c r="K37" t="str">
        <f>IF(ISBLANK(F37),"Omitted",IF(O37="Gender",IF(AND(Q37&gt;=0.34,Q37&lt;=0.66),"M",IF(AND(Q37&gt;=0.84,Q37&lt;=1.16),"F","U")),IF(O37="LoA",IF(AND(V37="M",OR(X37="Yes",X37="Y")),IF(Q37&lt;=0.05,"Hemi",IF(AND(Q37&gt;=0.34,Q37&lt;=0.66),"WT","Failed")),IF(Q37&lt;=0.05,"Hom",IF(AND(Q37&gt;=0.34,Q37&lt;=0.66),"Het",IF(AND(Q37&gt;=0.84,Q37&lt;=1.16),"WT","Failed")))),IF(AND(V37="M",OR(X37="Yes",X37="Y")),IF(Q37&lt;=0.05,"WT",IF(AND(Q37&gt;=0.34,Q37&lt;=0.66),"Hemi","Failed")),IF(Q37&lt;=0.05,"WT",IF(AND(Q37&gt;=0.34,Q37&lt;=0.66),IF(X37 = "Transgene","Hemi","Het"),IF(AND(Q37&gt;=0.84,Q37&lt;=1.16),"Hom","Failed")))))))</f>
        <v>Omitted</v>
      </c>
      <c r="Q37">
        <f>IF(OR(W37="Yes",W37="Y"),ROUND(F37/2,3),ROUND(F37,3))</f>
        <v>0</v>
      </c>
      <c r="R37" t="str">
        <f>IF(K37="Failed","Failed",IF(AND(K37=U37,J37=T37),"Yes",""))</f>
        <v/>
      </c>
      <c r="Y37" t="s">
        <v>290</v>
      </c>
      <c r="Z37" t="s">
        <v>291</v>
      </c>
    </row>
    <row r="38" spans="10:26" x14ac:dyDescent="0.25">
      <c r="K38" t="str">
        <f>IF(ISBLANK(F38),"Omitted",IF(O38="Gender",IF(T38=1,"M",IF(T38=2,"F","U")),IF(O38="LoA",IF(AND(V38="M",OR(X38="Yes",X38="Y")),IF(T38=0,"Hemi",IF(T38=1,"WT","Failed")),IF(T38=0,"Hom",IF(AND(T38=1),"Het",IF(T38=2,"WT","Failed")))),IF(AND(V38="M",OR(X38="Yes",X38="Y")),IF(T38=0,"WT",IF(T38=1,"Hemi","Failed")),IF(T38=0,"WT",IF(T38=1,IF(X38 = "Transgene","Hemi","Het"),IF(T38=2,"Hom","Failed")))))))</f>
        <v>Omitted</v>
      </c>
      <c r="T38" t="str">
        <f>IF(Q38&lt;=0.05,"0",IF(AND(Q38&gt;=0.34,Q38&lt;=0.66),"1",IF(AND(Q38&gt;=0.84,Q38&lt;=1.16),"2,""N/A")))</f>
        <v>0</v>
      </c>
      <c r="Y38" t="s">
        <v>292</v>
      </c>
      <c r="Z38" t="s">
        <v>293</v>
      </c>
    </row>
    <row r="48" spans="10:26" x14ac:dyDescent="0.25">
      <c r="J48" t="s">
        <v>273</v>
      </c>
      <c r="K48" s="10" t="s">
        <v>277</v>
      </c>
    </row>
    <row r="49" spans="10:11" x14ac:dyDescent="0.25">
      <c r="J49" t="s">
        <v>270</v>
      </c>
      <c r="K49" s="10" t="s">
        <v>274</v>
      </c>
    </row>
    <row r="50" spans="10:11" x14ac:dyDescent="0.25">
      <c r="J50" t="s">
        <v>271</v>
      </c>
      <c r="K50" s="10" t="s">
        <v>276</v>
      </c>
    </row>
    <row r="51" spans="10:11" x14ac:dyDescent="0.25">
      <c r="J51" t="s">
        <v>272</v>
      </c>
      <c r="K51" s="10" t="s">
        <v>275</v>
      </c>
    </row>
  </sheetData>
  <conditionalFormatting sqref="K25">
    <cfRule type="containsText" dxfId="20" priority="12" operator="containsText" text="Hemi">
      <formula>NOT(ISERROR(SEARCH("Hemi",K25)))</formula>
    </cfRule>
    <cfRule type="containsText" dxfId="19" priority="13" operator="containsText" text="Hom">
      <formula>NOT(ISERROR(SEARCH("Hom",K25)))</formula>
    </cfRule>
    <cfRule type="containsText" dxfId="18" priority="14" operator="containsText" text="Het">
      <formula>NOT(ISERROR(SEARCH("Het",K25)))</formula>
    </cfRule>
    <cfRule type="containsText" dxfId="17" priority="15" operator="containsText" text="WT">
      <formula>NOT(ISERROR(SEARCH("WT",K25)))</formula>
    </cfRule>
    <cfRule type="containsText" dxfId="16" priority="16" operator="containsText" text="Failed">
      <formula>NOT(ISERROR(SEARCH("Failed",K25)))</formula>
    </cfRule>
  </conditionalFormatting>
  <conditionalFormatting sqref="V25">
    <cfRule type="containsText" dxfId="15" priority="9" operator="containsText" text="y">
      <formula>NOT(ISERROR(SEARCH("y",V25)))</formula>
    </cfRule>
  </conditionalFormatting>
  <conditionalFormatting sqref="W25">
    <cfRule type="containsText" dxfId="14" priority="8" operator="containsText" text="y">
      <formula>NOT(ISERROR(SEARCH("y",W25)))</formula>
    </cfRule>
  </conditionalFormatting>
  <conditionalFormatting sqref="K26">
    <cfRule type="containsText" dxfId="13" priority="3" operator="containsText" text="Hemi">
      <formula>NOT(ISERROR(SEARCH("Hemi",K26)))</formula>
    </cfRule>
    <cfRule type="containsText" dxfId="12" priority="4" operator="containsText" text="Hom">
      <formula>NOT(ISERROR(SEARCH("Hom",K26)))</formula>
    </cfRule>
    <cfRule type="containsText" dxfId="11" priority="5" operator="containsText" text="Het">
      <formula>NOT(ISERROR(SEARCH("Het",K26)))</formula>
    </cfRule>
    <cfRule type="containsText" dxfId="10" priority="6" operator="containsText" text="WT">
      <formula>NOT(ISERROR(SEARCH("WT",K26)))</formula>
    </cfRule>
    <cfRule type="containsText" dxfId="9" priority="7" operator="containsText" text="Failed">
      <formula>NOT(ISERROR(SEARCH("Failed",K26)))</formula>
    </cfRule>
  </conditionalFormatting>
  <conditionalFormatting sqref="V26">
    <cfRule type="containsText" dxfId="8" priority="2" operator="containsText" text="y">
      <formula>NOT(ISERROR(SEARCH("y",V26)))</formula>
    </cfRule>
  </conditionalFormatting>
  <conditionalFormatting sqref="W26:X26">
    <cfRule type="containsText" dxfId="7" priority="1" operator="containsText" text="y">
      <formula>NOT(ISERROR(SEARCH("y",W26)))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4"/>
  <sheetViews>
    <sheetView topLeftCell="A7" workbookViewId="0">
      <selection activeCell="M7" sqref="M1:M1048576"/>
    </sheetView>
  </sheetViews>
  <sheetFormatPr defaultRowHeight="15" x14ac:dyDescent="0.25"/>
  <cols>
    <col min="3" max="3" width="10.85546875" bestFit="1" customWidth="1"/>
    <col min="4" max="4" width="16" bestFit="1" customWidth="1"/>
    <col min="10" max="10" width="12" bestFit="1" customWidth="1"/>
    <col min="13" max="13" width="21.5703125" bestFit="1" customWidth="1"/>
    <col min="16" max="16" width="16" bestFit="1" customWidth="1"/>
  </cols>
  <sheetData>
    <row r="1" spans="1:9" x14ac:dyDescent="0.25">
      <c r="A1" t="s">
        <v>60</v>
      </c>
    </row>
    <row r="2" spans="1:9" x14ac:dyDescent="0.25">
      <c r="A2" t="s">
        <v>61</v>
      </c>
    </row>
    <row r="3" spans="1:9" x14ac:dyDescent="0.25">
      <c r="A3" t="s">
        <v>62</v>
      </c>
    </row>
    <row r="4" spans="1:9" x14ac:dyDescent="0.25">
      <c r="A4" t="s">
        <v>63</v>
      </c>
    </row>
    <row r="5" spans="1:9" x14ac:dyDescent="0.25">
      <c r="A5" t="s">
        <v>64</v>
      </c>
    </row>
    <row r="6" spans="1:9" x14ac:dyDescent="0.25">
      <c r="A6" t="s">
        <v>65</v>
      </c>
    </row>
    <row r="7" spans="1:9" x14ac:dyDescent="0.25">
      <c r="A7" t="s">
        <v>66</v>
      </c>
    </row>
    <row r="8" spans="1:9" x14ac:dyDescent="0.25">
      <c r="A8" t="s">
        <v>67</v>
      </c>
    </row>
    <row r="9" spans="1:9" x14ac:dyDescent="0.25">
      <c r="A9" t="s">
        <v>68</v>
      </c>
    </row>
    <row r="10" spans="1:9" x14ac:dyDescent="0.25">
      <c r="A10" t="s">
        <v>69</v>
      </c>
    </row>
    <row r="11" spans="1:9" x14ac:dyDescent="0.25">
      <c r="A11" t="s">
        <v>70</v>
      </c>
    </row>
    <row r="12" spans="1:9" x14ac:dyDescent="0.25">
      <c r="A12" t="s">
        <v>71</v>
      </c>
    </row>
    <row r="13" spans="1:9" x14ac:dyDescent="0.25">
      <c r="A13" t="s">
        <v>72</v>
      </c>
    </row>
    <row r="15" spans="1:9" x14ac:dyDescent="0.25">
      <c r="A15" t="s">
        <v>73</v>
      </c>
    </row>
    <row r="16" spans="1:9" x14ac:dyDescent="0.25">
      <c r="A16" t="s">
        <v>74</v>
      </c>
      <c r="B16" t="s">
        <v>75</v>
      </c>
      <c r="C16" t="s">
        <v>76</v>
      </c>
      <c r="D16" t="s">
        <v>77</v>
      </c>
      <c r="E16" t="s">
        <v>78</v>
      </c>
      <c r="F16" t="s">
        <v>79</v>
      </c>
      <c r="G16" t="s">
        <v>80</v>
      </c>
      <c r="H16" t="s">
        <v>81</v>
      </c>
      <c r="I16" t="s">
        <v>82</v>
      </c>
    </row>
    <row r="17" spans="1:23" x14ac:dyDescent="0.25">
      <c r="A17" t="s">
        <v>83</v>
      </c>
      <c r="B17" t="b">
        <v>0</v>
      </c>
      <c r="C17" t="s">
        <v>84</v>
      </c>
      <c r="D17" t="s">
        <v>85</v>
      </c>
      <c r="E17" t="s">
        <v>86</v>
      </c>
      <c r="F17">
        <v>0.51300000000000001</v>
      </c>
      <c r="G17">
        <v>24.905999999999999</v>
      </c>
      <c r="H17">
        <v>0.93300000000000005</v>
      </c>
      <c r="I17">
        <v>0.96199999999999997</v>
      </c>
      <c r="J17" t="str">
        <f t="shared" ref="J17" si="0">IF(ISBLANK(C17),"Mouse",C17)</f>
        <v>DAGU40.1a</v>
      </c>
      <c r="K17" t="str">
        <f>IF(ISBLANK(G17),IF(ISBLANK(C17),"Genotype","Failed"),IF(O17= "LoA",IF(OR(D17="ACSL4_WT",D17="ACSL4",D17="Gender"),IF(AND(Q17&gt;0.34,Q17&lt;0.66),"M",IF(AND(Q17&gt;0.84,Q17&lt;1.16),"F","U")),IF(AND(U17="M",OR(W17="Yes",W17="Y")),IF(Q17&lt;0.05,"Hemi",IF(AND(Q17&gt;0.34,Q17&lt;0.66),"WT","Failed")),IF(Q17&lt;0.05,"Hom",IF(AND(Q17&gt;0.34,Q17&lt;0.66),"Het",IF(AND(Q17&gt;0.84,Q17&lt;1.16),"WT","Failed"))))),IF(AND(U17="M",OR(W17="Yes",W17="Y")),IF(Q17&lt;0.05,"WT",IF(AND(Q17&gt;0.34,Q17&lt;0.66),"Hemi","Failed")),IF(Q17&lt;0.05,"WT",IF(AND(Q17&gt;0.34,Q17&lt;0.66),"Het",IF(AND(Q17&gt;0.84,Q17&lt;1.16),"Hom","Failed"))))))</f>
        <v>M</v>
      </c>
      <c r="M17" t="str">
        <f t="shared" ref="M17" si="1">IF(ISBLANK(D17)," ",IF((O17="qPCR"),CONCATENATE(O17," RQ-Hom:",F17),CONCATENATE(O17,":qPCR RQ-WT:",F17)))</f>
        <v>LoA:qPCR RQ-WT:0.513</v>
      </c>
      <c r="N17" s="2"/>
      <c r="O17" t="str">
        <f>IF( ISBLANK(C17),"Type",IF( OR( ISNUMBER( SEARCH("_WT",D17)), ISNUMBER( SEARCH("_CE", D17)), ISNUMBER( SEARCH("_exon1", D17))),"LoA","qPCR"))</f>
        <v>LoA</v>
      </c>
      <c r="P17" t="str">
        <f t="shared" ref="P17" si="2">IF(ISBLANK(D17),"Assay Name",D17)</f>
        <v>ACSL4_WT</v>
      </c>
      <c r="Q17">
        <f>IF(ISBLANK(G17),"Result",IF(OR(V17="Yes",V17="Y"),F17/2,F17))</f>
        <v>0.51300000000000001</v>
      </c>
      <c r="R17" t="str">
        <f>IF(ISBLANK(C17),"Match",IF(K17="Failed","Failed",IF(AND(K17=T17,J17=S17),"Yes","CHECK")))</f>
        <v>CHECK</v>
      </c>
      <c r="S17" s="2" t="s">
        <v>8</v>
      </c>
      <c r="T17" s="2" t="s">
        <v>9</v>
      </c>
      <c r="U17" s="2" t="s">
        <v>7</v>
      </c>
      <c r="V17" s="2" t="s">
        <v>48</v>
      </c>
      <c r="W17" s="2" t="s">
        <v>6</v>
      </c>
    </row>
    <row r="18" spans="1:23" x14ac:dyDescent="0.25">
      <c r="A18" t="s">
        <v>87</v>
      </c>
      <c r="B18" t="b">
        <v>0</v>
      </c>
      <c r="C18" t="s">
        <v>88</v>
      </c>
      <c r="D18" t="s">
        <v>85</v>
      </c>
      <c r="E18" t="s">
        <v>86</v>
      </c>
      <c r="F18">
        <v>0.53700000000000003</v>
      </c>
      <c r="G18">
        <v>24.954000000000001</v>
      </c>
      <c r="H18">
        <v>0.86699999999999999</v>
      </c>
      <c r="I18">
        <v>0.89700000000000002</v>
      </c>
      <c r="J18" t="str">
        <f t="shared" ref="J18:J81" si="3">IF(ISBLANK(C18),"Mouse",C18)</f>
        <v>DAGU40.1b</v>
      </c>
      <c r="K18" t="str">
        <f t="shared" ref="K18:K81" si="4">IF(ISBLANK(G18),IF(ISBLANK(C18),"Genotype","Failed"),IF(O18= "LoA",IF(OR(D18="ACSL4_WT",D18="ACSL4",D18="Gender"),IF(AND(Q18&gt;0.34,Q18&lt;0.66),"M",IF(AND(Q18&gt;0.84,Q18&lt;1.16),"F","U")),IF(AND(U18="M",OR(W18="Yes",W18="Y")),IF(Q18&lt;0.05,"Hemi",IF(AND(Q18&gt;0.34,Q18&lt;0.66),"WT","Failed")),IF(Q18&lt;0.05,"Hom",IF(AND(Q18&gt;0.34,Q18&lt;0.66),"Het",IF(AND(Q18&gt;0.84,Q18&lt;1.16),"WT","Failed"))))),IF(AND(U18="M",OR(W18="Yes",W18="Y")),IF(Q18&lt;0.05,"WT",IF(AND(Q18&gt;0.34,Q18&lt;0.66),"Hemi","Failed")),IF(Q18&lt;0.05,"WT",IF(AND(Q18&gt;0.34,Q18&lt;0.66),"Het",IF(AND(Q18&gt;0.84,Q18&lt;1.16),"Hom","Failed"))))))</f>
        <v>M</v>
      </c>
      <c r="M18" t="str">
        <f t="shared" ref="M18:M81" si="5">IF(ISBLANK(D18)," ",IF((O18="qPCR"),CONCATENATE(O18," RQ-Hom:",F18),CONCATENATE(O18,":qPCR RQ-WT:",F18)))</f>
        <v>LoA:qPCR RQ-WT:0.537</v>
      </c>
      <c r="N18" s="2"/>
      <c r="O18" t="str">
        <f t="shared" ref="O18:O81" si="6">IF( ISBLANK(C18),"Type",IF( OR( ISNUMBER( SEARCH("_WT",D18)), ISNUMBER( SEARCH("_CE", D18)), ISNUMBER( SEARCH("_exon1", D18))),"LoA","qPCR"))</f>
        <v>LoA</v>
      </c>
      <c r="P18" t="str">
        <f t="shared" ref="P18:P81" si="7">IF(ISBLANK(D18),"Assay Name",D18)</f>
        <v>ACSL4_WT</v>
      </c>
      <c r="Q18">
        <f t="shared" ref="Q18:Q81" si="8">IF(ISBLANK(G18),"Result",IF(OR(V18="Yes",V18="Y"),F18/2,F18))</f>
        <v>0.53700000000000003</v>
      </c>
      <c r="R18" t="str">
        <f t="shared" ref="R18:R81" si="9">IF(ISBLANK(C18),"Match",IF(K18="Failed","Failed",IF(AND(K18=T18,J18=S18),"Yes","CHECK")))</f>
        <v>CHECK</v>
      </c>
      <c r="S18" s="2" t="s">
        <v>8</v>
      </c>
      <c r="T18" s="2" t="s">
        <v>9</v>
      </c>
      <c r="U18" s="2" t="s">
        <v>7</v>
      </c>
      <c r="V18" s="2" t="s">
        <v>48</v>
      </c>
      <c r="W18" s="2" t="s">
        <v>6</v>
      </c>
    </row>
    <row r="19" spans="1:23" x14ac:dyDescent="0.25">
      <c r="A19" t="s">
        <v>89</v>
      </c>
      <c r="B19" t="b">
        <v>0</v>
      </c>
      <c r="C19" t="s">
        <v>90</v>
      </c>
      <c r="D19" t="s">
        <v>85</v>
      </c>
      <c r="E19" t="s">
        <v>86</v>
      </c>
      <c r="F19">
        <v>0.52500000000000002</v>
      </c>
      <c r="G19">
        <v>24.835999999999999</v>
      </c>
      <c r="H19">
        <v>0.90100000000000002</v>
      </c>
      <c r="I19">
        <v>0.93100000000000005</v>
      </c>
      <c r="J19" t="str">
        <f t="shared" si="3"/>
        <v>DAGU40.1c</v>
      </c>
      <c r="K19" t="str">
        <f t="shared" si="4"/>
        <v>M</v>
      </c>
      <c r="M19" t="str">
        <f t="shared" si="5"/>
        <v>LoA:qPCR RQ-WT:0.525</v>
      </c>
      <c r="N19" s="2"/>
      <c r="O19" t="str">
        <f t="shared" si="6"/>
        <v>LoA</v>
      </c>
      <c r="P19" t="str">
        <f t="shared" si="7"/>
        <v>ACSL4_WT</v>
      </c>
      <c r="Q19">
        <f t="shared" si="8"/>
        <v>0.52500000000000002</v>
      </c>
      <c r="R19" t="str">
        <f t="shared" si="9"/>
        <v>CHECK</v>
      </c>
      <c r="S19" s="2" t="s">
        <v>8</v>
      </c>
      <c r="T19" s="2" t="s">
        <v>9</v>
      </c>
      <c r="U19" s="2" t="s">
        <v>7</v>
      </c>
      <c r="V19" s="2" t="s">
        <v>48</v>
      </c>
      <c r="W19" s="2" t="s">
        <v>6</v>
      </c>
    </row>
    <row r="20" spans="1:23" x14ac:dyDescent="0.25">
      <c r="A20" t="s">
        <v>91</v>
      </c>
      <c r="B20" t="b">
        <v>0</v>
      </c>
      <c r="C20" t="s">
        <v>92</v>
      </c>
      <c r="D20" t="s">
        <v>85</v>
      </c>
      <c r="E20" t="s">
        <v>86</v>
      </c>
      <c r="F20">
        <v>0.50800000000000001</v>
      </c>
      <c r="G20">
        <v>24.902999999999999</v>
      </c>
      <c r="H20">
        <v>0.94699999999999995</v>
      </c>
      <c r="I20">
        <v>0.97599999999999998</v>
      </c>
      <c r="J20" t="str">
        <f t="shared" si="3"/>
        <v>DAGU40.1d</v>
      </c>
      <c r="K20" t="str">
        <f t="shared" si="4"/>
        <v>M</v>
      </c>
      <c r="M20" t="str">
        <f t="shared" si="5"/>
        <v>LoA:qPCR RQ-WT:0.508</v>
      </c>
      <c r="N20" s="2"/>
      <c r="O20" t="str">
        <f t="shared" si="6"/>
        <v>LoA</v>
      </c>
      <c r="P20" t="str">
        <f t="shared" si="7"/>
        <v>ACSL4_WT</v>
      </c>
      <c r="Q20">
        <f t="shared" si="8"/>
        <v>0.50800000000000001</v>
      </c>
      <c r="R20" t="str">
        <f t="shared" si="9"/>
        <v>CHECK</v>
      </c>
      <c r="S20" s="2" t="s">
        <v>8</v>
      </c>
      <c r="T20" s="2" t="s">
        <v>9</v>
      </c>
      <c r="U20" s="2" t="s">
        <v>7</v>
      </c>
      <c r="V20" s="2" t="s">
        <v>48</v>
      </c>
      <c r="W20" s="2" t="s">
        <v>6</v>
      </c>
    </row>
    <row r="21" spans="1:23" x14ac:dyDescent="0.25">
      <c r="A21" t="s">
        <v>93</v>
      </c>
      <c r="B21" t="b">
        <v>0</v>
      </c>
      <c r="C21" t="s">
        <v>94</v>
      </c>
      <c r="D21" t="s">
        <v>85</v>
      </c>
      <c r="E21" t="s">
        <v>86</v>
      </c>
      <c r="F21">
        <v>0.93799999999999994</v>
      </c>
      <c r="G21">
        <v>24.038</v>
      </c>
      <c r="H21">
        <v>6.3E-2</v>
      </c>
      <c r="I21">
        <v>9.1999999999999998E-2</v>
      </c>
      <c r="J21" t="str">
        <f t="shared" si="3"/>
        <v>DAGU40.1e</v>
      </c>
      <c r="K21" t="str">
        <f t="shared" si="4"/>
        <v>F</v>
      </c>
      <c r="M21" t="str">
        <f t="shared" si="5"/>
        <v>LoA:qPCR RQ-WT:0.938</v>
      </c>
      <c r="N21" s="2"/>
      <c r="O21" t="str">
        <f t="shared" si="6"/>
        <v>LoA</v>
      </c>
      <c r="P21" t="str">
        <f t="shared" si="7"/>
        <v>ACSL4_WT</v>
      </c>
      <c r="Q21">
        <f t="shared" si="8"/>
        <v>0.93799999999999994</v>
      </c>
      <c r="R21" t="str">
        <f t="shared" si="9"/>
        <v>CHECK</v>
      </c>
      <c r="S21" s="2" t="s">
        <v>8</v>
      </c>
      <c r="T21" s="2" t="s">
        <v>9</v>
      </c>
      <c r="U21" s="2" t="s">
        <v>7</v>
      </c>
      <c r="V21" s="2" t="s">
        <v>48</v>
      </c>
      <c r="W21" s="2" t="s">
        <v>6</v>
      </c>
    </row>
    <row r="22" spans="1:23" x14ac:dyDescent="0.25">
      <c r="A22" t="s">
        <v>95</v>
      </c>
      <c r="B22" t="b">
        <v>0</v>
      </c>
      <c r="C22" t="s">
        <v>96</v>
      </c>
      <c r="D22" t="s">
        <v>85</v>
      </c>
      <c r="E22" t="s">
        <v>86</v>
      </c>
      <c r="F22">
        <v>0.88200000000000001</v>
      </c>
      <c r="G22">
        <v>23.757000000000001</v>
      </c>
      <c r="H22">
        <v>0.151</v>
      </c>
      <c r="I22">
        <v>0.18</v>
      </c>
      <c r="J22" t="str">
        <f t="shared" si="3"/>
        <v>DAGU40.1f</v>
      </c>
      <c r="K22" t="str">
        <f t="shared" si="4"/>
        <v>F</v>
      </c>
      <c r="M22" t="str">
        <f t="shared" si="5"/>
        <v>LoA:qPCR RQ-WT:0.882</v>
      </c>
      <c r="N22" s="2"/>
      <c r="O22" t="str">
        <f t="shared" si="6"/>
        <v>LoA</v>
      </c>
      <c r="P22" t="str">
        <f t="shared" si="7"/>
        <v>ACSL4_WT</v>
      </c>
      <c r="Q22">
        <f t="shared" si="8"/>
        <v>0.88200000000000001</v>
      </c>
      <c r="R22" t="str">
        <f t="shared" si="9"/>
        <v>CHECK</v>
      </c>
      <c r="S22" s="2" t="s">
        <v>8</v>
      </c>
      <c r="T22" s="2" t="s">
        <v>9</v>
      </c>
      <c r="U22" s="2" t="s">
        <v>7</v>
      </c>
      <c r="V22" s="2" t="s">
        <v>48</v>
      </c>
      <c r="W22" s="2" t="s">
        <v>6</v>
      </c>
    </row>
    <row r="23" spans="1:23" x14ac:dyDescent="0.25">
      <c r="A23" t="s">
        <v>97</v>
      </c>
      <c r="B23" t="b">
        <v>0</v>
      </c>
      <c r="C23" t="s">
        <v>98</v>
      </c>
      <c r="D23" t="s">
        <v>85</v>
      </c>
      <c r="E23" t="s">
        <v>86</v>
      </c>
      <c r="F23">
        <v>0.98399999999999999</v>
      </c>
      <c r="G23">
        <v>24.34</v>
      </c>
      <c r="H23">
        <v>-6.0000000000000001E-3</v>
      </c>
      <c r="I23">
        <v>2.4E-2</v>
      </c>
      <c r="J23" t="str">
        <f t="shared" si="3"/>
        <v>DAGU40.1g</v>
      </c>
      <c r="K23" t="str">
        <f t="shared" si="4"/>
        <v>F</v>
      </c>
      <c r="M23" t="str">
        <f t="shared" si="5"/>
        <v>LoA:qPCR RQ-WT:0.984</v>
      </c>
      <c r="N23" s="2"/>
      <c r="O23" t="str">
        <f t="shared" si="6"/>
        <v>LoA</v>
      </c>
      <c r="P23" t="str">
        <f t="shared" si="7"/>
        <v>ACSL4_WT</v>
      </c>
      <c r="Q23">
        <f t="shared" si="8"/>
        <v>0.98399999999999999</v>
      </c>
      <c r="R23" t="str">
        <f t="shared" si="9"/>
        <v>CHECK</v>
      </c>
      <c r="S23" s="2" t="s">
        <v>8</v>
      </c>
      <c r="T23" s="2" t="s">
        <v>9</v>
      </c>
      <c r="U23" s="2" t="s">
        <v>7</v>
      </c>
      <c r="V23" s="2" t="s">
        <v>48</v>
      </c>
      <c r="W23" s="2" t="s">
        <v>6</v>
      </c>
    </row>
    <row r="24" spans="1:23" x14ac:dyDescent="0.25">
      <c r="A24" t="s">
        <v>99</v>
      </c>
      <c r="B24" t="b">
        <v>0</v>
      </c>
      <c r="C24" t="s">
        <v>100</v>
      </c>
      <c r="D24" t="s">
        <v>85</v>
      </c>
      <c r="E24" t="s">
        <v>86</v>
      </c>
      <c r="F24">
        <v>0.50900000000000001</v>
      </c>
      <c r="G24">
        <v>24.571999999999999</v>
      </c>
      <c r="H24">
        <v>0.94499999999999995</v>
      </c>
      <c r="I24">
        <v>0.97399999999999998</v>
      </c>
      <c r="J24" t="str">
        <f t="shared" si="3"/>
        <v>DAGU40.1h</v>
      </c>
      <c r="K24" t="str">
        <f t="shared" si="4"/>
        <v>M</v>
      </c>
      <c r="M24" t="str">
        <f t="shared" si="5"/>
        <v>LoA:qPCR RQ-WT:0.509</v>
      </c>
      <c r="N24" s="2"/>
      <c r="O24" t="str">
        <f t="shared" si="6"/>
        <v>LoA</v>
      </c>
      <c r="P24" t="str">
        <f t="shared" si="7"/>
        <v>ACSL4_WT</v>
      </c>
      <c r="Q24">
        <f t="shared" si="8"/>
        <v>0.50900000000000001</v>
      </c>
      <c r="R24" t="str">
        <f t="shared" si="9"/>
        <v>CHECK</v>
      </c>
      <c r="S24" s="2" t="s">
        <v>8</v>
      </c>
      <c r="T24" s="2" t="s">
        <v>9</v>
      </c>
      <c r="U24" s="2" t="s">
        <v>7</v>
      </c>
      <c r="V24" s="2" t="s">
        <v>48</v>
      </c>
      <c r="W24" s="2" t="s">
        <v>6</v>
      </c>
    </row>
    <row r="25" spans="1:23" x14ac:dyDescent="0.25">
      <c r="A25" t="s">
        <v>101</v>
      </c>
      <c r="B25" t="b">
        <v>0</v>
      </c>
      <c r="C25" t="s">
        <v>102</v>
      </c>
      <c r="D25" t="s">
        <v>85</v>
      </c>
      <c r="E25" t="s">
        <v>86</v>
      </c>
      <c r="F25">
        <v>0.876</v>
      </c>
      <c r="G25">
        <v>23.242999999999999</v>
      </c>
      <c r="H25">
        <v>0.16200000000000001</v>
      </c>
      <c r="I25">
        <v>0.191</v>
      </c>
      <c r="J25" t="str">
        <f t="shared" si="3"/>
        <v>DAGU40.1i</v>
      </c>
      <c r="K25" t="str">
        <f t="shared" si="4"/>
        <v>F</v>
      </c>
      <c r="M25" t="str">
        <f t="shared" si="5"/>
        <v>LoA:qPCR RQ-WT:0.876</v>
      </c>
      <c r="N25" s="2"/>
      <c r="O25" t="str">
        <f t="shared" si="6"/>
        <v>LoA</v>
      </c>
      <c r="P25" t="str">
        <f t="shared" si="7"/>
        <v>ACSL4_WT</v>
      </c>
      <c r="Q25">
        <f t="shared" si="8"/>
        <v>0.876</v>
      </c>
      <c r="R25" t="str">
        <f t="shared" si="9"/>
        <v>CHECK</v>
      </c>
      <c r="S25" s="2" t="s">
        <v>8</v>
      </c>
      <c r="T25" s="2" t="s">
        <v>9</v>
      </c>
      <c r="U25" s="2" t="s">
        <v>7</v>
      </c>
      <c r="V25" s="2" t="s">
        <v>48</v>
      </c>
      <c r="W25" s="2" t="s">
        <v>6</v>
      </c>
    </row>
    <row r="26" spans="1:23" x14ac:dyDescent="0.25">
      <c r="A26" t="s">
        <v>103</v>
      </c>
      <c r="B26" t="b">
        <v>1</v>
      </c>
      <c r="C26" t="s">
        <v>104</v>
      </c>
      <c r="D26" t="s">
        <v>85</v>
      </c>
      <c r="N26" s="2"/>
      <c r="S26" s="2"/>
      <c r="T26" s="2"/>
      <c r="U26" s="2"/>
      <c r="V26" s="2"/>
      <c r="W26" s="2"/>
    </row>
    <row r="27" spans="1:23" x14ac:dyDescent="0.25">
      <c r="A27" t="s">
        <v>105</v>
      </c>
      <c r="B27" t="b">
        <v>0</v>
      </c>
      <c r="C27" t="s">
        <v>106</v>
      </c>
      <c r="D27" t="s">
        <v>85</v>
      </c>
      <c r="E27" t="s">
        <v>86</v>
      </c>
      <c r="F27">
        <v>1</v>
      </c>
      <c r="G27">
        <v>23.933</v>
      </c>
      <c r="H27">
        <v>-2.9000000000000001E-2</v>
      </c>
      <c r="I27">
        <v>0</v>
      </c>
      <c r="N27" s="2"/>
      <c r="S27" s="2"/>
      <c r="T27" s="2"/>
      <c r="U27" s="2"/>
      <c r="V27" s="2"/>
      <c r="W27" s="2"/>
    </row>
    <row r="28" spans="1:23" x14ac:dyDescent="0.25">
      <c r="A28" t="s">
        <v>107</v>
      </c>
      <c r="B28" t="b">
        <v>0</v>
      </c>
      <c r="C28" t="s">
        <v>108</v>
      </c>
      <c r="D28" t="s">
        <v>85</v>
      </c>
      <c r="E28" t="s">
        <v>86</v>
      </c>
      <c r="F28">
        <v>0.999</v>
      </c>
      <c r="G28">
        <v>23.632999999999999</v>
      </c>
      <c r="H28">
        <v>-2.7E-2</v>
      </c>
      <c r="I28">
        <v>2E-3</v>
      </c>
      <c r="N28" s="2"/>
      <c r="S28" s="2"/>
      <c r="T28" s="2"/>
      <c r="U28" s="2"/>
      <c r="V28" s="2"/>
      <c r="W28" s="2"/>
    </row>
    <row r="29" spans="1:23" x14ac:dyDescent="0.25">
      <c r="J29" t="str">
        <f t="shared" si="3"/>
        <v>Mouse</v>
      </c>
      <c r="K29" t="str">
        <f t="shared" si="4"/>
        <v>Genotype</v>
      </c>
      <c r="M29" t="str">
        <f t="shared" si="5"/>
        <v xml:space="preserve"> </v>
      </c>
      <c r="N29" s="2"/>
      <c r="O29" t="str">
        <f t="shared" si="6"/>
        <v>Type</v>
      </c>
      <c r="P29" t="str">
        <f t="shared" si="7"/>
        <v>Assay Name</v>
      </c>
      <c r="Q29" t="str">
        <f t="shared" si="8"/>
        <v>Result</v>
      </c>
      <c r="R29" t="str">
        <f t="shared" si="9"/>
        <v>Match</v>
      </c>
      <c r="S29" s="2" t="s">
        <v>8</v>
      </c>
      <c r="T29" s="2" t="s">
        <v>9</v>
      </c>
      <c r="U29" s="2" t="s">
        <v>7</v>
      </c>
      <c r="V29" s="2" t="s">
        <v>48</v>
      </c>
      <c r="W29" s="2" t="s">
        <v>6</v>
      </c>
    </row>
    <row r="30" spans="1:23" x14ac:dyDescent="0.25">
      <c r="A30" t="s">
        <v>109</v>
      </c>
      <c r="B30" t="b">
        <v>0</v>
      </c>
      <c r="C30" t="s">
        <v>110</v>
      </c>
      <c r="D30" t="s">
        <v>111</v>
      </c>
      <c r="E30" t="s">
        <v>86</v>
      </c>
      <c r="F30">
        <v>0.92700000000000005</v>
      </c>
      <c r="G30">
        <v>23.696999999999999</v>
      </c>
      <c r="H30">
        <v>-0.47099999999999997</v>
      </c>
      <c r="I30">
        <v>0.11</v>
      </c>
      <c r="J30" t="str">
        <f t="shared" si="3"/>
        <v>DAGP38.5a</v>
      </c>
      <c r="K30" t="str">
        <f t="shared" si="4"/>
        <v>WT</v>
      </c>
      <c r="M30" t="str">
        <f t="shared" si="5"/>
        <v>LoA:qPCR RQ-WT:0.927</v>
      </c>
      <c r="N30" s="2"/>
      <c r="O30" t="str">
        <f t="shared" si="6"/>
        <v>LoA</v>
      </c>
      <c r="P30" t="str">
        <f t="shared" si="7"/>
        <v>Srcap_CR_WT</v>
      </c>
      <c r="Q30">
        <f t="shared" si="8"/>
        <v>0.92700000000000005</v>
      </c>
      <c r="R30" t="str">
        <f t="shared" si="9"/>
        <v>CHECK</v>
      </c>
      <c r="S30" s="2" t="s">
        <v>8</v>
      </c>
      <c r="T30" s="2" t="s">
        <v>9</v>
      </c>
      <c r="U30" s="2" t="s">
        <v>7</v>
      </c>
      <c r="V30" s="2" t="s">
        <v>48</v>
      </c>
      <c r="W30" s="2" t="s">
        <v>6</v>
      </c>
    </row>
    <row r="31" spans="1:23" x14ac:dyDescent="0.25">
      <c r="A31" t="s">
        <v>112</v>
      </c>
      <c r="B31" t="b">
        <v>0</v>
      </c>
      <c r="C31" t="s">
        <v>113</v>
      </c>
      <c r="D31" t="s">
        <v>111</v>
      </c>
      <c r="E31" t="s">
        <v>86</v>
      </c>
      <c r="F31">
        <v>0.47899999999999998</v>
      </c>
      <c r="G31">
        <v>24.411000000000001</v>
      </c>
      <c r="H31">
        <v>0.48</v>
      </c>
      <c r="I31">
        <v>1.0609999999999999</v>
      </c>
      <c r="J31" t="str">
        <f t="shared" si="3"/>
        <v>DAGP38.5b</v>
      </c>
      <c r="K31" t="str">
        <f t="shared" si="4"/>
        <v>Het</v>
      </c>
      <c r="M31" t="str">
        <f t="shared" si="5"/>
        <v>LoA:qPCR RQ-WT:0.479</v>
      </c>
      <c r="N31" s="2"/>
      <c r="O31" t="str">
        <f t="shared" si="6"/>
        <v>LoA</v>
      </c>
      <c r="P31" t="str">
        <f t="shared" si="7"/>
        <v>Srcap_CR_WT</v>
      </c>
      <c r="Q31">
        <f t="shared" si="8"/>
        <v>0.47899999999999998</v>
      </c>
      <c r="R31" t="str">
        <f t="shared" si="9"/>
        <v>CHECK</v>
      </c>
      <c r="S31" s="2" t="s">
        <v>8</v>
      </c>
      <c r="T31" s="2" t="s">
        <v>9</v>
      </c>
      <c r="U31" s="2" t="s">
        <v>7</v>
      </c>
      <c r="V31" s="2" t="s">
        <v>48</v>
      </c>
      <c r="W31" s="2" t="s">
        <v>6</v>
      </c>
    </row>
    <row r="32" spans="1:23" x14ac:dyDescent="0.25">
      <c r="A32" t="s">
        <v>114</v>
      </c>
      <c r="B32" t="b">
        <v>0</v>
      </c>
      <c r="C32" t="s">
        <v>115</v>
      </c>
      <c r="D32" t="s">
        <v>111</v>
      </c>
      <c r="E32" t="s">
        <v>86</v>
      </c>
      <c r="F32">
        <v>0.49299999999999999</v>
      </c>
      <c r="G32">
        <v>24.376000000000001</v>
      </c>
      <c r="H32">
        <v>0.44</v>
      </c>
      <c r="I32">
        <v>1.022</v>
      </c>
      <c r="J32" t="str">
        <f t="shared" si="3"/>
        <v>DAGP38.5c</v>
      </c>
      <c r="K32" t="str">
        <f t="shared" si="4"/>
        <v>Het</v>
      </c>
      <c r="M32" t="str">
        <f t="shared" si="5"/>
        <v>LoA:qPCR RQ-WT:0.493</v>
      </c>
      <c r="N32" s="2"/>
      <c r="O32" t="str">
        <f t="shared" si="6"/>
        <v>LoA</v>
      </c>
      <c r="P32" t="str">
        <f t="shared" si="7"/>
        <v>Srcap_CR_WT</v>
      </c>
      <c r="Q32">
        <f t="shared" si="8"/>
        <v>0.49299999999999999</v>
      </c>
      <c r="R32" t="str">
        <f t="shared" si="9"/>
        <v>CHECK</v>
      </c>
      <c r="S32" s="2" t="s">
        <v>8</v>
      </c>
      <c r="T32" s="2" t="s">
        <v>9</v>
      </c>
      <c r="U32" s="2" t="s">
        <v>7</v>
      </c>
      <c r="V32" s="2" t="s">
        <v>48</v>
      </c>
      <c r="W32" s="2" t="s">
        <v>6</v>
      </c>
    </row>
    <row r="33" spans="1:23" x14ac:dyDescent="0.25">
      <c r="A33" t="s">
        <v>116</v>
      </c>
      <c r="B33" t="b">
        <v>0</v>
      </c>
      <c r="C33" t="s">
        <v>117</v>
      </c>
      <c r="D33" t="s">
        <v>111</v>
      </c>
      <c r="E33" t="s">
        <v>86</v>
      </c>
      <c r="F33">
        <v>0.97099999999999997</v>
      </c>
      <c r="G33">
        <v>23.585000000000001</v>
      </c>
      <c r="H33">
        <v>-0.53900000000000003</v>
      </c>
      <c r="I33">
        <v>4.2000000000000003E-2</v>
      </c>
      <c r="J33" t="str">
        <f t="shared" si="3"/>
        <v>DAGP38.5d</v>
      </c>
      <c r="K33" t="str">
        <f t="shared" si="4"/>
        <v>WT</v>
      </c>
      <c r="M33" t="str">
        <f t="shared" si="5"/>
        <v>LoA:qPCR RQ-WT:0.971</v>
      </c>
      <c r="N33" s="2"/>
      <c r="O33" t="str">
        <f t="shared" si="6"/>
        <v>LoA</v>
      </c>
      <c r="P33" t="str">
        <f t="shared" si="7"/>
        <v>Srcap_CR_WT</v>
      </c>
      <c r="Q33">
        <f t="shared" si="8"/>
        <v>0.97099999999999997</v>
      </c>
      <c r="R33" t="str">
        <f t="shared" si="9"/>
        <v>CHECK</v>
      </c>
      <c r="S33" s="2" t="s">
        <v>8</v>
      </c>
      <c r="T33" s="2" t="s">
        <v>9</v>
      </c>
      <c r="U33" s="2" t="s">
        <v>7</v>
      </c>
      <c r="V33" s="2" t="s">
        <v>48</v>
      </c>
      <c r="W33" s="2" t="s">
        <v>6</v>
      </c>
    </row>
    <row r="34" spans="1:23" x14ac:dyDescent="0.25">
      <c r="A34" t="s">
        <v>118</v>
      </c>
      <c r="B34" t="b">
        <v>0</v>
      </c>
      <c r="C34" t="s">
        <v>119</v>
      </c>
      <c r="D34" t="s">
        <v>111</v>
      </c>
      <c r="E34" t="s">
        <v>86</v>
      </c>
      <c r="F34">
        <v>0.44900000000000001</v>
      </c>
      <c r="G34">
        <v>24.92</v>
      </c>
      <c r="H34">
        <v>0.57499999999999996</v>
      </c>
      <c r="I34">
        <v>1.157</v>
      </c>
      <c r="J34" t="str">
        <f t="shared" si="3"/>
        <v>DAGP38.5e</v>
      </c>
      <c r="K34" t="str">
        <f t="shared" si="4"/>
        <v>Het</v>
      </c>
      <c r="M34" t="str">
        <f t="shared" si="5"/>
        <v>LoA:qPCR RQ-WT:0.449</v>
      </c>
      <c r="N34" s="2"/>
      <c r="O34" t="str">
        <f t="shared" si="6"/>
        <v>LoA</v>
      </c>
      <c r="P34" t="str">
        <f t="shared" si="7"/>
        <v>Srcap_CR_WT</v>
      </c>
      <c r="Q34">
        <f t="shared" si="8"/>
        <v>0.44900000000000001</v>
      </c>
      <c r="R34" t="str">
        <f t="shared" si="9"/>
        <v>CHECK</v>
      </c>
      <c r="S34" s="2" t="s">
        <v>8</v>
      </c>
      <c r="T34" s="2" t="s">
        <v>9</v>
      </c>
      <c r="U34" s="2" t="s">
        <v>7</v>
      </c>
      <c r="V34" s="2" t="s">
        <v>48</v>
      </c>
      <c r="W34" s="2" t="s">
        <v>6</v>
      </c>
    </row>
    <row r="35" spans="1:23" x14ac:dyDescent="0.25">
      <c r="A35" t="s">
        <v>120</v>
      </c>
      <c r="B35" t="b">
        <v>0</v>
      </c>
      <c r="C35" t="s">
        <v>121</v>
      </c>
      <c r="D35" t="s">
        <v>111</v>
      </c>
      <c r="E35" t="s">
        <v>86</v>
      </c>
      <c r="F35">
        <v>0.46100000000000002</v>
      </c>
      <c r="G35">
        <v>24.367000000000001</v>
      </c>
      <c r="H35">
        <v>0.53500000000000003</v>
      </c>
      <c r="I35">
        <v>1.1160000000000001</v>
      </c>
      <c r="J35" t="str">
        <f t="shared" si="3"/>
        <v>DAGP38.5f</v>
      </c>
      <c r="K35" t="str">
        <f t="shared" si="4"/>
        <v>Het</v>
      </c>
      <c r="M35" t="str">
        <f t="shared" si="5"/>
        <v>LoA:qPCR RQ-WT:0.461</v>
      </c>
      <c r="N35" s="2"/>
      <c r="O35" t="str">
        <f t="shared" si="6"/>
        <v>LoA</v>
      </c>
      <c r="P35" t="str">
        <f t="shared" si="7"/>
        <v>Srcap_CR_WT</v>
      </c>
      <c r="Q35">
        <f t="shared" si="8"/>
        <v>0.46100000000000002</v>
      </c>
      <c r="R35" t="str">
        <f t="shared" si="9"/>
        <v>CHECK</v>
      </c>
      <c r="S35" s="2" t="s">
        <v>8</v>
      </c>
      <c r="T35" s="2" t="s">
        <v>9</v>
      </c>
      <c r="U35" s="2" t="s">
        <v>7</v>
      </c>
      <c r="V35" s="2" t="s">
        <v>48</v>
      </c>
      <c r="W35" s="2" t="s">
        <v>6</v>
      </c>
    </row>
    <row r="36" spans="1:23" x14ac:dyDescent="0.25">
      <c r="A36" t="s">
        <v>122</v>
      </c>
      <c r="B36" t="b">
        <v>0</v>
      </c>
      <c r="C36" t="s">
        <v>123</v>
      </c>
      <c r="D36" t="s">
        <v>111</v>
      </c>
      <c r="E36" t="s">
        <v>86</v>
      </c>
      <c r="F36">
        <v>0.91</v>
      </c>
      <c r="G36">
        <v>23.541</v>
      </c>
      <c r="H36">
        <v>-0.44500000000000001</v>
      </c>
      <c r="I36">
        <v>0.13700000000000001</v>
      </c>
      <c r="J36" t="str">
        <f t="shared" si="3"/>
        <v>DAGP38.5g</v>
      </c>
      <c r="K36" t="str">
        <f t="shared" si="4"/>
        <v>WT</v>
      </c>
      <c r="M36" t="str">
        <f t="shared" si="5"/>
        <v>LoA:qPCR RQ-WT:0.91</v>
      </c>
      <c r="N36" s="2"/>
      <c r="O36" t="str">
        <f t="shared" si="6"/>
        <v>LoA</v>
      </c>
      <c r="P36" t="str">
        <f t="shared" si="7"/>
        <v>Srcap_CR_WT</v>
      </c>
      <c r="Q36">
        <f t="shared" si="8"/>
        <v>0.91</v>
      </c>
      <c r="R36" t="str">
        <f t="shared" si="9"/>
        <v>CHECK</v>
      </c>
      <c r="S36" s="2" t="s">
        <v>8</v>
      </c>
      <c r="T36" s="2" t="s">
        <v>9</v>
      </c>
      <c r="U36" s="2" t="s">
        <v>7</v>
      </c>
      <c r="V36" s="2" t="s">
        <v>48</v>
      </c>
      <c r="W36" s="2" t="s">
        <v>6</v>
      </c>
    </row>
    <row r="37" spans="1:23" x14ac:dyDescent="0.25">
      <c r="A37" t="s">
        <v>124</v>
      </c>
      <c r="B37" t="b">
        <v>0</v>
      </c>
      <c r="C37" t="s">
        <v>125</v>
      </c>
      <c r="D37" t="s">
        <v>111</v>
      </c>
      <c r="E37" t="s">
        <v>86</v>
      </c>
      <c r="F37">
        <v>0.879</v>
      </c>
      <c r="G37">
        <v>23.152000000000001</v>
      </c>
      <c r="H37">
        <v>-0.39500000000000002</v>
      </c>
      <c r="I37">
        <v>0.186</v>
      </c>
      <c r="J37" t="str">
        <f t="shared" si="3"/>
        <v>DAGP38.5h</v>
      </c>
      <c r="K37" t="str">
        <f t="shared" si="4"/>
        <v>WT</v>
      </c>
      <c r="M37" t="str">
        <f t="shared" si="5"/>
        <v>LoA:qPCR RQ-WT:0.879</v>
      </c>
      <c r="N37" s="2"/>
      <c r="O37" t="str">
        <f t="shared" si="6"/>
        <v>LoA</v>
      </c>
      <c r="P37" t="str">
        <f t="shared" si="7"/>
        <v>Srcap_CR_WT</v>
      </c>
      <c r="Q37">
        <f t="shared" si="8"/>
        <v>0.879</v>
      </c>
      <c r="R37" t="str">
        <f t="shared" si="9"/>
        <v>CHECK</v>
      </c>
      <c r="S37" s="2" t="s">
        <v>8</v>
      </c>
      <c r="T37" s="2" t="s">
        <v>9</v>
      </c>
      <c r="U37" s="2" t="s">
        <v>7</v>
      </c>
      <c r="V37" s="2" t="s">
        <v>48</v>
      </c>
      <c r="W37" s="2" t="s">
        <v>6</v>
      </c>
    </row>
    <row r="38" spans="1:23" x14ac:dyDescent="0.25">
      <c r="A38" t="s">
        <v>126</v>
      </c>
      <c r="B38" t="b">
        <v>0</v>
      </c>
      <c r="C38" t="s">
        <v>127</v>
      </c>
      <c r="D38" t="s">
        <v>111</v>
      </c>
      <c r="E38" t="s">
        <v>86</v>
      </c>
      <c r="F38">
        <v>0.45400000000000001</v>
      </c>
      <c r="G38">
        <v>24.994</v>
      </c>
      <c r="H38">
        <v>0.55900000000000005</v>
      </c>
      <c r="I38">
        <v>1.1399999999999999</v>
      </c>
      <c r="J38" t="str">
        <f t="shared" si="3"/>
        <v>DAGP38.5i</v>
      </c>
      <c r="K38" t="str">
        <f t="shared" si="4"/>
        <v>Het</v>
      </c>
      <c r="M38" t="str">
        <f t="shared" si="5"/>
        <v>LoA:qPCR RQ-WT:0.454</v>
      </c>
      <c r="N38" s="2"/>
      <c r="O38" t="str">
        <f t="shared" si="6"/>
        <v>LoA</v>
      </c>
      <c r="P38" t="str">
        <f t="shared" si="7"/>
        <v>Srcap_CR_WT</v>
      </c>
      <c r="Q38">
        <f t="shared" si="8"/>
        <v>0.45400000000000001</v>
      </c>
      <c r="R38" t="str">
        <f t="shared" si="9"/>
        <v>CHECK</v>
      </c>
      <c r="S38" s="2" t="s">
        <v>8</v>
      </c>
      <c r="T38" s="2" t="s">
        <v>9</v>
      </c>
      <c r="U38" s="2" t="s">
        <v>7</v>
      </c>
      <c r="V38" s="2" t="s">
        <v>48</v>
      </c>
      <c r="W38" s="2" t="s">
        <v>6</v>
      </c>
    </row>
    <row r="39" spans="1:23" x14ac:dyDescent="0.25">
      <c r="A39" t="s">
        <v>128</v>
      </c>
      <c r="B39" t="b">
        <v>0</v>
      </c>
      <c r="C39" t="s">
        <v>84</v>
      </c>
      <c r="D39" t="s">
        <v>129</v>
      </c>
      <c r="E39" t="s">
        <v>86</v>
      </c>
      <c r="F39">
        <v>0.58499999999999996</v>
      </c>
      <c r="G39">
        <v>25.094000000000001</v>
      </c>
      <c r="H39">
        <v>1.139</v>
      </c>
      <c r="I39">
        <v>0.77400000000000002</v>
      </c>
      <c r="J39" t="str">
        <f t="shared" si="3"/>
        <v>DAGU40.1a</v>
      </c>
      <c r="K39" t="str">
        <f t="shared" si="4"/>
        <v>WT</v>
      </c>
      <c r="M39" t="str">
        <f t="shared" si="5"/>
        <v>LoA:qPCR RQ-WT:0.585</v>
      </c>
      <c r="N39" s="2"/>
      <c r="O39" t="str">
        <f t="shared" si="6"/>
        <v>LoA</v>
      </c>
      <c r="P39" t="str">
        <f t="shared" si="7"/>
        <v>Nr0b1_CR_WT</v>
      </c>
      <c r="Q39">
        <f t="shared" si="8"/>
        <v>0.58499999999999996</v>
      </c>
      <c r="R39" t="str">
        <f t="shared" si="9"/>
        <v>CHECK</v>
      </c>
      <c r="S39" s="2" t="s">
        <v>8</v>
      </c>
      <c r="T39" s="2" t="s">
        <v>9</v>
      </c>
      <c r="U39" s="2" t="s">
        <v>240</v>
      </c>
      <c r="V39" s="2" t="s">
        <v>48</v>
      </c>
      <c r="W39" s="2" t="s">
        <v>242</v>
      </c>
    </row>
    <row r="40" spans="1:23" x14ac:dyDescent="0.25">
      <c r="A40" t="s">
        <v>130</v>
      </c>
      <c r="B40" t="b">
        <v>0</v>
      </c>
      <c r="C40" t="s">
        <v>88</v>
      </c>
      <c r="D40" t="s">
        <v>129</v>
      </c>
      <c r="E40" t="s">
        <v>86</v>
      </c>
      <c r="F40">
        <v>0.60299999999999998</v>
      </c>
      <c r="G40">
        <v>25.154</v>
      </c>
      <c r="H40">
        <v>1.0940000000000001</v>
      </c>
      <c r="I40">
        <v>0.72899999999999998</v>
      </c>
      <c r="J40" t="str">
        <f t="shared" si="3"/>
        <v>DAGU40.1b</v>
      </c>
      <c r="K40" t="str">
        <f t="shared" si="4"/>
        <v>WT</v>
      </c>
      <c r="M40" t="str">
        <f t="shared" si="5"/>
        <v>LoA:qPCR RQ-WT:0.603</v>
      </c>
      <c r="N40" s="2"/>
      <c r="O40" t="str">
        <f t="shared" si="6"/>
        <v>LoA</v>
      </c>
      <c r="P40" t="str">
        <f t="shared" si="7"/>
        <v>Nr0b1_CR_WT</v>
      </c>
      <c r="Q40">
        <f t="shared" si="8"/>
        <v>0.60299999999999998</v>
      </c>
      <c r="R40" t="str">
        <f t="shared" si="9"/>
        <v>CHECK</v>
      </c>
      <c r="S40" s="2" t="s">
        <v>8</v>
      </c>
      <c r="T40" s="2" t="s">
        <v>9</v>
      </c>
      <c r="U40" s="2" t="s">
        <v>240</v>
      </c>
      <c r="V40" s="2" t="s">
        <v>48</v>
      </c>
      <c r="W40" s="2" t="s">
        <v>242</v>
      </c>
    </row>
    <row r="41" spans="1:23" x14ac:dyDescent="0.25">
      <c r="A41" t="s">
        <v>131</v>
      </c>
      <c r="B41" t="b">
        <v>0</v>
      </c>
      <c r="C41" t="s">
        <v>90</v>
      </c>
      <c r="D41" t="s">
        <v>129</v>
      </c>
      <c r="E41" t="s">
        <v>86</v>
      </c>
      <c r="F41">
        <v>0.56799999999999995</v>
      </c>
      <c r="G41">
        <v>25.21</v>
      </c>
      <c r="H41">
        <v>1.1819999999999999</v>
      </c>
      <c r="I41">
        <v>0.81699999999999995</v>
      </c>
      <c r="J41" t="str">
        <f t="shared" si="3"/>
        <v>DAGU40.1c</v>
      </c>
      <c r="K41" t="str">
        <f t="shared" si="4"/>
        <v>WT</v>
      </c>
      <c r="M41" t="str">
        <f t="shared" si="5"/>
        <v>LoA:qPCR RQ-WT:0.568</v>
      </c>
      <c r="N41" s="2"/>
      <c r="O41" t="str">
        <f t="shared" si="6"/>
        <v>LoA</v>
      </c>
      <c r="P41" t="str">
        <f t="shared" si="7"/>
        <v>Nr0b1_CR_WT</v>
      </c>
      <c r="Q41">
        <f t="shared" si="8"/>
        <v>0.56799999999999995</v>
      </c>
      <c r="R41" t="str">
        <f t="shared" si="9"/>
        <v>CHECK</v>
      </c>
      <c r="S41" s="2" t="s">
        <v>8</v>
      </c>
      <c r="T41" s="2" t="s">
        <v>9</v>
      </c>
      <c r="U41" s="2" t="s">
        <v>240</v>
      </c>
      <c r="V41" s="2" t="s">
        <v>48</v>
      </c>
      <c r="W41" s="2" t="s">
        <v>242</v>
      </c>
    </row>
    <row r="42" spans="1:23" x14ac:dyDescent="0.25">
      <c r="A42" t="s">
        <v>132</v>
      </c>
      <c r="B42" t="b">
        <v>0</v>
      </c>
      <c r="C42" t="s">
        <v>92</v>
      </c>
      <c r="D42" t="s">
        <v>129</v>
      </c>
      <c r="E42" t="s">
        <v>86</v>
      </c>
      <c r="G42" t="s">
        <v>133</v>
      </c>
      <c r="J42" t="str">
        <f t="shared" si="3"/>
        <v>DAGU40.1d</v>
      </c>
      <c r="K42" t="str">
        <f t="shared" si="4"/>
        <v>Hemi</v>
      </c>
      <c r="M42" t="str">
        <f t="shared" si="5"/>
        <v>LoA:qPCR RQ-WT:</v>
      </c>
      <c r="N42" s="2"/>
      <c r="O42" t="str">
        <f t="shared" si="6"/>
        <v>LoA</v>
      </c>
      <c r="P42" t="str">
        <f t="shared" si="7"/>
        <v>Nr0b1_CR_WT</v>
      </c>
      <c r="Q42">
        <f t="shared" si="8"/>
        <v>0</v>
      </c>
      <c r="R42" t="str">
        <f t="shared" si="9"/>
        <v>CHECK</v>
      </c>
      <c r="S42" s="2" t="s">
        <v>8</v>
      </c>
      <c r="T42" s="2" t="s">
        <v>9</v>
      </c>
      <c r="U42" s="2" t="s">
        <v>240</v>
      </c>
      <c r="V42" s="2" t="s">
        <v>48</v>
      </c>
      <c r="W42" s="2" t="s">
        <v>242</v>
      </c>
    </row>
    <row r="43" spans="1:23" x14ac:dyDescent="0.25">
      <c r="A43" t="s">
        <v>134</v>
      </c>
      <c r="B43" t="b">
        <v>0</v>
      </c>
      <c r="C43" t="s">
        <v>94</v>
      </c>
      <c r="D43" t="s">
        <v>129</v>
      </c>
      <c r="E43" t="s">
        <v>86</v>
      </c>
      <c r="F43">
        <v>1</v>
      </c>
      <c r="G43">
        <v>24.712</v>
      </c>
      <c r="H43">
        <v>0.36499999999999999</v>
      </c>
      <c r="I43">
        <v>0</v>
      </c>
      <c r="J43" t="str">
        <f t="shared" si="3"/>
        <v>DAGU40.1e</v>
      </c>
      <c r="K43" t="str">
        <f t="shared" si="4"/>
        <v>WT</v>
      </c>
      <c r="M43" t="str">
        <f t="shared" si="5"/>
        <v>LoA:qPCR RQ-WT:1</v>
      </c>
      <c r="N43" s="2"/>
      <c r="O43" t="str">
        <f t="shared" si="6"/>
        <v>LoA</v>
      </c>
      <c r="P43" t="str">
        <f t="shared" si="7"/>
        <v>Nr0b1_CR_WT</v>
      </c>
      <c r="Q43">
        <f t="shared" si="8"/>
        <v>1</v>
      </c>
      <c r="R43" t="str">
        <f t="shared" si="9"/>
        <v>CHECK</v>
      </c>
      <c r="S43" s="2" t="s">
        <v>8</v>
      </c>
      <c r="T43" s="2" t="s">
        <v>9</v>
      </c>
      <c r="U43" s="2" t="s">
        <v>241</v>
      </c>
      <c r="V43" s="2" t="s">
        <v>48</v>
      </c>
      <c r="W43" s="2" t="s">
        <v>242</v>
      </c>
    </row>
    <row r="44" spans="1:23" x14ac:dyDescent="0.25">
      <c r="A44" t="s">
        <v>135</v>
      </c>
      <c r="B44" t="b">
        <v>0</v>
      </c>
      <c r="C44" t="s">
        <v>96</v>
      </c>
      <c r="D44" t="s">
        <v>129</v>
      </c>
      <c r="E44" t="s">
        <v>86</v>
      </c>
      <c r="F44">
        <v>0.89800000000000002</v>
      </c>
      <c r="G44">
        <v>24.501999999999999</v>
      </c>
      <c r="H44">
        <v>0.52</v>
      </c>
      <c r="I44">
        <v>0.155</v>
      </c>
      <c r="J44" t="str">
        <f t="shared" si="3"/>
        <v>DAGU40.1f</v>
      </c>
      <c r="K44" t="str">
        <f t="shared" si="4"/>
        <v>WT</v>
      </c>
      <c r="M44" t="str">
        <f t="shared" si="5"/>
        <v>LoA:qPCR RQ-WT:0.898</v>
      </c>
      <c r="N44" s="2"/>
      <c r="O44" t="str">
        <f t="shared" si="6"/>
        <v>LoA</v>
      </c>
      <c r="P44" t="str">
        <f t="shared" si="7"/>
        <v>Nr0b1_CR_WT</v>
      </c>
      <c r="Q44">
        <f t="shared" si="8"/>
        <v>0.89800000000000002</v>
      </c>
      <c r="R44" t="str">
        <f t="shared" si="9"/>
        <v>CHECK</v>
      </c>
      <c r="S44" s="2" t="s">
        <v>8</v>
      </c>
      <c r="T44" s="2" t="s">
        <v>9</v>
      </c>
      <c r="U44" s="2" t="s">
        <v>241</v>
      </c>
      <c r="V44" s="2" t="s">
        <v>48</v>
      </c>
      <c r="W44" s="2" t="s">
        <v>242</v>
      </c>
    </row>
    <row r="45" spans="1:23" x14ac:dyDescent="0.25">
      <c r="A45" t="s">
        <v>136</v>
      </c>
      <c r="B45" t="b">
        <v>0</v>
      </c>
      <c r="C45" t="s">
        <v>98</v>
      </c>
      <c r="D45" t="s">
        <v>129</v>
      </c>
      <c r="E45" t="s">
        <v>86</v>
      </c>
      <c r="F45">
        <v>1.1160000000000001</v>
      </c>
      <c r="G45">
        <v>24.963000000000001</v>
      </c>
      <c r="H45">
        <v>0.20599999999999999</v>
      </c>
      <c r="I45">
        <v>-0.159</v>
      </c>
      <c r="J45" t="str">
        <f t="shared" si="3"/>
        <v>DAGU40.1g</v>
      </c>
      <c r="K45" t="str">
        <f t="shared" si="4"/>
        <v>WT</v>
      </c>
      <c r="M45" t="str">
        <f t="shared" si="5"/>
        <v>LoA:qPCR RQ-WT:1.116</v>
      </c>
      <c r="N45" s="2"/>
      <c r="O45" t="str">
        <f t="shared" si="6"/>
        <v>LoA</v>
      </c>
      <c r="P45" t="str">
        <f t="shared" si="7"/>
        <v>Nr0b1_CR_WT</v>
      </c>
      <c r="Q45">
        <f t="shared" si="8"/>
        <v>1.1160000000000001</v>
      </c>
      <c r="R45" t="str">
        <f t="shared" si="9"/>
        <v>CHECK</v>
      </c>
      <c r="S45" s="2" t="s">
        <v>8</v>
      </c>
      <c r="T45" s="2" t="s">
        <v>9</v>
      </c>
      <c r="U45" s="2" t="s">
        <v>241</v>
      </c>
      <c r="V45" s="2" t="s">
        <v>48</v>
      </c>
      <c r="W45" s="2" t="s">
        <v>242</v>
      </c>
    </row>
    <row r="46" spans="1:23" x14ac:dyDescent="0.25">
      <c r="A46" t="s">
        <v>137</v>
      </c>
      <c r="B46" t="b">
        <v>0</v>
      </c>
      <c r="C46" t="s">
        <v>100</v>
      </c>
      <c r="D46" t="s">
        <v>129</v>
      </c>
      <c r="E46" t="s">
        <v>86</v>
      </c>
      <c r="G46" t="s">
        <v>133</v>
      </c>
      <c r="J46" t="str">
        <f t="shared" si="3"/>
        <v>DAGU40.1h</v>
      </c>
      <c r="K46" t="str">
        <f t="shared" si="4"/>
        <v>Hemi</v>
      </c>
      <c r="M46" t="str">
        <f t="shared" si="5"/>
        <v>LoA:qPCR RQ-WT:</v>
      </c>
      <c r="N46" s="2"/>
      <c r="O46" t="str">
        <f t="shared" si="6"/>
        <v>LoA</v>
      </c>
      <c r="P46" t="str">
        <f t="shared" si="7"/>
        <v>Nr0b1_CR_WT</v>
      </c>
      <c r="Q46">
        <f t="shared" si="8"/>
        <v>0</v>
      </c>
      <c r="R46" t="str">
        <f t="shared" si="9"/>
        <v>CHECK</v>
      </c>
      <c r="S46" s="2" t="s">
        <v>8</v>
      </c>
      <c r="T46" s="2" t="s">
        <v>9</v>
      </c>
      <c r="U46" s="2" t="s">
        <v>240</v>
      </c>
      <c r="V46" s="2" t="s">
        <v>48</v>
      </c>
      <c r="W46" s="2" t="s">
        <v>242</v>
      </c>
    </row>
    <row r="47" spans="1:23" x14ac:dyDescent="0.25">
      <c r="A47" t="s">
        <v>138</v>
      </c>
      <c r="B47" t="b">
        <v>0</v>
      </c>
      <c r="C47" t="s">
        <v>102</v>
      </c>
      <c r="D47" t="s">
        <v>129</v>
      </c>
      <c r="E47" t="s">
        <v>86</v>
      </c>
      <c r="F47">
        <v>0.65900000000000003</v>
      </c>
      <c r="G47">
        <v>24.193000000000001</v>
      </c>
      <c r="H47">
        <v>0.96499999999999997</v>
      </c>
      <c r="I47">
        <v>0.6</v>
      </c>
      <c r="J47" t="str">
        <f t="shared" si="3"/>
        <v>DAGU40.1i</v>
      </c>
      <c r="K47" t="str">
        <f t="shared" si="4"/>
        <v>Het</v>
      </c>
      <c r="M47" t="str">
        <f t="shared" si="5"/>
        <v>LoA:qPCR RQ-WT:0.659</v>
      </c>
      <c r="N47" s="2"/>
      <c r="O47" t="str">
        <f t="shared" si="6"/>
        <v>LoA</v>
      </c>
      <c r="P47" t="str">
        <f t="shared" si="7"/>
        <v>Nr0b1_CR_WT</v>
      </c>
      <c r="Q47">
        <f t="shared" si="8"/>
        <v>0.65900000000000003</v>
      </c>
      <c r="R47" t="str">
        <f t="shared" si="9"/>
        <v>CHECK</v>
      </c>
      <c r="S47" s="2" t="s">
        <v>8</v>
      </c>
      <c r="T47" s="2" t="s">
        <v>9</v>
      </c>
      <c r="U47" s="2" t="s">
        <v>241</v>
      </c>
      <c r="V47" s="2" t="s">
        <v>48</v>
      </c>
      <c r="W47" s="2" t="s">
        <v>242</v>
      </c>
    </row>
    <row r="48" spans="1:23" x14ac:dyDescent="0.25">
      <c r="A48" t="s">
        <v>139</v>
      </c>
      <c r="B48" t="b">
        <v>0</v>
      </c>
      <c r="C48" t="s">
        <v>140</v>
      </c>
      <c r="D48" t="s">
        <v>141</v>
      </c>
      <c r="E48" t="s">
        <v>86</v>
      </c>
      <c r="F48">
        <v>0</v>
      </c>
      <c r="G48">
        <v>39.472999999999999</v>
      </c>
      <c r="H48">
        <v>12.819000000000001</v>
      </c>
      <c r="I48">
        <v>12.493</v>
      </c>
      <c r="J48" t="str">
        <f t="shared" si="3"/>
        <v>DAHP12.2a</v>
      </c>
      <c r="K48" t="str">
        <f t="shared" si="4"/>
        <v>Hom</v>
      </c>
      <c r="M48" t="str">
        <f t="shared" si="5"/>
        <v>LoA:qPCR RQ-WT:0</v>
      </c>
      <c r="N48" s="2"/>
      <c r="O48" t="str">
        <f t="shared" si="6"/>
        <v>LoA</v>
      </c>
      <c r="P48" t="str">
        <f t="shared" si="7"/>
        <v>Palm_CR_WT</v>
      </c>
      <c r="Q48">
        <f t="shared" si="8"/>
        <v>0</v>
      </c>
      <c r="R48" t="str">
        <f t="shared" si="9"/>
        <v>CHECK</v>
      </c>
      <c r="S48" s="2" t="s">
        <v>8</v>
      </c>
      <c r="T48" s="2" t="s">
        <v>9</v>
      </c>
      <c r="U48" s="2" t="s">
        <v>7</v>
      </c>
      <c r="V48" s="2" t="s">
        <v>242</v>
      </c>
      <c r="W48" s="2" t="s">
        <v>6</v>
      </c>
    </row>
    <row r="49" spans="1:23" x14ac:dyDescent="0.25">
      <c r="A49" t="s">
        <v>142</v>
      </c>
      <c r="B49" t="b">
        <v>0</v>
      </c>
      <c r="C49" t="s">
        <v>143</v>
      </c>
      <c r="D49" t="s">
        <v>141</v>
      </c>
      <c r="E49" t="s">
        <v>86</v>
      </c>
      <c r="F49">
        <v>6.0000000000000001E-3</v>
      </c>
      <c r="G49">
        <v>32.915999999999997</v>
      </c>
      <c r="H49">
        <v>7.6050000000000004</v>
      </c>
      <c r="I49">
        <v>7.2789999999999999</v>
      </c>
      <c r="J49" t="str">
        <f t="shared" si="3"/>
        <v>DAHP12.2b</v>
      </c>
      <c r="K49" t="str">
        <f t="shared" si="4"/>
        <v>Hom</v>
      </c>
      <c r="M49" t="str">
        <f t="shared" si="5"/>
        <v>LoA:qPCR RQ-WT:0.006</v>
      </c>
      <c r="N49" s="2"/>
      <c r="O49" t="str">
        <f t="shared" si="6"/>
        <v>LoA</v>
      </c>
      <c r="P49" t="str">
        <f t="shared" si="7"/>
        <v>Palm_CR_WT</v>
      </c>
      <c r="Q49">
        <f t="shared" si="8"/>
        <v>3.0000000000000001E-3</v>
      </c>
      <c r="R49" t="str">
        <f t="shared" si="9"/>
        <v>CHECK</v>
      </c>
      <c r="S49" s="2" t="s">
        <v>8</v>
      </c>
      <c r="T49" s="2" t="s">
        <v>9</v>
      </c>
      <c r="U49" s="2" t="s">
        <v>7</v>
      </c>
      <c r="V49" s="2" t="s">
        <v>242</v>
      </c>
      <c r="W49" s="2" t="s">
        <v>6</v>
      </c>
    </row>
    <row r="50" spans="1:23" x14ac:dyDescent="0.25">
      <c r="A50" t="s">
        <v>144</v>
      </c>
      <c r="B50" t="b">
        <v>0</v>
      </c>
      <c r="C50" t="s">
        <v>145</v>
      </c>
      <c r="D50" t="s">
        <v>141</v>
      </c>
      <c r="E50" t="s">
        <v>86</v>
      </c>
      <c r="F50">
        <v>0.93500000000000005</v>
      </c>
      <c r="G50">
        <v>24.806999999999999</v>
      </c>
      <c r="H50">
        <v>0.42299999999999999</v>
      </c>
      <c r="I50">
        <v>9.7000000000000003E-2</v>
      </c>
      <c r="J50" t="str">
        <f t="shared" si="3"/>
        <v>DAHP12.2c</v>
      </c>
      <c r="K50" t="str">
        <f t="shared" si="4"/>
        <v>Het</v>
      </c>
      <c r="M50" t="str">
        <f t="shared" si="5"/>
        <v>LoA:qPCR RQ-WT:0.935</v>
      </c>
      <c r="N50" s="2"/>
      <c r="O50" t="str">
        <f t="shared" si="6"/>
        <v>LoA</v>
      </c>
      <c r="P50" t="str">
        <f t="shared" si="7"/>
        <v>Palm_CR_WT</v>
      </c>
      <c r="Q50">
        <f t="shared" si="8"/>
        <v>0.46750000000000003</v>
      </c>
      <c r="R50" t="str">
        <f t="shared" si="9"/>
        <v>CHECK</v>
      </c>
      <c r="S50" s="2" t="s">
        <v>8</v>
      </c>
      <c r="T50" s="2" t="s">
        <v>9</v>
      </c>
      <c r="U50" s="2" t="s">
        <v>7</v>
      </c>
      <c r="V50" s="2" t="s">
        <v>242</v>
      </c>
      <c r="W50" s="2" t="s">
        <v>6</v>
      </c>
    </row>
    <row r="51" spans="1:23" x14ac:dyDescent="0.25">
      <c r="A51" t="s">
        <v>146</v>
      </c>
      <c r="B51" t="b">
        <v>0</v>
      </c>
      <c r="C51" t="s">
        <v>147</v>
      </c>
      <c r="D51" t="s">
        <v>141</v>
      </c>
      <c r="E51" t="s">
        <v>86</v>
      </c>
      <c r="F51">
        <v>1.0349999999999999</v>
      </c>
      <c r="G51">
        <v>25.193000000000001</v>
      </c>
      <c r="H51">
        <v>0.27700000000000002</v>
      </c>
      <c r="I51">
        <v>-4.9000000000000002E-2</v>
      </c>
      <c r="J51" t="str">
        <f t="shared" si="3"/>
        <v>DAHP12.2d</v>
      </c>
      <c r="K51" t="str">
        <f t="shared" si="4"/>
        <v>Het</v>
      </c>
      <c r="M51" t="str">
        <f t="shared" si="5"/>
        <v>LoA:qPCR RQ-WT:1.035</v>
      </c>
      <c r="N51" s="2"/>
      <c r="O51" t="str">
        <f t="shared" si="6"/>
        <v>LoA</v>
      </c>
      <c r="P51" t="str">
        <f t="shared" si="7"/>
        <v>Palm_CR_WT</v>
      </c>
      <c r="Q51">
        <f t="shared" si="8"/>
        <v>0.51749999999999996</v>
      </c>
      <c r="R51" t="str">
        <f t="shared" si="9"/>
        <v>CHECK</v>
      </c>
      <c r="S51" s="2" t="s">
        <v>8</v>
      </c>
      <c r="T51" s="2" t="s">
        <v>9</v>
      </c>
      <c r="U51" s="2" t="s">
        <v>7</v>
      </c>
      <c r="V51" s="2" t="s">
        <v>242</v>
      </c>
      <c r="W51" s="2" t="s">
        <v>6</v>
      </c>
    </row>
    <row r="52" spans="1:23" x14ac:dyDescent="0.25">
      <c r="A52" t="s">
        <v>148</v>
      </c>
      <c r="B52" t="b">
        <v>0</v>
      </c>
      <c r="C52" t="s">
        <v>149</v>
      </c>
      <c r="D52" t="s">
        <v>141</v>
      </c>
      <c r="E52" t="s">
        <v>86</v>
      </c>
      <c r="G52" t="s">
        <v>133</v>
      </c>
      <c r="J52" t="str">
        <f t="shared" si="3"/>
        <v>DAHP12.2e</v>
      </c>
      <c r="K52" t="str">
        <f t="shared" si="4"/>
        <v>Hom</v>
      </c>
      <c r="M52" t="str">
        <f t="shared" si="5"/>
        <v>LoA:qPCR RQ-WT:</v>
      </c>
      <c r="N52" s="2"/>
      <c r="O52" t="str">
        <f t="shared" si="6"/>
        <v>LoA</v>
      </c>
      <c r="P52" t="str">
        <f t="shared" si="7"/>
        <v>Palm_CR_WT</v>
      </c>
      <c r="Q52">
        <f t="shared" si="8"/>
        <v>0</v>
      </c>
      <c r="R52" t="str">
        <f t="shared" si="9"/>
        <v>CHECK</v>
      </c>
      <c r="S52" s="2" t="s">
        <v>8</v>
      </c>
      <c r="T52" s="2" t="s">
        <v>9</v>
      </c>
      <c r="U52" s="2" t="s">
        <v>7</v>
      </c>
      <c r="V52" s="2" t="s">
        <v>242</v>
      </c>
      <c r="W52" s="2" t="s">
        <v>6</v>
      </c>
    </row>
    <row r="53" spans="1:23" x14ac:dyDescent="0.25">
      <c r="A53" t="s">
        <v>150</v>
      </c>
      <c r="B53" t="b">
        <v>0</v>
      </c>
      <c r="C53" t="s">
        <v>151</v>
      </c>
      <c r="D53" t="s">
        <v>141</v>
      </c>
      <c r="E53" t="s">
        <v>86</v>
      </c>
      <c r="F53">
        <v>0.93400000000000005</v>
      </c>
      <c r="G53">
        <v>25.587</v>
      </c>
      <c r="H53">
        <v>0.42499999999999999</v>
      </c>
      <c r="I53">
        <v>9.9000000000000005E-2</v>
      </c>
      <c r="J53" t="str">
        <f t="shared" si="3"/>
        <v>DAHP12.2f</v>
      </c>
      <c r="K53" t="str">
        <f t="shared" si="4"/>
        <v>Het</v>
      </c>
      <c r="M53" t="str">
        <f t="shared" si="5"/>
        <v>LoA:qPCR RQ-WT:0.934</v>
      </c>
      <c r="N53" s="2"/>
      <c r="O53" t="str">
        <f t="shared" si="6"/>
        <v>LoA</v>
      </c>
      <c r="P53" t="str">
        <f t="shared" si="7"/>
        <v>Palm_CR_WT</v>
      </c>
      <c r="Q53">
        <f t="shared" si="8"/>
        <v>0.46700000000000003</v>
      </c>
      <c r="R53" t="str">
        <f t="shared" si="9"/>
        <v>CHECK</v>
      </c>
      <c r="S53" s="2" t="s">
        <v>8</v>
      </c>
      <c r="T53" s="2" t="s">
        <v>9</v>
      </c>
      <c r="U53" s="2" t="s">
        <v>7</v>
      </c>
      <c r="V53" s="2" t="s">
        <v>242</v>
      </c>
      <c r="W53" s="2" t="s">
        <v>6</v>
      </c>
    </row>
    <row r="54" spans="1:23" x14ac:dyDescent="0.25">
      <c r="A54" t="s">
        <v>152</v>
      </c>
      <c r="B54" t="b">
        <v>0</v>
      </c>
      <c r="C54" t="s">
        <v>153</v>
      </c>
      <c r="D54" t="s">
        <v>141</v>
      </c>
      <c r="E54" t="s">
        <v>86</v>
      </c>
      <c r="F54">
        <v>0.93200000000000005</v>
      </c>
      <c r="G54">
        <v>25.417999999999999</v>
      </c>
      <c r="H54">
        <v>0.42699999999999999</v>
      </c>
      <c r="I54">
        <v>0.10100000000000001</v>
      </c>
      <c r="J54" t="str">
        <f t="shared" si="3"/>
        <v>DAHP12.2g</v>
      </c>
      <c r="K54" t="str">
        <f t="shared" si="4"/>
        <v>Het</v>
      </c>
      <c r="M54" t="str">
        <f t="shared" si="5"/>
        <v>LoA:qPCR RQ-WT:0.932</v>
      </c>
      <c r="N54" s="2"/>
      <c r="O54" t="str">
        <f t="shared" si="6"/>
        <v>LoA</v>
      </c>
      <c r="P54" t="str">
        <f t="shared" si="7"/>
        <v>Palm_CR_WT</v>
      </c>
      <c r="Q54">
        <f t="shared" si="8"/>
        <v>0.46600000000000003</v>
      </c>
      <c r="R54" t="str">
        <f t="shared" si="9"/>
        <v>CHECK</v>
      </c>
      <c r="S54" s="2" t="s">
        <v>8</v>
      </c>
      <c r="T54" s="2" t="s">
        <v>9</v>
      </c>
      <c r="U54" s="2" t="s">
        <v>7</v>
      </c>
      <c r="V54" s="2" t="s">
        <v>242</v>
      </c>
      <c r="W54" s="2" t="s">
        <v>6</v>
      </c>
    </row>
    <row r="55" spans="1:23" x14ac:dyDescent="0.25">
      <c r="A55" t="s">
        <v>154</v>
      </c>
      <c r="B55" t="b">
        <v>0</v>
      </c>
      <c r="C55" t="s">
        <v>155</v>
      </c>
      <c r="D55" t="s">
        <v>141</v>
      </c>
      <c r="E55" t="s">
        <v>86</v>
      </c>
      <c r="G55" t="s">
        <v>133</v>
      </c>
      <c r="J55" t="str">
        <f t="shared" si="3"/>
        <v>DAHP12.2h</v>
      </c>
      <c r="K55" t="str">
        <f t="shared" si="4"/>
        <v>Hom</v>
      </c>
      <c r="M55" t="str">
        <f t="shared" si="5"/>
        <v>LoA:qPCR RQ-WT:</v>
      </c>
      <c r="N55" s="2"/>
      <c r="O55" t="str">
        <f t="shared" si="6"/>
        <v>LoA</v>
      </c>
      <c r="P55" t="str">
        <f t="shared" si="7"/>
        <v>Palm_CR_WT</v>
      </c>
      <c r="Q55">
        <f t="shared" si="8"/>
        <v>0</v>
      </c>
      <c r="R55" t="str">
        <f t="shared" si="9"/>
        <v>CHECK</v>
      </c>
      <c r="S55" s="2" t="s">
        <v>8</v>
      </c>
      <c r="T55" s="2" t="s">
        <v>9</v>
      </c>
      <c r="U55" s="2" t="s">
        <v>7</v>
      </c>
      <c r="V55" s="2" t="s">
        <v>242</v>
      </c>
      <c r="W55" s="2" t="s">
        <v>6</v>
      </c>
    </row>
    <row r="56" spans="1:23" x14ac:dyDescent="0.25">
      <c r="A56" t="s">
        <v>156</v>
      </c>
      <c r="B56" t="b">
        <v>0</v>
      </c>
      <c r="C56" t="s">
        <v>157</v>
      </c>
      <c r="D56" t="s">
        <v>141</v>
      </c>
      <c r="E56" t="s">
        <v>86</v>
      </c>
      <c r="G56" t="s">
        <v>133</v>
      </c>
      <c r="J56" t="str">
        <f t="shared" si="3"/>
        <v>DAHP13.2a</v>
      </c>
      <c r="K56" t="str">
        <f t="shared" si="4"/>
        <v>Hom</v>
      </c>
      <c r="M56" t="str">
        <f t="shared" si="5"/>
        <v>LoA:qPCR RQ-WT:</v>
      </c>
      <c r="N56" s="2"/>
      <c r="O56" t="str">
        <f t="shared" si="6"/>
        <v>LoA</v>
      </c>
      <c r="P56" t="str">
        <f t="shared" si="7"/>
        <v>Palm_CR_WT</v>
      </c>
      <c r="Q56">
        <f t="shared" si="8"/>
        <v>0</v>
      </c>
      <c r="R56" t="str">
        <f t="shared" si="9"/>
        <v>CHECK</v>
      </c>
      <c r="S56" s="2" t="s">
        <v>8</v>
      </c>
      <c r="T56" s="2" t="s">
        <v>9</v>
      </c>
      <c r="U56" s="2" t="s">
        <v>7</v>
      </c>
      <c r="V56" s="2" t="s">
        <v>242</v>
      </c>
      <c r="W56" s="2" t="s">
        <v>6</v>
      </c>
    </row>
    <row r="57" spans="1:23" x14ac:dyDescent="0.25">
      <c r="A57" t="s">
        <v>158</v>
      </c>
      <c r="B57" t="b">
        <v>0</v>
      </c>
      <c r="C57" t="s">
        <v>159</v>
      </c>
      <c r="D57" t="s">
        <v>141</v>
      </c>
      <c r="E57" t="s">
        <v>86</v>
      </c>
      <c r="G57" t="s">
        <v>133</v>
      </c>
      <c r="J57" t="str">
        <f t="shared" si="3"/>
        <v>DAHP13.2b</v>
      </c>
      <c r="K57" t="str">
        <f t="shared" si="4"/>
        <v>Hom</v>
      </c>
      <c r="M57" t="str">
        <f t="shared" si="5"/>
        <v>LoA:qPCR RQ-WT:</v>
      </c>
      <c r="N57" s="2"/>
      <c r="O57" t="str">
        <f t="shared" si="6"/>
        <v>LoA</v>
      </c>
      <c r="P57" t="str">
        <f t="shared" si="7"/>
        <v>Palm_CR_WT</v>
      </c>
      <c r="Q57">
        <f t="shared" si="8"/>
        <v>0</v>
      </c>
      <c r="R57" t="str">
        <f t="shared" si="9"/>
        <v>CHECK</v>
      </c>
      <c r="S57" s="2" t="s">
        <v>8</v>
      </c>
      <c r="T57" s="2" t="s">
        <v>9</v>
      </c>
      <c r="U57" s="2" t="s">
        <v>7</v>
      </c>
      <c r="V57" s="2" t="s">
        <v>242</v>
      </c>
      <c r="W57" s="2" t="s">
        <v>6</v>
      </c>
    </row>
    <row r="58" spans="1:23" x14ac:dyDescent="0.25">
      <c r="A58" t="s">
        <v>160</v>
      </c>
      <c r="B58" t="b">
        <v>0</v>
      </c>
      <c r="C58" t="s">
        <v>161</v>
      </c>
      <c r="D58" t="s">
        <v>141</v>
      </c>
      <c r="E58" t="s">
        <v>86</v>
      </c>
      <c r="F58">
        <v>1</v>
      </c>
      <c r="G58">
        <v>25.114000000000001</v>
      </c>
      <c r="H58">
        <v>0.32600000000000001</v>
      </c>
      <c r="I58">
        <v>0</v>
      </c>
      <c r="J58" t="str">
        <f t="shared" si="3"/>
        <v>DAHP13.2c</v>
      </c>
      <c r="K58" t="str">
        <f t="shared" si="4"/>
        <v>Het</v>
      </c>
      <c r="M58" t="str">
        <f t="shared" si="5"/>
        <v>LoA:qPCR RQ-WT:1</v>
      </c>
      <c r="N58" s="2"/>
      <c r="O58" t="str">
        <f t="shared" si="6"/>
        <v>LoA</v>
      </c>
      <c r="P58" t="str">
        <f t="shared" si="7"/>
        <v>Palm_CR_WT</v>
      </c>
      <c r="Q58">
        <f t="shared" si="8"/>
        <v>0.5</v>
      </c>
      <c r="R58" t="str">
        <f t="shared" si="9"/>
        <v>CHECK</v>
      </c>
      <c r="S58" s="2" t="s">
        <v>8</v>
      </c>
      <c r="T58" s="2" t="s">
        <v>9</v>
      </c>
      <c r="U58" s="2" t="s">
        <v>7</v>
      </c>
      <c r="V58" s="2" t="s">
        <v>242</v>
      </c>
      <c r="W58" s="2" t="s">
        <v>6</v>
      </c>
    </row>
    <row r="59" spans="1:23" x14ac:dyDescent="0.25">
      <c r="A59" t="s">
        <v>162</v>
      </c>
      <c r="B59" t="b">
        <v>0</v>
      </c>
      <c r="C59" t="s">
        <v>163</v>
      </c>
      <c r="D59" t="s">
        <v>141</v>
      </c>
      <c r="E59" t="s">
        <v>86</v>
      </c>
      <c r="F59">
        <v>0.92400000000000004</v>
      </c>
      <c r="G59">
        <v>24.893000000000001</v>
      </c>
      <c r="H59">
        <v>0.439</v>
      </c>
      <c r="I59">
        <v>0.113</v>
      </c>
      <c r="J59" t="str">
        <f t="shared" si="3"/>
        <v>DAHP13.2d</v>
      </c>
      <c r="K59" t="str">
        <f t="shared" si="4"/>
        <v>Het</v>
      </c>
      <c r="M59" t="str">
        <f t="shared" si="5"/>
        <v>LoA:qPCR RQ-WT:0.924</v>
      </c>
      <c r="N59" s="2"/>
      <c r="O59" t="str">
        <f t="shared" si="6"/>
        <v>LoA</v>
      </c>
      <c r="P59" t="str">
        <f t="shared" si="7"/>
        <v>Palm_CR_WT</v>
      </c>
      <c r="Q59">
        <f t="shared" si="8"/>
        <v>0.46200000000000002</v>
      </c>
      <c r="R59" t="str">
        <f t="shared" si="9"/>
        <v>CHECK</v>
      </c>
      <c r="S59" s="2" t="s">
        <v>8</v>
      </c>
      <c r="T59" s="2" t="s">
        <v>9</v>
      </c>
      <c r="U59" s="2" t="s">
        <v>7</v>
      </c>
      <c r="V59" s="2" t="s">
        <v>242</v>
      </c>
      <c r="W59" s="2" t="s">
        <v>6</v>
      </c>
    </row>
    <row r="60" spans="1:23" x14ac:dyDescent="0.25">
      <c r="A60" t="s">
        <v>164</v>
      </c>
      <c r="B60" t="b">
        <v>0</v>
      </c>
      <c r="C60" t="s">
        <v>165</v>
      </c>
      <c r="D60" t="s">
        <v>141</v>
      </c>
      <c r="E60" t="s">
        <v>86</v>
      </c>
      <c r="G60" t="s">
        <v>133</v>
      </c>
      <c r="J60" t="str">
        <f t="shared" si="3"/>
        <v>DAHP13.2e</v>
      </c>
      <c r="K60" t="str">
        <f t="shared" si="4"/>
        <v>Hom</v>
      </c>
      <c r="M60" t="str">
        <f t="shared" si="5"/>
        <v>LoA:qPCR RQ-WT:</v>
      </c>
      <c r="N60" s="2"/>
      <c r="O60" t="str">
        <f t="shared" si="6"/>
        <v>LoA</v>
      </c>
      <c r="P60" t="str">
        <f t="shared" si="7"/>
        <v>Palm_CR_WT</v>
      </c>
      <c r="Q60">
        <f t="shared" si="8"/>
        <v>0</v>
      </c>
      <c r="R60" t="str">
        <f t="shared" si="9"/>
        <v>CHECK</v>
      </c>
      <c r="S60" s="2" t="s">
        <v>8</v>
      </c>
      <c r="T60" s="2" t="s">
        <v>9</v>
      </c>
      <c r="U60" s="2" t="s">
        <v>7</v>
      </c>
      <c r="V60" s="2" t="s">
        <v>242</v>
      </c>
      <c r="W60" s="2" t="s">
        <v>6</v>
      </c>
    </row>
    <row r="61" spans="1:23" x14ac:dyDescent="0.25">
      <c r="A61" t="s">
        <v>166</v>
      </c>
      <c r="B61" t="b">
        <v>0</v>
      </c>
      <c r="C61" t="s">
        <v>167</v>
      </c>
      <c r="D61" t="s">
        <v>141</v>
      </c>
      <c r="E61" t="s">
        <v>86</v>
      </c>
      <c r="F61">
        <v>0.88300000000000001</v>
      </c>
      <c r="G61">
        <v>24.844000000000001</v>
      </c>
      <c r="H61">
        <v>0.50600000000000001</v>
      </c>
      <c r="I61">
        <v>0.18</v>
      </c>
      <c r="J61" t="str">
        <f t="shared" si="3"/>
        <v>DAHP13.2f</v>
      </c>
      <c r="K61" t="str">
        <f t="shared" si="4"/>
        <v>Het</v>
      </c>
      <c r="M61" t="str">
        <f t="shared" si="5"/>
        <v>LoA:qPCR RQ-WT:0.883</v>
      </c>
      <c r="N61" s="2"/>
      <c r="O61" t="str">
        <f t="shared" si="6"/>
        <v>LoA</v>
      </c>
      <c r="P61" t="str">
        <f t="shared" si="7"/>
        <v>Palm_CR_WT</v>
      </c>
      <c r="Q61">
        <f t="shared" si="8"/>
        <v>0.4415</v>
      </c>
      <c r="R61" t="str">
        <f t="shared" si="9"/>
        <v>CHECK</v>
      </c>
      <c r="S61" s="2" t="s">
        <v>8</v>
      </c>
      <c r="T61" s="2" t="s">
        <v>9</v>
      </c>
      <c r="U61" s="2" t="s">
        <v>7</v>
      </c>
      <c r="V61" s="2" t="s">
        <v>242</v>
      </c>
      <c r="W61" s="2" t="s">
        <v>6</v>
      </c>
    </row>
    <row r="62" spans="1:23" x14ac:dyDescent="0.25">
      <c r="A62" t="s">
        <v>168</v>
      </c>
      <c r="B62" t="b">
        <v>0</v>
      </c>
      <c r="C62" t="s">
        <v>169</v>
      </c>
      <c r="D62" t="s">
        <v>141</v>
      </c>
      <c r="E62" t="s">
        <v>86</v>
      </c>
      <c r="G62" t="s">
        <v>133</v>
      </c>
      <c r="J62" t="str">
        <f t="shared" si="3"/>
        <v>DAHP15.2a</v>
      </c>
      <c r="K62" t="str">
        <f t="shared" si="4"/>
        <v>Hom</v>
      </c>
      <c r="M62" t="str">
        <f t="shared" si="5"/>
        <v>LoA:qPCR RQ-WT:</v>
      </c>
      <c r="N62" s="2"/>
      <c r="O62" t="str">
        <f t="shared" si="6"/>
        <v>LoA</v>
      </c>
      <c r="P62" t="str">
        <f t="shared" si="7"/>
        <v>Palm_CR_WT</v>
      </c>
      <c r="Q62">
        <f t="shared" si="8"/>
        <v>0</v>
      </c>
      <c r="R62" t="str">
        <f t="shared" si="9"/>
        <v>CHECK</v>
      </c>
      <c r="S62" s="2" t="s">
        <v>8</v>
      </c>
      <c r="T62" s="2" t="s">
        <v>9</v>
      </c>
      <c r="U62" s="2" t="s">
        <v>7</v>
      </c>
      <c r="V62" s="2" t="s">
        <v>242</v>
      </c>
      <c r="W62" s="2" t="s">
        <v>6</v>
      </c>
    </row>
    <row r="63" spans="1:23" x14ac:dyDescent="0.25">
      <c r="A63" t="s">
        <v>170</v>
      </c>
      <c r="B63" t="b">
        <v>0</v>
      </c>
      <c r="C63" t="s">
        <v>171</v>
      </c>
      <c r="D63" t="s">
        <v>141</v>
      </c>
      <c r="E63" t="s">
        <v>86</v>
      </c>
      <c r="G63" t="s">
        <v>133</v>
      </c>
      <c r="J63" t="str">
        <f t="shared" si="3"/>
        <v>DAHP15.2b</v>
      </c>
      <c r="K63" t="str">
        <f t="shared" si="4"/>
        <v>Hom</v>
      </c>
      <c r="M63" t="str">
        <f t="shared" si="5"/>
        <v>LoA:qPCR RQ-WT:</v>
      </c>
      <c r="N63" s="2"/>
      <c r="O63" t="str">
        <f t="shared" si="6"/>
        <v>LoA</v>
      </c>
      <c r="P63" t="str">
        <f t="shared" si="7"/>
        <v>Palm_CR_WT</v>
      </c>
      <c r="Q63">
        <f t="shared" si="8"/>
        <v>0</v>
      </c>
      <c r="R63" t="str">
        <f t="shared" si="9"/>
        <v>CHECK</v>
      </c>
      <c r="S63" s="2" t="s">
        <v>8</v>
      </c>
      <c r="T63" s="2" t="s">
        <v>9</v>
      </c>
      <c r="U63" s="2" t="s">
        <v>7</v>
      </c>
      <c r="V63" s="2" t="s">
        <v>242</v>
      </c>
      <c r="W63" s="2" t="s">
        <v>6</v>
      </c>
    </row>
    <row r="64" spans="1:23" x14ac:dyDescent="0.25">
      <c r="A64" t="s">
        <v>172</v>
      </c>
      <c r="B64" t="b">
        <v>0</v>
      </c>
      <c r="C64" t="s">
        <v>173</v>
      </c>
      <c r="D64" t="s">
        <v>141</v>
      </c>
      <c r="E64" t="s">
        <v>86</v>
      </c>
      <c r="G64" t="s">
        <v>133</v>
      </c>
      <c r="J64" t="str">
        <f t="shared" si="3"/>
        <v>DAHP15.2c</v>
      </c>
      <c r="K64" t="str">
        <f t="shared" si="4"/>
        <v>Hom</v>
      </c>
      <c r="M64" t="str">
        <f t="shared" si="5"/>
        <v>LoA:qPCR RQ-WT:</v>
      </c>
      <c r="N64" s="2"/>
      <c r="O64" t="str">
        <f t="shared" si="6"/>
        <v>LoA</v>
      </c>
      <c r="P64" t="str">
        <f t="shared" si="7"/>
        <v>Palm_CR_WT</v>
      </c>
      <c r="Q64">
        <f t="shared" si="8"/>
        <v>0</v>
      </c>
      <c r="R64" t="str">
        <f t="shared" si="9"/>
        <v>CHECK</v>
      </c>
      <c r="S64" s="2" t="s">
        <v>8</v>
      </c>
      <c r="T64" s="2" t="s">
        <v>9</v>
      </c>
      <c r="U64" s="2" t="s">
        <v>7</v>
      </c>
      <c r="V64" s="2" t="s">
        <v>242</v>
      </c>
      <c r="W64" s="2" t="s">
        <v>6</v>
      </c>
    </row>
    <row r="65" spans="1:23" x14ac:dyDescent="0.25">
      <c r="A65" t="s">
        <v>174</v>
      </c>
      <c r="B65" t="b">
        <v>0</v>
      </c>
      <c r="C65" t="s">
        <v>175</v>
      </c>
      <c r="D65" t="s">
        <v>141</v>
      </c>
      <c r="E65" t="s">
        <v>86</v>
      </c>
      <c r="F65">
        <v>0.995</v>
      </c>
      <c r="G65">
        <v>24.760999999999999</v>
      </c>
      <c r="H65">
        <v>0.33300000000000002</v>
      </c>
      <c r="I65">
        <v>7.0000000000000001E-3</v>
      </c>
      <c r="J65" t="str">
        <f t="shared" si="3"/>
        <v>DAHP15.2d</v>
      </c>
      <c r="K65" t="str">
        <f t="shared" si="4"/>
        <v>Het</v>
      </c>
      <c r="M65" t="str">
        <f t="shared" si="5"/>
        <v>LoA:qPCR RQ-WT:0.995</v>
      </c>
      <c r="N65" s="2"/>
      <c r="O65" t="str">
        <f t="shared" si="6"/>
        <v>LoA</v>
      </c>
      <c r="P65" t="str">
        <f t="shared" si="7"/>
        <v>Palm_CR_WT</v>
      </c>
      <c r="Q65">
        <f t="shared" si="8"/>
        <v>0.4975</v>
      </c>
      <c r="R65" t="str">
        <f t="shared" si="9"/>
        <v>CHECK</v>
      </c>
      <c r="S65" s="2" t="s">
        <v>8</v>
      </c>
      <c r="T65" s="2" t="s">
        <v>9</v>
      </c>
      <c r="U65" s="2" t="s">
        <v>7</v>
      </c>
      <c r="V65" s="2" t="s">
        <v>242</v>
      </c>
      <c r="W65" s="2" t="s">
        <v>6</v>
      </c>
    </row>
    <row r="66" spans="1:23" x14ac:dyDescent="0.25">
      <c r="A66" t="s">
        <v>176</v>
      </c>
      <c r="B66" t="b">
        <v>0</v>
      </c>
      <c r="C66" t="s">
        <v>177</v>
      </c>
      <c r="D66" t="s">
        <v>141</v>
      </c>
      <c r="E66" t="s">
        <v>86</v>
      </c>
      <c r="G66" t="s">
        <v>133</v>
      </c>
      <c r="J66" t="str">
        <f t="shared" si="3"/>
        <v>DAHP15.2e</v>
      </c>
      <c r="K66" t="str">
        <f t="shared" si="4"/>
        <v>Hom</v>
      </c>
      <c r="M66" t="str">
        <f t="shared" si="5"/>
        <v>LoA:qPCR RQ-WT:</v>
      </c>
      <c r="N66" s="2"/>
      <c r="O66" t="str">
        <f t="shared" si="6"/>
        <v>LoA</v>
      </c>
      <c r="P66" t="str">
        <f t="shared" si="7"/>
        <v>Palm_CR_WT</v>
      </c>
      <c r="Q66">
        <f t="shared" si="8"/>
        <v>0</v>
      </c>
      <c r="R66" t="str">
        <f t="shared" si="9"/>
        <v>CHECK</v>
      </c>
      <c r="S66" s="2" t="s">
        <v>8</v>
      </c>
      <c r="T66" s="2" t="s">
        <v>9</v>
      </c>
      <c r="U66" s="2" t="s">
        <v>7</v>
      </c>
      <c r="V66" s="2" t="s">
        <v>242</v>
      </c>
      <c r="W66" s="2" t="s">
        <v>6</v>
      </c>
    </row>
    <row r="67" spans="1:23" x14ac:dyDescent="0.25">
      <c r="A67" t="s">
        <v>178</v>
      </c>
      <c r="B67" t="b">
        <v>0</v>
      </c>
      <c r="C67" t="s">
        <v>179</v>
      </c>
      <c r="D67" t="s">
        <v>141</v>
      </c>
      <c r="E67" t="s">
        <v>86</v>
      </c>
      <c r="G67" t="s">
        <v>133</v>
      </c>
      <c r="J67" t="str">
        <f t="shared" si="3"/>
        <v>DAHP15.2f</v>
      </c>
      <c r="K67" t="str">
        <f t="shared" si="4"/>
        <v>Hom</v>
      </c>
      <c r="M67" t="str">
        <f t="shared" si="5"/>
        <v>LoA:qPCR RQ-WT:</v>
      </c>
      <c r="N67" s="2"/>
      <c r="O67" t="str">
        <f t="shared" si="6"/>
        <v>LoA</v>
      </c>
      <c r="P67" t="str">
        <f t="shared" si="7"/>
        <v>Palm_CR_WT</v>
      </c>
      <c r="Q67">
        <f t="shared" si="8"/>
        <v>0</v>
      </c>
      <c r="R67" t="str">
        <f t="shared" si="9"/>
        <v>CHECK</v>
      </c>
      <c r="S67" s="2" t="s">
        <v>8</v>
      </c>
      <c r="T67" s="2" t="s">
        <v>9</v>
      </c>
      <c r="U67" s="2" t="s">
        <v>7</v>
      </c>
      <c r="V67" s="2" t="s">
        <v>242</v>
      </c>
      <c r="W67" s="2" t="s">
        <v>6</v>
      </c>
    </row>
    <row r="68" spans="1:23" x14ac:dyDescent="0.25">
      <c r="A68" t="s">
        <v>180</v>
      </c>
      <c r="B68" t="b">
        <v>0</v>
      </c>
      <c r="C68" t="s">
        <v>181</v>
      </c>
      <c r="D68" t="s">
        <v>141</v>
      </c>
      <c r="E68" t="s">
        <v>86</v>
      </c>
      <c r="F68">
        <v>0.91200000000000003</v>
      </c>
      <c r="G68">
        <v>24.963000000000001</v>
      </c>
      <c r="H68">
        <v>0.45900000000000002</v>
      </c>
      <c r="I68">
        <v>0.13300000000000001</v>
      </c>
      <c r="J68" t="str">
        <f t="shared" si="3"/>
        <v>DAHP15.2g</v>
      </c>
      <c r="K68" t="str">
        <f t="shared" si="4"/>
        <v>Het</v>
      </c>
      <c r="M68" t="str">
        <f t="shared" si="5"/>
        <v>LoA:qPCR RQ-WT:0.912</v>
      </c>
      <c r="N68" s="2"/>
      <c r="O68" t="str">
        <f t="shared" si="6"/>
        <v>LoA</v>
      </c>
      <c r="P68" t="str">
        <f t="shared" si="7"/>
        <v>Palm_CR_WT</v>
      </c>
      <c r="Q68">
        <f t="shared" si="8"/>
        <v>0.45600000000000002</v>
      </c>
      <c r="R68" t="str">
        <f t="shared" si="9"/>
        <v>CHECK</v>
      </c>
      <c r="S68" s="2" t="s">
        <v>8</v>
      </c>
      <c r="T68" s="2" t="s">
        <v>9</v>
      </c>
      <c r="U68" s="2" t="s">
        <v>7</v>
      </c>
      <c r="V68" s="2" t="s">
        <v>242</v>
      </c>
      <c r="W68" s="2" t="s">
        <v>6</v>
      </c>
    </row>
    <row r="69" spans="1:23" x14ac:dyDescent="0.25">
      <c r="A69" t="s">
        <v>182</v>
      </c>
      <c r="B69" t="b">
        <v>0</v>
      </c>
      <c r="C69" t="s">
        <v>183</v>
      </c>
      <c r="D69" t="s">
        <v>141</v>
      </c>
      <c r="E69" t="s">
        <v>86</v>
      </c>
      <c r="F69">
        <v>0.95499999999999996</v>
      </c>
      <c r="G69">
        <v>25.292000000000002</v>
      </c>
      <c r="H69">
        <v>0.39300000000000002</v>
      </c>
      <c r="I69">
        <v>6.7000000000000004E-2</v>
      </c>
      <c r="J69" t="str">
        <f t="shared" si="3"/>
        <v>DAHP15.2h</v>
      </c>
      <c r="K69" t="str">
        <f t="shared" si="4"/>
        <v>Het</v>
      </c>
      <c r="M69" t="str">
        <f t="shared" si="5"/>
        <v>LoA:qPCR RQ-WT:0.955</v>
      </c>
      <c r="N69" s="2"/>
      <c r="O69" t="str">
        <f t="shared" si="6"/>
        <v>LoA</v>
      </c>
      <c r="P69" t="str">
        <f t="shared" si="7"/>
        <v>Palm_CR_WT</v>
      </c>
      <c r="Q69">
        <f t="shared" si="8"/>
        <v>0.47749999999999998</v>
      </c>
      <c r="R69" t="str">
        <f t="shared" si="9"/>
        <v>CHECK</v>
      </c>
      <c r="S69" s="2" t="s">
        <v>8</v>
      </c>
      <c r="T69" s="2" t="s">
        <v>9</v>
      </c>
      <c r="U69" s="2" t="s">
        <v>7</v>
      </c>
      <c r="V69" s="2" t="s">
        <v>242</v>
      </c>
      <c r="W69" s="2" t="s">
        <v>6</v>
      </c>
    </row>
    <row r="70" spans="1:23" x14ac:dyDescent="0.25">
      <c r="A70" t="s">
        <v>184</v>
      </c>
      <c r="B70" t="b">
        <v>0</v>
      </c>
      <c r="C70" t="s">
        <v>185</v>
      </c>
      <c r="D70" t="s">
        <v>141</v>
      </c>
      <c r="E70" t="s">
        <v>86</v>
      </c>
      <c r="G70" t="s">
        <v>133</v>
      </c>
      <c r="J70" t="str">
        <f t="shared" si="3"/>
        <v>DAHP15.2i</v>
      </c>
      <c r="K70" t="str">
        <f t="shared" si="4"/>
        <v>Hom</v>
      </c>
      <c r="M70" t="str">
        <f t="shared" si="5"/>
        <v>LoA:qPCR RQ-WT:</v>
      </c>
      <c r="N70" s="2"/>
      <c r="O70" t="str">
        <f t="shared" si="6"/>
        <v>LoA</v>
      </c>
      <c r="P70" t="str">
        <f t="shared" si="7"/>
        <v>Palm_CR_WT</v>
      </c>
      <c r="Q70">
        <f t="shared" si="8"/>
        <v>0</v>
      </c>
      <c r="R70" t="str">
        <f t="shared" si="9"/>
        <v>CHECK</v>
      </c>
      <c r="S70" s="2" t="s">
        <v>8</v>
      </c>
      <c r="T70" s="2" t="s">
        <v>9</v>
      </c>
      <c r="U70" s="2" t="s">
        <v>7</v>
      </c>
      <c r="V70" s="2" t="s">
        <v>242</v>
      </c>
      <c r="W70" s="2" t="s">
        <v>6</v>
      </c>
    </row>
    <row r="71" spans="1:23" x14ac:dyDescent="0.25">
      <c r="A71" t="s">
        <v>186</v>
      </c>
      <c r="B71" t="b">
        <v>0</v>
      </c>
      <c r="C71" t="s">
        <v>187</v>
      </c>
      <c r="D71" t="s">
        <v>141</v>
      </c>
      <c r="E71" t="s">
        <v>86</v>
      </c>
      <c r="F71">
        <v>0.93600000000000005</v>
      </c>
      <c r="G71">
        <v>24.9</v>
      </c>
      <c r="H71">
        <v>0.42099999999999999</v>
      </c>
      <c r="I71">
        <v>9.5000000000000001E-2</v>
      </c>
      <c r="J71" t="str">
        <f t="shared" si="3"/>
        <v>DAHP15.2j</v>
      </c>
      <c r="K71" t="str">
        <f t="shared" si="4"/>
        <v>Het</v>
      </c>
      <c r="M71" t="str">
        <f t="shared" si="5"/>
        <v>LoA:qPCR RQ-WT:0.936</v>
      </c>
      <c r="N71" s="2"/>
      <c r="O71" t="str">
        <f t="shared" si="6"/>
        <v>LoA</v>
      </c>
      <c r="P71" t="str">
        <f t="shared" si="7"/>
        <v>Palm_CR_WT</v>
      </c>
      <c r="Q71">
        <f t="shared" si="8"/>
        <v>0.46800000000000003</v>
      </c>
      <c r="R71" t="str">
        <f t="shared" si="9"/>
        <v>CHECK</v>
      </c>
      <c r="S71" s="2" t="s">
        <v>8</v>
      </c>
      <c r="T71" s="2" t="s">
        <v>9</v>
      </c>
      <c r="U71" s="2" t="s">
        <v>7</v>
      </c>
      <c r="V71" s="2" t="s">
        <v>242</v>
      </c>
      <c r="W71" s="2" t="s">
        <v>6</v>
      </c>
    </row>
    <row r="72" spans="1:23" x14ac:dyDescent="0.25">
      <c r="A72" t="s">
        <v>188</v>
      </c>
      <c r="B72" t="b">
        <v>0</v>
      </c>
      <c r="C72" t="s">
        <v>189</v>
      </c>
      <c r="D72" t="s">
        <v>190</v>
      </c>
      <c r="E72" t="s">
        <v>86</v>
      </c>
      <c r="F72">
        <v>0.65600000000000003</v>
      </c>
      <c r="G72">
        <v>23.715</v>
      </c>
      <c r="H72">
        <v>0.22500000000000001</v>
      </c>
      <c r="I72">
        <v>0.60699999999999998</v>
      </c>
      <c r="J72" t="str">
        <f t="shared" si="3"/>
        <v>DAHV8.2a</v>
      </c>
      <c r="K72" t="str">
        <f t="shared" si="4"/>
        <v>Het</v>
      </c>
      <c r="M72" t="str">
        <f t="shared" si="5"/>
        <v>LoA:qPCR RQ-WT:0.656</v>
      </c>
      <c r="N72" s="2"/>
      <c r="O72" t="str">
        <f t="shared" si="6"/>
        <v>LoA</v>
      </c>
      <c r="P72" t="str">
        <f t="shared" si="7"/>
        <v>Sirpb1c_CR_WT</v>
      </c>
      <c r="Q72">
        <f t="shared" si="8"/>
        <v>0.65600000000000003</v>
      </c>
      <c r="R72" t="str">
        <f t="shared" si="9"/>
        <v>CHECK</v>
      </c>
      <c r="S72" s="2" t="s">
        <v>8</v>
      </c>
      <c r="T72" s="2" t="s">
        <v>9</v>
      </c>
      <c r="U72" s="2" t="s">
        <v>7</v>
      </c>
      <c r="V72" s="2" t="s">
        <v>48</v>
      </c>
      <c r="W72" s="2" t="s">
        <v>6</v>
      </c>
    </row>
    <row r="73" spans="1:23" x14ac:dyDescent="0.25">
      <c r="A73" t="s">
        <v>191</v>
      </c>
      <c r="B73" t="b">
        <v>0</v>
      </c>
      <c r="C73" t="s">
        <v>192</v>
      </c>
      <c r="D73" t="s">
        <v>190</v>
      </c>
      <c r="E73" t="s">
        <v>86</v>
      </c>
      <c r="F73">
        <v>0.64600000000000002</v>
      </c>
      <c r="G73">
        <v>23.629000000000001</v>
      </c>
      <c r="H73">
        <v>0.248</v>
      </c>
      <c r="I73">
        <v>0.63</v>
      </c>
      <c r="J73" t="str">
        <f t="shared" si="3"/>
        <v>DAHV8.2b</v>
      </c>
      <c r="K73" t="str">
        <f t="shared" si="4"/>
        <v>Het</v>
      </c>
      <c r="M73" t="str">
        <f t="shared" si="5"/>
        <v>LoA:qPCR RQ-WT:0.646</v>
      </c>
      <c r="N73" s="2"/>
      <c r="O73" t="str">
        <f t="shared" si="6"/>
        <v>LoA</v>
      </c>
      <c r="P73" t="str">
        <f t="shared" si="7"/>
        <v>Sirpb1c_CR_WT</v>
      </c>
      <c r="Q73">
        <f t="shared" si="8"/>
        <v>0.64600000000000002</v>
      </c>
      <c r="R73" t="str">
        <f t="shared" si="9"/>
        <v>CHECK</v>
      </c>
      <c r="S73" s="2" t="s">
        <v>8</v>
      </c>
      <c r="T73" s="2" t="s">
        <v>9</v>
      </c>
      <c r="U73" s="2" t="s">
        <v>7</v>
      </c>
      <c r="V73" s="2" t="s">
        <v>48</v>
      </c>
      <c r="W73" s="2" t="s">
        <v>6</v>
      </c>
    </row>
    <row r="74" spans="1:23" x14ac:dyDescent="0.25">
      <c r="A74" t="s">
        <v>193</v>
      </c>
      <c r="B74" t="b">
        <v>0</v>
      </c>
      <c r="C74" t="s">
        <v>194</v>
      </c>
      <c r="D74" t="s">
        <v>190</v>
      </c>
      <c r="E74" t="s">
        <v>86</v>
      </c>
      <c r="F74">
        <v>0.85</v>
      </c>
      <c r="G74">
        <v>23.866</v>
      </c>
      <c r="H74">
        <v>-0.14699999999999999</v>
      </c>
      <c r="I74">
        <v>0.23499999999999999</v>
      </c>
      <c r="J74" t="str">
        <f t="shared" si="3"/>
        <v>DAHV8.2c</v>
      </c>
      <c r="K74" t="str">
        <f t="shared" si="4"/>
        <v>WT</v>
      </c>
      <c r="M74" t="str">
        <f t="shared" si="5"/>
        <v>LoA:qPCR RQ-WT:0.85</v>
      </c>
      <c r="N74" s="2"/>
      <c r="O74" t="str">
        <f t="shared" si="6"/>
        <v>LoA</v>
      </c>
      <c r="P74" t="str">
        <f t="shared" si="7"/>
        <v>Sirpb1c_CR_WT</v>
      </c>
      <c r="Q74">
        <f t="shared" si="8"/>
        <v>0.85</v>
      </c>
      <c r="R74" t="str">
        <f t="shared" si="9"/>
        <v>CHECK</v>
      </c>
      <c r="S74" s="2" t="s">
        <v>8</v>
      </c>
      <c r="T74" s="2" t="s">
        <v>9</v>
      </c>
      <c r="U74" s="2" t="s">
        <v>7</v>
      </c>
      <c r="V74" s="2" t="s">
        <v>48</v>
      </c>
      <c r="W74" s="2" t="s">
        <v>6</v>
      </c>
    </row>
    <row r="75" spans="1:23" x14ac:dyDescent="0.25">
      <c r="A75" t="s">
        <v>195</v>
      </c>
      <c r="B75" t="b">
        <v>0</v>
      </c>
      <c r="C75" t="s">
        <v>196</v>
      </c>
      <c r="D75" t="s">
        <v>190</v>
      </c>
      <c r="E75" t="s">
        <v>86</v>
      </c>
      <c r="F75">
        <v>0.63100000000000001</v>
      </c>
      <c r="G75">
        <v>23.992999999999999</v>
      </c>
      <c r="H75">
        <v>0.28199999999999997</v>
      </c>
      <c r="I75">
        <v>0.66400000000000003</v>
      </c>
      <c r="J75" t="str">
        <f t="shared" si="3"/>
        <v>DAHV8.2d</v>
      </c>
      <c r="K75" t="str">
        <f t="shared" si="4"/>
        <v>Het</v>
      </c>
      <c r="M75" t="str">
        <f t="shared" si="5"/>
        <v>LoA:qPCR RQ-WT:0.631</v>
      </c>
      <c r="N75" s="2"/>
      <c r="O75" t="str">
        <f t="shared" si="6"/>
        <v>LoA</v>
      </c>
      <c r="P75" t="str">
        <f t="shared" si="7"/>
        <v>Sirpb1c_CR_WT</v>
      </c>
      <c r="Q75">
        <f t="shared" si="8"/>
        <v>0.63100000000000001</v>
      </c>
      <c r="R75" t="str">
        <f t="shared" si="9"/>
        <v>CHECK</v>
      </c>
      <c r="S75" s="2" t="s">
        <v>8</v>
      </c>
      <c r="T75" s="2" t="s">
        <v>9</v>
      </c>
      <c r="U75" s="2" t="s">
        <v>7</v>
      </c>
      <c r="V75" s="2" t="s">
        <v>48</v>
      </c>
      <c r="W75" s="2" t="s">
        <v>6</v>
      </c>
    </row>
    <row r="76" spans="1:23" x14ac:dyDescent="0.25">
      <c r="A76" t="s">
        <v>197</v>
      </c>
      <c r="B76" t="b">
        <v>0</v>
      </c>
      <c r="C76" t="s">
        <v>198</v>
      </c>
      <c r="D76" t="s">
        <v>190</v>
      </c>
      <c r="E76" t="s">
        <v>86</v>
      </c>
      <c r="F76">
        <v>0.64200000000000002</v>
      </c>
      <c r="G76">
        <v>24.762</v>
      </c>
      <c r="H76">
        <v>0.25700000000000001</v>
      </c>
      <c r="I76">
        <v>0.64</v>
      </c>
      <c r="J76" t="str">
        <f t="shared" si="3"/>
        <v>DAHV8.2e</v>
      </c>
      <c r="K76" t="str">
        <f t="shared" si="4"/>
        <v>Het</v>
      </c>
      <c r="M76" t="str">
        <f t="shared" si="5"/>
        <v>LoA:qPCR RQ-WT:0.642</v>
      </c>
      <c r="N76" s="2"/>
      <c r="O76" t="str">
        <f t="shared" si="6"/>
        <v>LoA</v>
      </c>
      <c r="P76" t="str">
        <f t="shared" si="7"/>
        <v>Sirpb1c_CR_WT</v>
      </c>
      <c r="Q76">
        <f t="shared" si="8"/>
        <v>0.64200000000000002</v>
      </c>
      <c r="R76" t="str">
        <f t="shared" si="9"/>
        <v>CHECK</v>
      </c>
      <c r="S76" s="2" t="s">
        <v>8</v>
      </c>
      <c r="T76" s="2" t="s">
        <v>9</v>
      </c>
      <c r="U76" s="2" t="s">
        <v>7</v>
      </c>
      <c r="V76" s="2" t="s">
        <v>48</v>
      </c>
      <c r="W76" s="2" t="s">
        <v>6</v>
      </c>
    </row>
    <row r="77" spans="1:23" x14ac:dyDescent="0.25">
      <c r="A77" t="s">
        <v>199</v>
      </c>
      <c r="B77" t="b">
        <v>0</v>
      </c>
      <c r="C77" t="s">
        <v>200</v>
      </c>
      <c r="D77" t="s">
        <v>190</v>
      </c>
      <c r="E77" t="s">
        <v>86</v>
      </c>
      <c r="F77">
        <v>0.86699999999999999</v>
      </c>
      <c r="G77">
        <v>22.780999999999999</v>
      </c>
      <c r="H77">
        <v>-0.17699999999999999</v>
      </c>
      <c r="I77">
        <v>0.20499999999999999</v>
      </c>
      <c r="J77" t="str">
        <f t="shared" si="3"/>
        <v>DAHV8.2f</v>
      </c>
      <c r="K77" t="str">
        <f t="shared" si="4"/>
        <v>WT</v>
      </c>
      <c r="M77" t="str">
        <f t="shared" si="5"/>
        <v>LoA:qPCR RQ-WT:0.867</v>
      </c>
      <c r="N77" s="2"/>
      <c r="O77" t="str">
        <f t="shared" si="6"/>
        <v>LoA</v>
      </c>
      <c r="P77" t="str">
        <f t="shared" si="7"/>
        <v>Sirpb1c_CR_WT</v>
      </c>
      <c r="Q77">
        <f t="shared" si="8"/>
        <v>0.86699999999999999</v>
      </c>
      <c r="R77" t="str">
        <f t="shared" si="9"/>
        <v>CHECK</v>
      </c>
      <c r="S77" s="2" t="s">
        <v>8</v>
      </c>
      <c r="T77" s="2" t="s">
        <v>9</v>
      </c>
      <c r="U77" s="2" t="s">
        <v>7</v>
      </c>
      <c r="V77" s="2" t="s">
        <v>48</v>
      </c>
      <c r="W77" s="2" t="s">
        <v>6</v>
      </c>
    </row>
    <row r="78" spans="1:23" x14ac:dyDescent="0.25">
      <c r="A78" t="s">
        <v>201</v>
      </c>
      <c r="B78" t="b">
        <v>0</v>
      </c>
      <c r="C78" t="s">
        <v>202</v>
      </c>
      <c r="D78" t="s">
        <v>190</v>
      </c>
      <c r="E78" t="s">
        <v>86</v>
      </c>
      <c r="F78">
        <v>0.69099999999999995</v>
      </c>
      <c r="G78">
        <v>24.135000000000002</v>
      </c>
      <c r="H78">
        <v>0.152</v>
      </c>
      <c r="I78">
        <v>0.53400000000000003</v>
      </c>
      <c r="J78" t="str">
        <f t="shared" si="3"/>
        <v>DAHV8.2g</v>
      </c>
      <c r="K78" t="str">
        <f t="shared" si="4"/>
        <v>Failed</v>
      </c>
      <c r="M78" t="str">
        <f t="shared" si="5"/>
        <v>LoA:qPCR RQ-WT:0.691</v>
      </c>
      <c r="N78" s="2"/>
      <c r="O78" t="str">
        <f t="shared" si="6"/>
        <v>LoA</v>
      </c>
      <c r="P78" t="str">
        <f t="shared" si="7"/>
        <v>Sirpb1c_CR_WT</v>
      </c>
      <c r="Q78">
        <f t="shared" si="8"/>
        <v>0.69099999999999995</v>
      </c>
      <c r="R78" t="str">
        <f t="shared" si="9"/>
        <v>Failed</v>
      </c>
      <c r="S78" s="2" t="s">
        <v>8</v>
      </c>
      <c r="T78" s="2" t="s">
        <v>9</v>
      </c>
      <c r="U78" s="2" t="s">
        <v>7</v>
      </c>
      <c r="V78" s="2" t="s">
        <v>48</v>
      </c>
      <c r="W78" s="2" t="s">
        <v>6</v>
      </c>
    </row>
    <row r="79" spans="1:23" x14ac:dyDescent="0.25">
      <c r="A79" t="s">
        <v>203</v>
      </c>
      <c r="B79" t="b">
        <v>0</v>
      </c>
      <c r="C79" t="s">
        <v>204</v>
      </c>
      <c r="D79" t="s">
        <v>190</v>
      </c>
      <c r="E79" t="s">
        <v>86</v>
      </c>
      <c r="F79">
        <v>0.89900000000000002</v>
      </c>
      <c r="G79">
        <v>23.713000000000001</v>
      </c>
      <c r="H79">
        <v>-0.22900000000000001</v>
      </c>
      <c r="I79">
        <v>0.153</v>
      </c>
      <c r="J79" t="str">
        <f t="shared" si="3"/>
        <v>DAHV8.2h</v>
      </c>
      <c r="K79" t="str">
        <f t="shared" si="4"/>
        <v>WT</v>
      </c>
      <c r="M79" t="str">
        <f t="shared" si="5"/>
        <v>LoA:qPCR RQ-WT:0.899</v>
      </c>
      <c r="N79" s="2"/>
      <c r="O79" t="str">
        <f t="shared" si="6"/>
        <v>LoA</v>
      </c>
      <c r="P79" t="str">
        <f t="shared" si="7"/>
        <v>Sirpb1c_CR_WT</v>
      </c>
      <c r="Q79">
        <f t="shared" si="8"/>
        <v>0.89900000000000002</v>
      </c>
      <c r="R79" t="str">
        <f t="shared" si="9"/>
        <v>CHECK</v>
      </c>
      <c r="S79" s="2" t="s">
        <v>8</v>
      </c>
      <c r="T79" s="2" t="s">
        <v>9</v>
      </c>
      <c r="U79" s="2" t="s">
        <v>7</v>
      </c>
      <c r="V79" s="2" t="s">
        <v>48</v>
      </c>
      <c r="W79" s="2" t="s">
        <v>6</v>
      </c>
    </row>
    <row r="80" spans="1:23" x14ac:dyDescent="0.25">
      <c r="A80" t="s">
        <v>205</v>
      </c>
      <c r="B80" t="b">
        <v>0</v>
      </c>
      <c r="C80" t="s">
        <v>206</v>
      </c>
      <c r="D80" t="s">
        <v>243</v>
      </c>
      <c r="E80" t="s">
        <v>86</v>
      </c>
      <c r="F80">
        <v>0.64800000000000002</v>
      </c>
      <c r="G80">
        <v>25.045000000000002</v>
      </c>
      <c r="H80">
        <v>1.6379999999999999</v>
      </c>
      <c r="I80">
        <v>0.627</v>
      </c>
      <c r="J80" t="str">
        <f t="shared" si="3"/>
        <v>DALK7.2a</v>
      </c>
      <c r="K80" t="str">
        <f t="shared" si="4"/>
        <v>Het</v>
      </c>
      <c r="M80" t="str">
        <f t="shared" si="5"/>
        <v>LoA:qPCR RQ-WT:0.648</v>
      </c>
      <c r="N80" s="2"/>
      <c r="O80" t="str">
        <f t="shared" si="6"/>
        <v>LoA</v>
      </c>
      <c r="P80" t="str">
        <f t="shared" si="7"/>
        <v>Il10ra_exon1</v>
      </c>
      <c r="Q80">
        <f t="shared" si="8"/>
        <v>0.64800000000000002</v>
      </c>
      <c r="R80" t="str">
        <f t="shared" si="9"/>
        <v>CHECK</v>
      </c>
      <c r="S80" s="2" t="s">
        <v>8</v>
      </c>
      <c r="T80" s="2" t="s">
        <v>9</v>
      </c>
      <c r="U80" s="2" t="s">
        <v>7</v>
      </c>
      <c r="V80" s="2" t="s">
        <v>48</v>
      </c>
      <c r="W80" s="2" t="s">
        <v>6</v>
      </c>
    </row>
    <row r="81" spans="1:23" x14ac:dyDescent="0.25">
      <c r="A81" t="s">
        <v>208</v>
      </c>
      <c r="B81" t="b">
        <v>0</v>
      </c>
      <c r="C81" t="s">
        <v>209</v>
      </c>
      <c r="D81" t="s">
        <v>243</v>
      </c>
      <c r="E81" t="s">
        <v>86</v>
      </c>
      <c r="F81">
        <v>0.94499999999999995</v>
      </c>
      <c r="G81">
        <v>24.564</v>
      </c>
      <c r="H81">
        <v>1.0920000000000001</v>
      </c>
      <c r="I81">
        <v>8.1000000000000003E-2</v>
      </c>
      <c r="J81" t="str">
        <f t="shared" si="3"/>
        <v>DALK7.2b</v>
      </c>
      <c r="K81" t="str">
        <f t="shared" si="4"/>
        <v>WT</v>
      </c>
      <c r="M81" t="str">
        <f t="shared" si="5"/>
        <v>LoA:qPCR RQ-WT:0.945</v>
      </c>
      <c r="N81" s="2"/>
      <c r="O81" t="str">
        <f t="shared" si="6"/>
        <v>LoA</v>
      </c>
      <c r="P81" t="str">
        <f t="shared" si="7"/>
        <v>Il10ra_exon1</v>
      </c>
      <c r="Q81">
        <f t="shared" si="8"/>
        <v>0.94499999999999995</v>
      </c>
      <c r="R81" t="str">
        <f t="shared" si="9"/>
        <v>CHECK</v>
      </c>
      <c r="S81" s="2" t="s">
        <v>8</v>
      </c>
      <c r="T81" s="2" t="s">
        <v>9</v>
      </c>
      <c r="U81" s="2" t="s">
        <v>7</v>
      </c>
      <c r="V81" s="2" t="s">
        <v>48</v>
      </c>
      <c r="W81" s="2" t="s">
        <v>6</v>
      </c>
    </row>
    <row r="82" spans="1:23" x14ac:dyDescent="0.25">
      <c r="A82" t="s">
        <v>210</v>
      </c>
      <c r="B82" t="b">
        <v>0</v>
      </c>
      <c r="C82" t="s">
        <v>211</v>
      </c>
      <c r="D82" t="s">
        <v>243</v>
      </c>
      <c r="E82" t="s">
        <v>86</v>
      </c>
      <c r="F82">
        <v>0.58399999999999996</v>
      </c>
      <c r="G82">
        <v>26.045000000000002</v>
      </c>
      <c r="H82">
        <v>1.788</v>
      </c>
      <c r="I82">
        <v>0.77700000000000002</v>
      </c>
      <c r="J82" t="str">
        <f t="shared" ref="J82:J92" si="10">IF(ISBLANK(C82),"Mouse",C82)</f>
        <v>DALK7.2c</v>
      </c>
      <c r="K82" t="str">
        <f t="shared" ref="K82:K92" si="11">IF(ISBLANK(G82),IF(ISBLANK(C82),"Genotype","Failed"),IF(O82= "LoA",IF(OR(D82="ACSL4_WT",D82="ACSL4",D82="Gender"),IF(AND(Q82&gt;0.34,Q82&lt;0.66),"M",IF(AND(Q82&gt;0.84,Q82&lt;1.16),"F","U")),IF(AND(U82="M",OR(W82="Yes",W82="Y")),IF(Q82&lt;0.05,"Hemi",IF(AND(Q82&gt;0.34,Q82&lt;0.66),"WT","Failed")),IF(Q82&lt;0.05,"Hom",IF(AND(Q82&gt;0.34,Q82&lt;0.66),"Het",IF(AND(Q82&gt;0.84,Q82&lt;1.16),"WT","Failed"))))),IF(AND(U82="M",OR(W82="Yes",W82="Y")),IF(Q82&lt;0.05,"WT",IF(AND(Q82&gt;0.34,Q82&lt;0.66),"Hemi","Failed")),IF(Q82&lt;0.05,"WT",IF(AND(Q82&gt;0.34,Q82&lt;0.66),"Het",IF(AND(Q82&gt;0.84,Q82&lt;1.16),"Hom","Failed"))))))</f>
        <v>Het</v>
      </c>
      <c r="M82" t="str">
        <f t="shared" ref="M82:M92" si="12">IF(ISBLANK(D82)," ",IF((O82="qPCR"),CONCATENATE(O82," RQ-Hom:",F82),CONCATENATE(O82,":qPCR RQ-WT:",F82)))</f>
        <v>LoA:qPCR RQ-WT:0.584</v>
      </c>
      <c r="N82" s="2"/>
      <c r="O82" t="str">
        <f t="shared" ref="O82:O92" si="13">IF( ISBLANK(C82),"Type",IF( OR( ISNUMBER( SEARCH("_WT",D82)), ISNUMBER( SEARCH("_CE", D82)), ISNUMBER( SEARCH("_exon1", D82))),"LoA","qPCR"))</f>
        <v>LoA</v>
      </c>
      <c r="P82" t="str">
        <f t="shared" ref="P82:P92" si="14">IF(ISBLANK(D82),"Assay Name",D82)</f>
        <v>Il10ra_exon1</v>
      </c>
      <c r="Q82">
        <f t="shared" ref="Q82:Q92" si="15">IF(ISBLANK(G82),"Result",IF(OR(V82="Yes",V82="Y"),F82/2,F82))</f>
        <v>0.58399999999999996</v>
      </c>
      <c r="R82" t="str">
        <f t="shared" ref="R82:R92" si="16">IF(ISBLANK(C82),"Match",IF(K82="Failed","Failed",IF(AND(K82=T82,J82=S82),"Yes","CHECK")))</f>
        <v>CHECK</v>
      </c>
      <c r="S82" s="2" t="s">
        <v>8</v>
      </c>
      <c r="T82" s="2" t="s">
        <v>9</v>
      </c>
      <c r="U82" s="2" t="s">
        <v>7</v>
      </c>
      <c r="V82" s="2" t="s">
        <v>48</v>
      </c>
      <c r="W82" s="2" t="s">
        <v>6</v>
      </c>
    </row>
    <row r="83" spans="1:23" x14ac:dyDescent="0.25">
      <c r="A83" t="s">
        <v>212</v>
      </c>
      <c r="B83" t="b">
        <v>0</v>
      </c>
      <c r="C83" t="s">
        <v>213</v>
      </c>
      <c r="D83" t="s">
        <v>243</v>
      </c>
      <c r="E83" t="s">
        <v>86</v>
      </c>
      <c r="F83">
        <v>0.95199999999999996</v>
      </c>
      <c r="G83">
        <v>25.265000000000001</v>
      </c>
      <c r="H83">
        <v>1.0820000000000001</v>
      </c>
      <c r="I83">
        <v>7.0999999999999994E-2</v>
      </c>
      <c r="J83" t="str">
        <f t="shared" si="10"/>
        <v>DALK7.2d</v>
      </c>
      <c r="K83" t="str">
        <f t="shared" si="11"/>
        <v>WT</v>
      </c>
      <c r="M83" t="str">
        <f t="shared" si="12"/>
        <v>LoA:qPCR RQ-WT:0.952</v>
      </c>
      <c r="N83" s="2"/>
      <c r="O83" t="str">
        <f t="shared" si="13"/>
        <v>LoA</v>
      </c>
      <c r="P83" t="str">
        <f t="shared" si="14"/>
        <v>Il10ra_exon1</v>
      </c>
      <c r="Q83">
        <f t="shared" si="15"/>
        <v>0.95199999999999996</v>
      </c>
      <c r="R83" t="str">
        <f t="shared" si="16"/>
        <v>CHECK</v>
      </c>
      <c r="S83" s="2" t="s">
        <v>8</v>
      </c>
      <c r="T83" s="2" t="s">
        <v>9</v>
      </c>
      <c r="U83" s="2" t="s">
        <v>7</v>
      </c>
      <c r="V83" s="2" t="s">
        <v>48</v>
      </c>
      <c r="W83" s="2" t="s">
        <v>6</v>
      </c>
    </row>
    <row r="84" spans="1:23" x14ac:dyDescent="0.25">
      <c r="A84" t="s">
        <v>214</v>
      </c>
      <c r="B84" t="b">
        <v>0</v>
      </c>
      <c r="C84" t="s">
        <v>215</v>
      </c>
      <c r="D84" t="s">
        <v>243</v>
      </c>
      <c r="E84" t="s">
        <v>86</v>
      </c>
      <c r="F84">
        <v>0</v>
      </c>
      <c r="G84">
        <v>38.679000000000002</v>
      </c>
      <c r="H84">
        <v>14.654999999999999</v>
      </c>
      <c r="I84">
        <v>13.644</v>
      </c>
      <c r="J84" t="str">
        <f t="shared" si="10"/>
        <v>DALK7.2e</v>
      </c>
      <c r="K84" t="str">
        <f t="shared" si="11"/>
        <v>Hom</v>
      </c>
      <c r="M84" t="str">
        <f t="shared" si="12"/>
        <v>LoA:qPCR RQ-WT:0</v>
      </c>
      <c r="N84" s="2"/>
      <c r="O84" t="str">
        <f t="shared" si="13"/>
        <v>LoA</v>
      </c>
      <c r="P84" t="str">
        <f t="shared" si="14"/>
        <v>Il10ra_exon1</v>
      </c>
      <c r="Q84">
        <f t="shared" si="15"/>
        <v>0</v>
      </c>
      <c r="R84" t="str">
        <f t="shared" si="16"/>
        <v>CHECK</v>
      </c>
      <c r="S84" s="2" t="s">
        <v>8</v>
      </c>
      <c r="T84" s="2" t="s">
        <v>9</v>
      </c>
      <c r="U84" s="2" t="s">
        <v>7</v>
      </c>
      <c r="V84" s="2" t="s">
        <v>48</v>
      </c>
      <c r="W84" s="2" t="s">
        <v>6</v>
      </c>
    </row>
    <row r="85" spans="1:23" x14ac:dyDescent="0.25">
      <c r="A85" t="s">
        <v>216</v>
      </c>
      <c r="B85" t="b">
        <v>0</v>
      </c>
      <c r="C85" t="s">
        <v>217</v>
      </c>
      <c r="D85" t="s">
        <v>244</v>
      </c>
      <c r="E85" t="s">
        <v>86</v>
      </c>
      <c r="F85">
        <v>1E-3</v>
      </c>
      <c r="G85">
        <v>36.649000000000001</v>
      </c>
      <c r="H85">
        <v>11.93</v>
      </c>
      <c r="I85">
        <v>10.92</v>
      </c>
      <c r="J85" t="str">
        <f t="shared" si="10"/>
        <v>DALK9.1a</v>
      </c>
      <c r="K85" t="str">
        <f t="shared" si="11"/>
        <v>Hom</v>
      </c>
      <c r="M85" t="str">
        <f t="shared" si="12"/>
        <v>LoA:qPCR RQ-WT:0.001</v>
      </c>
      <c r="N85" s="2"/>
      <c r="O85" t="str">
        <f t="shared" si="13"/>
        <v>LoA</v>
      </c>
      <c r="P85" t="str">
        <f t="shared" si="14"/>
        <v>blah_CE</v>
      </c>
      <c r="Q85">
        <f t="shared" si="15"/>
        <v>1E-3</v>
      </c>
      <c r="R85" t="str">
        <f t="shared" si="16"/>
        <v>CHECK</v>
      </c>
      <c r="S85" s="2" t="s">
        <v>8</v>
      </c>
      <c r="T85" s="2" t="s">
        <v>9</v>
      </c>
      <c r="U85" s="2" t="s">
        <v>7</v>
      </c>
      <c r="V85" s="2" t="s">
        <v>48</v>
      </c>
      <c r="W85" s="2" t="s">
        <v>6</v>
      </c>
    </row>
    <row r="86" spans="1:23" x14ac:dyDescent="0.25">
      <c r="A86" t="s">
        <v>218</v>
      </c>
      <c r="B86" t="b">
        <v>0</v>
      </c>
      <c r="C86" t="s">
        <v>219</v>
      </c>
      <c r="D86" t="s">
        <v>244</v>
      </c>
      <c r="E86" t="s">
        <v>86</v>
      </c>
      <c r="F86">
        <v>0.64600000000000002</v>
      </c>
      <c r="G86">
        <v>26.233000000000001</v>
      </c>
      <c r="H86">
        <v>1.6419999999999999</v>
      </c>
      <c r="I86">
        <v>0.63100000000000001</v>
      </c>
      <c r="J86" t="str">
        <f t="shared" si="10"/>
        <v>DALK9.1b</v>
      </c>
      <c r="K86" t="str">
        <f t="shared" si="11"/>
        <v>Het</v>
      </c>
      <c r="M86" t="str">
        <f t="shared" si="12"/>
        <v>LoA:qPCR RQ-WT:0.646</v>
      </c>
      <c r="N86" s="2"/>
      <c r="O86" t="str">
        <f t="shared" si="13"/>
        <v>LoA</v>
      </c>
      <c r="P86" t="str">
        <f t="shared" si="14"/>
        <v>blah_CE</v>
      </c>
      <c r="Q86">
        <f t="shared" si="15"/>
        <v>0.64600000000000002</v>
      </c>
      <c r="R86" t="str">
        <f t="shared" si="16"/>
        <v>CHECK</v>
      </c>
      <c r="S86" s="2" t="s">
        <v>8</v>
      </c>
      <c r="T86" s="2" t="s">
        <v>9</v>
      </c>
      <c r="U86" s="2" t="s">
        <v>7</v>
      </c>
      <c r="V86" s="2" t="s">
        <v>48</v>
      </c>
      <c r="W86" s="2" t="s">
        <v>6</v>
      </c>
    </row>
    <row r="87" spans="1:23" x14ac:dyDescent="0.25">
      <c r="A87" t="s">
        <v>220</v>
      </c>
      <c r="B87" t="b">
        <v>0</v>
      </c>
      <c r="C87" t="s">
        <v>221</v>
      </c>
      <c r="D87" t="s">
        <v>244</v>
      </c>
      <c r="E87" t="s">
        <v>86</v>
      </c>
      <c r="G87" t="s">
        <v>133</v>
      </c>
      <c r="J87" t="str">
        <f t="shared" si="10"/>
        <v>DALK9.1c</v>
      </c>
      <c r="K87" t="str">
        <f t="shared" si="11"/>
        <v>Hom</v>
      </c>
      <c r="M87" t="str">
        <f t="shared" si="12"/>
        <v>LoA:qPCR RQ-WT:</v>
      </c>
      <c r="N87" s="2"/>
      <c r="O87" t="str">
        <f t="shared" si="13"/>
        <v>LoA</v>
      </c>
      <c r="P87" t="str">
        <f t="shared" si="14"/>
        <v>blah_CE</v>
      </c>
      <c r="Q87">
        <f t="shared" si="15"/>
        <v>0</v>
      </c>
      <c r="R87" t="str">
        <f t="shared" si="16"/>
        <v>CHECK</v>
      </c>
      <c r="S87" s="2" t="s">
        <v>8</v>
      </c>
      <c r="T87" s="2" t="s">
        <v>9</v>
      </c>
      <c r="U87" s="2" t="s">
        <v>7</v>
      </c>
      <c r="V87" s="2" t="s">
        <v>48</v>
      </c>
      <c r="W87" s="2" t="s">
        <v>6</v>
      </c>
    </row>
    <row r="88" spans="1:23" x14ac:dyDescent="0.25">
      <c r="A88" t="s">
        <v>222</v>
      </c>
      <c r="B88" t="b">
        <v>0</v>
      </c>
      <c r="C88" t="s">
        <v>223</v>
      </c>
      <c r="D88" t="s">
        <v>244</v>
      </c>
      <c r="E88" t="s">
        <v>86</v>
      </c>
      <c r="G88" t="s">
        <v>133</v>
      </c>
      <c r="J88" t="str">
        <f t="shared" si="10"/>
        <v>DALK9.1d</v>
      </c>
      <c r="K88" t="str">
        <f t="shared" si="11"/>
        <v>Hom</v>
      </c>
      <c r="M88" t="str">
        <f t="shared" si="12"/>
        <v>LoA:qPCR RQ-WT:</v>
      </c>
      <c r="N88" s="2"/>
      <c r="O88" t="str">
        <f t="shared" si="13"/>
        <v>LoA</v>
      </c>
      <c r="P88" t="str">
        <f t="shared" si="14"/>
        <v>blah_CE</v>
      </c>
      <c r="Q88">
        <f t="shared" si="15"/>
        <v>0</v>
      </c>
      <c r="R88" t="str">
        <f t="shared" si="16"/>
        <v>CHECK</v>
      </c>
      <c r="S88" s="2" t="s">
        <v>8</v>
      </c>
      <c r="T88" s="2" t="s">
        <v>9</v>
      </c>
      <c r="U88" s="2" t="s">
        <v>7</v>
      </c>
      <c r="V88" s="2" t="s">
        <v>48</v>
      </c>
      <c r="W88" s="2" t="s">
        <v>6</v>
      </c>
    </row>
    <row r="89" spans="1:23" x14ac:dyDescent="0.25">
      <c r="A89" t="s">
        <v>224</v>
      </c>
      <c r="B89" t="b">
        <v>0</v>
      </c>
      <c r="C89" t="s">
        <v>225</v>
      </c>
      <c r="D89" t="s">
        <v>207</v>
      </c>
      <c r="E89" t="s">
        <v>86</v>
      </c>
      <c r="F89">
        <v>0.64800000000000002</v>
      </c>
      <c r="G89">
        <v>26.248000000000001</v>
      </c>
      <c r="H89">
        <v>1.6359999999999999</v>
      </c>
      <c r="I89">
        <v>0.626</v>
      </c>
      <c r="J89" t="str">
        <f t="shared" si="10"/>
        <v>DALK9.1e</v>
      </c>
      <c r="K89" t="str">
        <f t="shared" si="11"/>
        <v>Het</v>
      </c>
      <c r="M89" t="str">
        <f t="shared" si="12"/>
        <v>LoA:qPCR RQ-WT:0.648</v>
      </c>
      <c r="N89" s="2"/>
      <c r="O89" t="str">
        <f t="shared" si="13"/>
        <v>LoA</v>
      </c>
      <c r="P89" t="str">
        <f t="shared" si="14"/>
        <v>Fam111a_CR_WT</v>
      </c>
      <c r="Q89">
        <f t="shared" si="15"/>
        <v>0.64800000000000002</v>
      </c>
      <c r="R89" t="str">
        <f t="shared" si="16"/>
        <v>CHECK</v>
      </c>
      <c r="S89" s="2" t="s">
        <v>8</v>
      </c>
      <c r="T89" s="2" t="s">
        <v>9</v>
      </c>
      <c r="U89" s="2" t="s">
        <v>7</v>
      </c>
      <c r="V89" s="2" t="s">
        <v>48</v>
      </c>
      <c r="W89" s="2" t="s">
        <v>6</v>
      </c>
    </row>
    <row r="90" spans="1:23" x14ac:dyDescent="0.25">
      <c r="A90" t="s">
        <v>226</v>
      </c>
      <c r="B90" t="b">
        <v>0</v>
      </c>
      <c r="C90" t="s">
        <v>227</v>
      </c>
      <c r="D90" t="s">
        <v>207</v>
      </c>
      <c r="E90" t="s">
        <v>86</v>
      </c>
      <c r="G90" t="s">
        <v>133</v>
      </c>
      <c r="J90" t="str">
        <f t="shared" si="10"/>
        <v>DALK9.1f</v>
      </c>
      <c r="K90" t="str">
        <f t="shared" si="11"/>
        <v>Hom</v>
      </c>
      <c r="M90" t="str">
        <f t="shared" si="12"/>
        <v>LoA:qPCR RQ-WT:</v>
      </c>
      <c r="N90" s="2"/>
      <c r="O90" t="str">
        <f t="shared" si="13"/>
        <v>LoA</v>
      </c>
      <c r="P90" t="str">
        <f t="shared" si="14"/>
        <v>Fam111a_CR_WT</v>
      </c>
      <c r="Q90">
        <f t="shared" si="15"/>
        <v>0</v>
      </c>
      <c r="R90" t="str">
        <f t="shared" si="16"/>
        <v>CHECK</v>
      </c>
      <c r="S90" s="2" t="s">
        <v>8</v>
      </c>
      <c r="T90" s="2" t="s">
        <v>9</v>
      </c>
      <c r="U90" s="2" t="s">
        <v>7</v>
      </c>
      <c r="V90" s="2" t="s">
        <v>48</v>
      </c>
      <c r="W90" s="2" t="s">
        <v>6</v>
      </c>
    </row>
    <row r="91" spans="1:23" x14ac:dyDescent="0.25">
      <c r="A91" t="s">
        <v>228</v>
      </c>
      <c r="B91" t="b">
        <v>0</v>
      </c>
      <c r="C91" t="s">
        <v>229</v>
      </c>
      <c r="D91" t="s">
        <v>207</v>
      </c>
      <c r="E91" t="s">
        <v>86</v>
      </c>
      <c r="F91">
        <v>0.64700000000000002</v>
      </c>
      <c r="G91">
        <v>26.763000000000002</v>
      </c>
      <c r="H91">
        <v>1.639</v>
      </c>
      <c r="I91">
        <v>0.628</v>
      </c>
      <c r="J91" t="str">
        <f t="shared" si="10"/>
        <v>DALK9.1g</v>
      </c>
      <c r="K91" t="str">
        <f t="shared" si="11"/>
        <v>Het</v>
      </c>
      <c r="M91" t="str">
        <f t="shared" si="12"/>
        <v>LoA:qPCR RQ-WT:0.647</v>
      </c>
      <c r="N91" s="2"/>
      <c r="O91" t="str">
        <f t="shared" si="13"/>
        <v>LoA</v>
      </c>
      <c r="P91" t="str">
        <f t="shared" si="14"/>
        <v>Fam111a_CR_WT</v>
      </c>
      <c r="Q91">
        <f t="shared" si="15"/>
        <v>0.64700000000000002</v>
      </c>
      <c r="R91" t="str">
        <f t="shared" si="16"/>
        <v>CHECK</v>
      </c>
      <c r="S91" s="2" t="s">
        <v>8</v>
      </c>
      <c r="T91" s="2" t="s">
        <v>9</v>
      </c>
      <c r="U91" s="2" t="s">
        <v>7</v>
      </c>
      <c r="V91" s="2" t="s">
        <v>48</v>
      </c>
      <c r="W91" s="2" t="s">
        <v>6</v>
      </c>
    </row>
    <row r="92" spans="1:23" x14ac:dyDescent="0.25">
      <c r="A92" t="s">
        <v>230</v>
      </c>
      <c r="B92" t="b">
        <v>0</v>
      </c>
      <c r="C92" t="s">
        <v>231</v>
      </c>
      <c r="D92" t="s">
        <v>207</v>
      </c>
      <c r="E92" t="s">
        <v>86</v>
      </c>
      <c r="F92">
        <v>0.62</v>
      </c>
      <c r="G92">
        <v>26.085999999999999</v>
      </c>
      <c r="H92">
        <v>1.7</v>
      </c>
      <c r="I92">
        <v>0.68899999999999995</v>
      </c>
      <c r="J92" t="str">
        <f t="shared" si="10"/>
        <v>DALK9.1h</v>
      </c>
      <c r="K92" t="str">
        <f t="shared" si="11"/>
        <v>Het</v>
      </c>
      <c r="M92" t="str">
        <f t="shared" si="12"/>
        <v>LoA:qPCR RQ-WT:0.62</v>
      </c>
      <c r="N92" s="2"/>
      <c r="O92" t="str">
        <f t="shared" si="13"/>
        <v>LoA</v>
      </c>
      <c r="P92" t="str">
        <f t="shared" si="14"/>
        <v>Fam111a_CR_WT</v>
      </c>
      <c r="Q92">
        <f t="shared" si="15"/>
        <v>0.62</v>
      </c>
      <c r="R92" t="str">
        <f t="shared" si="16"/>
        <v>CHECK</v>
      </c>
      <c r="S92" s="2" t="s">
        <v>8</v>
      </c>
      <c r="T92" s="2" t="s">
        <v>9</v>
      </c>
      <c r="U92" s="2" t="s">
        <v>7</v>
      </c>
      <c r="V92" s="2" t="s">
        <v>48</v>
      </c>
      <c r="W92" s="2" t="s">
        <v>6</v>
      </c>
    </row>
    <row r="93" spans="1:23" x14ac:dyDescent="0.25">
      <c r="A93" t="s">
        <v>109</v>
      </c>
      <c r="B93" t="b">
        <v>0</v>
      </c>
      <c r="C93" t="s">
        <v>245</v>
      </c>
      <c r="D93" t="s">
        <v>246</v>
      </c>
      <c r="E93" t="s">
        <v>86</v>
      </c>
      <c r="F93">
        <v>1</v>
      </c>
      <c r="G93">
        <v>24.352</v>
      </c>
      <c r="H93">
        <v>-0.14499999999999999</v>
      </c>
      <c r="I93">
        <v>0</v>
      </c>
      <c r="J93" t="str">
        <f t="shared" ref="J93:J114" si="17">IF(ISBLANK(C93),"Mouse",C93)</f>
        <v>AGAA24.3a</v>
      </c>
      <c r="K93" t="str">
        <f t="shared" ref="K93:K114" si="18">IF(ISBLANK(G93),IF(ISBLANK(C93),"Genotype","Failed"),IF(O93= "LoA",IF(OR(D93="ACSL4_WT",D93="ACSL4",D93="Gender"),IF(AND(Q93&gt;0.34,Q93&lt;0.66),"M",IF(AND(Q93&gt;0.84,Q93&lt;1.16),"F","U")),IF(AND(U93="M",OR(W93="Yes",W93="Y")),IF(Q93&lt;0.05,"Hemi",IF(AND(Q93&gt;0.34,Q93&lt;0.66),"WT","Failed")),IF(Q93&lt;0.05,"Hom",IF(AND(Q93&gt;0.34,Q93&lt;0.66),"Het",IF(AND(Q93&gt;0.84,Q93&lt;1.16),"WT","Failed"))))),IF(AND(U93="M",OR(W93="Yes",W93="Y")),IF(Q93&lt;0.05,"WT",IF(AND(Q93&gt;0.34,Q93&lt;0.66),"Hemi","Failed")),IF(Q93&lt;0.05,"WT",IF(AND(Q93&gt;0.34,Q93&lt;0.66),"Het",IF(AND(Q93&gt;0.84,Q93&lt;1.16),"Hom","Failed"))))))</f>
        <v>Hom</v>
      </c>
      <c r="M93" t="str">
        <f t="shared" ref="M93:M114" si="19">IF(ISBLANK(D93)," ",IF((O93="qPCR"),CONCATENATE(O93," RQ-Hom:",F93),CONCATENATE(O93,":qPCR RQ-WT:",F93)))</f>
        <v>qPCR RQ-Hom:1</v>
      </c>
      <c r="N93" s="2"/>
      <c r="O93" t="str">
        <f t="shared" ref="O93:O114" si="20">IF( ISBLANK(C93),"Type",IF( OR( ISNUMBER( SEARCH("_WT",D93)), ISNUMBER( SEARCH("_CE", D93)), ISNUMBER( SEARCH("_exon1", D93))),"LoA","qPCR"))</f>
        <v>qPCR</v>
      </c>
      <c r="P93" t="str">
        <f t="shared" ref="P93:P114" si="21">IF(ISBLANK(D93),"Assay Name",D93)</f>
        <v>LacZ_Reg</v>
      </c>
      <c r="Q93">
        <f t="shared" ref="Q93:Q114" si="22">IF(ISBLANK(G93),"Result",IF(OR(V93="Yes",V93="Y"),F93/2,F93))</f>
        <v>1</v>
      </c>
      <c r="R93" t="str">
        <f t="shared" ref="R93:R114" si="23">IF(ISBLANK(C93),"Match",IF(K93="Failed","Failed",IF(AND(K93=T93,J93=S93),"Yes","CHECK")))</f>
        <v>CHECK</v>
      </c>
      <c r="S93" s="2" t="s">
        <v>8</v>
      </c>
      <c r="T93" s="2" t="s">
        <v>9</v>
      </c>
      <c r="U93" s="2" t="s">
        <v>7</v>
      </c>
      <c r="V93" s="2" t="s">
        <v>48</v>
      </c>
      <c r="W93" s="2" t="s">
        <v>6</v>
      </c>
    </row>
    <row r="94" spans="1:23" x14ac:dyDescent="0.25">
      <c r="A94" t="s">
        <v>112</v>
      </c>
      <c r="B94" t="b">
        <v>0</v>
      </c>
      <c r="C94" t="s">
        <v>247</v>
      </c>
      <c r="D94" t="s">
        <v>246</v>
      </c>
      <c r="E94" t="s">
        <v>86</v>
      </c>
      <c r="F94">
        <v>0.85</v>
      </c>
      <c r="G94">
        <v>23.524999999999999</v>
      </c>
      <c r="H94">
        <v>8.8999999999999996E-2</v>
      </c>
      <c r="I94">
        <v>0.23400000000000001</v>
      </c>
      <c r="J94" t="str">
        <f t="shared" si="17"/>
        <v>AGAA24.3b</v>
      </c>
      <c r="K94" t="str">
        <f t="shared" si="18"/>
        <v>Hom</v>
      </c>
      <c r="M94" t="str">
        <f t="shared" si="19"/>
        <v>qPCR RQ-Hom:0.85</v>
      </c>
      <c r="N94" s="2"/>
      <c r="O94" t="str">
        <f t="shared" si="20"/>
        <v>qPCR</v>
      </c>
      <c r="P94" t="str">
        <f t="shared" si="21"/>
        <v>LacZ_Reg</v>
      </c>
      <c r="Q94">
        <f t="shared" si="22"/>
        <v>0.85</v>
      </c>
      <c r="R94" t="str">
        <f t="shared" si="23"/>
        <v>CHECK</v>
      </c>
      <c r="S94" s="2" t="s">
        <v>8</v>
      </c>
      <c r="T94" s="2" t="s">
        <v>9</v>
      </c>
      <c r="U94" s="2" t="s">
        <v>7</v>
      </c>
      <c r="V94" s="2" t="s">
        <v>48</v>
      </c>
      <c r="W94" s="2" t="s">
        <v>6</v>
      </c>
    </row>
    <row r="95" spans="1:23" x14ac:dyDescent="0.25">
      <c r="A95" t="s">
        <v>188</v>
      </c>
      <c r="B95" t="b">
        <v>0</v>
      </c>
      <c r="C95" t="s">
        <v>248</v>
      </c>
      <c r="D95" t="s">
        <v>246</v>
      </c>
      <c r="E95" t="s">
        <v>86</v>
      </c>
      <c r="F95">
        <v>0</v>
      </c>
      <c r="G95" t="s">
        <v>133</v>
      </c>
      <c r="J95" t="str">
        <f t="shared" si="17"/>
        <v>MBCD168.2a</v>
      </c>
      <c r="K95" t="str">
        <f t="shared" si="18"/>
        <v>WT</v>
      </c>
      <c r="M95" t="str">
        <f t="shared" si="19"/>
        <v>qPCR RQ-Hom:0</v>
      </c>
      <c r="N95" s="2"/>
      <c r="O95" t="str">
        <f t="shared" si="20"/>
        <v>qPCR</v>
      </c>
      <c r="P95" t="str">
        <f t="shared" si="21"/>
        <v>LacZ_Reg</v>
      </c>
      <c r="Q95">
        <f t="shared" si="22"/>
        <v>0</v>
      </c>
      <c r="R95" t="str">
        <f t="shared" si="23"/>
        <v>CHECK</v>
      </c>
      <c r="S95" s="2" t="s">
        <v>8</v>
      </c>
      <c r="T95" s="2" t="s">
        <v>9</v>
      </c>
      <c r="U95" s="2" t="s">
        <v>7</v>
      </c>
      <c r="V95" s="2" t="s">
        <v>48</v>
      </c>
      <c r="W95" s="2" t="s">
        <v>6</v>
      </c>
    </row>
    <row r="96" spans="1:23" x14ac:dyDescent="0.25">
      <c r="A96" t="s">
        <v>191</v>
      </c>
      <c r="B96" t="b">
        <v>0</v>
      </c>
      <c r="C96" t="s">
        <v>249</v>
      </c>
      <c r="D96" t="s">
        <v>246</v>
      </c>
      <c r="E96" t="s">
        <v>86</v>
      </c>
      <c r="F96">
        <v>0</v>
      </c>
      <c r="G96" t="s">
        <v>133</v>
      </c>
      <c r="J96" t="str">
        <f t="shared" si="17"/>
        <v>MBCD168.2b</v>
      </c>
      <c r="K96" t="str">
        <f t="shared" si="18"/>
        <v>WT</v>
      </c>
      <c r="M96" t="str">
        <f t="shared" si="19"/>
        <v>qPCR RQ-Hom:0</v>
      </c>
      <c r="N96" s="2"/>
      <c r="O96" t="str">
        <f t="shared" si="20"/>
        <v>qPCR</v>
      </c>
      <c r="P96" t="str">
        <f t="shared" si="21"/>
        <v>LacZ_Reg</v>
      </c>
      <c r="Q96">
        <f t="shared" si="22"/>
        <v>0</v>
      </c>
      <c r="R96" t="str">
        <f t="shared" si="23"/>
        <v>CHECK</v>
      </c>
      <c r="S96" s="2" t="s">
        <v>8</v>
      </c>
      <c r="T96" s="2" t="s">
        <v>9</v>
      </c>
      <c r="U96" s="2" t="s">
        <v>7</v>
      </c>
      <c r="V96" s="2" t="s">
        <v>48</v>
      </c>
      <c r="W96" s="2" t="s">
        <v>6</v>
      </c>
    </row>
    <row r="97" spans="1:23" x14ac:dyDescent="0.25">
      <c r="A97" t="s">
        <v>83</v>
      </c>
      <c r="B97" t="b">
        <v>0</v>
      </c>
      <c r="C97" t="s">
        <v>250</v>
      </c>
      <c r="D97" t="s">
        <v>246</v>
      </c>
      <c r="E97" t="s">
        <v>86</v>
      </c>
      <c r="F97">
        <v>0</v>
      </c>
      <c r="G97" t="s">
        <v>133</v>
      </c>
      <c r="J97" t="str">
        <f t="shared" si="17"/>
        <v>MDWN82.1a</v>
      </c>
      <c r="K97" t="str">
        <f t="shared" si="18"/>
        <v>WT</v>
      </c>
      <c r="M97" t="str">
        <f t="shared" si="19"/>
        <v>qPCR RQ-Hom:0</v>
      </c>
      <c r="N97" s="2"/>
      <c r="O97" t="str">
        <f t="shared" si="20"/>
        <v>qPCR</v>
      </c>
      <c r="P97" t="str">
        <f t="shared" si="21"/>
        <v>LacZ_Reg</v>
      </c>
      <c r="Q97">
        <f t="shared" si="22"/>
        <v>0</v>
      </c>
      <c r="R97" t="str">
        <f t="shared" si="23"/>
        <v>CHECK</v>
      </c>
      <c r="S97" s="2" t="s">
        <v>8</v>
      </c>
      <c r="T97" s="2" t="s">
        <v>9</v>
      </c>
      <c r="U97" s="2" t="s">
        <v>7</v>
      </c>
      <c r="V97" s="2" t="s">
        <v>48</v>
      </c>
      <c r="W97" s="2" t="s">
        <v>6</v>
      </c>
    </row>
    <row r="98" spans="1:23" x14ac:dyDescent="0.25">
      <c r="A98" t="s">
        <v>87</v>
      </c>
      <c r="B98" t="b">
        <v>1</v>
      </c>
      <c r="C98" t="s">
        <v>251</v>
      </c>
      <c r="D98" t="s">
        <v>246</v>
      </c>
      <c r="F98">
        <v>0</v>
      </c>
      <c r="J98" t="str">
        <f t="shared" si="17"/>
        <v>MDWN82.1b</v>
      </c>
      <c r="K98" t="str">
        <f t="shared" si="18"/>
        <v>Failed</v>
      </c>
      <c r="M98" t="str">
        <f t="shared" si="19"/>
        <v>qPCR RQ-Hom:0</v>
      </c>
      <c r="N98" s="2"/>
      <c r="O98" t="str">
        <f t="shared" si="20"/>
        <v>qPCR</v>
      </c>
      <c r="P98" t="str">
        <f t="shared" si="21"/>
        <v>LacZ_Reg</v>
      </c>
      <c r="Q98" t="str">
        <f t="shared" si="22"/>
        <v>Result</v>
      </c>
      <c r="R98" t="str">
        <f t="shared" si="23"/>
        <v>Failed</v>
      </c>
      <c r="S98" s="2" t="s">
        <v>8</v>
      </c>
      <c r="T98" s="2" t="s">
        <v>9</v>
      </c>
      <c r="U98" s="2" t="s">
        <v>7</v>
      </c>
      <c r="V98" s="2" t="s">
        <v>48</v>
      </c>
      <c r="W98" s="2" t="s">
        <v>6</v>
      </c>
    </row>
    <row r="99" spans="1:23" x14ac:dyDescent="0.25">
      <c r="A99" t="s">
        <v>89</v>
      </c>
      <c r="B99" t="b">
        <v>0</v>
      </c>
      <c r="C99" t="s">
        <v>252</v>
      </c>
      <c r="D99" t="s">
        <v>246</v>
      </c>
      <c r="E99" t="s">
        <v>86</v>
      </c>
      <c r="F99">
        <v>0.626</v>
      </c>
      <c r="G99">
        <v>26.193000000000001</v>
      </c>
      <c r="H99">
        <v>0.53200000000000003</v>
      </c>
      <c r="I99">
        <v>0.67700000000000005</v>
      </c>
      <c r="J99" t="str">
        <f t="shared" si="17"/>
        <v>MDWN82.1c</v>
      </c>
      <c r="K99" t="str">
        <f t="shared" si="18"/>
        <v>Het</v>
      </c>
      <c r="M99" t="str">
        <f t="shared" si="19"/>
        <v>qPCR RQ-Hom:0.626</v>
      </c>
      <c r="N99" s="2"/>
      <c r="O99" t="str">
        <f t="shared" si="20"/>
        <v>qPCR</v>
      </c>
      <c r="P99" t="str">
        <f t="shared" si="21"/>
        <v>LacZ_Reg</v>
      </c>
      <c r="Q99">
        <f t="shared" si="22"/>
        <v>0.626</v>
      </c>
      <c r="R99" t="str">
        <f t="shared" si="23"/>
        <v>CHECK</v>
      </c>
      <c r="S99" s="2" t="s">
        <v>8</v>
      </c>
      <c r="T99" s="2" t="s">
        <v>9</v>
      </c>
      <c r="U99" s="2" t="s">
        <v>7</v>
      </c>
      <c r="V99" s="2" t="s">
        <v>48</v>
      </c>
      <c r="W99" s="2" t="s">
        <v>6</v>
      </c>
    </row>
    <row r="100" spans="1:23" x14ac:dyDescent="0.25">
      <c r="A100" t="s">
        <v>91</v>
      </c>
      <c r="B100" t="b">
        <v>0</v>
      </c>
      <c r="C100" t="s">
        <v>253</v>
      </c>
      <c r="D100" t="s">
        <v>246</v>
      </c>
      <c r="E100" t="s">
        <v>86</v>
      </c>
      <c r="F100">
        <v>0.50700000000000001</v>
      </c>
      <c r="G100">
        <v>26.657</v>
      </c>
      <c r="H100">
        <v>0.83499999999999996</v>
      </c>
      <c r="I100">
        <v>0.97899999999999998</v>
      </c>
      <c r="J100" t="str">
        <f t="shared" si="17"/>
        <v>MDWN82.1d</v>
      </c>
      <c r="K100" t="str">
        <f t="shared" si="18"/>
        <v>Het</v>
      </c>
      <c r="M100" t="str">
        <f t="shared" si="19"/>
        <v>qPCR RQ-Hom:0.507</v>
      </c>
      <c r="N100" s="2"/>
      <c r="O100" t="str">
        <f t="shared" si="20"/>
        <v>qPCR</v>
      </c>
      <c r="P100" t="str">
        <f t="shared" si="21"/>
        <v>LacZ_Reg</v>
      </c>
      <c r="Q100">
        <f t="shared" si="22"/>
        <v>0.50700000000000001</v>
      </c>
      <c r="R100" t="str">
        <f t="shared" si="23"/>
        <v>CHECK</v>
      </c>
      <c r="S100" s="2" t="s">
        <v>8</v>
      </c>
      <c r="T100" s="2" t="s">
        <v>9</v>
      </c>
      <c r="U100" s="2" t="s">
        <v>7</v>
      </c>
      <c r="V100" s="2" t="s">
        <v>48</v>
      </c>
      <c r="W100" s="2" t="s">
        <v>6</v>
      </c>
    </row>
    <row r="101" spans="1:23" x14ac:dyDescent="0.25">
      <c r="A101" t="s">
        <v>93</v>
      </c>
      <c r="B101" t="b">
        <v>0</v>
      </c>
      <c r="C101" t="s">
        <v>254</v>
      </c>
      <c r="D101" t="s">
        <v>246</v>
      </c>
      <c r="E101" t="s">
        <v>86</v>
      </c>
      <c r="F101">
        <v>0</v>
      </c>
      <c r="G101">
        <v>38.521000000000001</v>
      </c>
      <c r="H101">
        <v>14.105</v>
      </c>
      <c r="I101">
        <v>14.249000000000001</v>
      </c>
      <c r="J101" t="str">
        <f t="shared" si="17"/>
        <v>MDWN82.1e</v>
      </c>
      <c r="K101" t="str">
        <f t="shared" si="18"/>
        <v>WT</v>
      </c>
      <c r="M101" t="str">
        <f t="shared" si="19"/>
        <v>qPCR RQ-Hom:0</v>
      </c>
      <c r="N101" s="2"/>
      <c r="O101" t="str">
        <f t="shared" si="20"/>
        <v>qPCR</v>
      </c>
      <c r="P101" t="str">
        <f t="shared" si="21"/>
        <v>LacZ_Reg</v>
      </c>
      <c r="Q101">
        <f t="shared" si="22"/>
        <v>0</v>
      </c>
      <c r="R101" t="str">
        <f t="shared" si="23"/>
        <v>CHECK</v>
      </c>
      <c r="S101" s="2" t="s">
        <v>8</v>
      </c>
      <c r="T101" s="2" t="s">
        <v>9</v>
      </c>
      <c r="U101" s="2" t="s">
        <v>7</v>
      </c>
      <c r="V101" s="2" t="s">
        <v>48</v>
      </c>
      <c r="W101" s="2" t="s">
        <v>6</v>
      </c>
    </row>
    <row r="102" spans="1:23" x14ac:dyDescent="0.25">
      <c r="A102" t="s">
        <v>95</v>
      </c>
      <c r="B102" t="b">
        <v>0</v>
      </c>
      <c r="C102" t="s">
        <v>255</v>
      </c>
      <c r="D102" t="s">
        <v>246</v>
      </c>
      <c r="E102" t="s">
        <v>86</v>
      </c>
      <c r="F102">
        <v>0</v>
      </c>
      <c r="G102">
        <v>38.57</v>
      </c>
      <c r="H102">
        <v>14.499000000000001</v>
      </c>
      <c r="I102">
        <v>14.643000000000001</v>
      </c>
      <c r="J102" t="str">
        <f t="shared" si="17"/>
        <v>MDWN82.1f</v>
      </c>
      <c r="K102" t="str">
        <f t="shared" si="18"/>
        <v>WT</v>
      </c>
      <c r="M102" t="str">
        <f t="shared" si="19"/>
        <v>qPCR RQ-Hom:0</v>
      </c>
      <c r="N102" s="2"/>
      <c r="O102" t="str">
        <f t="shared" si="20"/>
        <v>qPCR</v>
      </c>
      <c r="P102" t="str">
        <f t="shared" si="21"/>
        <v>LacZ_Reg</v>
      </c>
      <c r="Q102">
        <f t="shared" si="22"/>
        <v>0</v>
      </c>
      <c r="R102" t="str">
        <f t="shared" si="23"/>
        <v>CHECK</v>
      </c>
      <c r="S102" s="2" t="s">
        <v>8</v>
      </c>
      <c r="T102" s="2" t="s">
        <v>9</v>
      </c>
      <c r="U102" s="2" t="s">
        <v>7</v>
      </c>
      <c r="V102" s="2" t="s">
        <v>48</v>
      </c>
      <c r="W102" s="2" t="s">
        <v>6</v>
      </c>
    </row>
    <row r="103" spans="1:23" x14ac:dyDescent="0.25">
      <c r="A103" t="s">
        <v>97</v>
      </c>
      <c r="B103" t="b">
        <v>0</v>
      </c>
      <c r="C103" t="s">
        <v>256</v>
      </c>
      <c r="D103" t="s">
        <v>246</v>
      </c>
      <c r="E103" t="s">
        <v>86</v>
      </c>
      <c r="F103">
        <v>0.61599999999999999</v>
      </c>
      <c r="G103">
        <v>25.120999999999999</v>
      </c>
      <c r="H103">
        <v>0.55500000000000005</v>
      </c>
      <c r="I103">
        <v>0.69899999999999995</v>
      </c>
      <c r="J103" t="str">
        <f t="shared" si="17"/>
        <v>MDWN82.1g</v>
      </c>
      <c r="K103" t="str">
        <f t="shared" si="18"/>
        <v>Het</v>
      </c>
      <c r="M103" t="str">
        <f t="shared" si="19"/>
        <v>qPCR RQ-Hom:0.616</v>
      </c>
      <c r="N103" s="2"/>
      <c r="O103" t="str">
        <f t="shared" si="20"/>
        <v>qPCR</v>
      </c>
      <c r="P103" t="str">
        <f t="shared" si="21"/>
        <v>LacZ_Reg</v>
      </c>
      <c r="Q103">
        <f t="shared" si="22"/>
        <v>0.61599999999999999</v>
      </c>
      <c r="R103" t="str">
        <f t="shared" si="23"/>
        <v>CHECK</v>
      </c>
      <c r="S103" s="2" t="s">
        <v>8</v>
      </c>
      <c r="T103" s="2" t="s">
        <v>9</v>
      </c>
      <c r="U103" s="2" t="s">
        <v>7</v>
      </c>
      <c r="V103" s="2" t="s">
        <v>48</v>
      </c>
      <c r="W103" s="2" t="s">
        <v>6</v>
      </c>
    </row>
    <row r="104" spans="1:23" x14ac:dyDescent="0.25">
      <c r="A104" t="s">
        <v>99</v>
      </c>
      <c r="B104" t="b">
        <v>0</v>
      </c>
      <c r="C104" t="s">
        <v>257</v>
      </c>
      <c r="D104" t="s">
        <v>246</v>
      </c>
      <c r="E104" t="s">
        <v>86</v>
      </c>
      <c r="F104">
        <v>0.59799999999999998</v>
      </c>
      <c r="G104">
        <v>25.236000000000001</v>
      </c>
      <c r="H104">
        <v>0.59599999999999997</v>
      </c>
      <c r="I104">
        <v>0.74099999999999999</v>
      </c>
      <c r="J104" t="str">
        <f t="shared" si="17"/>
        <v>MDWN82.1h</v>
      </c>
      <c r="K104" t="str">
        <f t="shared" si="18"/>
        <v>Het</v>
      </c>
      <c r="M104" t="str">
        <f t="shared" si="19"/>
        <v>qPCR RQ-Hom:0.598</v>
      </c>
      <c r="N104" s="2"/>
      <c r="O104" t="str">
        <f t="shared" si="20"/>
        <v>qPCR</v>
      </c>
      <c r="P104" t="str">
        <f t="shared" si="21"/>
        <v>LacZ_Reg</v>
      </c>
      <c r="Q104">
        <f t="shared" si="22"/>
        <v>0.59799999999999998</v>
      </c>
      <c r="R104" t="str">
        <f t="shared" si="23"/>
        <v>CHECK</v>
      </c>
      <c r="S104" s="2" t="s">
        <v>8</v>
      </c>
      <c r="T104" s="2" t="s">
        <v>9</v>
      </c>
      <c r="U104" s="2" t="s">
        <v>7</v>
      </c>
      <c r="V104" s="2" t="s">
        <v>48</v>
      </c>
      <c r="W104" s="2" t="s">
        <v>6</v>
      </c>
    </row>
    <row r="105" spans="1:23" x14ac:dyDescent="0.25">
      <c r="A105" t="s">
        <v>101</v>
      </c>
      <c r="B105" t="b">
        <v>0</v>
      </c>
      <c r="C105" t="s">
        <v>258</v>
      </c>
      <c r="D105" t="s">
        <v>246</v>
      </c>
      <c r="E105" t="s">
        <v>86</v>
      </c>
      <c r="F105">
        <v>0</v>
      </c>
      <c r="G105">
        <v>36.298000000000002</v>
      </c>
      <c r="H105">
        <v>11.927</v>
      </c>
      <c r="I105">
        <v>12.071999999999999</v>
      </c>
      <c r="J105" t="str">
        <f t="shared" si="17"/>
        <v>MDWN82.1i</v>
      </c>
      <c r="K105" t="str">
        <f t="shared" si="18"/>
        <v>WT</v>
      </c>
      <c r="M105" t="str">
        <f t="shared" si="19"/>
        <v>qPCR RQ-Hom:0</v>
      </c>
      <c r="N105" s="2"/>
      <c r="O105" t="str">
        <f t="shared" si="20"/>
        <v>qPCR</v>
      </c>
      <c r="P105" t="str">
        <f t="shared" si="21"/>
        <v>LacZ_Reg</v>
      </c>
      <c r="Q105">
        <f t="shared" si="22"/>
        <v>0</v>
      </c>
      <c r="R105" t="str">
        <f t="shared" si="23"/>
        <v>CHECK</v>
      </c>
      <c r="S105" s="2" t="s">
        <v>8</v>
      </c>
      <c r="T105" s="2" t="s">
        <v>9</v>
      </c>
      <c r="U105" s="2" t="s">
        <v>7</v>
      </c>
      <c r="V105" s="2" t="s">
        <v>48</v>
      </c>
      <c r="W105" s="2" t="s">
        <v>6</v>
      </c>
    </row>
    <row r="106" spans="1:23" x14ac:dyDescent="0.25">
      <c r="A106" t="s">
        <v>105</v>
      </c>
      <c r="B106" t="b">
        <v>0</v>
      </c>
      <c r="C106" t="s">
        <v>259</v>
      </c>
      <c r="D106" t="s">
        <v>246</v>
      </c>
      <c r="E106" t="s">
        <v>86</v>
      </c>
      <c r="F106">
        <v>0.6</v>
      </c>
      <c r="G106">
        <v>24.949000000000002</v>
      </c>
      <c r="H106">
        <v>0.59299999999999997</v>
      </c>
      <c r="I106">
        <v>0.73699999999999999</v>
      </c>
      <c r="J106" t="str">
        <f t="shared" si="17"/>
        <v>MDWN82.1j</v>
      </c>
      <c r="K106" t="str">
        <f t="shared" si="18"/>
        <v>Het</v>
      </c>
      <c r="M106" t="str">
        <f t="shared" si="19"/>
        <v>qPCR RQ-Hom:0.6</v>
      </c>
      <c r="N106" s="2"/>
      <c r="O106" t="str">
        <f t="shared" si="20"/>
        <v>qPCR</v>
      </c>
      <c r="P106" t="str">
        <f t="shared" si="21"/>
        <v>LacZ_Reg</v>
      </c>
      <c r="Q106">
        <f t="shared" si="22"/>
        <v>0.6</v>
      </c>
      <c r="R106" t="str">
        <f t="shared" si="23"/>
        <v>CHECK</v>
      </c>
      <c r="S106" s="2" t="s">
        <v>8</v>
      </c>
      <c r="T106" s="2" t="s">
        <v>9</v>
      </c>
      <c r="U106" s="2" t="s">
        <v>7</v>
      </c>
      <c r="V106" s="2" t="s">
        <v>48</v>
      </c>
      <c r="W106" s="2" t="s">
        <v>6</v>
      </c>
    </row>
    <row r="107" spans="1:23" x14ac:dyDescent="0.25">
      <c r="A107" t="s">
        <v>205</v>
      </c>
      <c r="B107" t="b">
        <v>1</v>
      </c>
      <c r="C107" t="s">
        <v>260</v>
      </c>
      <c r="D107" t="s">
        <v>246</v>
      </c>
      <c r="F107">
        <v>0</v>
      </c>
      <c r="J107" t="str">
        <f t="shared" si="17"/>
        <v>MGZX56.1a</v>
      </c>
      <c r="K107" t="str">
        <f t="shared" si="18"/>
        <v>Failed</v>
      </c>
      <c r="M107" t="str">
        <f t="shared" si="19"/>
        <v>qPCR RQ-Hom:0</v>
      </c>
      <c r="N107" s="2"/>
      <c r="O107" t="str">
        <f t="shared" si="20"/>
        <v>qPCR</v>
      </c>
      <c r="P107" t="str">
        <f t="shared" si="21"/>
        <v>LacZ_Reg</v>
      </c>
      <c r="Q107" t="str">
        <f t="shared" si="22"/>
        <v>Result</v>
      </c>
      <c r="R107" t="str">
        <f t="shared" si="23"/>
        <v>Failed</v>
      </c>
      <c r="S107" s="2" t="s">
        <v>8</v>
      </c>
      <c r="T107" s="2" t="s">
        <v>9</v>
      </c>
      <c r="U107" s="2" t="s">
        <v>7</v>
      </c>
      <c r="V107" s="2" t="s">
        <v>48</v>
      </c>
      <c r="W107" s="2" t="s">
        <v>6</v>
      </c>
    </row>
    <row r="108" spans="1:23" x14ac:dyDescent="0.25">
      <c r="A108" t="s">
        <v>208</v>
      </c>
      <c r="B108" t="b">
        <v>0</v>
      </c>
      <c r="C108" t="s">
        <v>261</v>
      </c>
      <c r="D108" t="s">
        <v>246</v>
      </c>
      <c r="E108" t="s">
        <v>86</v>
      </c>
      <c r="F108">
        <v>0.58499999999999996</v>
      </c>
      <c r="G108">
        <v>23.931999999999999</v>
      </c>
      <c r="H108">
        <v>0.629</v>
      </c>
      <c r="I108">
        <v>0.77300000000000002</v>
      </c>
      <c r="J108" t="str">
        <f t="shared" si="17"/>
        <v>MGZX56.1b</v>
      </c>
      <c r="K108" t="str">
        <f t="shared" si="18"/>
        <v>Het</v>
      </c>
      <c r="M108" t="str">
        <f t="shared" si="19"/>
        <v>qPCR RQ-Hom:0.585</v>
      </c>
      <c r="N108" s="2"/>
      <c r="O108" t="str">
        <f t="shared" si="20"/>
        <v>qPCR</v>
      </c>
      <c r="P108" t="str">
        <f t="shared" si="21"/>
        <v>LacZ_Reg</v>
      </c>
      <c r="Q108">
        <f t="shared" si="22"/>
        <v>0.58499999999999996</v>
      </c>
      <c r="R108" t="str">
        <f t="shared" si="23"/>
        <v>CHECK</v>
      </c>
      <c r="S108" s="2" t="s">
        <v>8</v>
      </c>
      <c r="T108" s="2" t="s">
        <v>9</v>
      </c>
      <c r="U108" s="2" t="s">
        <v>7</v>
      </c>
      <c r="V108" s="2" t="s">
        <v>48</v>
      </c>
      <c r="W108" s="2" t="s">
        <v>6</v>
      </c>
    </row>
    <row r="109" spans="1:23" x14ac:dyDescent="0.25">
      <c r="A109" t="s">
        <v>210</v>
      </c>
      <c r="B109" t="b">
        <v>0</v>
      </c>
      <c r="C109" t="s">
        <v>262</v>
      </c>
      <c r="D109" t="s">
        <v>246</v>
      </c>
      <c r="E109" t="s">
        <v>86</v>
      </c>
      <c r="F109">
        <v>0.53600000000000003</v>
      </c>
      <c r="G109">
        <v>23.59</v>
      </c>
      <c r="H109">
        <v>0.754</v>
      </c>
      <c r="I109">
        <v>0.89900000000000002</v>
      </c>
      <c r="J109" t="str">
        <f t="shared" si="17"/>
        <v>MGZX56.1c</v>
      </c>
      <c r="K109" t="str">
        <f t="shared" si="18"/>
        <v>Het</v>
      </c>
      <c r="M109" t="str">
        <f t="shared" si="19"/>
        <v>qPCR RQ-Hom:0.536</v>
      </c>
      <c r="N109" s="2"/>
      <c r="O109" t="str">
        <f t="shared" si="20"/>
        <v>qPCR</v>
      </c>
      <c r="P109" t="str">
        <f t="shared" si="21"/>
        <v>LacZ_Reg</v>
      </c>
      <c r="Q109">
        <f t="shared" si="22"/>
        <v>0.53600000000000003</v>
      </c>
      <c r="R109" t="str">
        <f t="shared" si="23"/>
        <v>CHECK</v>
      </c>
      <c r="S109" s="2" t="s">
        <v>8</v>
      </c>
      <c r="T109" s="2" t="s">
        <v>9</v>
      </c>
      <c r="U109" s="2" t="s">
        <v>7</v>
      </c>
      <c r="V109" s="2" t="s">
        <v>48</v>
      </c>
      <c r="W109" s="2" t="s">
        <v>6</v>
      </c>
    </row>
    <row r="110" spans="1:23" x14ac:dyDescent="0.25">
      <c r="A110" t="s">
        <v>212</v>
      </c>
      <c r="B110" t="b">
        <v>0</v>
      </c>
      <c r="C110" t="s">
        <v>263</v>
      </c>
      <c r="D110" t="s">
        <v>246</v>
      </c>
      <c r="E110" t="s">
        <v>86</v>
      </c>
      <c r="F110">
        <v>0.55200000000000005</v>
      </c>
      <c r="G110">
        <v>23.042999999999999</v>
      </c>
      <c r="H110">
        <v>0.71299999999999997</v>
      </c>
      <c r="I110">
        <v>0.85699999999999998</v>
      </c>
      <c r="J110" t="str">
        <f t="shared" si="17"/>
        <v>MGZX56.1d</v>
      </c>
      <c r="K110" t="str">
        <f t="shared" si="18"/>
        <v>Het</v>
      </c>
      <c r="M110" t="str">
        <f t="shared" si="19"/>
        <v>qPCR RQ-Hom:0.552</v>
      </c>
      <c r="N110" s="2"/>
      <c r="O110" t="str">
        <f t="shared" si="20"/>
        <v>qPCR</v>
      </c>
      <c r="P110" t="str">
        <f t="shared" si="21"/>
        <v>LacZ_Reg</v>
      </c>
      <c r="Q110">
        <f t="shared" si="22"/>
        <v>0.55200000000000005</v>
      </c>
      <c r="R110" t="str">
        <f t="shared" si="23"/>
        <v>CHECK</v>
      </c>
      <c r="S110" s="2" t="s">
        <v>8</v>
      </c>
      <c r="T110" s="2" t="s">
        <v>9</v>
      </c>
      <c r="U110" s="2" t="s">
        <v>7</v>
      </c>
      <c r="V110" s="2" t="s">
        <v>48</v>
      </c>
      <c r="W110" s="2" t="s">
        <v>6</v>
      </c>
    </row>
    <row r="111" spans="1:23" x14ac:dyDescent="0.25">
      <c r="A111" t="s">
        <v>214</v>
      </c>
      <c r="B111" t="b">
        <v>0</v>
      </c>
      <c r="C111" t="s">
        <v>264</v>
      </c>
      <c r="D111" t="s">
        <v>246</v>
      </c>
      <c r="E111" t="s">
        <v>86</v>
      </c>
      <c r="F111">
        <v>0.52200000000000002</v>
      </c>
      <c r="G111">
        <v>22.954999999999998</v>
      </c>
      <c r="H111">
        <v>0.79200000000000004</v>
      </c>
      <c r="I111">
        <v>0.93700000000000006</v>
      </c>
      <c r="J111" t="str">
        <f t="shared" si="17"/>
        <v>MGZX56.1e</v>
      </c>
      <c r="K111" t="str">
        <f t="shared" si="18"/>
        <v>Het</v>
      </c>
      <c r="M111" t="str">
        <f t="shared" si="19"/>
        <v>qPCR RQ-Hom:0.522</v>
      </c>
      <c r="N111" s="2"/>
      <c r="O111" t="str">
        <f t="shared" si="20"/>
        <v>qPCR</v>
      </c>
      <c r="P111" t="str">
        <f t="shared" si="21"/>
        <v>LacZ_Reg</v>
      </c>
      <c r="Q111">
        <f t="shared" si="22"/>
        <v>0.52200000000000002</v>
      </c>
      <c r="R111" t="str">
        <f t="shared" si="23"/>
        <v>CHECK</v>
      </c>
      <c r="S111" s="2" t="s">
        <v>8</v>
      </c>
      <c r="T111" s="2" t="s">
        <v>9</v>
      </c>
      <c r="U111" s="2" t="s">
        <v>7</v>
      </c>
      <c r="V111" s="2" t="s">
        <v>48</v>
      </c>
      <c r="W111" s="2" t="s">
        <v>6</v>
      </c>
    </row>
    <row r="112" spans="1:23" x14ac:dyDescent="0.25">
      <c r="A112" t="s">
        <v>216</v>
      </c>
      <c r="B112" t="b">
        <v>0</v>
      </c>
      <c r="C112" t="s">
        <v>265</v>
      </c>
      <c r="D112" t="s">
        <v>246</v>
      </c>
      <c r="E112" t="s">
        <v>86</v>
      </c>
      <c r="F112">
        <v>0.55400000000000005</v>
      </c>
      <c r="G112">
        <v>23.224</v>
      </c>
      <c r="H112">
        <v>0.70799999999999996</v>
      </c>
      <c r="I112">
        <v>0.85199999999999998</v>
      </c>
      <c r="J112" t="str">
        <f t="shared" si="17"/>
        <v>MGZX56.1f</v>
      </c>
      <c r="K112" t="str">
        <f t="shared" si="18"/>
        <v>Het</v>
      </c>
      <c r="M112" t="str">
        <f t="shared" si="19"/>
        <v>qPCR RQ-Hom:0.554</v>
      </c>
      <c r="N112" s="2"/>
      <c r="O112" t="str">
        <f t="shared" si="20"/>
        <v>qPCR</v>
      </c>
      <c r="P112" t="str">
        <f t="shared" si="21"/>
        <v>LacZ_Reg</v>
      </c>
      <c r="Q112">
        <f t="shared" si="22"/>
        <v>0.55400000000000005</v>
      </c>
      <c r="R112" t="str">
        <f t="shared" si="23"/>
        <v>CHECK</v>
      </c>
      <c r="S112" s="2" t="s">
        <v>8</v>
      </c>
      <c r="T112" s="2" t="s">
        <v>9</v>
      </c>
      <c r="U112" s="2" t="s">
        <v>7</v>
      </c>
      <c r="V112" s="2" t="s">
        <v>48</v>
      </c>
      <c r="W112" s="2" t="s">
        <v>6</v>
      </c>
    </row>
    <row r="113" spans="1:23" x14ac:dyDescent="0.25">
      <c r="A113" t="s">
        <v>218</v>
      </c>
      <c r="B113" t="b">
        <v>0</v>
      </c>
      <c r="C113" t="s">
        <v>266</v>
      </c>
      <c r="D113" t="s">
        <v>246</v>
      </c>
      <c r="E113" t="s">
        <v>86</v>
      </c>
      <c r="F113">
        <v>0.51800000000000002</v>
      </c>
      <c r="G113">
        <v>22.98</v>
      </c>
      <c r="H113">
        <v>0.80400000000000005</v>
      </c>
      <c r="I113">
        <v>0.94799999999999995</v>
      </c>
      <c r="J113" t="str">
        <f t="shared" si="17"/>
        <v>MGZX56.1g</v>
      </c>
      <c r="K113" t="str">
        <f t="shared" si="18"/>
        <v>Het</v>
      </c>
      <c r="M113" t="str">
        <f t="shared" si="19"/>
        <v>qPCR RQ-Hom:0.518</v>
      </c>
      <c r="N113" s="2"/>
      <c r="O113" t="str">
        <f t="shared" si="20"/>
        <v>qPCR</v>
      </c>
      <c r="P113" t="str">
        <f t="shared" si="21"/>
        <v>LacZ_Reg</v>
      </c>
      <c r="Q113">
        <f t="shared" si="22"/>
        <v>0.51800000000000002</v>
      </c>
      <c r="R113" t="str">
        <f t="shared" si="23"/>
        <v>CHECK</v>
      </c>
      <c r="S113" s="2" t="s">
        <v>8</v>
      </c>
      <c r="T113" s="2" t="s">
        <v>9</v>
      </c>
      <c r="U113" s="2" t="s">
        <v>7</v>
      </c>
      <c r="V113" s="2" t="s">
        <v>48</v>
      </c>
      <c r="W113" s="2" t="s">
        <v>6</v>
      </c>
    </row>
    <row r="114" spans="1:23" x14ac:dyDescent="0.25">
      <c r="A114" t="s">
        <v>220</v>
      </c>
      <c r="B114" t="b">
        <v>0</v>
      </c>
      <c r="C114" t="s">
        <v>267</v>
      </c>
      <c r="D114" t="s">
        <v>246</v>
      </c>
      <c r="E114" t="s">
        <v>86</v>
      </c>
      <c r="F114">
        <v>0.56699999999999995</v>
      </c>
      <c r="G114">
        <v>23.315000000000001</v>
      </c>
      <c r="H114">
        <v>0.67500000000000004</v>
      </c>
      <c r="I114">
        <v>0.82</v>
      </c>
      <c r="J114" t="str">
        <f t="shared" si="17"/>
        <v>MGZX56.1h</v>
      </c>
      <c r="K114" t="str">
        <f t="shared" si="18"/>
        <v>Het</v>
      </c>
      <c r="M114" t="str">
        <f t="shared" si="19"/>
        <v>qPCR RQ-Hom:0.567</v>
      </c>
      <c r="N114" s="2"/>
      <c r="O114" t="str">
        <f t="shared" si="20"/>
        <v>qPCR</v>
      </c>
      <c r="P114" t="str">
        <f t="shared" si="21"/>
        <v>LacZ_Reg</v>
      </c>
      <c r="Q114">
        <f t="shared" si="22"/>
        <v>0.56699999999999995</v>
      </c>
      <c r="R114" t="str">
        <f t="shared" si="23"/>
        <v>CHECK</v>
      </c>
      <c r="S114" s="2" t="s">
        <v>8</v>
      </c>
      <c r="T114" s="2" t="s">
        <v>9</v>
      </c>
      <c r="U114" s="2" t="s">
        <v>7</v>
      </c>
      <c r="V114" s="2" t="s">
        <v>48</v>
      </c>
      <c r="W114" s="2" t="s">
        <v>6</v>
      </c>
    </row>
  </sheetData>
  <conditionalFormatting sqref="K17:K114">
    <cfRule type="containsText" dxfId="6" priority="3" operator="containsText" text="Hemi">
      <formula>NOT(ISERROR(SEARCH("Hemi",K17)))</formula>
    </cfRule>
    <cfRule type="containsText" dxfId="5" priority="4" operator="containsText" text="Hom">
      <formula>NOT(ISERROR(SEARCH("Hom",K17)))</formula>
    </cfRule>
    <cfRule type="containsText" dxfId="4" priority="5" operator="containsText" text="Het">
      <formula>NOT(ISERROR(SEARCH("Het",K17)))</formula>
    </cfRule>
    <cfRule type="containsText" dxfId="3" priority="6" operator="containsText" text="WT">
      <formula>NOT(ISERROR(SEARCH("WT",K17)))</formula>
    </cfRule>
    <cfRule type="containsText" dxfId="2" priority="7" operator="containsText" text="Failed">
      <formula>NOT(ISERROR(SEARCH("Failed",K17)))</formula>
    </cfRule>
  </conditionalFormatting>
  <conditionalFormatting sqref="V17:V114">
    <cfRule type="containsText" dxfId="1" priority="2" operator="containsText" text="y">
      <formula>NOT(ISERROR(SEARCH("y",V17)))</formula>
    </cfRule>
  </conditionalFormatting>
  <conditionalFormatting sqref="W17:W114">
    <cfRule type="containsText" dxfId="0" priority="1" operator="containsText" text="y">
      <formula>NOT(ISERROR(SEARCH("y",W17)))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"/>
  <sheetViews>
    <sheetView workbookViewId="0">
      <selection activeCell="A9" sqref="A9"/>
    </sheetView>
  </sheetViews>
  <sheetFormatPr defaultRowHeight="15" x14ac:dyDescent="0.25"/>
  <sheetData>
    <row r="8" spans="1:1" x14ac:dyDescent="0.25">
      <c r="A8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Formulas</vt:lpstr>
      <vt:lpstr>Test</vt:lpstr>
      <vt:lpstr>Sheet3</vt:lpstr>
    </vt:vector>
  </TitlesOfParts>
  <Company>GRL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Ryder</dc:creator>
  <cp:lastModifiedBy>Jonathan  Burvill</cp:lastModifiedBy>
  <dcterms:created xsi:type="dcterms:W3CDTF">2011-10-10T12:39:55Z</dcterms:created>
  <dcterms:modified xsi:type="dcterms:W3CDTF">2018-07-16T10:05:10Z</dcterms:modified>
</cp:coreProperties>
</file>