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neu" sheetId="2" r:id="rId1"/>
    <sheet name="alt" sheetId="1" r:id="rId2"/>
  </sheets>
  <calcPr calcId="145621"/>
</workbook>
</file>

<file path=xl/calcChain.xml><?xml version="1.0" encoding="utf-8"?>
<calcChain xmlns="http://schemas.openxmlformats.org/spreadsheetml/2006/main">
  <c r="Z19" i="2" l="1"/>
  <c r="J3" i="2"/>
  <c r="J4" i="2"/>
  <c r="J5" i="2"/>
  <c r="Z38" i="2" l="1"/>
  <c r="Z37" i="2"/>
  <c r="Z33" i="2"/>
  <c r="W33" i="2"/>
  <c r="T33" i="2"/>
  <c r="Q33" i="2"/>
  <c r="N33" i="2"/>
  <c r="K33" i="2"/>
  <c r="B33" i="2"/>
  <c r="E33" i="2"/>
  <c r="AA17" i="2"/>
  <c r="AA16" i="2"/>
  <c r="AA15" i="2"/>
  <c r="AA14" i="2"/>
  <c r="Z8" i="2"/>
  <c r="H33" i="2"/>
  <c r="X23" i="2" l="1"/>
  <c r="X24" i="2"/>
  <c r="N28" i="2"/>
  <c r="U25" i="2"/>
  <c r="X25" i="2" s="1"/>
  <c r="O24" i="2"/>
  <c r="R24" i="2" s="1"/>
  <c r="T29" i="2"/>
  <c r="T28" i="2"/>
  <c r="N29" i="2"/>
  <c r="O29" i="2" s="1"/>
  <c r="H29" i="2"/>
  <c r="I29" i="2" s="1"/>
  <c r="H28" i="2"/>
  <c r="K28" i="2" s="1"/>
  <c r="L28" i="2" s="1"/>
  <c r="W20" i="2"/>
  <c r="W8" i="2"/>
  <c r="Q20" i="2"/>
  <c r="Q8" i="2"/>
  <c r="I23" i="2"/>
  <c r="L23" i="2" s="1"/>
  <c r="E29" i="2"/>
  <c r="E28" i="2"/>
  <c r="E27" i="2"/>
  <c r="K20" i="2"/>
  <c r="K8" i="2"/>
  <c r="E8" i="2"/>
  <c r="E20" i="2"/>
  <c r="C29" i="2"/>
  <c r="C28" i="2"/>
  <c r="C27" i="2"/>
  <c r="C4" i="2"/>
  <c r="B30" i="2"/>
  <c r="B17" i="1"/>
  <c r="T27" i="2" l="1"/>
  <c r="W27" i="2" s="1"/>
  <c r="H27" i="2"/>
  <c r="I27" i="2" s="1"/>
  <c r="N27" i="2"/>
  <c r="K29" i="2"/>
  <c r="L29" i="2" s="1"/>
  <c r="Q29" i="2"/>
  <c r="R29" i="2" s="1"/>
  <c r="W29" i="2"/>
  <c r="R23" i="2"/>
  <c r="Q28" i="2"/>
  <c r="R28" i="2" s="1"/>
  <c r="I28" i="2"/>
  <c r="B26" i="2"/>
  <c r="D8" i="1"/>
  <c r="F22" i="1"/>
  <c r="F20" i="1"/>
  <c r="D22" i="1"/>
  <c r="D21" i="1"/>
  <c r="D20" i="1"/>
  <c r="D19" i="1"/>
  <c r="D18" i="1"/>
  <c r="D17" i="1"/>
  <c r="B22" i="1"/>
  <c r="B20" i="1"/>
  <c r="B19" i="1"/>
  <c r="B18" i="1"/>
  <c r="F8" i="1"/>
  <c r="F17" i="1" s="1"/>
  <c r="X27" i="2" l="1"/>
  <c r="K27" i="2"/>
  <c r="L27" i="2" s="1"/>
  <c r="X29" i="2"/>
  <c r="H26" i="2"/>
  <c r="N26" i="2"/>
  <c r="Q26" i="2" s="1"/>
  <c r="R26" i="2" s="1"/>
  <c r="T26" i="2"/>
  <c r="C22" i="2"/>
  <c r="U22" i="2" s="1"/>
  <c r="X22" i="2" s="1"/>
  <c r="C26" i="2"/>
  <c r="E26" i="2"/>
  <c r="U29" i="2"/>
  <c r="O28" i="2"/>
  <c r="U27" i="2"/>
  <c r="Q27" i="2"/>
  <c r="R27" i="2" s="1"/>
  <c r="O27" i="2"/>
  <c r="D7" i="1"/>
  <c r="E17" i="1" s="1"/>
  <c r="F22" i="2" l="1"/>
  <c r="I22" i="2"/>
  <c r="L22" i="2" s="1"/>
  <c r="O22" i="2"/>
  <c r="R22" i="2" s="1"/>
  <c r="R30" i="2" s="1"/>
  <c r="C30" i="2"/>
  <c r="O26" i="2"/>
  <c r="K26" i="2"/>
  <c r="L26" i="2" s="1"/>
  <c r="I26" i="2"/>
  <c r="U28" i="2"/>
  <c r="W28" i="2"/>
  <c r="U26" i="2"/>
  <c r="W26" i="2"/>
  <c r="F27" i="2"/>
  <c r="F29" i="2"/>
  <c r="F28" i="2"/>
  <c r="E19" i="1"/>
  <c r="E18" i="1"/>
  <c r="C17" i="1"/>
  <c r="M19" i="1"/>
  <c r="M18" i="1"/>
  <c r="M17" i="1"/>
  <c r="M22" i="1"/>
  <c r="M21" i="1"/>
  <c r="M20" i="1"/>
  <c r="I19" i="1"/>
  <c r="I18" i="1"/>
  <c r="I17" i="1"/>
  <c r="E20" i="1"/>
  <c r="C22" i="1"/>
  <c r="I22" i="1"/>
  <c r="C20" i="1"/>
  <c r="E22" i="1"/>
  <c r="I21" i="1"/>
  <c r="I20" i="1"/>
  <c r="E21" i="1"/>
  <c r="C19" i="1"/>
  <c r="C18" i="1"/>
  <c r="B21" i="1"/>
  <c r="C21" i="1" s="1"/>
  <c r="B8" i="1"/>
  <c r="X26" i="2" l="1"/>
  <c r="X30" i="2" s="1"/>
  <c r="X28" i="2"/>
  <c r="O30" i="2"/>
  <c r="O11" i="2" s="1"/>
  <c r="C11" i="2"/>
  <c r="C17" i="2"/>
  <c r="B17" i="2" s="1"/>
  <c r="B38" i="2" s="1"/>
  <c r="C16" i="2"/>
  <c r="B16" i="2" s="1"/>
  <c r="B37" i="2" s="1"/>
  <c r="C13" i="2"/>
  <c r="C12" i="2"/>
  <c r="C15" i="2"/>
  <c r="B15" i="2" s="1"/>
  <c r="C10" i="2"/>
  <c r="C14" i="2"/>
  <c r="B14" i="2" s="1"/>
  <c r="R13" i="2"/>
  <c r="R14" i="2"/>
  <c r="R15" i="2"/>
  <c r="Q15" i="2" s="1"/>
  <c r="R17" i="2"/>
  <c r="R16" i="2"/>
  <c r="R10" i="2"/>
  <c r="R11" i="2"/>
  <c r="R12" i="2"/>
  <c r="U30" i="2"/>
  <c r="U14" i="2" s="1"/>
  <c r="F26" i="2"/>
  <c r="F21" i="1"/>
  <c r="D16" i="1"/>
  <c r="B16" i="1"/>
  <c r="D15" i="1"/>
  <c r="B15" i="1"/>
  <c r="D12" i="1"/>
  <c r="B12" i="1"/>
  <c r="D10" i="1"/>
  <c r="D14" i="1"/>
  <c r="B14" i="1"/>
  <c r="B11" i="1"/>
  <c r="B10" i="1"/>
  <c r="D13" i="1"/>
  <c r="B13" i="1"/>
  <c r="D11" i="1"/>
  <c r="D9" i="1"/>
  <c r="B9" i="1"/>
  <c r="B19" i="2" l="1"/>
  <c r="O13" i="2"/>
  <c r="B40" i="2"/>
  <c r="C40" i="2" s="1"/>
  <c r="O17" i="2"/>
  <c r="O16" i="2"/>
  <c r="Q40" i="2"/>
  <c r="R40" i="2" s="1"/>
  <c r="B34" i="2"/>
  <c r="B35" i="2"/>
  <c r="Q36" i="2"/>
  <c r="R36" i="2" s="1"/>
  <c r="B36" i="2"/>
  <c r="AA37" i="2"/>
  <c r="AB37" i="2"/>
  <c r="X14" i="2"/>
  <c r="AA12" i="2"/>
  <c r="Z40" i="2" s="1"/>
  <c r="AA11" i="2"/>
  <c r="O10" i="2"/>
  <c r="D37" i="2"/>
  <c r="C37" i="2"/>
  <c r="D38" i="2"/>
  <c r="C38" i="2"/>
  <c r="O12" i="2"/>
  <c r="O15" i="2"/>
  <c r="O14" i="2"/>
  <c r="C18" i="2"/>
  <c r="B18" i="2"/>
  <c r="U18" i="2"/>
  <c r="U12" i="2"/>
  <c r="U13" i="2"/>
  <c r="U16" i="2"/>
  <c r="U17" i="2"/>
  <c r="U11" i="2"/>
  <c r="U10" i="2"/>
  <c r="U15" i="2"/>
  <c r="X12" i="2"/>
  <c r="X13" i="2"/>
  <c r="X16" i="2"/>
  <c r="X17" i="2"/>
  <c r="X11" i="2"/>
  <c r="X15" i="2"/>
  <c r="W15" i="2" s="1"/>
  <c r="X10" i="2"/>
  <c r="F30" i="2"/>
  <c r="F10" i="2" s="1"/>
  <c r="N40" i="2" l="1"/>
  <c r="P40" i="2" s="1"/>
  <c r="D40" i="2"/>
  <c r="C36" i="2"/>
  <c r="C39" i="2" s="1"/>
  <c r="B39" i="2"/>
  <c r="D36" i="2"/>
  <c r="D39" i="2" s="1"/>
  <c r="W36" i="2"/>
  <c r="T40" i="2"/>
  <c r="W40" i="2"/>
  <c r="Z36" i="2"/>
  <c r="Z39" i="2" s="1"/>
  <c r="Z35" i="2"/>
  <c r="Z34" i="2"/>
  <c r="S36" i="2"/>
  <c r="AA40" i="2"/>
  <c r="AB40" i="2"/>
  <c r="AA18" i="2"/>
  <c r="AB38" i="2"/>
  <c r="AA38" i="2"/>
  <c r="S40" i="2"/>
  <c r="C35" i="2"/>
  <c r="D35" i="2"/>
  <c r="O40" i="2"/>
  <c r="C34" i="2"/>
  <c r="D34" i="2"/>
  <c r="L15" i="2"/>
  <c r="K15" i="2" s="1"/>
  <c r="L13" i="2"/>
  <c r="F16" i="2"/>
  <c r="E16" i="2" s="1"/>
  <c r="E37" i="2" s="1"/>
  <c r="F17" i="2"/>
  <c r="E17" i="2" s="1"/>
  <c r="E38" i="2" s="1"/>
  <c r="F11" i="2"/>
  <c r="F12" i="2"/>
  <c r="F13" i="2"/>
  <c r="F14" i="2"/>
  <c r="E14" i="2" s="1"/>
  <c r="F15" i="2"/>
  <c r="E15" i="2" s="1"/>
  <c r="E19" i="2" l="1"/>
  <c r="E35" i="2"/>
  <c r="E34" i="2"/>
  <c r="E36" i="2"/>
  <c r="E39" i="2" s="1"/>
  <c r="E40" i="2"/>
  <c r="F40" i="2" s="1"/>
  <c r="AB35" i="2"/>
  <c r="AA35" i="2"/>
  <c r="AB36" i="2"/>
  <c r="AB39" i="2" s="1"/>
  <c r="AA36" i="2"/>
  <c r="AA39" i="2" s="1"/>
  <c r="AA34" i="2"/>
  <c r="AB34" i="2"/>
  <c r="Y40" i="2"/>
  <c r="X40" i="2"/>
  <c r="F37" i="2"/>
  <c r="G37" i="2"/>
  <c r="G38" i="2"/>
  <c r="F38" i="2"/>
  <c r="V40" i="2"/>
  <c r="U40" i="2"/>
  <c r="Y36" i="2"/>
  <c r="X36" i="2"/>
  <c r="I30" i="2"/>
  <c r="E18" i="2"/>
  <c r="F18" i="2"/>
  <c r="G40" i="2" l="1"/>
  <c r="G35" i="2"/>
  <c r="F35" i="2"/>
  <c r="G36" i="2"/>
  <c r="G39" i="2" s="1"/>
  <c r="F36" i="2"/>
  <c r="F39" i="2" s="1"/>
  <c r="F34" i="2"/>
  <c r="G34" i="2"/>
  <c r="I10" i="2"/>
  <c r="N16" i="2"/>
  <c r="N37" i="2" s="1"/>
  <c r="N17" i="2"/>
  <c r="N38" i="2" s="1"/>
  <c r="T16" i="2"/>
  <c r="T37" i="2" s="1"/>
  <c r="T17" i="2"/>
  <c r="T38" i="2" s="1"/>
  <c r="N14" i="2"/>
  <c r="T15" i="2"/>
  <c r="T36" i="2" s="1"/>
  <c r="T39" i="2" s="1"/>
  <c r="N15" i="2"/>
  <c r="N36" i="2" s="1"/>
  <c r="T14" i="2"/>
  <c r="I11" i="2"/>
  <c r="I12" i="2"/>
  <c r="I13" i="2"/>
  <c r="I15" i="2"/>
  <c r="H15" i="2" s="1"/>
  <c r="I17" i="2"/>
  <c r="H17" i="2" s="1"/>
  <c r="H38" i="2" s="1"/>
  <c r="I14" i="2"/>
  <c r="H14" i="2" s="1"/>
  <c r="I16" i="2"/>
  <c r="H16" i="2" s="1"/>
  <c r="H37" i="2" s="1"/>
  <c r="L30" i="2"/>
  <c r="N39" i="2" l="1"/>
  <c r="H19" i="2"/>
  <c r="T19" i="2"/>
  <c r="N19" i="2"/>
  <c r="T35" i="2"/>
  <c r="T34" i="2"/>
  <c r="N34" i="2"/>
  <c r="N35" i="2"/>
  <c r="H35" i="2"/>
  <c r="H36" i="2"/>
  <c r="H39" i="2" s="1"/>
  <c r="H40" i="2"/>
  <c r="P37" i="2"/>
  <c r="O37" i="2"/>
  <c r="H34" i="2"/>
  <c r="J38" i="2"/>
  <c r="I38" i="2"/>
  <c r="J37" i="2"/>
  <c r="I37" i="2"/>
  <c r="V36" i="2"/>
  <c r="U36" i="2"/>
  <c r="V38" i="2"/>
  <c r="U38" i="2"/>
  <c r="P36" i="2"/>
  <c r="O36" i="2"/>
  <c r="U37" i="2"/>
  <c r="V37" i="2"/>
  <c r="P38" i="2"/>
  <c r="O38" i="2"/>
  <c r="O18" i="2"/>
  <c r="L11" i="2"/>
  <c r="L10" i="2"/>
  <c r="L16" i="2"/>
  <c r="K16" i="2" s="1"/>
  <c r="K37" i="2" s="1"/>
  <c r="L12" i="2"/>
  <c r="K40" i="2" s="1"/>
  <c r="L17" i="2"/>
  <c r="K17" i="2" s="1"/>
  <c r="K38" i="2" s="1"/>
  <c r="W17" i="2"/>
  <c r="W38" i="2" s="1"/>
  <c r="Q17" i="2"/>
  <c r="Q38" i="2" s="1"/>
  <c r="W16" i="2"/>
  <c r="W37" i="2" s="1"/>
  <c r="Q16" i="2"/>
  <c r="Q37" i="2" s="1"/>
  <c r="L14" i="2"/>
  <c r="K14" i="2" s="1"/>
  <c r="Q14" i="2"/>
  <c r="W14" i="2"/>
  <c r="I18" i="2"/>
  <c r="U39" i="2" l="1"/>
  <c r="V39" i="2"/>
  <c r="O39" i="2"/>
  <c r="P39" i="2"/>
  <c r="K19" i="2"/>
  <c r="W19" i="2"/>
  <c r="Q19" i="2"/>
  <c r="Q39" i="2"/>
  <c r="W39" i="2"/>
  <c r="Q35" i="2"/>
  <c r="Q34" i="2"/>
  <c r="K34" i="2"/>
  <c r="K35" i="2"/>
  <c r="W35" i="2"/>
  <c r="W34" i="2"/>
  <c r="K36" i="2"/>
  <c r="S38" i="2"/>
  <c r="R38" i="2"/>
  <c r="Y38" i="2"/>
  <c r="X38" i="2"/>
  <c r="J36" i="2"/>
  <c r="J39" i="2" s="1"/>
  <c r="I36" i="2"/>
  <c r="I39" i="2" s="1"/>
  <c r="J35" i="2"/>
  <c r="I35" i="2"/>
  <c r="L40" i="2"/>
  <c r="M40" i="2"/>
  <c r="I34" i="2"/>
  <c r="J34" i="2"/>
  <c r="V34" i="2"/>
  <c r="U34" i="2"/>
  <c r="J40" i="2"/>
  <c r="I40" i="2"/>
  <c r="L37" i="2"/>
  <c r="M37" i="2"/>
  <c r="V35" i="2"/>
  <c r="U35" i="2"/>
  <c r="M38" i="2"/>
  <c r="L38" i="2"/>
  <c r="S37" i="2"/>
  <c r="R37" i="2"/>
  <c r="P35" i="2"/>
  <c r="O35" i="2"/>
  <c r="Y37" i="2"/>
  <c r="X37" i="2"/>
  <c r="X39" i="2" s="1"/>
  <c r="O34" i="2"/>
  <c r="P34" i="2"/>
  <c r="X18" i="2"/>
  <c r="L18" i="2"/>
  <c r="R18" i="2"/>
  <c r="Y39" i="2" l="1"/>
  <c r="R39" i="2"/>
  <c r="S39" i="2"/>
  <c r="M36" i="2"/>
  <c r="M39" i="2" s="1"/>
  <c r="K39" i="2"/>
  <c r="L36" i="2"/>
  <c r="L39" i="2" s="1"/>
  <c r="Y34" i="2"/>
  <c r="X34" i="2"/>
  <c r="L34" i="2"/>
  <c r="M34" i="2"/>
  <c r="R34" i="2"/>
  <c r="S34" i="2"/>
  <c r="Y35" i="2"/>
  <c r="X35" i="2"/>
  <c r="M35" i="2"/>
  <c r="L35" i="2"/>
  <c r="S35" i="2"/>
  <c r="R35" i="2"/>
</calcChain>
</file>

<file path=xl/sharedStrings.xml><?xml version="1.0" encoding="utf-8"?>
<sst xmlns="http://schemas.openxmlformats.org/spreadsheetml/2006/main" count="110" uniqueCount="53">
  <si>
    <t>Glukose</t>
  </si>
  <si>
    <t>Maltodextrin</t>
  </si>
  <si>
    <t>Palatinose</t>
  </si>
  <si>
    <t>Eiweiß</t>
  </si>
  <si>
    <t>Salz</t>
  </si>
  <si>
    <t>Füllmenge [Li]</t>
  </si>
  <si>
    <t>Körpergewicht [kg]</t>
  </si>
  <si>
    <t>Saft</t>
  </si>
  <si>
    <t>Saft (Glukose / Fruktose)</t>
  </si>
  <si>
    <t>Beim Sport (Wasser)</t>
  </si>
  <si>
    <t>Beim Sport (Saft)</t>
  </si>
  <si>
    <t>Nach dem Sport</t>
  </si>
  <si>
    <t>Wasser</t>
  </si>
  <si>
    <t>Angedickt -10%</t>
  </si>
  <si>
    <t>Angedickt -20%</t>
  </si>
  <si>
    <t>Angedickt -30%</t>
  </si>
  <si>
    <t>Angedickt -40%</t>
  </si>
  <si>
    <t>Angedickt -50%</t>
  </si>
  <si>
    <t>Angedickt -60%</t>
  </si>
  <si>
    <t>Angedickt -70%</t>
  </si>
  <si>
    <t>Angedickt -80%</t>
  </si>
  <si>
    <t>100 ml</t>
  </si>
  <si>
    <t>Ausprobieren</t>
  </si>
  <si>
    <t>noch etwas zu dünnflüssig</t>
  </si>
  <si>
    <t>Red Bull</t>
  </si>
  <si>
    <t>Füllmenge</t>
  </si>
  <si>
    <t>Energy</t>
  </si>
  <si>
    <t>Sättigung</t>
  </si>
  <si>
    <t>Fructose</t>
  </si>
  <si>
    <t>Glucose</t>
  </si>
  <si>
    <t>Kalorien</t>
  </si>
  <si>
    <t>Dichte</t>
  </si>
  <si>
    <t>Milcheiweiß</t>
  </si>
  <si>
    <t>Zutaten</t>
  </si>
  <si>
    <t>Getränkesirup</t>
  </si>
  <si>
    <t>Zucker</t>
  </si>
  <si>
    <t>Coffein</t>
  </si>
  <si>
    <t>Menge (g)</t>
  </si>
  <si>
    <t>Menge (ml)</t>
  </si>
  <si>
    <t>Gesamt Glucose</t>
  </si>
  <si>
    <t>Wasser (gelöst)</t>
  </si>
  <si>
    <t>Angedickt</t>
  </si>
  <si>
    <t>Saft (gelöst)</t>
  </si>
  <si>
    <t>Energy (gelöst)</t>
  </si>
  <si>
    <t>Sirup (gelöst)</t>
  </si>
  <si>
    <t>kcal</t>
  </si>
  <si>
    <t>Maltodextron</t>
  </si>
  <si>
    <t>Energie</t>
  </si>
  <si>
    <t>gesamte Glucose</t>
  </si>
  <si>
    <t>viel zu flüssig</t>
  </si>
  <si>
    <t>daher werte schon oben angepasst</t>
  </si>
  <si>
    <t>viel zu süß und zu viel coffein</t>
  </si>
  <si>
    <t>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</si>
</sst>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-* #,##0.00\ &quot;€&quot;_-;\-* #,##0.00\ &quot;€&quot;_-;_-* &quot;-&quot;??\ &quot;€&quot;_-;_-@_-"/>
    <numFmt numFmtId="164" formatCode="0\ &quot;g/100ml&quot;"/>
    <numFmt numFmtId="165" formatCode="0&quot; ml&quot;"/>
    <numFmt numFmtId="166" formatCode="0&quot; g&quot;"/>
    <numFmt numFmtId="167" formatCode="0.0&quot; g&quot;"/>
    <numFmt numFmtId="168" formatCode="#,##0\ &quot;g/L&quot;"/>
    <numFmt numFmtId="169" formatCode="0.000\ &quot;g/cm³&quot;"/>
    <numFmt numFmtId="170" formatCode="0.00\ &quot;kcal/g&quot;"/>
    <numFmt numFmtId="171" formatCode="0.00\ &quot;g/mol&quot;"/>
    <numFmt numFmtId="172" formatCode="0\ &quot;mg/100ml&quot;"/>
    <numFmt numFmtId="173" formatCode="#\ &quot;g&quot;"/>
    <numFmt numFmtId="174" formatCode="0\ &quot;g&quot;"/>
    <numFmt numFmtId="175" formatCode="0\ &quot;ml&quot;"/>
    <numFmt numFmtId="176" formatCode="0\ &quot;kcal/100ml&quot;"/>
    <numFmt numFmtId="177" formatCode="0\ &quot;kcal&quot;"/>
    <numFmt numFmtId="178" formatCode="0\ &quot;mg&quot;"/>
    <numFmt numFmtId="179" formatCode="0.00\ &quot;€/kg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165" fontId="0" fillId="4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0" borderId="0" xfId="0" applyFill="1"/>
    <xf numFmtId="0" fontId="0" fillId="4" borderId="0" xfId="0" applyFill="1" applyAlignment="1"/>
    <xf numFmtId="0" fontId="0" fillId="5" borderId="0" xfId="0" applyFill="1" applyAlignment="1"/>
    <xf numFmtId="165" fontId="0" fillId="5" borderId="0" xfId="0" applyNumberFormat="1" applyFill="1" applyAlignment="1">
      <alignment horizontal="center"/>
    </xf>
    <xf numFmtId="0" fontId="0" fillId="2" borderId="0" xfId="0" applyFill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5" fontId="0" fillId="7" borderId="0" xfId="0" applyNumberFormat="1" applyFill="1" applyAlignment="1">
      <alignment horizontal="center"/>
    </xf>
    <xf numFmtId="172" fontId="0" fillId="0" borderId="0" xfId="0" applyNumberFormat="1"/>
    <xf numFmtId="0" fontId="0" fillId="6" borderId="0" xfId="0" applyFill="1"/>
    <xf numFmtId="173" fontId="0" fillId="0" borderId="0" xfId="0" applyNumberFormat="1" applyAlignment="1"/>
    <xf numFmtId="173" fontId="0" fillId="0" borderId="0" xfId="0" applyNumberFormat="1"/>
    <xf numFmtId="9" fontId="0" fillId="7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168" fontId="0" fillId="8" borderId="0" xfId="0" applyNumberFormat="1" applyFill="1"/>
    <xf numFmtId="165" fontId="0" fillId="0" borderId="0" xfId="0" applyNumberFormat="1"/>
    <xf numFmtId="0" fontId="0" fillId="3" borderId="0" xfId="0" applyFill="1"/>
    <xf numFmtId="173" fontId="0" fillId="3" borderId="0" xfId="0" applyNumberFormat="1" applyFill="1" applyAlignment="1"/>
    <xf numFmtId="169" fontId="0" fillId="8" borderId="0" xfId="0" applyNumberFormat="1" applyFill="1"/>
    <xf numFmtId="0" fontId="0" fillId="8" borderId="0" xfId="0" applyFill="1"/>
    <xf numFmtId="174" fontId="0" fillId="0" borderId="0" xfId="0" applyNumberFormat="1" applyAlignment="1"/>
    <xf numFmtId="173" fontId="0" fillId="3" borderId="0" xfId="0" applyNumberFormat="1" applyFill="1"/>
    <xf numFmtId="173" fontId="0" fillId="6" borderId="0" xfId="0" applyNumberFormat="1" applyFill="1" applyAlignment="1"/>
    <xf numFmtId="165" fontId="0" fillId="6" borderId="0" xfId="0" applyNumberFormat="1" applyFill="1"/>
    <xf numFmtId="173" fontId="0" fillId="6" borderId="0" xfId="0" applyNumberFormat="1" applyFill="1"/>
    <xf numFmtId="176" fontId="0" fillId="0" borderId="0" xfId="0" applyNumberFormat="1"/>
    <xf numFmtId="175" fontId="0" fillId="11" borderId="0" xfId="0" applyNumberFormat="1" applyFill="1"/>
    <xf numFmtId="177" fontId="0" fillId="11" borderId="0" xfId="0" applyNumberFormat="1" applyFill="1"/>
    <xf numFmtId="175" fontId="0" fillId="9" borderId="0" xfId="0" applyNumberFormat="1" applyFill="1"/>
    <xf numFmtId="177" fontId="0" fillId="9" borderId="0" xfId="0" applyNumberFormat="1" applyFill="1"/>
    <xf numFmtId="175" fontId="0" fillId="12" borderId="0" xfId="0" applyNumberFormat="1" applyFill="1"/>
    <xf numFmtId="177" fontId="0" fillId="12" borderId="0" xfId="0" applyNumberFormat="1" applyFill="1"/>
    <xf numFmtId="175" fontId="0" fillId="13" borderId="0" xfId="0" applyNumberFormat="1" applyFill="1"/>
    <xf numFmtId="177" fontId="0" fillId="13" borderId="0" xfId="0" applyNumberFormat="1" applyFill="1"/>
    <xf numFmtId="173" fontId="0" fillId="13" borderId="0" xfId="0" applyNumberFormat="1" applyFill="1"/>
    <xf numFmtId="178" fontId="0" fillId="13" borderId="0" xfId="0" applyNumberFormat="1" applyFill="1"/>
    <xf numFmtId="173" fontId="0" fillId="11" borderId="0" xfId="0" applyNumberFormat="1" applyFill="1"/>
    <xf numFmtId="178" fontId="0" fillId="11" borderId="0" xfId="0" applyNumberFormat="1" applyFill="1"/>
    <xf numFmtId="175" fontId="0" fillId="14" borderId="0" xfId="0" applyNumberFormat="1" applyFill="1"/>
    <xf numFmtId="177" fontId="0" fillId="14" borderId="0" xfId="0" applyNumberFormat="1" applyFill="1"/>
    <xf numFmtId="173" fontId="0" fillId="14" borderId="0" xfId="0" applyNumberFormat="1" applyFill="1"/>
    <xf numFmtId="178" fontId="0" fillId="14" borderId="0" xfId="0" applyNumberFormat="1" applyFill="1"/>
    <xf numFmtId="173" fontId="0" fillId="9" borderId="0" xfId="0" applyNumberFormat="1" applyFill="1"/>
    <xf numFmtId="178" fontId="0" fillId="9" borderId="0" xfId="0" applyNumberFormat="1" applyFill="1"/>
    <xf numFmtId="175" fontId="0" fillId="15" borderId="0" xfId="0" applyNumberFormat="1" applyFill="1"/>
    <xf numFmtId="177" fontId="0" fillId="15" borderId="0" xfId="0" applyNumberFormat="1" applyFill="1"/>
    <xf numFmtId="173" fontId="0" fillId="15" borderId="0" xfId="0" applyNumberFormat="1" applyFill="1"/>
    <xf numFmtId="178" fontId="0" fillId="15" borderId="0" xfId="0" applyNumberFormat="1" applyFill="1"/>
    <xf numFmtId="173" fontId="0" fillId="12" borderId="0" xfId="0" applyNumberFormat="1" applyFill="1"/>
    <xf numFmtId="178" fontId="0" fillId="12" borderId="0" xfId="0" applyNumberFormat="1" applyFill="1"/>
    <xf numFmtId="175" fontId="0" fillId="16" borderId="0" xfId="0" applyNumberFormat="1" applyFill="1"/>
    <xf numFmtId="177" fontId="0" fillId="16" borderId="0" xfId="0" applyNumberFormat="1" applyFill="1"/>
    <xf numFmtId="173" fontId="0" fillId="16" borderId="0" xfId="0" applyNumberFormat="1" applyFill="1"/>
    <xf numFmtId="178" fontId="0" fillId="16" borderId="0" xfId="0" applyNumberFormat="1" applyFill="1"/>
    <xf numFmtId="175" fontId="0" fillId="17" borderId="0" xfId="0" applyNumberFormat="1" applyFill="1"/>
    <xf numFmtId="177" fontId="0" fillId="17" borderId="0" xfId="0" applyNumberFormat="1" applyFill="1"/>
    <xf numFmtId="173" fontId="0" fillId="17" borderId="0" xfId="0" applyNumberFormat="1" applyFill="1"/>
    <xf numFmtId="178" fontId="0" fillId="17" borderId="0" xfId="0" applyNumberFormat="1" applyFill="1"/>
    <xf numFmtId="175" fontId="0" fillId="7" borderId="0" xfId="0" applyNumberFormat="1" applyFill="1"/>
    <xf numFmtId="177" fontId="0" fillId="7" borderId="0" xfId="0" applyNumberFormat="1" applyFill="1"/>
    <xf numFmtId="173" fontId="0" fillId="7" borderId="0" xfId="0" applyNumberFormat="1" applyFill="1"/>
    <xf numFmtId="178" fontId="0" fillId="7" borderId="0" xfId="0" applyNumberFormat="1" applyFill="1"/>
    <xf numFmtId="173" fontId="0" fillId="18" borderId="0" xfId="0" applyNumberFormat="1" applyFill="1"/>
    <xf numFmtId="0" fontId="0" fillId="0" borderId="1" xfId="0" applyBorder="1"/>
    <xf numFmtId="175" fontId="0" fillId="9" borderId="1" xfId="0" applyNumberFormat="1" applyFill="1" applyBorder="1"/>
    <xf numFmtId="177" fontId="0" fillId="9" borderId="1" xfId="0" applyNumberFormat="1" applyFill="1" applyBorder="1"/>
    <xf numFmtId="173" fontId="0" fillId="9" borderId="1" xfId="0" applyNumberFormat="1" applyFill="1" applyBorder="1"/>
    <xf numFmtId="178" fontId="0" fillId="9" borderId="1" xfId="0" applyNumberFormat="1" applyFill="1" applyBorder="1"/>
    <xf numFmtId="175" fontId="0" fillId="11" borderId="1" xfId="0" applyNumberFormat="1" applyFill="1" applyBorder="1"/>
    <xf numFmtId="177" fontId="0" fillId="11" borderId="1" xfId="0" applyNumberFormat="1" applyFill="1" applyBorder="1"/>
    <xf numFmtId="173" fontId="0" fillId="11" borderId="1" xfId="0" applyNumberFormat="1" applyFill="1" applyBorder="1"/>
    <xf numFmtId="178" fontId="0" fillId="11" borderId="1" xfId="0" applyNumberFormat="1" applyFill="1" applyBorder="1"/>
    <xf numFmtId="175" fontId="0" fillId="14" borderId="1" xfId="0" applyNumberFormat="1" applyFill="1" applyBorder="1"/>
    <xf numFmtId="177" fontId="0" fillId="14" borderId="1" xfId="0" applyNumberFormat="1" applyFill="1" applyBorder="1"/>
    <xf numFmtId="173" fontId="0" fillId="14" borderId="1" xfId="0" applyNumberFormat="1" applyFill="1" applyBorder="1"/>
    <xf numFmtId="178" fontId="0" fillId="14" borderId="1" xfId="0" applyNumberFormat="1" applyFill="1" applyBorder="1"/>
    <xf numFmtId="175" fontId="0" fillId="15" borderId="1" xfId="0" applyNumberFormat="1" applyFill="1" applyBorder="1"/>
    <xf numFmtId="177" fontId="0" fillId="15" borderId="1" xfId="0" applyNumberFormat="1" applyFill="1" applyBorder="1"/>
    <xf numFmtId="173" fontId="0" fillId="15" borderId="1" xfId="0" applyNumberFormat="1" applyFill="1" applyBorder="1"/>
    <xf numFmtId="178" fontId="0" fillId="15" borderId="1" xfId="0" applyNumberFormat="1" applyFill="1" applyBorder="1"/>
    <xf numFmtId="175" fontId="0" fillId="12" borderId="1" xfId="0" applyNumberFormat="1" applyFill="1" applyBorder="1"/>
    <xf numFmtId="177" fontId="0" fillId="12" borderId="1" xfId="0" applyNumberFormat="1" applyFill="1" applyBorder="1"/>
    <xf numFmtId="173" fontId="0" fillId="12" borderId="1" xfId="0" applyNumberFormat="1" applyFill="1" applyBorder="1"/>
    <xf numFmtId="178" fontId="0" fillId="12" borderId="1" xfId="0" applyNumberFormat="1" applyFill="1" applyBorder="1"/>
    <xf numFmtId="175" fontId="0" fillId="16" borderId="1" xfId="0" applyNumberFormat="1" applyFill="1" applyBorder="1"/>
    <xf numFmtId="177" fontId="0" fillId="16" borderId="1" xfId="0" applyNumberFormat="1" applyFill="1" applyBorder="1"/>
    <xf numFmtId="173" fontId="0" fillId="16" borderId="1" xfId="0" applyNumberFormat="1" applyFill="1" applyBorder="1"/>
    <xf numFmtId="178" fontId="0" fillId="16" borderId="1" xfId="0" applyNumberFormat="1" applyFill="1" applyBorder="1"/>
    <xf numFmtId="175" fontId="0" fillId="17" borderId="1" xfId="0" applyNumberFormat="1" applyFill="1" applyBorder="1"/>
    <xf numFmtId="177" fontId="0" fillId="17" borderId="1" xfId="0" applyNumberFormat="1" applyFill="1" applyBorder="1"/>
    <xf numFmtId="173" fontId="0" fillId="17" borderId="1" xfId="0" applyNumberFormat="1" applyFill="1" applyBorder="1"/>
    <xf numFmtId="178" fontId="0" fillId="17" borderId="1" xfId="0" applyNumberFormat="1" applyFill="1" applyBorder="1"/>
    <xf numFmtId="175" fontId="0" fillId="7" borderId="1" xfId="0" applyNumberFormat="1" applyFill="1" applyBorder="1"/>
    <xf numFmtId="177" fontId="0" fillId="7" borderId="1" xfId="0" applyNumberFormat="1" applyFill="1" applyBorder="1"/>
    <xf numFmtId="173" fontId="0" fillId="7" borderId="1" xfId="0" applyNumberFormat="1" applyFill="1" applyBorder="1"/>
    <xf numFmtId="178" fontId="0" fillId="7" borderId="1" xfId="0" applyNumberFormat="1" applyFill="1" applyBorder="1"/>
    <xf numFmtId="165" fontId="0" fillId="10" borderId="0" xfId="0" applyNumberFormat="1" applyFill="1"/>
    <xf numFmtId="175" fontId="0" fillId="18" borderId="1" xfId="0" applyNumberFormat="1" applyFill="1" applyBorder="1"/>
    <xf numFmtId="177" fontId="0" fillId="18" borderId="1" xfId="0" applyNumberFormat="1" applyFill="1" applyBorder="1"/>
    <xf numFmtId="173" fontId="0" fillId="18" borderId="1" xfId="0" applyNumberFormat="1" applyFill="1" applyBorder="1"/>
    <xf numFmtId="178" fontId="0" fillId="18" borderId="1" xfId="0" applyNumberFormat="1" applyFill="1" applyBorder="1"/>
    <xf numFmtId="9" fontId="0" fillId="0" borderId="0" xfId="0" applyNumberFormat="1"/>
    <xf numFmtId="179" fontId="0" fillId="0" borderId="0" xfId="0" applyNumberFormat="1"/>
    <xf numFmtId="44" fontId="2" fillId="6" borderId="0" xfId="2" applyFont="1" applyFill="1"/>
    <xf numFmtId="44" fontId="0" fillId="6" borderId="0" xfId="2" applyFont="1" applyFill="1"/>
    <xf numFmtId="44" fontId="0" fillId="0" borderId="0" xfId="2" applyFont="1"/>
    <xf numFmtId="44" fontId="0" fillId="6" borderId="0" xfId="2" applyFont="1" applyFill="1" applyAlignment="1"/>
    <xf numFmtId="0" fontId="0" fillId="0" borderId="0" xfId="0" applyAlignment="1">
      <alignment horizontal="center"/>
    </xf>
    <xf numFmtId="44" fontId="2" fillId="6" borderId="0" xfId="2" applyFont="1" applyFill="1" applyAlignment="1"/>
    <xf numFmtId="9" fontId="0" fillId="0" borderId="0" xfId="0" applyNumberFormat="1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9" fontId="0" fillId="17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9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9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44" fontId="2" fillId="6" borderId="0" xfId="2" applyFon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Prozent" xfId="1" builtinId="5"/>
    <cellStyle name="Standard" xfId="0" builtinId="0"/>
    <cellStyle name="Währung" xfId="2" builtinId="4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workbookViewId="0">
      <selection activeCell="F44" sqref="F44"/>
    </sheetView>
  </sheetViews>
  <sheetFormatPr baseColWidth="10" defaultColWidth="9.140625" defaultRowHeight="15" x14ac:dyDescent="0.25"/>
  <cols>
    <col min="1" max="1" width="23.140625" bestFit="1" customWidth="1"/>
    <col min="2" max="2" width="12.5703125" bestFit="1" customWidth="1"/>
    <col min="3" max="3" width="11.28515625" bestFit="1" customWidth="1"/>
    <col min="4" max="4" width="10.28515625" bestFit="1" customWidth="1"/>
    <col min="5" max="5" width="11.140625" customWidth="1"/>
    <col min="6" max="6" width="11.28515625" customWidth="1"/>
    <col min="7" max="7" width="9.140625" customWidth="1"/>
    <col min="8" max="8" width="14.7109375" customWidth="1"/>
    <col min="9" max="9" width="11.28515625" customWidth="1"/>
    <col min="10" max="10" width="9.85546875" bestFit="1" customWidth="1"/>
    <col min="11" max="11" width="10" customWidth="1"/>
    <col min="12" max="12" width="13.5703125" customWidth="1"/>
    <col min="13" max="13" width="10.5703125" customWidth="1"/>
    <col min="14" max="14" width="13.28515625" customWidth="1"/>
    <col min="15" max="15" width="14" bestFit="1" customWidth="1"/>
    <col min="16" max="16" width="9.140625" customWidth="1"/>
    <col min="17" max="17" width="10" customWidth="1"/>
    <col min="18" max="18" width="11.28515625" customWidth="1"/>
    <col min="19" max="19" width="9.140625" customWidth="1"/>
    <col min="20" max="20" width="10" bestFit="1" customWidth="1"/>
    <col min="21" max="21" width="11.28515625" bestFit="1" customWidth="1"/>
    <col min="23" max="23" width="10" bestFit="1" customWidth="1"/>
    <col min="24" max="24" width="11.28515625" bestFit="1" customWidth="1"/>
    <col min="26" max="26" width="10" bestFit="1" customWidth="1"/>
    <col min="27" max="27" width="11.28515625" bestFit="1" customWidth="1"/>
  </cols>
  <sheetData>
    <row r="1" spans="1:28" x14ac:dyDescent="0.25">
      <c r="G1" t="s">
        <v>27</v>
      </c>
      <c r="H1" t="s">
        <v>30</v>
      </c>
      <c r="I1" t="s">
        <v>31</v>
      </c>
      <c r="J1" t="s">
        <v>52</v>
      </c>
      <c r="M1" t="s">
        <v>35</v>
      </c>
      <c r="N1" t="s">
        <v>36</v>
      </c>
      <c r="O1" t="s">
        <v>47</v>
      </c>
      <c r="P1" t="s">
        <v>52</v>
      </c>
    </row>
    <row r="2" spans="1:28" x14ac:dyDescent="0.25">
      <c r="B2" t="s">
        <v>25</v>
      </c>
      <c r="C2" s="21">
        <v>450</v>
      </c>
      <c r="F2" t="s">
        <v>28</v>
      </c>
      <c r="G2" s="17">
        <v>790</v>
      </c>
      <c r="H2" s="19">
        <v>4.05</v>
      </c>
      <c r="I2" s="18">
        <v>1.59</v>
      </c>
      <c r="J2" s="116">
        <v>2.98</v>
      </c>
      <c r="L2" t="s">
        <v>7</v>
      </c>
      <c r="M2" s="2">
        <v>12</v>
      </c>
      <c r="N2" s="22">
        <v>0</v>
      </c>
      <c r="O2" s="39">
        <v>46</v>
      </c>
    </row>
    <row r="3" spans="1:28" x14ac:dyDescent="0.25">
      <c r="B3" t="s">
        <v>28</v>
      </c>
      <c r="C3" s="26">
        <v>0.5</v>
      </c>
      <c r="F3" t="s">
        <v>29</v>
      </c>
      <c r="G3" s="17">
        <v>470</v>
      </c>
      <c r="H3" s="19">
        <v>3.74</v>
      </c>
      <c r="I3" s="18">
        <v>1.5620000000000001</v>
      </c>
      <c r="J3" s="116">
        <f>2.3</f>
        <v>2.2999999999999998</v>
      </c>
      <c r="L3" t="s">
        <v>26</v>
      </c>
      <c r="M3" s="2">
        <v>10</v>
      </c>
      <c r="N3" s="22">
        <v>32</v>
      </c>
      <c r="O3" s="39">
        <v>43</v>
      </c>
    </row>
    <row r="4" spans="1:28" x14ac:dyDescent="0.25">
      <c r="B4" t="s">
        <v>29</v>
      </c>
      <c r="C4" s="27">
        <f>1-C3</f>
        <v>0.5</v>
      </c>
      <c r="F4" t="s">
        <v>1</v>
      </c>
      <c r="G4" s="28">
        <v>450</v>
      </c>
      <c r="H4" s="19">
        <v>3.84</v>
      </c>
      <c r="I4" s="32">
        <v>1.5</v>
      </c>
      <c r="J4" s="116">
        <f>18/5</f>
        <v>3.6</v>
      </c>
      <c r="L4" t="s">
        <v>34</v>
      </c>
      <c r="M4" s="2">
        <v>76.8</v>
      </c>
      <c r="N4" s="22">
        <v>768</v>
      </c>
      <c r="O4" s="39">
        <v>336</v>
      </c>
    </row>
    <row r="5" spans="1:28" x14ac:dyDescent="0.25">
      <c r="B5" t="s">
        <v>41</v>
      </c>
      <c r="C5" s="26">
        <v>0.65</v>
      </c>
      <c r="F5" t="s">
        <v>2</v>
      </c>
      <c r="G5" s="28">
        <v>450</v>
      </c>
      <c r="H5" s="19">
        <v>3.78</v>
      </c>
      <c r="I5" s="33">
        <v>1.5</v>
      </c>
      <c r="J5" s="116">
        <f>21/2.5</f>
        <v>8.4</v>
      </c>
      <c r="M5" s="2"/>
    </row>
    <row r="6" spans="1:28" x14ac:dyDescent="0.25">
      <c r="F6" t="s">
        <v>32</v>
      </c>
      <c r="H6" s="19">
        <v>4.16</v>
      </c>
      <c r="J6" s="116">
        <v>12</v>
      </c>
      <c r="M6" s="2"/>
    </row>
    <row r="7" spans="1:28" x14ac:dyDescent="0.25">
      <c r="A7" s="23"/>
      <c r="B7" s="23"/>
      <c r="C7" s="23"/>
      <c r="D7" s="23"/>
      <c r="E7" s="23"/>
      <c r="F7" s="23"/>
      <c r="G7" s="23"/>
      <c r="H7" s="36"/>
      <c r="I7" s="37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28" x14ac:dyDescent="0.25">
      <c r="B8" s="129" t="s">
        <v>40</v>
      </c>
      <c r="C8" s="129"/>
      <c r="D8" s="23"/>
      <c r="E8" s="131" t="str">
        <f>"Wasser ("&amp; $C$5*100&amp;"%)"</f>
        <v>Wasser (65%)</v>
      </c>
      <c r="F8" s="132"/>
      <c r="G8" s="23"/>
      <c r="H8" s="130" t="s">
        <v>42</v>
      </c>
      <c r="I8" s="130"/>
      <c r="J8" s="23"/>
      <c r="K8" s="136" t="str">
        <f>"Saft ("&amp; $C$5*100&amp;"%)"</f>
        <v>Saft (65%)</v>
      </c>
      <c r="L8" s="137"/>
      <c r="M8" s="23"/>
      <c r="N8" s="138" t="s">
        <v>43</v>
      </c>
      <c r="O8" s="138"/>
      <c r="P8" s="23"/>
      <c r="Q8" s="133" t="str">
        <f>"Energy ("&amp; $C$5*100&amp;"%)"</f>
        <v>Energy (65%)</v>
      </c>
      <c r="R8" s="134"/>
      <c r="S8" s="23"/>
      <c r="T8" s="128" t="s">
        <v>44</v>
      </c>
      <c r="U8" s="128"/>
      <c r="V8" s="23"/>
      <c r="W8" s="126" t="str">
        <f>"Sirup ("&amp; $C$5*100&amp;"%)"</f>
        <v>Sirup (65%)</v>
      </c>
      <c r="X8" s="127"/>
      <c r="Y8" s="23"/>
      <c r="Z8" s="124" t="str">
        <f>"ausprobiert"</f>
        <v>ausprobiert</v>
      </c>
      <c r="AA8" s="125"/>
      <c r="AB8" s="23"/>
    </row>
    <row r="9" spans="1:28" x14ac:dyDescent="0.25">
      <c r="A9" t="s">
        <v>33</v>
      </c>
      <c r="B9" t="s">
        <v>37</v>
      </c>
      <c r="C9" t="s">
        <v>38</v>
      </c>
      <c r="D9" s="23"/>
      <c r="E9" t="s">
        <v>37</v>
      </c>
      <c r="F9" t="s">
        <v>38</v>
      </c>
      <c r="G9" s="23"/>
      <c r="H9" t="s">
        <v>37</v>
      </c>
      <c r="I9" t="s">
        <v>38</v>
      </c>
      <c r="J9" s="23"/>
      <c r="K9" t="s">
        <v>37</v>
      </c>
      <c r="L9" t="s">
        <v>38</v>
      </c>
      <c r="M9" s="23"/>
      <c r="N9" t="s">
        <v>37</v>
      </c>
      <c r="O9" t="s">
        <v>38</v>
      </c>
      <c r="P9" s="23"/>
      <c r="Q9" t="s">
        <v>37</v>
      </c>
      <c r="R9" t="s">
        <v>38</v>
      </c>
      <c r="S9" s="23"/>
      <c r="T9" t="s">
        <v>37</v>
      </c>
      <c r="U9" t="s">
        <v>38</v>
      </c>
      <c r="V9" s="23"/>
      <c r="W9" t="s">
        <v>37</v>
      </c>
      <c r="X9" t="s">
        <v>38</v>
      </c>
      <c r="Y9" s="23"/>
      <c r="Z9" t="s">
        <v>37</v>
      </c>
      <c r="AA9" t="s">
        <v>38</v>
      </c>
      <c r="AB9" s="23"/>
    </row>
    <row r="10" spans="1:28" x14ac:dyDescent="0.25">
      <c r="A10" t="s">
        <v>12</v>
      </c>
      <c r="B10" s="23"/>
      <c r="C10" s="29">
        <f>C22*($C$2/$C$30)</f>
        <v>328.07424215706931</v>
      </c>
      <c r="D10" s="23"/>
      <c r="E10" s="23"/>
      <c r="F10" s="29">
        <f>F22*($C$2/$F$30)</f>
        <v>218.25264123819665</v>
      </c>
      <c r="G10" s="23"/>
      <c r="H10" s="23"/>
      <c r="I10" s="29">
        <f>I22*($C$2/$I$30)</f>
        <v>205.42048583770656</v>
      </c>
      <c r="J10" s="23"/>
      <c r="K10" s="23"/>
      <c r="L10" s="29">
        <f>L22*($C$2/$L$30)</f>
        <v>139.41631653116056</v>
      </c>
      <c r="M10" s="23"/>
      <c r="N10" s="23"/>
      <c r="O10" s="29">
        <f>O22*($C$2/$O$30)</f>
        <v>249.04051124005551</v>
      </c>
      <c r="P10" s="23"/>
      <c r="Q10" s="23"/>
      <c r="R10" s="29">
        <f>R22*($C$2/$R$30)</f>
        <v>184.2487464049772</v>
      </c>
      <c r="S10" s="23"/>
      <c r="T10" s="23"/>
      <c r="U10" s="29">
        <f>U22*($C$2/$U$30)</f>
        <v>320.81762467342895</v>
      </c>
      <c r="V10" s="23"/>
      <c r="W10" s="23"/>
      <c r="X10" s="29">
        <f>X22*($C$2/$X$30)</f>
        <v>220.79587565510752</v>
      </c>
      <c r="Y10" s="23"/>
      <c r="Z10" s="23"/>
      <c r="AA10" s="29">
        <v>523</v>
      </c>
      <c r="AB10" s="23"/>
    </row>
    <row r="11" spans="1:28" x14ac:dyDescent="0.25">
      <c r="A11" t="s">
        <v>7</v>
      </c>
      <c r="B11" s="36"/>
      <c r="C11" s="29">
        <f t="shared" ref="C11:C17" si="0">C23*($C$2/$C$30)</f>
        <v>0</v>
      </c>
      <c r="D11" s="23"/>
      <c r="E11" s="36"/>
      <c r="F11" s="29">
        <f t="shared" ref="F11:F16" si="1">F23*($C$2/$F$30)</f>
        <v>0</v>
      </c>
      <c r="G11" s="23"/>
      <c r="H11" s="36"/>
      <c r="I11" s="29">
        <f t="shared" ref="I11:I17" si="2">I23*($C$2/$I$30)</f>
        <v>129.86325751968766</v>
      </c>
      <c r="J11" s="23"/>
      <c r="K11" s="36"/>
      <c r="L11" s="29">
        <f>L23*($C$2/$L$30)</f>
        <v>88.136569935076395</v>
      </c>
      <c r="M11" s="23"/>
      <c r="N11" s="36"/>
      <c r="O11" s="29">
        <f t="shared" ref="O11:O17" si="3">O23*($C$2/$O$30)</f>
        <v>0</v>
      </c>
      <c r="P11" s="23"/>
      <c r="Q11" s="36"/>
      <c r="R11" s="29">
        <f t="shared" ref="R11:R17" si="4">R23*($C$2/$R$30)</f>
        <v>0</v>
      </c>
      <c r="S11" s="23"/>
      <c r="T11" s="36"/>
      <c r="U11" s="29">
        <f t="shared" ref="U11:U18" si="5">U23*($C$2/$U$30)</f>
        <v>0</v>
      </c>
      <c r="V11" s="23"/>
      <c r="W11" s="36"/>
      <c r="X11" s="29">
        <f t="shared" ref="X11:X17" si="6">X23*($C$2/$X$30)</f>
        <v>0</v>
      </c>
      <c r="Y11" s="23"/>
      <c r="Z11" s="36"/>
      <c r="AA11" s="29">
        <f t="shared" ref="AA11:AA12" si="7">AA23*($C$2/$X$30)</f>
        <v>0</v>
      </c>
      <c r="AB11" s="23"/>
    </row>
    <row r="12" spans="1:28" x14ac:dyDescent="0.25">
      <c r="A12" t="s">
        <v>26</v>
      </c>
      <c r="B12" s="36"/>
      <c r="C12" s="29">
        <f t="shared" si="0"/>
        <v>0</v>
      </c>
      <c r="D12" s="23"/>
      <c r="E12" s="36"/>
      <c r="F12" s="29">
        <f t="shared" si="1"/>
        <v>0</v>
      </c>
      <c r="G12" s="23"/>
      <c r="H12" s="36"/>
      <c r="I12" s="29">
        <f t="shared" si="2"/>
        <v>0</v>
      </c>
      <c r="J12" s="23"/>
      <c r="K12" s="36"/>
      <c r="L12" s="29">
        <f>L24*($C$2/$L$30)</f>
        <v>0</v>
      </c>
      <c r="M12" s="23"/>
      <c r="N12" s="36"/>
      <c r="O12" s="29">
        <f t="shared" si="3"/>
        <v>115.75107717475476</v>
      </c>
      <c r="P12" s="23"/>
      <c r="Q12" s="36"/>
      <c r="R12" s="29">
        <f t="shared" si="4"/>
        <v>85.636633005128985</v>
      </c>
      <c r="S12" s="23"/>
      <c r="T12" s="36"/>
      <c r="U12" s="29">
        <f t="shared" si="5"/>
        <v>0</v>
      </c>
      <c r="V12" s="23"/>
      <c r="W12" s="36"/>
      <c r="X12" s="29">
        <f t="shared" si="6"/>
        <v>0</v>
      </c>
      <c r="Y12" s="23"/>
      <c r="Z12" s="36"/>
      <c r="AA12" s="29">
        <f t="shared" si="7"/>
        <v>0</v>
      </c>
      <c r="AB12" s="23"/>
    </row>
    <row r="13" spans="1:28" x14ac:dyDescent="0.25">
      <c r="A13" t="s">
        <v>34</v>
      </c>
      <c r="B13" s="36"/>
      <c r="C13" s="29">
        <f t="shared" si="0"/>
        <v>0</v>
      </c>
      <c r="D13" s="23"/>
      <c r="E13" s="36"/>
      <c r="F13" s="29">
        <f t="shared" si="1"/>
        <v>0</v>
      </c>
      <c r="G13" s="23"/>
      <c r="H13" s="36"/>
      <c r="I13" s="29">
        <f t="shared" si="2"/>
        <v>0</v>
      </c>
      <c r="J13" s="23"/>
      <c r="K13" s="36"/>
      <c r="L13" s="29">
        <f t="shared" ref="L13:L15" si="8">L25*($C$2/$F$30)</f>
        <v>0</v>
      </c>
      <c r="M13" s="23"/>
      <c r="N13" s="36"/>
      <c r="O13" s="29">
        <f t="shared" si="3"/>
        <v>0</v>
      </c>
      <c r="P13" s="23"/>
      <c r="Q13" s="36"/>
      <c r="R13" s="29">
        <f t="shared" si="4"/>
        <v>0</v>
      </c>
      <c r="S13" s="23"/>
      <c r="T13" s="36"/>
      <c r="U13" s="29">
        <f t="shared" si="5"/>
        <v>19.415654760348264</v>
      </c>
      <c r="V13" s="23"/>
      <c r="W13" s="36"/>
      <c r="X13" s="29">
        <f t="shared" si="6"/>
        <v>13.362409557742124</v>
      </c>
      <c r="Y13" s="23"/>
      <c r="Z13" s="36"/>
      <c r="AA13" s="29">
        <v>90</v>
      </c>
      <c r="AB13" s="23"/>
    </row>
    <row r="14" spans="1:28" x14ac:dyDescent="0.25">
      <c r="A14" t="s">
        <v>28</v>
      </c>
      <c r="B14" s="24">
        <f>C14*$I$2</f>
        <v>94.263465880747702</v>
      </c>
      <c r="C14" s="29">
        <f t="shared" si="0"/>
        <v>59.285198667136918</v>
      </c>
      <c r="D14" s="23"/>
      <c r="E14" s="24">
        <f>F14*$I$2</f>
        <v>179.16894372507082</v>
      </c>
      <c r="F14" s="29">
        <f t="shared" si="1"/>
        <v>112.68487026734013</v>
      </c>
      <c r="G14" s="23"/>
      <c r="H14" s="24">
        <f>I14*$I$2</f>
        <v>88.543130127059783</v>
      </c>
      <c r="I14" s="29">
        <f t="shared" si="2"/>
        <v>55.687503224565894</v>
      </c>
      <c r="J14" s="23"/>
      <c r="K14" s="24">
        <f>L14*$I$2</f>
        <v>171.69461675664235</v>
      </c>
      <c r="L14" s="29">
        <f>L26*($C$2/$L$30)</f>
        <v>107.98403569600147</v>
      </c>
      <c r="M14" s="23"/>
      <c r="N14" s="24">
        <f>O14*$I$2</f>
        <v>65.767657485656102</v>
      </c>
      <c r="O14" s="29">
        <f t="shared" si="3"/>
        <v>41.363306594752267</v>
      </c>
      <c r="P14" s="23"/>
      <c r="Q14" s="24">
        <f>R14*$I$2</f>
        <v>139.02050812520937</v>
      </c>
      <c r="R14" s="29">
        <f t="shared" si="4"/>
        <v>87.43428183975432</v>
      </c>
      <c r="S14" s="23"/>
      <c r="T14" s="24">
        <f>U14*$I$2</f>
        <v>84.722857136065144</v>
      </c>
      <c r="U14" s="29">
        <f t="shared" si="5"/>
        <v>53.284815808845998</v>
      </c>
      <c r="V14" s="23"/>
      <c r="W14" s="24">
        <f>X14*$I$2</f>
        <v>166.59627500561606</v>
      </c>
      <c r="X14" s="29">
        <f t="shared" si="6"/>
        <v>104.777531450073</v>
      </c>
      <c r="Y14" s="23"/>
      <c r="Z14" s="24">
        <v>120</v>
      </c>
      <c r="AA14" s="110">
        <f>Z14/I2</f>
        <v>75.471698113207538</v>
      </c>
      <c r="AB14" s="23"/>
    </row>
    <row r="15" spans="1:28" x14ac:dyDescent="0.25">
      <c r="A15" t="s">
        <v>29</v>
      </c>
      <c r="B15" s="24">
        <f>C15*$I$3</f>
        <v>7.624250916825182</v>
      </c>
      <c r="C15" s="29">
        <f t="shared" si="0"/>
        <v>4.8810825331787333</v>
      </c>
      <c r="D15" s="23"/>
      <c r="E15" s="24">
        <f>F15*$I$3</f>
        <v>14.491605742468961</v>
      </c>
      <c r="F15" s="29">
        <f t="shared" si="1"/>
        <v>9.2775965060620749</v>
      </c>
      <c r="G15" s="23"/>
      <c r="H15" s="34">
        <f>I15*$I$3</f>
        <v>0</v>
      </c>
      <c r="I15" s="29">
        <f t="shared" si="2"/>
        <v>0</v>
      </c>
      <c r="J15" s="23"/>
      <c r="K15" s="34">
        <f>L15*$I$3</f>
        <v>0</v>
      </c>
      <c r="L15" s="29">
        <f t="shared" si="8"/>
        <v>0</v>
      </c>
      <c r="M15" s="23"/>
      <c r="N15" s="34">
        <f>O15*$I$3</f>
        <v>0</v>
      </c>
      <c r="O15" s="29">
        <f t="shared" si="3"/>
        <v>0</v>
      </c>
      <c r="P15" s="23"/>
      <c r="Q15" s="34">
        <f>R15*$I$3</f>
        <v>0</v>
      </c>
      <c r="R15" s="29">
        <f t="shared" si="4"/>
        <v>0</v>
      </c>
      <c r="S15" s="23"/>
      <c r="T15" s="34">
        <f>U15*$I$3</f>
        <v>0</v>
      </c>
      <c r="U15" s="29">
        <f t="shared" si="5"/>
        <v>0</v>
      </c>
      <c r="V15" s="23"/>
      <c r="W15" s="34">
        <f>X15*$I$3</f>
        <v>0</v>
      </c>
      <c r="X15" s="29">
        <f t="shared" si="6"/>
        <v>0</v>
      </c>
      <c r="Y15" s="23"/>
      <c r="Z15" s="34">
        <v>0</v>
      </c>
      <c r="AA15" s="110">
        <f>Z15/I3</f>
        <v>0</v>
      </c>
      <c r="AB15" s="23"/>
    </row>
    <row r="16" spans="1:28" x14ac:dyDescent="0.25">
      <c r="A16" t="s">
        <v>1</v>
      </c>
      <c r="B16" s="24">
        <f>C16*$I$4</f>
        <v>55.449097576910418</v>
      </c>
      <c r="C16" s="29">
        <f t="shared" si="0"/>
        <v>36.96606505127361</v>
      </c>
      <c r="D16" s="23"/>
      <c r="E16" s="24">
        <f>F16*$I$4</f>
        <v>105.39349630886517</v>
      </c>
      <c r="F16" s="29">
        <f t="shared" si="1"/>
        <v>70.262330872576783</v>
      </c>
      <c r="G16" s="23"/>
      <c r="H16" s="24">
        <f>I16*$I$4</f>
        <v>56.667603281318264</v>
      </c>
      <c r="I16" s="29">
        <f t="shared" si="2"/>
        <v>37.77840218754551</v>
      </c>
      <c r="J16" s="23"/>
      <c r="K16" s="24">
        <f>L16*$I$4</f>
        <v>109.8845547242511</v>
      </c>
      <c r="L16" s="29">
        <f>L28*($C$2/$L$30)</f>
        <v>73.256369816167407</v>
      </c>
      <c r="M16" s="23"/>
      <c r="N16" s="24">
        <f>O16*$I$4</f>
        <v>42.091300790819908</v>
      </c>
      <c r="O16" s="29">
        <f t="shared" si="3"/>
        <v>28.06086719387994</v>
      </c>
      <c r="P16" s="23"/>
      <c r="Q16" s="24">
        <f>R16*$I$4</f>
        <v>88.973125200134007</v>
      </c>
      <c r="R16" s="29">
        <f t="shared" si="4"/>
        <v>59.315416800089338</v>
      </c>
      <c r="S16" s="23"/>
      <c r="T16" s="24">
        <f>U16*$I$4</f>
        <v>54.222628567081699</v>
      </c>
      <c r="U16" s="29">
        <f t="shared" si="5"/>
        <v>36.14841904472113</v>
      </c>
      <c r="V16" s="23"/>
      <c r="W16" s="24">
        <f>X16*$I$4</f>
        <v>106.6216160035943</v>
      </c>
      <c r="X16" s="29">
        <f t="shared" si="6"/>
        <v>71.081077335729532</v>
      </c>
      <c r="Y16" s="23"/>
      <c r="Z16" s="24">
        <v>120</v>
      </c>
      <c r="AA16" s="110">
        <f>Z16/I4</f>
        <v>80</v>
      </c>
      <c r="AB16" s="23"/>
    </row>
    <row r="17" spans="1:28" x14ac:dyDescent="0.25">
      <c r="A17" t="s">
        <v>2</v>
      </c>
      <c r="B17" s="24">
        <f>C17*$I$5</f>
        <v>31.190117387012105</v>
      </c>
      <c r="C17" s="29">
        <f t="shared" si="0"/>
        <v>20.793411591341403</v>
      </c>
      <c r="D17" s="23"/>
      <c r="E17" s="24">
        <f>F17*$I$5</f>
        <v>59.283841673736667</v>
      </c>
      <c r="F17" s="29">
        <f>F29*($C$2/$F$30)</f>
        <v>39.522561115824445</v>
      </c>
      <c r="G17" s="23"/>
      <c r="H17" s="24">
        <f>I17*$I$5</f>
        <v>31.875526845741518</v>
      </c>
      <c r="I17" s="29">
        <f t="shared" si="2"/>
        <v>21.250351230494346</v>
      </c>
      <c r="J17" s="23"/>
      <c r="K17" s="24">
        <f>L17*$I$5</f>
        <v>61.810062032391251</v>
      </c>
      <c r="L17" s="29">
        <f>L29*($C$2/$L$30)</f>
        <v>41.206708021594167</v>
      </c>
      <c r="M17" s="23"/>
      <c r="N17" s="24">
        <f>O17*$I$5</f>
        <v>23.676356694836201</v>
      </c>
      <c r="O17" s="29">
        <f t="shared" si="3"/>
        <v>15.784237796557466</v>
      </c>
      <c r="P17" s="23"/>
      <c r="Q17" s="24">
        <f>R17*$I$5</f>
        <v>50.047382925075382</v>
      </c>
      <c r="R17" s="29">
        <f t="shared" si="4"/>
        <v>33.364921950050253</v>
      </c>
      <c r="S17" s="23"/>
      <c r="T17" s="24">
        <f>U17*$I$5</f>
        <v>30.500228568983452</v>
      </c>
      <c r="U17" s="29">
        <f t="shared" si="5"/>
        <v>20.333485712655634</v>
      </c>
      <c r="V17" s="23"/>
      <c r="W17" s="24">
        <f>X17*$I$5</f>
        <v>59.974659002021781</v>
      </c>
      <c r="X17" s="29">
        <f t="shared" si="6"/>
        <v>39.983106001347856</v>
      </c>
      <c r="Y17" s="23"/>
      <c r="Z17" s="24">
        <v>80</v>
      </c>
      <c r="AA17" s="110">
        <f>Z17/I5</f>
        <v>53.333333333333336</v>
      </c>
      <c r="AB17" s="23"/>
    </row>
    <row r="18" spans="1:28" x14ac:dyDescent="0.25">
      <c r="A18" t="s">
        <v>39</v>
      </c>
      <c r="B18" s="25">
        <f>SUM(B15:B17)</f>
        <v>94.263465880747702</v>
      </c>
      <c r="C18" s="29">
        <f>SUM(C10:C17)</f>
        <v>450</v>
      </c>
      <c r="D18" s="23"/>
      <c r="E18" s="25">
        <f>SUM(E15:E17)</f>
        <v>179.16894372507079</v>
      </c>
      <c r="F18" s="29">
        <f>SUM(F10:F17)</f>
        <v>450.00000000000011</v>
      </c>
      <c r="G18" s="23"/>
      <c r="H18" s="38"/>
      <c r="I18" s="29">
        <f>SUM(I10:I17)</f>
        <v>449.99999999999994</v>
      </c>
      <c r="J18" s="23"/>
      <c r="K18" s="38"/>
      <c r="L18" s="29">
        <f>SUM(L10:L17)</f>
        <v>450</v>
      </c>
      <c r="M18" s="23"/>
      <c r="N18" s="38"/>
      <c r="O18" s="29">
        <f>SUM(O10:O17)</f>
        <v>449.99999999999989</v>
      </c>
      <c r="P18" s="23"/>
      <c r="Q18" s="38"/>
      <c r="R18" s="29">
        <f>SUM(R10:R17)</f>
        <v>450.00000000000006</v>
      </c>
      <c r="S18" s="23"/>
      <c r="T18" s="38"/>
      <c r="U18" s="29">
        <f t="shared" si="5"/>
        <v>450</v>
      </c>
      <c r="V18" s="23"/>
      <c r="W18" s="38"/>
      <c r="X18" s="29">
        <f>SUM(X10:X17)</f>
        <v>450.00000000000006</v>
      </c>
      <c r="Y18" s="23"/>
      <c r="Z18" s="38"/>
      <c r="AA18" s="29">
        <f>SUM(AA10:AA17)</f>
        <v>821.80503144654097</v>
      </c>
      <c r="AB18" s="23"/>
    </row>
    <row r="19" spans="1:28" s="119" customFormat="1" x14ac:dyDescent="0.25">
      <c r="A19" s="117" t="s">
        <v>52</v>
      </c>
      <c r="B19" s="135">
        <f>(B14*$J$2+B15*$J$3+B16*$J$4+B17*$J$5)/1000</f>
        <v>0.76005464276110524</v>
      </c>
      <c r="C19" s="135"/>
      <c r="D19" s="120"/>
      <c r="E19" s="122">
        <f>(E14*$J$2+E15*$J$3+E16*$J$4+E17*$J$5)/1000</f>
        <v>1.4446550022796922</v>
      </c>
      <c r="F19" s="122"/>
      <c r="G19" s="120"/>
      <c r="H19" s="122">
        <f>(H14*$J$2+H15*$J$3+H16*$J$4+H17*$J$5)/1000</f>
        <v>0.73561632509561259</v>
      </c>
      <c r="I19" s="122"/>
      <c r="J19" s="120"/>
      <c r="K19" s="122">
        <f>(K14*$J$2+K15*$J$3+K16*$J$4+K17*$J$5)/1000</f>
        <v>1.4264388760141846</v>
      </c>
      <c r="L19" s="122"/>
      <c r="M19" s="120"/>
      <c r="N19" s="122">
        <f>(N14*$J$2+N15*$J$3+N16*$J$4+N17*$J$5)/1000</f>
        <v>0.54639769839083097</v>
      </c>
      <c r="O19" s="122"/>
      <c r="P19" s="120"/>
      <c r="Q19" s="122">
        <f>(Q14*$J$2+Q15*$J$3+Q16*$J$4+Q17*$J$5)/1000</f>
        <v>1.1549823815042395</v>
      </c>
      <c r="R19" s="122"/>
      <c r="S19" s="120"/>
      <c r="T19" s="122">
        <f>(T14*$J$2+T15*$J$3+T16*$J$4+T17*$J$5)/1000</f>
        <v>0.70387749708642922</v>
      </c>
      <c r="U19" s="122"/>
      <c r="V19" s="120"/>
      <c r="W19" s="122">
        <f>(W14*$J$2+W15*$J$3+W16*$J$4+W17*$J$5)/1000</f>
        <v>1.3840818527466583</v>
      </c>
      <c r="X19" s="122"/>
      <c r="Y19" s="120"/>
      <c r="Z19" s="122">
        <f>(Z14*$J$2+Z15*$J$3+Z16*$J$4+Z17*$J$5)/1000</f>
        <v>1.4616</v>
      </c>
      <c r="AA19" s="122"/>
      <c r="AB19" s="118"/>
    </row>
    <row r="20" spans="1:28" hidden="1" x14ac:dyDescent="0.25">
      <c r="B20" s="121" t="s">
        <v>40</v>
      </c>
      <c r="C20" s="121"/>
      <c r="E20" s="123" t="str">
        <f>"Wasser ("&amp; $C$5*100&amp;"%)"</f>
        <v>Wasser (65%)</v>
      </c>
      <c r="F20" s="121"/>
      <c r="H20" s="121" t="s">
        <v>42</v>
      </c>
      <c r="I20" s="121"/>
      <c r="K20" s="123" t="str">
        <f>"Saft ("&amp; $C$5*100&amp;"%)"</f>
        <v>Saft (65%)</v>
      </c>
      <c r="L20" s="121"/>
      <c r="N20" s="121" t="s">
        <v>43</v>
      </c>
      <c r="O20" s="121"/>
      <c r="Q20" s="123" t="str">
        <f>"Energy ("&amp; $C$5*100&amp;"%)"</f>
        <v>Energy (65%)</v>
      </c>
      <c r="R20" s="121"/>
      <c r="T20" s="121" t="s">
        <v>44</v>
      </c>
      <c r="U20" s="121"/>
      <c r="W20" s="123" t="str">
        <f>"Sirup ("&amp; $C$5*100&amp;"%)"</f>
        <v>Sirup (65%)</v>
      </c>
      <c r="X20" s="121"/>
      <c r="Z20" s="123"/>
      <c r="AA20" s="121"/>
    </row>
    <row r="21" spans="1:28" hidden="1" x14ac:dyDescent="0.25">
      <c r="B21" t="s">
        <v>37</v>
      </c>
      <c r="C21" t="s">
        <v>38</v>
      </c>
      <c r="E21" t="s">
        <v>37</v>
      </c>
      <c r="F21" t="s">
        <v>38</v>
      </c>
      <c r="H21" t="s">
        <v>37</v>
      </c>
      <c r="I21" t="s">
        <v>38</v>
      </c>
      <c r="K21" t="s">
        <v>37</v>
      </c>
      <c r="L21" t="s">
        <v>38</v>
      </c>
      <c r="N21" t="s">
        <v>37</v>
      </c>
      <c r="O21" t="s">
        <v>38</v>
      </c>
      <c r="Q21" t="s">
        <v>37</v>
      </c>
      <c r="R21" t="s">
        <v>38</v>
      </c>
      <c r="T21" t="s">
        <v>37</v>
      </c>
      <c r="U21" t="s">
        <v>38</v>
      </c>
      <c r="W21" t="s">
        <v>37</v>
      </c>
      <c r="X21" t="s">
        <v>38</v>
      </c>
    </row>
    <row r="22" spans="1:28" hidden="1" x14ac:dyDescent="0.25">
      <c r="B22" s="30"/>
      <c r="C22" s="29">
        <f>((B26/$G$2)+(B27/$G$3)+(B28/$G$4)+(B29/$G$5))*1000</f>
        <v>946.66786366220788</v>
      </c>
      <c r="E22" s="30"/>
      <c r="F22" s="29">
        <f>C22-C22*$C$5</f>
        <v>331.33375228177272</v>
      </c>
      <c r="H22" s="30"/>
      <c r="I22" s="29">
        <f>IF(I23&lt;$C22,$C22-I23,I23)</f>
        <v>580.00119699554125</v>
      </c>
      <c r="K22" s="30"/>
      <c r="L22" s="29">
        <f t="shared" ref="L22:L23" si="9">I22-I22*$C$5</f>
        <v>203.0004189484394</v>
      </c>
      <c r="N22" s="30"/>
      <c r="O22" s="29">
        <f>IF(O23&lt;$C22,$C22-O23,O23)</f>
        <v>946.66786366220788</v>
      </c>
      <c r="Q22" s="30"/>
      <c r="R22" s="29">
        <f t="shared" ref="R22:R23" si="10">O22-O22*$C$5</f>
        <v>331.33375228177272</v>
      </c>
      <c r="T22" s="30"/>
      <c r="U22" s="29">
        <f>IF(U23&lt;$C22,$C22-U23,U23)</f>
        <v>946.66786366220788</v>
      </c>
      <c r="W22" s="30"/>
      <c r="X22" s="29">
        <f t="shared" ref="X22:X25" si="11">U22-U22*$C$5</f>
        <v>331.33375228177272</v>
      </c>
      <c r="Z22" s="30"/>
      <c r="AA22" s="29"/>
    </row>
    <row r="23" spans="1:28" hidden="1" x14ac:dyDescent="0.25">
      <c r="B23" s="31"/>
      <c r="C23" s="29">
        <v>0</v>
      </c>
      <c r="E23" s="31"/>
      <c r="F23" s="29">
        <v>0</v>
      </c>
      <c r="H23" s="31"/>
      <c r="I23" s="29">
        <f>$B$27/$M$2*2*100</f>
        <v>366.66666666666663</v>
      </c>
      <c r="K23" s="31"/>
      <c r="L23" s="29">
        <f t="shared" si="9"/>
        <v>128.33333333333331</v>
      </c>
      <c r="N23" s="31"/>
      <c r="O23" s="29">
        <v>0</v>
      </c>
      <c r="Q23" s="31"/>
      <c r="R23" s="29">
        <f t="shared" si="10"/>
        <v>0</v>
      </c>
      <c r="T23" s="31"/>
      <c r="U23" s="29">
        <v>0</v>
      </c>
      <c r="W23" s="31"/>
      <c r="X23" s="29">
        <f t="shared" si="11"/>
        <v>0</v>
      </c>
      <c r="Z23" s="31"/>
      <c r="AA23" s="29"/>
    </row>
    <row r="24" spans="1:28" hidden="1" x14ac:dyDescent="0.25">
      <c r="B24" s="31"/>
      <c r="C24" s="29">
        <v>0</v>
      </c>
      <c r="E24" s="31"/>
      <c r="F24" s="29">
        <v>0</v>
      </c>
      <c r="H24" s="31"/>
      <c r="I24" s="29">
        <v>0</v>
      </c>
      <c r="K24" s="31"/>
      <c r="L24" s="29">
        <v>0</v>
      </c>
      <c r="N24" s="31"/>
      <c r="O24" s="29">
        <f>$B$27/$M$3*2*100</f>
        <v>440.00000000000006</v>
      </c>
      <c r="Q24" s="31"/>
      <c r="R24" s="29">
        <f>O24-O24*$C$5</f>
        <v>154</v>
      </c>
      <c r="T24" s="31"/>
      <c r="U24" s="29">
        <v>0</v>
      </c>
      <c r="W24" s="31"/>
      <c r="X24" s="29">
        <f t="shared" si="11"/>
        <v>0</v>
      </c>
      <c r="Z24" s="31"/>
      <c r="AA24" s="29"/>
    </row>
    <row r="25" spans="1:28" hidden="1" x14ac:dyDescent="0.25">
      <c r="B25" s="31"/>
      <c r="C25" s="29">
        <v>0</v>
      </c>
      <c r="E25" s="31"/>
      <c r="F25" s="29">
        <v>0</v>
      </c>
      <c r="H25" s="31"/>
      <c r="I25" s="29">
        <v>0</v>
      </c>
      <c r="K25" s="31"/>
      <c r="L25" s="29">
        <v>0</v>
      </c>
      <c r="N25" s="31"/>
      <c r="O25" s="29">
        <v>0</v>
      </c>
      <c r="Q25" s="31"/>
      <c r="R25" s="29">
        <v>0</v>
      </c>
      <c r="T25" s="31"/>
      <c r="U25" s="29">
        <f>$B$27/$M$4*2*100</f>
        <v>57.291666666666671</v>
      </c>
      <c r="W25" s="31"/>
      <c r="X25" s="29">
        <f t="shared" si="11"/>
        <v>20.052083333333336</v>
      </c>
      <c r="Z25" s="31"/>
      <c r="AA25" s="29"/>
    </row>
    <row r="26" spans="1:28" hidden="1" x14ac:dyDescent="0.25">
      <c r="B26" s="24">
        <f>B30/$C$4*$C$3</f>
        <v>272</v>
      </c>
      <c r="C26" s="29">
        <f>B26/$I$2</f>
        <v>171.06918238993711</v>
      </c>
      <c r="E26" s="24">
        <f>B26</f>
        <v>272</v>
      </c>
      <c r="F26" s="29">
        <f>E26/$I$2</f>
        <v>171.06918238993711</v>
      </c>
      <c r="H26" s="24">
        <f>$B$26-($M$2*I23*0.5/100)</f>
        <v>250</v>
      </c>
      <c r="I26" s="29">
        <f>H26/$I$2</f>
        <v>157.23270440251571</v>
      </c>
      <c r="K26" s="24">
        <f>H26</f>
        <v>250</v>
      </c>
      <c r="L26" s="29">
        <f>K26/$I$2</f>
        <v>157.23270440251571</v>
      </c>
      <c r="N26" s="24">
        <f>$B$26-($M$3*O24*0.5/100)</f>
        <v>250</v>
      </c>
      <c r="O26" s="29">
        <f>N26/$I$2</f>
        <v>157.23270440251571</v>
      </c>
      <c r="Q26" s="24">
        <f>N26</f>
        <v>250</v>
      </c>
      <c r="R26" s="29">
        <f>Q26/$I$2</f>
        <v>157.23270440251571</v>
      </c>
      <c r="T26" s="24">
        <f>$B$26-($M$4*U25*0.5/100)</f>
        <v>250</v>
      </c>
      <c r="U26" s="29">
        <f>T26/$I$2</f>
        <v>157.23270440251571</v>
      </c>
      <c r="W26" s="24">
        <f>T26</f>
        <v>250</v>
      </c>
      <c r="X26" s="29">
        <f>W26/$I$2</f>
        <v>157.23270440251571</v>
      </c>
      <c r="Z26" s="24"/>
      <c r="AA26" s="29"/>
    </row>
    <row r="27" spans="1:28" hidden="1" x14ac:dyDescent="0.25">
      <c r="B27" s="24">
        <v>22</v>
      </c>
      <c r="C27" s="29">
        <f>B27/$I$3</f>
        <v>14.08450704225352</v>
      </c>
      <c r="E27" s="24">
        <f>B27</f>
        <v>22</v>
      </c>
      <c r="F27" s="29">
        <f>E27/$I$3</f>
        <v>14.08450704225352</v>
      </c>
      <c r="H27" s="34">
        <f>$B$27-($M$2*I23*0.5/100)</f>
        <v>0</v>
      </c>
      <c r="I27" s="29">
        <f>H27/$I$3</f>
        <v>0</v>
      </c>
      <c r="K27" s="34">
        <f>H27</f>
        <v>0</v>
      </c>
      <c r="L27" s="29">
        <f>K27/$I$3</f>
        <v>0</v>
      </c>
      <c r="N27" s="34">
        <f>$B$27-($M$3*O24*0.5/100)</f>
        <v>0</v>
      </c>
      <c r="O27" s="29">
        <f>N27/$I$3</f>
        <v>0</v>
      </c>
      <c r="Q27" s="34">
        <f>N27</f>
        <v>0</v>
      </c>
      <c r="R27" s="29">
        <f>Q27/$I$3</f>
        <v>0</v>
      </c>
      <c r="T27" s="34">
        <f>$B$27-($M$4*U25*0.5/100)</f>
        <v>0</v>
      </c>
      <c r="U27" s="29">
        <f>T27/$I$3</f>
        <v>0</v>
      </c>
      <c r="W27" s="34">
        <f>T27</f>
        <v>0</v>
      </c>
      <c r="X27" s="29">
        <f>W27/$I$3</f>
        <v>0</v>
      </c>
      <c r="Z27" s="34"/>
      <c r="AA27" s="29"/>
    </row>
    <row r="28" spans="1:28" hidden="1" x14ac:dyDescent="0.25">
      <c r="B28" s="24">
        <v>160</v>
      </c>
      <c r="C28" s="29">
        <f>B28/$I$4</f>
        <v>106.66666666666667</v>
      </c>
      <c r="E28" s="24">
        <f>B28</f>
        <v>160</v>
      </c>
      <c r="F28" s="29">
        <f>E28/$I$4</f>
        <v>106.66666666666667</v>
      </c>
      <c r="H28" s="24">
        <f>$B$28</f>
        <v>160</v>
      </c>
      <c r="I28" s="29">
        <f>H28/$I$4</f>
        <v>106.66666666666667</v>
      </c>
      <c r="K28" s="24">
        <f>H28</f>
        <v>160</v>
      </c>
      <c r="L28" s="29">
        <f>K28/$I$4</f>
        <v>106.66666666666667</v>
      </c>
      <c r="N28" s="24">
        <f>$B$28</f>
        <v>160</v>
      </c>
      <c r="O28" s="29">
        <f>N28/$I$4</f>
        <v>106.66666666666667</v>
      </c>
      <c r="Q28" s="24">
        <f>N28</f>
        <v>160</v>
      </c>
      <c r="R28" s="29">
        <f>Q28/$I$4</f>
        <v>106.66666666666667</v>
      </c>
      <c r="T28" s="24">
        <f>$B$28</f>
        <v>160</v>
      </c>
      <c r="U28" s="29">
        <f>T28/$I$4</f>
        <v>106.66666666666667</v>
      </c>
      <c r="W28" s="24">
        <f>T28</f>
        <v>160</v>
      </c>
      <c r="X28" s="29">
        <f>W28/$I$4</f>
        <v>106.66666666666667</v>
      </c>
      <c r="Z28" s="24"/>
      <c r="AA28" s="29"/>
    </row>
    <row r="29" spans="1:28" hidden="1" x14ac:dyDescent="0.25">
      <c r="B29" s="24">
        <v>90</v>
      </c>
      <c r="C29" s="29">
        <f>B29/$I$5</f>
        <v>60</v>
      </c>
      <c r="E29" s="24">
        <f>B29</f>
        <v>90</v>
      </c>
      <c r="F29" s="29">
        <f>E29/$I$5</f>
        <v>60</v>
      </c>
      <c r="H29" s="24">
        <f>$B$29</f>
        <v>90</v>
      </c>
      <c r="I29" s="29">
        <f>H29/$I$5</f>
        <v>60</v>
      </c>
      <c r="K29" s="24">
        <f>H29</f>
        <v>90</v>
      </c>
      <c r="L29" s="29">
        <f>K29/$I$5</f>
        <v>60</v>
      </c>
      <c r="N29" s="24">
        <f>$B$29</f>
        <v>90</v>
      </c>
      <c r="O29" s="29">
        <f>N29/$I$5</f>
        <v>60</v>
      </c>
      <c r="Q29" s="24">
        <f>N29</f>
        <v>90</v>
      </c>
      <c r="R29" s="29">
        <f>Q29/$I$5</f>
        <v>60</v>
      </c>
      <c r="T29" s="24">
        <f>$B$29</f>
        <v>90</v>
      </c>
      <c r="U29" s="29">
        <f>T29/$I$5</f>
        <v>60</v>
      </c>
      <c r="W29" s="24">
        <f>T29</f>
        <v>90</v>
      </c>
      <c r="X29" s="29">
        <f>W29/$I$5</f>
        <v>60</v>
      </c>
      <c r="Z29" s="24"/>
      <c r="AA29" s="29"/>
    </row>
    <row r="30" spans="1:28" hidden="1" x14ac:dyDescent="0.25">
      <c r="B30" s="25">
        <f>SUM(B27:B29)</f>
        <v>272</v>
      </c>
      <c r="C30" s="29">
        <f>SUM(C22:C29)</f>
        <v>1298.4882197610652</v>
      </c>
      <c r="E30" s="35"/>
      <c r="F30" s="29">
        <f>SUM(F22:F29)</f>
        <v>683.15410838062996</v>
      </c>
      <c r="H30" s="35"/>
      <c r="I30" s="29">
        <f>SUM(I22:I29)</f>
        <v>1270.5672347313903</v>
      </c>
      <c r="K30" s="35"/>
      <c r="L30" s="29">
        <f>SUM(L22:L29)</f>
        <v>655.23312335095511</v>
      </c>
      <c r="N30" s="35"/>
      <c r="O30" s="29">
        <f>SUM(O22:O29)</f>
        <v>1710.5672347313905</v>
      </c>
      <c r="Q30" s="35"/>
      <c r="R30" s="29">
        <f>SUM(R22:R29)</f>
        <v>809.233123350955</v>
      </c>
      <c r="T30" s="35"/>
      <c r="U30" s="29">
        <f>SUM(U22:U29)</f>
        <v>1327.858901398057</v>
      </c>
      <c r="W30" s="35"/>
      <c r="X30" s="29">
        <f>SUM(X22:X29)</f>
        <v>675.28520668428837</v>
      </c>
      <c r="Z30" s="35"/>
      <c r="AA30" s="29"/>
    </row>
    <row r="31" spans="1:28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x14ac:dyDescent="0.25">
      <c r="H32" s="1"/>
      <c r="I32" s="1"/>
    </row>
    <row r="33" spans="1:29" x14ac:dyDescent="0.25">
      <c r="B33" s="111">
        <f>$C$2</f>
        <v>450</v>
      </c>
      <c r="C33" s="46">
        <v>100</v>
      </c>
      <c r="D33" s="46">
        <v>60</v>
      </c>
      <c r="E33" s="82">
        <f>$C$2</f>
        <v>450</v>
      </c>
      <c r="F33" s="40">
        <v>100</v>
      </c>
      <c r="G33" s="40">
        <v>60</v>
      </c>
      <c r="H33" s="86">
        <f>$C$2</f>
        <v>450</v>
      </c>
      <c r="I33" s="52">
        <v>100</v>
      </c>
      <c r="J33" s="52">
        <v>60</v>
      </c>
      <c r="K33" s="78">
        <f>$C$2</f>
        <v>450</v>
      </c>
      <c r="L33" s="42">
        <v>100</v>
      </c>
      <c r="M33" s="42">
        <v>60</v>
      </c>
      <c r="N33" s="90">
        <f>$C$2</f>
        <v>450</v>
      </c>
      <c r="O33" s="58">
        <v>100</v>
      </c>
      <c r="P33" s="58">
        <v>60</v>
      </c>
      <c r="Q33" s="94">
        <f>$C$2</f>
        <v>450</v>
      </c>
      <c r="R33" s="44">
        <v>100</v>
      </c>
      <c r="S33" s="44">
        <v>60</v>
      </c>
      <c r="T33" s="98">
        <f>$C$2</f>
        <v>450</v>
      </c>
      <c r="U33" s="64">
        <v>100</v>
      </c>
      <c r="V33" s="64">
        <v>60</v>
      </c>
      <c r="W33" s="102">
        <f>$C$2</f>
        <v>450</v>
      </c>
      <c r="X33" s="68">
        <v>100</v>
      </c>
      <c r="Y33" s="68">
        <v>60</v>
      </c>
      <c r="Z33" s="106">
        <f>$C$2</f>
        <v>450</v>
      </c>
      <c r="AA33" s="72">
        <v>100</v>
      </c>
      <c r="AB33" s="72">
        <v>60</v>
      </c>
      <c r="AC33" s="77"/>
    </row>
    <row r="34" spans="1:29" x14ac:dyDescent="0.25">
      <c r="A34" t="s">
        <v>45</v>
      </c>
      <c r="B34" s="112">
        <f>((B14*$H$2)+(B15*$H$3)+(B16*$H$4)+(B17*$H$5)+(C11*O2)+(C12*O3)+(C13*O4))</f>
        <v>741.10491366419603</v>
      </c>
      <c r="C34" s="47">
        <f>B34/$C$2*C33</f>
        <v>164.68998081426577</v>
      </c>
      <c r="D34" s="47">
        <f>B34/$C$2*D33</f>
        <v>98.813988488559474</v>
      </c>
      <c r="E34" s="83">
        <f>((E14*$H$2)+(E15*$H$3)+(E16*$H$4)+(E17*$H$5)+(F11*R2)+(F12*R3)+(F13*R4))</f>
        <v>1408.6367749161373</v>
      </c>
      <c r="F34" s="41">
        <f>E34/$C$2*F33</f>
        <v>313.03039442580831</v>
      </c>
      <c r="G34" s="41">
        <f>E34/$C$2*G33</f>
        <v>187.81823665548498</v>
      </c>
      <c r="H34" s="87">
        <f>((H14*$H$2)+(H15*$H$3)+(H16*$H$4)+(H17*$H$5)+(I11*U2)+(I12*U3)+(I13*U4))</f>
        <v>696.69276509175711</v>
      </c>
      <c r="I34" s="53">
        <f>H34/$C$2*I33</f>
        <v>154.8206144648349</v>
      </c>
      <c r="J34" s="53">
        <f>H34/$C$2*J33</f>
        <v>92.892368678900937</v>
      </c>
      <c r="K34" s="79">
        <f>((K14*$H$2)+(K15*$H$3)+(K16*$H$4)+(K17*$H$5)+(L11*X2)+(L12*X3)+(L13*X4))</f>
        <v>1350.9619224879646</v>
      </c>
      <c r="L34" s="43">
        <f>K34/$C$2*L33</f>
        <v>300.21376055288101</v>
      </c>
      <c r="M34" s="43">
        <f>K34/$C$2*M33</f>
        <v>180.12825633172861</v>
      </c>
      <c r="N34" s="91">
        <f>((N14*$H$2)+(N15*$H$3)+(N16*$H$4)+(N17*$H$5)+(O11*AA2)+(O12*AA3)+(O13*AA4))</f>
        <v>517.48623616013651</v>
      </c>
      <c r="O34" s="59">
        <f>N34/$C$2*O33</f>
        <v>114.99694136891922</v>
      </c>
      <c r="P34" s="59">
        <f>N34/$C$2*P33</f>
        <v>68.998164821351537</v>
      </c>
      <c r="Q34" s="95">
        <f>((Q14*$H$2)+(Q15*$H$3)+(Q16*$H$4)+(Q17*$H$5)+(R11*AD2)+(R12*AD3)+(R13*AD4))</f>
        <v>1093.8689661323974</v>
      </c>
      <c r="R34" s="45">
        <f>Q34/$C$2*R33</f>
        <v>243.08199247386608</v>
      </c>
      <c r="S34" s="45">
        <f>Q34/$C$2*S33</f>
        <v>145.84919548431964</v>
      </c>
      <c r="T34" s="99">
        <f>((T14*$H$2)+(T15*$H$3)+(T16*$H$4)+(T17*$H$5)+(U11*AG2)+(U12*AG3)+(U13*AG4))</f>
        <v>666.63332908941504</v>
      </c>
      <c r="U34" s="65">
        <f>T34/$C$2*U33</f>
        <v>148.1407397976478</v>
      </c>
      <c r="V34" s="65">
        <f>T34/$C$2*V33</f>
        <v>88.884443878588669</v>
      </c>
      <c r="W34" s="103">
        <f>((W14*$H$2)+(W15*$H$3)+(W16*$H$4)+(W17*$H$5)+(X11*AJ2)+(X12*AJ3)+(X13*AJ4))</f>
        <v>1310.8461302541893</v>
      </c>
      <c r="X34" s="69">
        <f>W34/$C$2*X33</f>
        <v>291.29914005648652</v>
      </c>
      <c r="Y34" s="69">
        <f>W34/$C$2*Y33</f>
        <v>174.77948403389192</v>
      </c>
      <c r="Z34" s="107">
        <f>((Z14*$H$2)+(Z15*$H$3)+(Z16*$H$4)+(Z17*$H$5)+(AA11*AM2)+(AA12*AM3)+(AA13*AM4))</f>
        <v>1249.1999999999998</v>
      </c>
      <c r="AA34" s="73">
        <f>Z34/$C$2*AA33</f>
        <v>277.59999999999997</v>
      </c>
      <c r="AB34" s="73">
        <f>Z34/$C$2*AB33</f>
        <v>166.56</v>
      </c>
      <c r="AC34" s="77"/>
    </row>
    <row r="35" spans="1:29" x14ac:dyDescent="0.25">
      <c r="A35" t="s">
        <v>28</v>
      </c>
      <c r="B35" s="113">
        <f>B14+((C11*$M$2)+(C12*$M$3)+(C13*$M$4))/(200)</f>
        <v>94.263465880747702</v>
      </c>
      <c r="C35" s="48">
        <f>B35/$C$2*C33</f>
        <v>20.947436862388376</v>
      </c>
      <c r="D35" s="48">
        <f>B35/$C$2*D33</f>
        <v>12.568462117433027</v>
      </c>
      <c r="E35" s="84">
        <f>E14+((F11*$M$2)+(F12*$M$3)+(F13*$M$4))/(200)</f>
        <v>179.16894372507082</v>
      </c>
      <c r="F35" s="50">
        <f>E35/$C$2*F33</f>
        <v>39.815320827793514</v>
      </c>
      <c r="G35" s="50">
        <f>E35/$C$2*G33</f>
        <v>23.88919249667611</v>
      </c>
      <c r="H35" s="88">
        <f>H14+((I11*$M$2)+(I12*$M$3)+(I13*$M$4))/(200)</f>
        <v>96.334925578241041</v>
      </c>
      <c r="I35" s="54">
        <f>H35/$C$2*I33</f>
        <v>21.407761239609123</v>
      </c>
      <c r="J35" s="54">
        <f>H35/$C$2*J33</f>
        <v>12.844656743765473</v>
      </c>
      <c r="K35" s="80">
        <f>K14+((L11*$M$2)+(L12*$M$3)+(L13*$M$4))/(200)</f>
        <v>176.98281095274692</v>
      </c>
      <c r="L35" s="56">
        <f>K35/$C$2*L33</f>
        <v>39.329513545054873</v>
      </c>
      <c r="M35" s="56">
        <f>K35/$C$2*M33</f>
        <v>23.597708127032924</v>
      </c>
      <c r="N35" s="92">
        <f>N14+((O11*$M$2)+(O12*$M$3)+(O13*$M$4))/(200)</f>
        <v>71.55521134439384</v>
      </c>
      <c r="O35" s="60">
        <f>N35/$C$2*O33</f>
        <v>15.901158076531965</v>
      </c>
      <c r="P35" s="60">
        <f>N35/$C$2*P33</f>
        <v>9.5406948459191785</v>
      </c>
      <c r="Q35" s="96">
        <f>Q14+((R11*$M$2)+(R12*$M$3)+(R13*$M$4))/(200)</f>
        <v>143.30233977546581</v>
      </c>
      <c r="R35" s="62">
        <f>Q35/$C$2*R33</f>
        <v>31.844964394547958</v>
      </c>
      <c r="S35" s="62">
        <f>Q35/$C$2*S33</f>
        <v>19.106978636728776</v>
      </c>
      <c r="T35" s="100">
        <f>T14+((U11*$M$2)+(U12*$M$3)+(U13*$M$4))/(200)</f>
        <v>92.17846856403888</v>
      </c>
      <c r="U35" s="66">
        <f>T35/$C$2*U33</f>
        <v>20.484104125341972</v>
      </c>
      <c r="V35" s="66">
        <f>T35/$C$2*V33</f>
        <v>12.290462475205183</v>
      </c>
      <c r="W35" s="104">
        <f>W14+((X11*$M$2)+(X12*$M$3)+(X13*$M$4))/(200)</f>
        <v>171.72744027578904</v>
      </c>
      <c r="X35" s="70">
        <f>W35/$C$2*X33</f>
        <v>38.16165339461979</v>
      </c>
      <c r="Y35" s="70">
        <f>W35/$C$2*Y33</f>
        <v>22.896992036771874</v>
      </c>
      <c r="Z35" s="108">
        <f>Z14+((AA11*$M$2)+(AA12*$M$3)+(AA13*$M$4))/(200)</f>
        <v>154.56</v>
      </c>
      <c r="AA35" s="74">
        <f>Z35/$C$2*AA33</f>
        <v>34.346666666666671</v>
      </c>
      <c r="AB35" s="74">
        <f>Z35/$C$2*AB33</f>
        <v>20.608000000000001</v>
      </c>
      <c r="AC35" s="77"/>
    </row>
    <row r="36" spans="1:29" x14ac:dyDescent="0.25">
      <c r="A36" t="s">
        <v>29</v>
      </c>
      <c r="B36" s="113">
        <f>B15+((C11*$M$2)+(C12*$M$3)+(C13*$M$4))/(2*100)</f>
        <v>7.624250916825182</v>
      </c>
      <c r="C36" s="48">
        <f>B36/$C$2*C33</f>
        <v>1.6942779815167071</v>
      </c>
      <c r="D36" s="48">
        <f>B36/$C$2*D33</f>
        <v>1.0165667889100243</v>
      </c>
      <c r="E36" s="84">
        <f>E15+((F11*$M$2)+(F12*$M$3)+(F13*$M$4))/(2*100)</f>
        <v>14.491605742468961</v>
      </c>
      <c r="F36" s="50">
        <f>E36/$C$2*F33</f>
        <v>3.2203568316597688</v>
      </c>
      <c r="G36" s="50">
        <f>E36/$C$2*G33</f>
        <v>1.9322140989958612</v>
      </c>
      <c r="H36" s="88">
        <f>H15+((I11*$M$2)+(I12*$M$3)+(I13*$M$4))/(2*100)</f>
        <v>7.7917954511812608</v>
      </c>
      <c r="I36" s="54">
        <f>H36/$C$2*I33</f>
        <v>1.7315101002625024</v>
      </c>
      <c r="J36" s="54">
        <f>H36/$C$2*J33</f>
        <v>1.0389060601575015</v>
      </c>
      <c r="K36" s="80">
        <f>K15+((L11*$M$2)+(L12*$M$3)+(L13*$M$4))/(2*100)</f>
        <v>5.2881941961045831</v>
      </c>
      <c r="L36" s="56">
        <f>K36/$C$2*L33</f>
        <v>1.1751542658010186</v>
      </c>
      <c r="M36" s="56">
        <f>K36/$C$2*M33</f>
        <v>0.70509255948061111</v>
      </c>
      <c r="N36" s="92">
        <f>N15+((O11*$M$2)+(O12*$M$3)+(O13*$M$4))/(2*100)</f>
        <v>5.7875538587377378</v>
      </c>
      <c r="O36" s="60">
        <f>N36/$C$2*O33</f>
        <v>1.2861230797194974</v>
      </c>
      <c r="P36" s="60">
        <f>N36/$C$2*P33</f>
        <v>0.77167384783169835</v>
      </c>
      <c r="Q36" s="96">
        <f>Q15+((R11*$M$2)+(R12*$M$3)+(R13*$M$4))/(2*100)</f>
        <v>4.2818316502564491</v>
      </c>
      <c r="R36" s="62">
        <f>Q36/$C$2*R33</f>
        <v>0.95151814450143324</v>
      </c>
      <c r="S36" s="62">
        <f>Q36/$C$2*S33</f>
        <v>0.57091088670085988</v>
      </c>
      <c r="T36" s="100">
        <f>T15+((U11*$M$2)+(U12*$M$3)+(U13*$M$4))/(2*100)</f>
        <v>7.4556114279737331</v>
      </c>
      <c r="U36" s="66">
        <f>T36/$C$2*U33</f>
        <v>1.6568025395497183</v>
      </c>
      <c r="V36" s="66">
        <f>T36/$C$2*V33</f>
        <v>0.99408152372983105</v>
      </c>
      <c r="W36" s="104">
        <f>W15+((X11*$M$2)+(X12*$M$3)+(X13*$M$4))/(2*100)</f>
        <v>5.1311652701729757</v>
      </c>
      <c r="X36" s="70">
        <f>W36/$C$2*X33</f>
        <v>1.140258948927328</v>
      </c>
      <c r="Y36" s="70">
        <f>W36/$C$2*Y33</f>
        <v>0.68415536935639676</v>
      </c>
      <c r="Z36" s="108">
        <f>Z15+((AA11*$M$2)+(AA12*$M$3)+(AA13*$M$4))/(2*100)</f>
        <v>34.56</v>
      </c>
      <c r="AA36" s="74">
        <f>Z36/$C$2*AA33</f>
        <v>7.6800000000000006</v>
      </c>
      <c r="AB36" s="74">
        <f>Z36/$C$2*AB33</f>
        <v>4.6080000000000005</v>
      </c>
      <c r="AC36" s="77"/>
    </row>
    <row r="37" spans="1:29" x14ac:dyDescent="0.25">
      <c r="A37" t="s">
        <v>46</v>
      </c>
      <c r="B37" s="113">
        <f>B16</f>
        <v>55.449097576910418</v>
      </c>
      <c r="C37" s="48">
        <f>B37/$C$2*C33</f>
        <v>12.322021683757871</v>
      </c>
      <c r="D37" s="48">
        <f>B37/$C$2*D33</f>
        <v>7.3932130102547227</v>
      </c>
      <c r="E37" s="84">
        <f>E16</f>
        <v>105.39349630886517</v>
      </c>
      <c r="F37" s="50">
        <f>E37/$C$2*F33</f>
        <v>23.420776957525593</v>
      </c>
      <c r="G37" s="50">
        <f>E37/$C$2*G33</f>
        <v>14.052466174515356</v>
      </c>
      <c r="H37" s="88">
        <f>H16</f>
        <v>56.667603281318264</v>
      </c>
      <c r="I37" s="54">
        <f>H37/$C$2*I33</f>
        <v>12.592800729181835</v>
      </c>
      <c r="J37" s="54">
        <f>H37/$C$2*J33</f>
        <v>7.5556804375091016</v>
      </c>
      <c r="K37" s="80">
        <f>K16</f>
        <v>109.8845547242511</v>
      </c>
      <c r="L37" s="56">
        <f>K37/$C$2*L33</f>
        <v>24.418789938722469</v>
      </c>
      <c r="M37" s="56">
        <f>K37/$C$2*M33</f>
        <v>14.65127396323348</v>
      </c>
      <c r="N37" s="92">
        <f>N16</f>
        <v>42.091300790819908</v>
      </c>
      <c r="O37" s="60">
        <f>N37/$C$2*O33</f>
        <v>9.3536223979599793</v>
      </c>
      <c r="P37" s="60">
        <f>N37/$C$2*P33</f>
        <v>5.6121734387759874</v>
      </c>
      <c r="Q37" s="96">
        <f>Q16</f>
        <v>88.973125200134007</v>
      </c>
      <c r="R37" s="62">
        <f>Q37/$C$2*R33</f>
        <v>19.771805600029779</v>
      </c>
      <c r="S37" s="62">
        <f>Q37/$C$2*S33</f>
        <v>11.863083360017868</v>
      </c>
      <c r="T37" s="100">
        <f>T16</f>
        <v>54.222628567081699</v>
      </c>
      <c r="U37" s="66">
        <f>T37/$C$2*U33</f>
        <v>12.049473014907045</v>
      </c>
      <c r="V37" s="66">
        <f>T37/$C$2*V33</f>
        <v>7.2296838089442268</v>
      </c>
      <c r="W37" s="104">
        <f>W16</f>
        <v>106.6216160035943</v>
      </c>
      <c r="X37" s="70">
        <f>W37/$C$2*X33</f>
        <v>23.69369244524318</v>
      </c>
      <c r="Y37" s="70">
        <f>W37/$C$2*Y33</f>
        <v>14.216215467145906</v>
      </c>
      <c r="Z37" s="108">
        <f>Z16</f>
        <v>120</v>
      </c>
      <c r="AA37" s="74">
        <f>Z37/$C$2*AA33</f>
        <v>26.666666666666668</v>
      </c>
      <c r="AB37" s="74">
        <f>Z37/$C$2*AB33</f>
        <v>16</v>
      </c>
      <c r="AC37" s="77"/>
    </row>
    <row r="38" spans="1:29" x14ac:dyDescent="0.25">
      <c r="A38" t="s">
        <v>2</v>
      </c>
      <c r="B38" s="113">
        <f>B17</f>
        <v>31.190117387012105</v>
      </c>
      <c r="C38" s="48">
        <f>B38/$C$2*C33</f>
        <v>6.9311371971138014</v>
      </c>
      <c r="D38" s="48">
        <f>B38/$C$2*D33</f>
        <v>4.1586823182682808</v>
      </c>
      <c r="E38" s="84">
        <f>E17</f>
        <v>59.283841673736667</v>
      </c>
      <c r="F38" s="50">
        <f>E38/$C$2*F33</f>
        <v>13.174187038608148</v>
      </c>
      <c r="G38" s="50">
        <f>E38/$C$2*G33</f>
        <v>7.9045122231648888</v>
      </c>
      <c r="H38" s="88">
        <f>H17</f>
        <v>31.875526845741518</v>
      </c>
      <c r="I38" s="54">
        <f>H38/$C$2*I33</f>
        <v>7.0834504101647822</v>
      </c>
      <c r="J38" s="54">
        <f>H38/$C$2*J33</f>
        <v>4.2500702460988693</v>
      </c>
      <c r="K38" s="80">
        <f>K17</f>
        <v>61.810062032391251</v>
      </c>
      <c r="L38" s="56">
        <f>K38/$C$2*L33</f>
        <v>13.73556934053139</v>
      </c>
      <c r="M38" s="56">
        <f>K38/$C$2*M33</f>
        <v>8.2413416043188334</v>
      </c>
      <c r="N38" s="92">
        <f>N17</f>
        <v>23.676356694836201</v>
      </c>
      <c r="O38" s="60">
        <f>N38/$C$2*O33</f>
        <v>5.2614125988524894</v>
      </c>
      <c r="P38" s="60">
        <f>N38/$C$2*P33</f>
        <v>3.1568475593114935</v>
      </c>
      <c r="Q38" s="96">
        <f>Q17</f>
        <v>50.047382925075382</v>
      </c>
      <c r="R38" s="62">
        <f>Q38/$C$2*R33</f>
        <v>11.121640650016753</v>
      </c>
      <c r="S38" s="62">
        <f>Q38/$C$2*S33</f>
        <v>6.6729843900100514</v>
      </c>
      <c r="T38" s="100">
        <f>T17</f>
        <v>30.500228568983452</v>
      </c>
      <c r="U38" s="66">
        <f>T38/$C$2*U33</f>
        <v>6.7778285708852106</v>
      </c>
      <c r="V38" s="66">
        <f>T38/$C$2*V33</f>
        <v>4.0666971425311269</v>
      </c>
      <c r="W38" s="104">
        <f>W17</f>
        <v>59.974659002021781</v>
      </c>
      <c r="X38" s="70">
        <f>W38/$C$2*X33</f>
        <v>13.327702000449285</v>
      </c>
      <c r="Y38" s="70">
        <f>W38/$C$2*Y33</f>
        <v>7.9966212002695709</v>
      </c>
      <c r="Z38" s="108">
        <f>Z17</f>
        <v>80</v>
      </c>
      <c r="AA38" s="74">
        <f>Z38/$C$2*AA33</f>
        <v>17.777777777777779</v>
      </c>
      <c r="AB38" s="74">
        <f>Z38/$C$2*AB33</f>
        <v>10.666666666666668</v>
      </c>
      <c r="AC38" s="77"/>
    </row>
    <row r="39" spans="1:29" x14ac:dyDescent="0.25">
      <c r="A39" t="s">
        <v>48</v>
      </c>
      <c r="B39" s="113">
        <f>SUM(B36:B38)</f>
        <v>94.263465880747702</v>
      </c>
      <c r="C39" s="76">
        <f t="shared" ref="C39:AB39" si="12">SUM(C36:C38)</f>
        <v>20.947436862388379</v>
      </c>
      <c r="D39" s="76">
        <f t="shared" si="12"/>
        <v>12.568462117433029</v>
      </c>
      <c r="E39" s="84">
        <f t="shared" si="12"/>
        <v>179.16894372507079</v>
      </c>
      <c r="F39" s="50">
        <f t="shared" si="12"/>
        <v>39.815320827793506</v>
      </c>
      <c r="G39" s="50">
        <f t="shared" si="12"/>
        <v>23.889192496676106</v>
      </c>
      <c r="H39" s="88">
        <f t="shared" si="12"/>
        <v>96.334925578241041</v>
      </c>
      <c r="I39" s="54">
        <f t="shared" si="12"/>
        <v>21.407761239609119</v>
      </c>
      <c r="J39" s="54">
        <f t="shared" si="12"/>
        <v>12.844656743765473</v>
      </c>
      <c r="K39" s="80">
        <f t="shared" si="12"/>
        <v>176.98281095274695</v>
      </c>
      <c r="L39" s="56">
        <f t="shared" si="12"/>
        <v>39.32951354505488</v>
      </c>
      <c r="M39" s="56">
        <f t="shared" si="12"/>
        <v>23.597708127032924</v>
      </c>
      <c r="N39" s="92">
        <f t="shared" si="12"/>
        <v>71.555211344393854</v>
      </c>
      <c r="O39" s="60">
        <f t="shared" si="12"/>
        <v>15.901158076531965</v>
      </c>
      <c r="P39" s="60">
        <f t="shared" si="12"/>
        <v>9.5406948459191785</v>
      </c>
      <c r="Q39" s="96">
        <f t="shared" si="12"/>
        <v>143.30233977546584</v>
      </c>
      <c r="R39" s="62">
        <f t="shared" si="12"/>
        <v>31.844964394547965</v>
      </c>
      <c r="S39" s="62">
        <f t="shared" si="12"/>
        <v>19.10697863672878</v>
      </c>
      <c r="T39" s="100">
        <f t="shared" si="12"/>
        <v>92.178468564038894</v>
      </c>
      <c r="U39" s="66">
        <f t="shared" si="12"/>
        <v>20.484104125341972</v>
      </c>
      <c r="V39" s="66">
        <f t="shared" si="12"/>
        <v>12.290462475205185</v>
      </c>
      <c r="W39" s="104">
        <f t="shared" si="12"/>
        <v>171.72744027578904</v>
      </c>
      <c r="X39" s="70">
        <f t="shared" si="12"/>
        <v>38.16165339461979</v>
      </c>
      <c r="Y39" s="70">
        <f t="shared" si="12"/>
        <v>22.896992036771874</v>
      </c>
      <c r="Z39" s="108">
        <f t="shared" si="12"/>
        <v>234.56</v>
      </c>
      <c r="AA39" s="74">
        <f t="shared" si="12"/>
        <v>52.12444444444445</v>
      </c>
      <c r="AB39" s="74">
        <f t="shared" si="12"/>
        <v>31.274666666666668</v>
      </c>
      <c r="AC39" s="77"/>
    </row>
    <row r="40" spans="1:29" x14ac:dyDescent="0.25">
      <c r="A40" t="s">
        <v>36</v>
      </c>
      <c r="B40" s="114">
        <f>((C12*$N$3)+(C13*$N$4))/100</f>
        <v>0</v>
      </c>
      <c r="C40" s="49">
        <f>B40/$C$2*C33</f>
        <v>0</v>
      </c>
      <c r="D40" s="49">
        <f>B40/$C$2*D33</f>
        <v>0</v>
      </c>
      <c r="E40" s="85">
        <f>((F12*$N$3)+(F13*$N$4))/100</f>
        <v>0</v>
      </c>
      <c r="F40" s="51">
        <f>E40/$C$2*F33</f>
        <v>0</v>
      </c>
      <c r="G40" s="51">
        <f>E40/$C$2*G33</f>
        <v>0</v>
      </c>
      <c r="H40" s="89">
        <f>((I12*$N$3)+(I13*$N$4))/100</f>
        <v>0</v>
      </c>
      <c r="I40" s="55">
        <f>H40/$C$2*I33</f>
        <v>0</v>
      </c>
      <c r="J40" s="55">
        <f>H40/$C$2*J33</f>
        <v>0</v>
      </c>
      <c r="K40" s="81">
        <f>((L12*$N$3)+(L13*$N$4))/100</f>
        <v>0</v>
      </c>
      <c r="L40" s="57">
        <f>K40/$C$2*L33</f>
        <v>0</v>
      </c>
      <c r="M40" s="57">
        <f>K40/$C$2*M33</f>
        <v>0</v>
      </c>
      <c r="N40" s="93">
        <f>((O12*$N$3)+(O13*$N$4))/100</f>
        <v>37.040344695921519</v>
      </c>
      <c r="O40" s="61">
        <f>N40/$C$2*O33</f>
        <v>8.2311877102047823</v>
      </c>
      <c r="P40" s="61">
        <f>N40/$C$2*P33</f>
        <v>4.9387126261228689</v>
      </c>
      <c r="Q40" s="97">
        <f>((R12*$N$3)+(R13*$N$4))/100</f>
        <v>27.403722561641274</v>
      </c>
      <c r="R40" s="63">
        <f>Q40/$C$2*R33</f>
        <v>6.089716124809172</v>
      </c>
      <c r="S40" s="63">
        <f>Q40/$C$2*S33</f>
        <v>3.653829674885503</v>
      </c>
      <c r="T40" s="101">
        <f>((U12*$N$3)+(U13*$N$4))/100</f>
        <v>149.11222855947469</v>
      </c>
      <c r="U40" s="67">
        <f>T40/$C$2*U33</f>
        <v>33.136050790994375</v>
      </c>
      <c r="V40" s="67">
        <f>T40/$C$2*V33</f>
        <v>19.881630474596626</v>
      </c>
      <c r="W40" s="105">
        <f>((X12*$N$3)+(X13*$N$4))/100</f>
        <v>102.62330540345951</v>
      </c>
      <c r="X40" s="71">
        <f>W40/$C$2*X33</f>
        <v>22.805178978546557</v>
      </c>
      <c r="Y40" s="71">
        <f>W40/$C$2*Y33</f>
        <v>13.683107387127935</v>
      </c>
      <c r="Z40" s="109">
        <f>((AA12*$N$3)+(AA13*$N$4))/100</f>
        <v>691.2</v>
      </c>
      <c r="AA40" s="75">
        <f>Z40/$C$2*AA33</f>
        <v>153.6</v>
      </c>
      <c r="AB40" s="75">
        <f>Z40/$C$2*AB33</f>
        <v>92.16</v>
      </c>
      <c r="AC40" s="77"/>
    </row>
    <row r="41" spans="1:29" x14ac:dyDescent="0.25">
      <c r="I41" s="29"/>
    </row>
    <row r="42" spans="1:29" x14ac:dyDescent="0.25">
      <c r="H42" s="24"/>
      <c r="I42" s="29"/>
      <c r="Z42" t="s">
        <v>49</v>
      </c>
      <c r="AB42" s="115">
        <v>0.2</v>
      </c>
    </row>
    <row r="43" spans="1:29" x14ac:dyDescent="0.25">
      <c r="H43" s="25"/>
      <c r="I43" s="29"/>
      <c r="Z43" t="s">
        <v>50</v>
      </c>
    </row>
    <row r="44" spans="1:29" x14ac:dyDescent="0.25">
      <c r="Z44" t="s">
        <v>51</v>
      </c>
    </row>
  </sheetData>
  <mergeCells count="27">
    <mergeCell ref="B8:C8"/>
    <mergeCell ref="E20:F20"/>
    <mergeCell ref="H8:I8"/>
    <mergeCell ref="E8:F8"/>
    <mergeCell ref="Q8:R8"/>
    <mergeCell ref="Q20:R20"/>
    <mergeCell ref="B19:C19"/>
    <mergeCell ref="E19:F19"/>
    <mergeCell ref="B20:C20"/>
    <mergeCell ref="K8:L8"/>
    <mergeCell ref="H20:I20"/>
    <mergeCell ref="K20:L20"/>
    <mergeCell ref="N8:O8"/>
    <mergeCell ref="N20:O20"/>
    <mergeCell ref="H19:I19"/>
    <mergeCell ref="K19:L19"/>
    <mergeCell ref="Z20:AA20"/>
    <mergeCell ref="Z8:AA8"/>
    <mergeCell ref="W8:X8"/>
    <mergeCell ref="T20:U20"/>
    <mergeCell ref="W20:X20"/>
    <mergeCell ref="W19:X19"/>
    <mergeCell ref="Z19:AA19"/>
    <mergeCell ref="T8:U8"/>
    <mergeCell ref="N19:O19"/>
    <mergeCell ref="Q19:R19"/>
    <mergeCell ref="T19:U19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23.140625" bestFit="1" customWidth="1"/>
    <col min="2" max="2" width="10.5703125" bestFit="1" customWidth="1"/>
    <col min="3" max="3" width="9.5703125" bestFit="1" customWidth="1"/>
    <col min="5" max="5" width="12.5703125" bestFit="1" customWidth="1"/>
    <col min="7" max="7" width="10.28515625" bestFit="1" customWidth="1"/>
    <col min="8" max="8" width="11.140625" bestFit="1" customWidth="1"/>
    <col min="11" max="11" width="13.28515625" bestFit="1" customWidth="1"/>
    <col min="12" max="12" width="9.140625" customWidth="1"/>
  </cols>
  <sheetData>
    <row r="1" spans="1:13" x14ac:dyDescent="0.25">
      <c r="A1" t="s">
        <v>6</v>
      </c>
      <c r="B1">
        <v>83</v>
      </c>
    </row>
    <row r="2" spans="1:13" x14ac:dyDescent="0.25">
      <c r="A2" t="s">
        <v>5</v>
      </c>
    </row>
    <row r="3" spans="1:13" x14ac:dyDescent="0.25">
      <c r="B3">
        <v>3</v>
      </c>
    </row>
    <row r="4" spans="1:13" x14ac:dyDescent="0.25">
      <c r="A4" t="s">
        <v>8</v>
      </c>
      <c r="B4" s="2">
        <v>6</v>
      </c>
      <c r="C4" s="2">
        <v>6</v>
      </c>
      <c r="K4" s="2">
        <v>10</v>
      </c>
    </row>
    <row r="6" spans="1:13" x14ac:dyDescent="0.25">
      <c r="A6" s="1"/>
      <c r="B6" s="139" t="s">
        <v>10</v>
      </c>
      <c r="C6" s="139"/>
      <c r="D6" s="140" t="s">
        <v>9</v>
      </c>
      <c r="E6" s="140"/>
      <c r="F6" s="139" t="s">
        <v>11</v>
      </c>
      <c r="G6" s="139"/>
      <c r="H6" s="140" t="s">
        <v>22</v>
      </c>
      <c r="I6" s="140"/>
      <c r="L6" s="140" t="s">
        <v>24</v>
      </c>
      <c r="M6" s="140"/>
    </row>
    <row r="7" spans="1:13" x14ac:dyDescent="0.25">
      <c r="A7" s="1" t="s">
        <v>12</v>
      </c>
      <c r="B7" s="4">
        <v>0</v>
      </c>
      <c r="C7" s="4"/>
      <c r="D7" s="3">
        <f>SUM(D17:D19)/470*1000+D21/790*1000</f>
        <v>745.38109345542694</v>
      </c>
      <c r="E7" s="3" t="s">
        <v>21</v>
      </c>
      <c r="F7" s="4">
        <v>0</v>
      </c>
      <c r="G7" s="5"/>
      <c r="H7" s="3">
        <v>0</v>
      </c>
      <c r="I7" s="16" t="s">
        <v>21</v>
      </c>
      <c r="L7" s="3">
        <v>0</v>
      </c>
      <c r="M7" s="16" t="s">
        <v>21</v>
      </c>
    </row>
    <row r="8" spans="1:13" x14ac:dyDescent="0.25">
      <c r="A8" s="1" t="s">
        <v>7</v>
      </c>
      <c r="B8" s="4">
        <f>D7</f>
        <v>745.38109345542694</v>
      </c>
      <c r="C8" s="4"/>
      <c r="D8" s="3">
        <f xml:space="preserve"> 0</f>
        <v>0</v>
      </c>
      <c r="E8" s="3"/>
      <c r="F8" s="4">
        <f xml:space="preserve"> 65 *$B$3</f>
        <v>195</v>
      </c>
      <c r="G8" s="6"/>
      <c r="H8" s="3">
        <v>391</v>
      </c>
      <c r="I8" s="16"/>
      <c r="L8" s="3">
        <v>391</v>
      </c>
      <c r="M8" s="16"/>
    </row>
    <row r="9" spans="1:13" s="12" customFormat="1" ht="15" customHeight="1" x14ac:dyDescent="0.25">
      <c r="A9" s="13" t="s">
        <v>13</v>
      </c>
      <c r="B9" s="7">
        <f>($B$7+$B$8)-($B$7+$B$8)*0.1</f>
        <v>670.84298410988424</v>
      </c>
      <c r="C9" s="7"/>
      <c r="D9" s="7">
        <f>($B$7+$B$8)-($B$7+$B$8)*0.1</f>
        <v>670.84298410988424</v>
      </c>
      <c r="E9" s="7"/>
      <c r="F9" s="7"/>
      <c r="G9" s="13"/>
      <c r="H9" s="16"/>
      <c r="I9" s="16"/>
      <c r="L9" s="16"/>
      <c r="M9" s="16"/>
    </row>
    <row r="10" spans="1:13" s="12" customFormat="1" ht="15" customHeight="1" x14ac:dyDescent="0.25">
      <c r="A10" s="13" t="s">
        <v>14</v>
      </c>
      <c r="B10" s="7">
        <f>($B$7+$B$8)-($B$7+$B$8)*0.2</f>
        <v>596.30487476434155</v>
      </c>
      <c r="C10" s="7"/>
      <c r="D10" s="7">
        <f>($B$7+$B$8)-($B$7+$B$8)*0.2</f>
        <v>596.30487476434155</v>
      </c>
      <c r="E10" s="7"/>
      <c r="F10" s="7"/>
      <c r="G10" s="13"/>
      <c r="H10" s="16"/>
      <c r="I10" s="16"/>
      <c r="L10" s="16"/>
      <c r="M10" s="16"/>
    </row>
    <row r="11" spans="1:13" s="12" customFormat="1" ht="15" customHeight="1" x14ac:dyDescent="0.25">
      <c r="A11" s="13" t="s">
        <v>15</v>
      </c>
      <c r="B11" s="7">
        <f>($B$7+$B$8)-($B$7+$B$8)*0.3</f>
        <v>521.76676541879885</v>
      </c>
      <c r="C11" s="7"/>
      <c r="D11" s="7">
        <f>($B$7+$B$8)-($B$7+$B$8)*0.3</f>
        <v>521.76676541879885</v>
      </c>
      <c r="E11" s="7"/>
      <c r="F11" s="7"/>
      <c r="G11" s="13"/>
      <c r="H11" s="16"/>
      <c r="I11" s="16"/>
      <c r="L11" s="16"/>
      <c r="M11" s="16"/>
    </row>
    <row r="12" spans="1:13" s="12" customFormat="1" ht="15" customHeight="1" x14ac:dyDescent="0.25">
      <c r="A12" s="13" t="s">
        <v>16</v>
      </c>
      <c r="B12" s="7">
        <f>($B$7+$B$8)-($B$7+$B$8)*0.4</f>
        <v>447.22865607325616</v>
      </c>
      <c r="C12" s="7"/>
      <c r="D12" s="7">
        <f>($B$7+$B$8)-($B$7+$B$8)*0.4</f>
        <v>447.22865607325616</v>
      </c>
      <c r="E12" s="7"/>
      <c r="F12" s="7"/>
      <c r="G12" s="13"/>
      <c r="H12" s="16"/>
      <c r="I12" s="16"/>
      <c r="L12" s="16"/>
      <c r="M12" s="16"/>
    </row>
    <row r="13" spans="1:13" s="12" customFormat="1" ht="15" customHeight="1" x14ac:dyDescent="0.25">
      <c r="A13" s="14" t="s">
        <v>17</v>
      </c>
      <c r="B13" s="15">
        <f>($B$7+$B$8)-($B$7+$B$8)*0.5</f>
        <v>372.69054672771347</v>
      </c>
      <c r="C13" s="15"/>
      <c r="D13" s="15">
        <f>($B$7+$B$8)-($B$7+$B$8)*0.5</f>
        <v>372.69054672771347</v>
      </c>
      <c r="E13" s="15"/>
      <c r="F13" s="15"/>
      <c r="G13" s="14"/>
      <c r="H13" s="16"/>
      <c r="I13" s="16"/>
      <c r="L13" s="16"/>
      <c r="M13" s="16"/>
    </row>
    <row r="14" spans="1:13" s="12" customFormat="1" ht="15" customHeight="1" x14ac:dyDescent="0.25">
      <c r="A14" s="13" t="s">
        <v>18</v>
      </c>
      <c r="B14" s="7">
        <f>($B$7+$B$8)-($B$7+$B$8)*0.6</f>
        <v>298.15243738217077</v>
      </c>
      <c r="C14" s="7"/>
      <c r="D14" s="7">
        <f>($B$7+$B$8)-($B$7+$B$8)*0.6</f>
        <v>298.15243738217077</v>
      </c>
      <c r="E14" s="7"/>
      <c r="F14" s="7"/>
      <c r="G14" s="13"/>
      <c r="H14" s="16"/>
      <c r="I14" s="16"/>
      <c r="L14" s="16"/>
      <c r="M14" s="16"/>
    </row>
    <row r="15" spans="1:13" s="12" customFormat="1" ht="15" customHeight="1" x14ac:dyDescent="0.25">
      <c r="A15" s="13" t="s">
        <v>19</v>
      </c>
      <c r="B15" s="7">
        <f>($B$7+$B$8)-($B$7+$B$8)*0.7</f>
        <v>223.61432803662808</v>
      </c>
      <c r="C15" s="7"/>
      <c r="D15" s="7">
        <f>($B$7+$B$8)-($B$7+$B$8)*0.7</f>
        <v>223.61432803662808</v>
      </c>
      <c r="E15" s="7"/>
      <c r="F15" s="7"/>
      <c r="G15" s="13"/>
      <c r="H15" s="16"/>
      <c r="I15" s="16"/>
      <c r="L15" s="16"/>
      <c r="M15" s="16"/>
    </row>
    <row r="16" spans="1:13" s="12" customFormat="1" ht="15" customHeight="1" x14ac:dyDescent="0.25">
      <c r="A16" s="13" t="s">
        <v>20</v>
      </c>
      <c r="B16" s="7">
        <f>($B$7+$B$8)-($B$7+$B$8)*0.8</f>
        <v>149.07621869108539</v>
      </c>
      <c r="C16" s="7"/>
      <c r="D16" s="7">
        <f>($B$7+$B$8)-($B$7+$B$8)*0.8</f>
        <v>149.07621869108539</v>
      </c>
      <c r="E16" s="7"/>
      <c r="F16" s="7"/>
      <c r="G16" s="13"/>
      <c r="H16" s="16"/>
      <c r="I16" s="16"/>
      <c r="L16" s="16"/>
      <c r="M16" s="16"/>
    </row>
    <row r="17" spans="1:13" x14ac:dyDescent="0.25">
      <c r="A17" t="s">
        <v>0</v>
      </c>
      <c r="B17" s="8">
        <f>ROUND(($B$1*$B$3*0.09)-($D$7/100*$B$4),0)</f>
        <v>-22</v>
      </c>
      <c r="C17" s="8">
        <f>B17/$D$7*100</f>
        <v>-2.9515103338632747</v>
      </c>
      <c r="D17" s="9">
        <f>ROUND(($B$1*$B$3*0.09),0)</f>
        <v>22</v>
      </c>
      <c r="E17" s="9">
        <f>D17/D$7*100</f>
        <v>2.9515103338632747</v>
      </c>
      <c r="F17" s="8">
        <f>IF(ROUND(($B$1*$B$3*1)-($F$8/100*$B$4),0)&lt;0,0,ROUND(($B$1*$B$3*1)-($F$8/100*$B$4),0))</f>
        <v>237</v>
      </c>
      <c r="G17" s="6"/>
      <c r="H17" s="9">
        <v>0</v>
      </c>
      <c r="I17" s="9">
        <f>H17/$D$7*100</f>
        <v>0</v>
      </c>
      <c r="L17" s="9">
        <v>0</v>
      </c>
      <c r="M17" s="9">
        <f>L17/$D$7*100</f>
        <v>0</v>
      </c>
    </row>
    <row r="18" spans="1:13" x14ac:dyDescent="0.25">
      <c r="A18" t="s">
        <v>1</v>
      </c>
      <c r="B18" s="8">
        <f>ROUND($B$1*$B$3*0.58,0)</f>
        <v>144</v>
      </c>
      <c r="C18" s="8">
        <f t="shared" ref="C18:C22" si="0">B18/$D$7*100</f>
        <v>19.318976730741436</v>
      </c>
      <c r="D18" s="9">
        <f>ROUND($B$1*$B$3*0.58,0)</f>
        <v>144</v>
      </c>
      <c r="E18" s="9">
        <f t="shared" ref="E18:E22" si="1">D18/D$7*100</f>
        <v>19.318976730741436</v>
      </c>
      <c r="F18" s="8">
        <v>0</v>
      </c>
      <c r="G18" s="6"/>
      <c r="H18" s="9">
        <v>251</v>
      </c>
      <c r="I18" s="9">
        <f t="shared" ref="I18:I22" si="2">H18/$D$7*100</f>
        <v>33.674049718167367</v>
      </c>
      <c r="L18" s="9">
        <v>251</v>
      </c>
      <c r="M18" s="9">
        <f t="shared" ref="M18:M22" si="3">L18/$D$7*100</f>
        <v>33.674049718167367</v>
      </c>
    </row>
    <row r="19" spans="1:13" x14ac:dyDescent="0.25">
      <c r="A19" t="s">
        <v>2</v>
      </c>
      <c r="B19" s="8">
        <f>ROUND($B$1*$B$3*0.33,0)</f>
        <v>82</v>
      </c>
      <c r="C19" s="8">
        <f t="shared" si="0"/>
        <v>11.001083971672205</v>
      </c>
      <c r="D19" s="9">
        <f>ROUND($B$1*$B$3*0.33,0)</f>
        <v>82</v>
      </c>
      <c r="E19" s="9">
        <f t="shared" si="1"/>
        <v>11.001083971672205</v>
      </c>
      <c r="F19" s="8">
        <v>0</v>
      </c>
      <c r="G19" s="6"/>
      <c r="H19" s="9">
        <v>180</v>
      </c>
      <c r="I19" s="9">
        <f t="shared" si="2"/>
        <v>24.148720913426793</v>
      </c>
      <c r="L19" s="9">
        <v>180</v>
      </c>
      <c r="M19" s="9">
        <f t="shared" si="3"/>
        <v>24.148720913426793</v>
      </c>
    </row>
    <row r="20" spans="1:13" x14ac:dyDescent="0.25">
      <c r="A20" t="s">
        <v>4</v>
      </c>
      <c r="B20" s="10">
        <f>B3*0.5</f>
        <v>1.5</v>
      </c>
      <c r="C20" s="8">
        <f t="shared" si="0"/>
        <v>0.20123934094522328</v>
      </c>
      <c r="D20" s="11">
        <f>B3*0.5</f>
        <v>1.5</v>
      </c>
      <c r="E20" s="9">
        <f t="shared" si="1"/>
        <v>0.20123934094522328</v>
      </c>
      <c r="F20" s="10">
        <f>0.5</f>
        <v>0.5</v>
      </c>
      <c r="G20" s="6"/>
      <c r="H20" s="11">
        <v>1.5</v>
      </c>
      <c r="I20" s="9">
        <f t="shared" si="2"/>
        <v>0.20123934094522328</v>
      </c>
      <c r="L20" s="11">
        <v>1.5</v>
      </c>
      <c r="M20" s="9">
        <f t="shared" si="3"/>
        <v>0.20123934094522328</v>
      </c>
    </row>
    <row r="21" spans="1:13" x14ac:dyDescent="0.25">
      <c r="A21">
        <v>11</v>
      </c>
      <c r="B21" s="8">
        <f>IF(ROUND(($B$1*$B$3*0.69)-($D$7/100*$C$4),0)&lt;0,0,ROUND(($B$1*$B$3*0.69)-($D$7/100*$C$4),0))</f>
        <v>127</v>
      </c>
      <c r="C21" s="8">
        <f t="shared" si="0"/>
        <v>17.038264200028905</v>
      </c>
      <c r="D21" s="9">
        <f>ROUND(($B$1*$B$3*0.69),0)</f>
        <v>172</v>
      </c>
      <c r="E21" s="9">
        <f t="shared" si="1"/>
        <v>23.075444428385602</v>
      </c>
      <c r="F21" s="8">
        <f>IF(ROUND(($B$1*$B$3*0.69)-($B$8/100*$C$4),0)&lt;0,0,ROUND(($B$1*$B$3*0.69)-($B$8/100*$C$4),0))</f>
        <v>127</v>
      </c>
      <c r="G21" s="6"/>
      <c r="H21" s="9">
        <v>130</v>
      </c>
      <c r="I21" s="9">
        <f t="shared" si="2"/>
        <v>17.440742881919352</v>
      </c>
      <c r="L21" s="9">
        <v>130</v>
      </c>
      <c r="M21" s="9">
        <f t="shared" si="3"/>
        <v>17.440742881919352</v>
      </c>
    </row>
    <row r="22" spans="1:13" x14ac:dyDescent="0.25">
      <c r="A22" t="s">
        <v>3</v>
      </c>
      <c r="B22" s="8">
        <f>0</f>
        <v>0</v>
      </c>
      <c r="C22" s="8">
        <f t="shared" si="0"/>
        <v>0</v>
      </c>
      <c r="D22" s="9">
        <f>0</f>
        <v>0</v>
      </c>
      <c r="E22" s="9">
        <f t="shared" si="1"/>
        <v>0</v>
      </c>
      <c r="F22" s="8">
        <f>ROUND(0.3*B1,0)</f>
        <v>25</v>
      </c>
      <c r="G22" s="6"/>
      <c r="H22" s="9">
        <v>0</v>
      </c>
      <c r="I22" s="9">
        <f t="shared" si="2"/>
        <v>0</v>
      </c>
      <c r="L22" s="9">
        <v>0</v>
      </c>
      <c r="M22" s="9">
        <f t="shared" si="3"/>
        <v>0</v>
      </c>
    </row>
    <row r="23" spans="1:13" x14ac:dyDescent="0.25">
      <c r="H23" t="s">
        <v>23</v>
      </c>
    </row>
    <row r="27" spans="1:13" x14ac:dyDescent="0.25">
      <c r="B27" s="4"/>
      <c r="F27" s="17"/>
      <c r="G27" s="19"/>
      <c r="H27" s="18"/>
      <c r="K27" s="20"/>
    </row>
    <row r="28" spans="1:13" x14ac:dyDescent="0.25">
      <c r="B28" s="2"/>
      <c r="F28" s="17"/>
      <c r="G28" s="19"/>
      <c r="H28" s="18"/>
      <c r="K28" s="20"/>
    </row>
    <row r="29" spans="1:13" x14ac:dyDescent="0.25">
      <c r="B29" s="2"/>
      <c r="G29" s="19"/>
      <c r="K29" s="20"/>
    </row>
    <row r="30" spans="1:13" x14ac:dyDescent="0.25">
      <c r="G30" s="19"/>
      <c r="K30" s="20"/>
    </row>
    <row r="31" spans="1:13" x14ac:dyDescent="0.25">
      <c r="G31" s="19"/>
      <c r="K31" s="20"/>
    </row>
  </sheetData>
  <mergeCells count="5">
    <mergeCell ref="B6:C6"/>
    <mergeCell ref="D6:E6"/>
    <mergeCell ref="F6:G6"/>
    <mergeCell ref="H6:I6"/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neu</vt:lpstr>
      <vt:lpstr>alt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2017-10-05T20:09:13Z</dcterms:modified>
</cp:coreProperties>
</file>