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Shared drives\NOBES_GROUP\MSPM\[MATLAB_WORKING_FOLDER]\MSPM\"/>
    </mc:Choice>
  </mc:AlternateContent>
  <xr:revisionPtr revIDLastSave="0" documentId="13_ncr:1_{5D950E1E-8C0E-4EE3-B68F-B6C567924794}" xr6:coauthVersionLast="47" xr6:coauthVersionMax="47" xr10:uidLastSave="{00000000-0000-0000-0000-000000000000}"/>
  <bookViews>
    <workbookView xWindow="15480" yWindow="2040" windowWidth="11925" windowHeight="13065" firstSheet="4" activeTab="4" xr2:uid="{00000000-000D-0000-FFFF-FFFF00000000}"/>
  </bookViews>
  <sheets>
    <sheet name="Sheet1" sheetId="1" r:id="rId1"/>
    <sheet name="Sensitivity Study" sheetId="2" r:id="rId2"/>
    <sheet name="Rapheal Scaling" sheetId="3" r:id="rId3"/>
    <sheet name="Tube bundle scaling" sheetId="4" r:id="rId4"/>
    <sheet name="ThermoHeart dimensions" sheetId="5" r:id="rId5"/>
    <sheet name="Gas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5" l="1"/>
  <c r="O9" i="5"/>
  <c r="O8" i="5"/>
  <c r="P8" i="5" s="1"/>
  <c r="P9" i="5"/>
  <c r="AC11" i="5"/>
  <c r="P13" i="5"/>
  <c r="J7" i="5"/>
  <c r="K7" i="5" s="1"/>
  <c r="O5" i="5" s="1"/>
  <c r="P5" i="5" s="1"/>
  <c r="G19" i="5"/>
  <c r="C15" i="5"/>
  <c r="C14" i="5"/>
  <c r="C13" i="5"/>
  <c r="K6" i="5"/>
  <c r="AE11" i="5"/>
  <c r="AE10" i="5"/>
  <c r="AE9" i="5"/>
  <c r="AE8" i="5"/>
  <c r="AD11" i="5"/>
  <c r="AD10" i="5"/>
  <c r="AD9" i="5"/>
  <c r="AD8" i="5"/>
  <c r="AE7" i="5"/>
  <c r="AD7" i="5"/>
  <c r="AC10" i="5"/>
  <c r="AC9" i="5"/>
  <c r="AC8" i="5"/>
  <c r="AC7" i="5"/>
  <c r="AC6" i="5"/>
  <c r="AE6" i="5"/>
  <c r="AD6" i="5"/>
  <c r="O20" i="5"/>
  <c r="O21" i="5" s="1"/>
  <c r="O23" i="5"/>
  <c r="K4" i="5"/>
  <c r="L4" i="5" s="1"/>
  <c r="K5" i="5"/>
  <c r="K8" i="5"/>
  <c r="K12" i="5"/>
  <c r="J14" i="5" s="1"/>
  <c r="K3" i="5"/>
  <c r="L3" i="5" s="1"/>
  <c r="D33" i="5"/>
  <c r="C40" i="5" s="1"/>
  <c r="C41" i="5" s="1"/>
  <c r="C38" i="5"/>
  <c r="J11" i="5"/>
  <c r="K11" i="5" s="1"/>
  <c r="E4" i="6"/>
  <c r="D4" i="6"/>
  <c r="E6" i="6"/>
  <c r="D6" i="6"/>
  <c r="C11" i="6"/>
  <c r="D11" i="6"/>
  <c r="B11" i="6"/>
  <c r="C10" i="6"/>
  <c r="D10" i="6"/>
  <c r="B10" i="6"/>
  <c r="C17" i="6"/>
  <c r="D17" i="6"/>
  <c r="E17" i="6"/>
  <c r="B17" i="6"/>
  <c r="C14" i="6"/>
  <c r="C15" i="6" s="1"/>
  <c r="D14" i="6"/>
  <c r="D15" i="6" s="1"/>
  <c r="B14" i="6"/>
  <c r="C12" i="6"/>
  <c r="D12" i="6"/>
  <c r="B12" i="6"/>
  <c r="E7" i="6"/>
  <c r="E14" i="6" s="1"/>
  <c r="E15" i="6" s="1"/>
  <c r="C33" i="5"/>
  <c r="C34" i="5" s="1"/>
  <c r="C27" i="5"/>
  <c r="C26" i="5"/>
  <c r="C25" i="5"/>
  <c r="C4" i="5"/>
  <c r="C3" i="5"/>
  <c r="C9" i="5"/>
  <c r="C20" i="5"/>
  <c r="C17" i="5"/>
  <c r="D21" i="5"/>
  <c r="A35" i="4"/>
  <c r="C40" i="4"/>
  <c r="C42" i="4" s="1"/>
  <c r="C45" i="4" s="1"/>
  <c r="C49" i="4" s="1"/>
  <c r="C50" i="4" s="1"/>
  <c r="L13" i="4"/>
  <c r="M19" i="4"/>
  <c r="C48" i="4"/>
  <c r="B48" i="4"/>
  <c r="O23" i="4"/>
  <c r="H4" i="4"/>
  <c r="C8" i="4"/>
  <c r="D8" i="4" s="1"/>
  <c r="E8" i="4" s="1"/>
  <c r="F8" i="4" s="1"/>
  <c r="L8" i="4"/>
  <c r="N13" i="4" s="1"/>
  <c r="M4" i="4"/>
  <c r="I29" i="3"/>
  <c r="G29" i="3"/>
  <c r="F29" i="3"/>
  <c r="E29" i="3"/>
  <c r="C29" i="3"/>
  <c r="C27" i="3"/>
  <c r="I27" i="3" s="1"/>
  <c r="C28" i="3"/>
  <c r="I28" i="3" s="1"/>
  <c r="G28" i="3"/>
  <c r="G27" i="3"/>
  <c r="I26" i="3"/>
  <c r="G26" i="3"/>
  <c r="F26" i="3"/>
  <c r="C26" i="3"/>
  <c r="F25" i="3"/>
  <c r="G25" i="3"/>
  <c r="E28" i="3"/>
  <c r="E27" i="3"/>
  <c r="E26" i="3"/>
  <c r="I25" i="3"/>
  <c r="Q7" i="3"/>
  <c r="P7" i="3" s="1"/>
  <c r="R7" i="3"/>
  <c r="S7" i="3"/>
  <c r="R8" i="3"/>
  <c r="Q8" i="3" s="1"/>
  <c r="P8" i="3" s="1"/>
  <c r="S8" i="3"/>
  <c r="Q9" i="3"/>
  <c r="P9" i="3" s="1"/>
  <c r="R9" i="3"/>
  <c r="S9" i="3"/>
  <c r="R10" i="3"/>
  <c r="Q10" i="3" s="1"/>
  <c r="P10" i="3" s="1"/>
  <c r="S10" i="3"/>
  <c r="Q6" i="3"/>
  <c r="P6" i="3" s="1"/>
  <c r="R6" i="3"/>
  <c r="S6" i="3"/>
  <c r="P5" i="3"/>
  <c r="Q5" i="3"/>
  <c r="S5" i="3"/>
  <c r="S4" i="3"/>
  <c r="R5" i="3"/>
  <c r="R4" i="3"/>
  <c r="I7" i="3"/>
  <c r="G7" i="3"/>
  <c r="E7" i="3"/>
  <c r="C7" i="3"/>
  <c r="F7" i="3" s="1"/>
  <c r="G5" i="3"/>
  <c r="E5" i="3"/>
  <c r="C5" i="3"/>
  <c r="I5" i="3" s="1"/>
  <c r="C16" i="3"/>
  <c r="E16" i="3"/>
  <c r="G16" i="3"/>
  <c r="C17" i="3"/>
  <c r="E17" i="3"/>
  <c r="G17" i="3"/>
  <c r="C18" i="3"/>
  <c r="E18" i="3"/>
  <c r="G18" i="3"/>
  <c r="C19" i="3"/>
  <c r="F19" i="3" s="1"/>
  <c r="D19" i="3" s="1"/>
  <c r="H19" i="3" s="1"/>
  <c r="I19" i="3" s="1"/>
  <c r="E19" i="3"/>
  <c r="G19" i="3"/>
  <c r="C20" i="3"/>
  <c r="F20" i="3" s="1"/>
  <c r="D20" i="3" s="1"/>
  <c r="H20" i="3" s="1"/>
  <c r="I20" i="3" s="1"/>
  <c r="E20" i="3"/>
  <c r="G20" i="3"/>
  <c r="C11" i="3"/>
  <c r="E11" i="3"/>
  <c r="G11" i="3"/>
  <c r="C12" i="3"/>
  <c r="E12" i="3"/>
  <c r="G12" i="3"/>
  <c r="C13" i="3"/>
  <c r="E13" i="3"/>
  <c r="G13" i="3"/>
  <c r="C14" i="3"/>
  <c r="F14" i="3" s="1"/>
  <c r="D14" i="3" s="1"/>
  <c r="H14" i="3" s="1"/>
  <c r="I14" i="3" s="1"/>
  <c r="E14" i="3"/>
  <c r="G14" i="3"/>
  <c r="C15" i="3"/>
  <c r="F15" i="3" s="1"/>
  <c r="D15" i="3" s="1"/>
  <c r="H15" i="3" s="1"/>
  <c r="I15" i="3" s="1"/>
  <c r="E15" i="3"/>
  <c r="G15" i="3"/>
  <c r="C10" i="3"/>
  <c r="E10" i="3"/>
  <c r="G10" i="3"/>
  <c r="C8" i="3"/>
  <c r="E8" i="3"/>
  <c r="G8" i="3"/>
  <c r="C9" i="3"/>
  <c r="E9" i="3"/>
  <c r="F9" i="3"/>
  <c r="D9" i="3" s="1"/>
  <c r="H9" i="3" s="1"/>
  <c r="G9" i="3"/>
  <c r="I4" i="3"/>
  <c r="G6" i="3"/>
  <c r="E6" i="3"/>
  <c r="C6" i="3"/>
  <c r="I6" i="3" s="1"/>
  <c r="G4" i="3"/>
  <c r="F4" i="3"/>
  <c r="O3" i="5" l="1"/>
  <c r="P3" i="5" s="1"/>
  <c r="C39" i="5"/>
  <c r="AF7" i="5"/>
  <c r="AF8" i="5"/>
  <c r="AF9" i="5"/>
  <c r="O4" i="5"/>
  <c r="O6" i="5"/>
  <c r="U3" i="5" s="1"/>
  <c r="V3" i="5" s="1"/>
  <c r="AF10" i="5"/>
  <c r="AF11" i="5"/>
  <c r="AF6" i="5"/>
  <c r="D20" i="5"/>
  <c r="C35" i="5"/>
  <c r="E10" i="6"/>
  <c r="E18" i="6"/>
  <c r="E11" i="6"/>
  <c r="C18" i="6"/>
  <c r="E12" i="6"/>
  <c r="D18" i="6"/>
  <c r="B40" i="4"/>
  <c r="B42" i="4" s="1"/>
  <c r="B45" i="4" s="1"/>
  <c r="B49" i="4" s="1"/>
  <c r="B50" i="4" s="1"/>
  <c r="R8" i="4"/>
  <c r="N8" i="4" s="1"/>
  <c r="L11" i="4" s="1"/>
  <c r="M8" i="4"/>
  <c r="C11" i="4"/>
  <c r="E11" i="4" s="1"/>
  <c r="F27" i="3"/>
  <c r="F28" i="3"/>
  <c r="F5" i="3"/>
  <c r="F13" i="3"/>
  <c r="D13" i="3" s="1"/>
  <c r="H13" i="3" s="1"/>
  <c r="I13" i="3" s="1"/>
  <c r="F18" i="3"/>
  <c r="D18" i="3" s="1"/>
  <c r="H18" i="3" s="1"/>
  <c r="I18" i="3" s="1"/>
  <c r="F16" i="3"/>
  <c r="D16" i="3" s="1"/>
  <c r="H16" i="3" s="1"/>
  <c r="I16" i="3" s="1"/>
  <c r="F6" i="3"/>
  <c r="F12" i="3"/>
  <c r="D12" i="3" s="1"/>
  <c r="H12" i="3" s="1"/>
  <c r="I12" i="3" s="1"/>
  <c r="F10" i="3"/>
  <c r="D10" i="3" s="1"/>
  <c r="H10" i="3" s="1"/>
  <c r="I10" i="3" s="1"/>
  <c r="F17" i="3"/>
  <c r="D17" i="3" s="1"/>
  <c r="H17" i="3" s="1"/>
  <c r="I17" i="3" s="1"/>
  <c r="F11" i="3"/>
  <c r="D11" i="3" s="1"/>
  <c r="H11" i="3" s="1"/>
  <c r="I11" i="3" s="1"/>
  <c r="I9" i="3"/>
  <c r="F8" i="3"/>
  <c r="D8" i="3" s="1"/>
  <c r="H8" i="3" s="1"/>
  <c r="I8" i="3" s="1"/>
  <c r="O7" i="5" l="1"/>
  <c r="T4" i="5"/>
  <c r="P6" i="5"/>
  <c r="O24" i="5"/>
  <c r="O15" i="5" s="1"/>
  <c r="P4" i="5"/>
  <c r="K22" i="2"/>
  <c r="K21" i="2"/>
  <c r="I22" i="2"/>
  <c r="I21" i="2"/>
  <c r="G22" i="2"/>
  <c r="G21" i="2"/>
  <c r="E22" i="2"/>
  <c r="E21" i="2"/>
  <c r="C22" i="2"/>
  <c r="C21" i="2"/>
  <c r="K18" i="2"/>
  <c r="K17" i="2"/>
  <c r="K16" i="2"/>
  <c r="K15" i="2"/>
  <c r="K14" i="2"/>
  <c r="G18" i="2"/>
  <c r="G17" i="2"/>
  <c r="G16" i="2"/>
  <c r="G15" i="2"/>
  <c r="G14" i="2"/>
  <c r="E18" i="2"/>
  <c r="E17" i="2"/>
  <c r="E16" i="2"/>
  <c r="E15" i="2"/>
  <c r="E14" i="2"/>
  <c r="C18" i="2"/>
  <c r="C17" i="2"/>
  <c r="C16" i="2"/>
  <c r="C15" i="2"/>
  <c r="C14" i="2"/>
  <c r="K9" i="2"/>
  <c r="K10" i="2"/>
  <c r="K8" i="2"/>
  <c r="K6" i="2"/>
  <c r="K7" i="2"/>
  <c r="K5" i="2"/>
  <c r="I9" i="2"/>
  <c r="I10" i="2"/>
  <c r="I8" i="2"/>
  <c r="I6" i="2"/>
  <c r="I7" i="2"/>
  <c r="I5" i="2"/>
  <c r="G9" i="2"/>
  <c r="G10" i="2"/>
  <c r="G8" i="2"/>
  <c r="G6" i="2"/>
  <c r="G7" i="2"/>
  <c r="G5" i="2"/>
  <c r="E9" i="2"/>
  <c r="E10" i="2"/>
  <c r="E8" i="2"/>
  <c r="E6" i="2"/>
  <c r="E7" i="2"/>
  <c r="E5" i="2"/>
  <c r="C7" i="2"/>
  <c r="C6" i="2"/>
  <c r="C8" i="2"/>
  <c r="C10" i="2"/>
  <c r="C9" i="2"/>
  <c r="C5" i="2"/>
  <c r="O11" i="5" l="1"/>
  <c r="P11" i="5" s="1"/>
  <c r="P7" i="5"/>
  <c r="T7" i="5"/>
  <c r="U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Lottmann</author>
  </authors>
  <commentList>
    <comment ref="A12" authorId="0" shapeId="0" xr:uid="{6F9A21AE-2406-447F-BC1B-D93D8155843D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For some reason, the model predict lower indicated work when the HX sides are insulated. 
Materials with different conductivities wre tested: Insulator, carbon steel, aluminum, copper. Indicated work increases with conductivity of the walls. This is odd and should be further investigated.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Lottmann</author>
  </authors>
  <commentList>
    <comment ref="P2" authorId="0" shapeId="0" xr:uid="{BDE436A2-AF4A-40AE-95AB-A396C0C2F5C8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To scale HX cross section area with same power (3) as swept volume, must scale HX porosity with scaling factor.</t>
        </r>
      </text>
    </comment>
    <comment ref="S3" authorId="0" shapeId="0" xr:uid="{D692E80B-CD26-46D1-A36F-F9582E2F95C3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constant to keep HX surface area increasing equally to swept volume</t>
        </r>
      </text>
    </comment>
    <comment ref="D8" authorId="0" shapeId="0" xr:uid="{C86CD2DD-2931-4A83-A8C7-8A1455F6649E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First Pethukov equation (Cengel p496)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Lottmann</author>
  </authors>
  <commentList>
    <comment ref="A42" authorId="0" shapeId="0" xr:uid="{C3CFCAA4-C7E2-411C-9BC7-3C6EC824BA10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assumes dense  arrangement where tube spacing is equal in all directions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Lottmann</author>
  </authors>
  <commentList>
    <comment ref="N7" authorId="0" shapeId="0" xr:uid="{2E2BE013-0949-43DA-AAC8-A122CC106E59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From raphael: Assume PP swept volume is 10% of other volume</t>
        </r>
      </text>
    </comment>
    <comment ref="B40" authorId="0" shapeId="0" xr:uid="{7EA402ED-E9BB-4762-B64C-95D7DF6192F4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each tube takes area of a hexagon with inradius r = spacing/2 (see wikipedia: Circle packing &amp; Hexagon)</t>
        </r>
      </text>
    </comment>
    <comment ref="C41" authorId="0" shapeId="0" xr:uid="{595B7C0B-A9B2-42BE-9390-EBCE6D7EEB59}">
      <text>
        <r>
          <rPr>
            <b/>
            <sz val="9"/>
            <color indexed="81"/>
            <rFont val="Tahoma"/>
            <family val="2"/>
          </rPr>
          <t>Matthias Lottmann:</t>
        </r>
        <r>
          <rPr>
            <sz val="9"/>
            <color indexed="81"/>
            <rFont val="Tahoma"/>
            <family val="2"/>
          </rPr>
          <t xml:space="preserve">
should be close to available area (C30)</t>
        </r>
      </text>
    </comment>
  </commentList>
</comments>
</file>

<file path=xl/sharedStrings.xml><?xml version="1.0" encoding="utf-8"?>
<sst xmlns="http://schemas.openxmlformats.org/spreadsheetml/2006/main" count="347" uniqueCount="289">
  <si>
    <t>File Name</t>
  </si>
  <si>
    <t>Description</t>
  </si>
  <si>
    <t>Discretization report</t>
  </si>
  <si>
    <t>GUI image</t>
  </si>
  <si>
    <t>runtime</t>
  </si>
  <si>
    <t>Raphael_13Jan2022_1mmReg_DCH_off</t>
  </si>
  <si>
    <t>HX properties</t>
  </si>
  <si>
    <t>360-500s / 6-10 min</t>
  </si>
  <si>
    <t>3 HX fin nodes</t>
  </si>
  <si>
    <t>Raphael_15Feb2022_FinEnhSurf_HXinsulated</t>
  </si>
  <si>
    <t>Fin Enh Surf. Insulation bodies around sources with resistance equal to liquid convection</t>
  </si>
  <si>
    <t>5000s / 1h 20min</t>
  </si>
  <si>
    <t>Results summary</t>
  </si>
  <si>
    <t>Raphael_08Feb2022_1mmReg_turbsensors_hEnv_5_FinEnhSurf_HXwall</t>
  </si>
  <si>
    <t>Fin Enh Surf, source bodies not insulated</t>
  </si>
  <si>
    <t>Same as next column (right)</t>
  </si>
  <si>
    <t>960s / 16 min</t>
  </si>
  <si>
    <t>Fin Conn Channels. H(env) changed to 5, specific heat of oil now depends on temperature.</t>
  </si>
  <si>
    <t>HX discretization reworked. Fin Separation: 0.001, Fin Thickness: 0.00146, Roughness: 1e-6. Only main HX bodies active. Nu, h and resulting insulation wall thickness: Oil Nu 7, h 79.3, t 0.00126m. Water Nu 7, h 383.2, t 0.00026 m.</t>
  </si>
  <si>
    <t>No changes to HX code. Main + small HX bodies active.</t>
  </si>
  <si>
    <t>heater heat flow 200W overestimated</t>
  </si>
  <si>
    <t>Wind overestimated by 50%, increasing with speed. Heater heat flow 600-700W overestimated. Indicates too much thermal energy available.</t>
  </si>
  <si>
    <t>difference to previous: insulation not discretized (1 node)</t>
  </si>
  <si>
    <t>p200: A1,240rpm: 850s/12. iterations. A5/186rpm: 481s/6it (minimum). A16: 590s/6it. A17: 5034s/49it. A22: 5241s/47it. P350: A1-A7: around 4100s/60it. ON AVG 70-110s/it</t>
  </si>
  <si>
    <t>no notable difference to previous.</t>
  </si>
  <si>
    <t>Raphael_15Feb2022_FinEnhSurf_HXinsulated_SingleNode</t>
  </si>
  <si>
    <t>Raphael_15Feb2022_FinEnhSurf_HXinsulated_equalWallThickness</t>
  </si>
  <si>
    <t>As previous, but insulation bodies all have thickness equal to 1/3 of source channel width</t>
  </si>
  <si>
    <t>p200: A1: 1298s/21it. A4: 926s/13it (min). Up and down between 870s and 1114s until p350, A7. A8: 4258s/61it.The short duration runs all start close to the final power, the long ones start around Power=37W. --&gt; are these starting 'from scratch' instead of from a Snapshot?</t>
  </si>
  <si>
    <t>"</t>
  </si>
  <si>
    <t>as before, but p350/400/450</t>
  </si>
  <si>
    <t>p350: 370-1188s. P400: 2938s(A1), 408-1298s (rest). P450: 2086(A1), 361-1269s (rest)</t>
  </si>
  <si>
    <t>Raphael_2022-02-23_FinEnhSurf_Custom_h</t>
  </si>
  <si>
    <t>Custom heat transfer coefficient implemented.</t>
  </si>
  <si>
    <t xml:space="preserve">p200: about 4700s each. Aborted. When starting from old Snapshot (without h_custom), took long time. When starting from new Snapshot of same model (with h_custom), finished in 500s. </t>
  </si>
  <si>
    <t>Raphael_2022-02-23_FinEnhSurf_Custom_h_nosnaps</t>
  </si>
  <si>
    <t>Starting without Snapshots (from scratch)</t>
  </si>
  <si>
    <t>p200: A1 from scratch: 3200s, A2 from A1 snapshot: 2880s.</t>
  </si>
  <si>
    <t>Raphael_2022-02-18_FinEnhSurf_HXwall_nosnaps</t>
  </si>
  <si>
    <t>p200: A1 from scratch: 1220s, A2 from A1 snapshot: 975s</t>
  </si>
  <si>
    <t>Raphael_13Jan2022_1mmReg_DCH_off_turbsensors_hEnv_5_NewSensors_nosnaps</t>
  </si>
  <si>
    <t>Starting without Snapshots (from scratch). Old model with FinConn Channel HX.</t>
  </si>
  <si>
    <t>p200: A1 from scratch: 673s, A2 from A1 snapshot: 760s</t>
  </si>
  <si>
    <t>(Showing only p200 dataset). Captured trend of indicated work! But 50% smaller than experiment.</t>
  </si>
  <si>
    <t>Run for datasets:</t>
  </si>
  <si>
    <t>p200 standard (Reg96)</t>
  </si>
  <si>
    <t>Name</t>
  </si>
  <si>
    <t>W_ind</t>
  </si>
  <si>
    <t>Change</t>
  </si>
  <si>
    <t>ConductionOnOff</t>
  </si>
  <si>
    <t>Raphael_2022-05-26_FinEnhSurf_Custom_h</t>
  </si>
  <si>
    <t>Model Name</t>
  </si>
  <si>
    <t>Default</t>
  </si>
  <si>
    <t>noBaseConduction</t>
  </si>
  <si>
    <t>NoTopConduction</t>
  </si>
  <si>
    <t>NoHXSideConduction</t>
  </si>
  <si>
    <t>NoAxialHXConduction</t>
  </si>
  <si>
    <t>NoDPConduction</t>
  </si>
  <si>
    <t>PlusPPCCConduction</t>
  </si>
  <si>
    <t>p300, rpm150</t>
  </si>
  <si>
    <t>Conditions</t>
  </si>
  <si>
    <t>(Exp p350)</t>
  </si>
  <si>
    <t>Q_Source</t>
  </si>
  <si>
    <t>Q_Sink</t>
  </si>
  <si>
    <t>Q_Env</t>
  </si>
  <si>
    <t>Eff_ind</t>
  </si>
  <si>
    <t>HX Side Conducion</t>
  </si>
  <si>
    <t>DPNodes_2x5</t>
  </si>
  <si>
    <t>HX-Ins-as-Source-Sink</t>
  </si>
  <si>
    <t>HX-Ins-at-HX-Temps</t>
  </si>
  <si>
    <t>NoAppGap</t>
  </si>
  <si>
    <t>Tsource-Tsink</t>
  </si>
  <si>
    <t>Tsource 140 to 160</t>
  </si>
  <si>
    <t>Tsink 3 to 15</t>
  </si>
  <si>
    <t>1% per deg</t>
  </si>
  <si>
    <t>-1.3% per deg</t>
  </si>
  <si>
    <t>0.6% per deg</t>
  </si>
  <si>
    <t>1.5% per deg</t>
  </si>
  <si>
    <t>0.65% per deg</t>
  </si>
  <si>
    <t>0.46% per deg</t>
  </si>
  <si>
    <t>-1% per deg</t>
  </si>
  <si>
    <t>0.44% per deg</t>
  </si>
  <si>
    <t>1.42% per deg</t>
  </si>
  <si>
    <t>3.1% per deg</t>
  </si>
  <si>
    <t>Regenerator</t>
  </si>
  <si>
    <t>-4% from 0.05 to 0.2mm. 0.1 appears to be optimum</t>
  </si>
  <si>
    <t>7% (0.05 to 0.2mm). 30% per mm</t>
  </si>
  <si>
    <t>-13% (0.05 to 0.2mm). -90% per mm</t>
  </si>
  <si>
    <t>15% (0.05 to 0.2mm).</t>
  </si>
  <si>
    <t>Wire diam (0.05mm to 0.2mm. Default is 0.1mm)</t>
  </si>
  <si>
    <t>decreasing trend with incr. diameter, but not clear.</t>
  </si>
  <si>
    <t>no effect</t>
  </si>
  <si>
    <t>Porosity (default 96%)</t>
  </si>
  <si>
    <t>increase at lower por: negligible. Small (-7%) decrease at 98% vs 96%</t>
  </si>
  <si>
    <t>0.5% per %</t>
  </si>
  <si>
    <t>lower por: negligible. Small (-4%) decrease at 98% vs 96%</t>
  </si>
  <si>
    <t>h_source-sink</t>
  </si>
  <si>
    <t>0.25% per %change (linear)</t>
  </si>
  <si>
    <t>slight increase</t>
  </si>
  <si>
    <t>h_sink (-40% to +40%)</t>
  </si>
  <si>
    <t>0.33% per %change (450 to 600 absolute)</t>
  </si>
  <si>
    <t>-0.3% per %change</t>
  </si>
  <si>
    <t>0.25% per %change</t>
  </si>
  <si>
    <t>h_source (-40% to +40%)</t>
  </si>
  <si>
    <t>slight upwards trend, but not consistent</t>
  </si>
  <si>
    <t>0.9% per %change</t>
  </si>
  <si>
    <t>0.3% per %change (430 to 570 absolute)</t>
  </si>
  <si>
    <t>0.6% per %change (440 to 700 absolute)</t>
  </si>
  <si>
    <t>0.64% per %change (linear)</t>
  </si>
  <si>
    <t>Node Factor</t>
  </si>
  <si>
    <t>0.5 - 2</t>
  </si>
  <si>
    <t>possibly signs of convergence (slope decreases). NodeFactor is not prop to number of nodes. Should run larger range.</t>
  </si>
  <si>
    <t>2nd Run</t>
  </si>
  <si>
    <t>DPNodes_2x5_one_exp_body_Dpseal</t>
  </si>
  <si>
    <t>HXside_ins</t>
  </si>
  <si>
    <t>HXside_added_ins (body of insulation outside of HX wall)</t>
  </si>
  <si>
    <t>Raphael</t>
  </si>
  <si>
    <t>Dh (m)</t>
  </si>
  <si>
    <t>Re</t>
  </si>
  <si>
    <t>Pr</t>
  </si>
  <si>
    <t>rho</t>
  </si>
  <si>
    <t>rho(20C)</t>
  </si>
  <si>
    <t>nu (m2/s, 200C)</t>
  </si>
  <si>
    <t>k</t>
  </si>
  <si>
    <t>cp</t>
  </si>
  <si>
    <t>cp (150C)</t>
  </si>
  <si>
    <t>f</t>
  </si>
  <si>
    <t>U (m/s)</t>
  </si>
  <si>
    <t>Hot side. Assuming U remains same when upscaling by increasing flow rate.</t>
  </si>
  <si>
    <t>Nu</t>
  </si>
  <si>
    <t>Scaling factor</t>
  </si>
  <si>
    <t>h</t>
  </si>
  <si>
    <t xml:space="preserve">Fin dimensions. </t>
  </si>
  <si>
    <t>t_fin</t>
  </si>
  <si>
    <t>t_separ</t>
  </si>
  <si>
    <t>beta (porosity)</t>
  </si>
  <si>
    <t>Asurf/V</t>
  </si>
  <si>
    <t>With scaling factor greater than 2, geometry becomes unphysical</t>
  </si>
  <si>
    <t>Cold side</t>
  </si>
  <si>
    <t>mu (Pa s, 27C)</t>
  </si>
  <si>
    <t>rho(0C)</t>
  </si>
  <si>
    <t>L_HX</t>
  </si>
  <si>
    <t>d_i</t>
  </si>
  <si>
    <t>U</t>
  </si>
  <si>
    <t>V_dot</t>
  </si>
  <si>
    <t>N_tubes</t>
  </si>
  <si>
    <t>p_mean</t>
  </si>
  <si>
    <t>R(air)</t>
  </si>
  <si>
    <t>T(mean)</t>
  </si>
  <si>
    <t>dyn Visc.</t>
  </si>
  <si>
    <t>Nu (turb)</t>
  </si>
  <si>
    <t>friction factor</t>
  </si>
  <si>
    <t>dP (Pa)</t>
  </si>
  <si>
    <t>HX A_surf</t>
  </si>
  <si>
    <t>A_surf (tubes)</t>
  </si>
  <si>
    <t>L(tubes) for equal Asurf</t>
  </si>
  <si>
    <t>Aflow_cross(Raphael)</t>
  </si>
  <si>
    <t>Reg volume</t>
  </si>
  <si>
    <t>d_o</t>
  </si>
  <si>
    <t>HX area For tightest packing</t>
  </si>
  <si>
    <t>Reg length (equal volume)</t>
  </si>
  <si>
    <t>Tube bundle liquid heat transfer coefficient</t>
  </si>
  <si>
    <t>flow assumed to move in annular fashion like in annular HX</t>
  </si>
  <si>
    <t>A_cross_liquid</t>
  </si>
  <si>
    <t>HX radius (tightest packing)</t>
  </si>
  <si>
    <t>flow cross section area (without tubes) is assumed as full vertical cross section of HX. (diameter*height)</t>
  </si>
  <si>
    <t>U (no tubes)</t>
  </si>
  <si>
    <t>Heater</t>
  </si>
  <si>
    <t>Cooler</t>
  </si>
  <si>
    <t>flowrate</t>
  </si>
  <si>
    <t>U_max</t>
  </si>
  <si>
    <t>Tube spacing / D</t>
  </si>
  <si>
    <t>dyn.visc. (mu)</t>
  </si>
  <si>
    <t>kin.visc. (nu)</t>
  </si>
  <si>
    <t xml:space="preserve">cp </t>
  </si>
  <si>
    <t>Cengel p 448: for staggered, Re&lt;500</t>
  </si>
  <si>
    <t>A_surf (liquid)</t>
  </si>
  <si>
    <t>HX gas volume</t>
  </si>
  <si>
    <t>outer diam</t>
  </si>
  <si>
    <t>pixels</t>
  </si>
  <si>
    <t>HX outer diam</t>
  </si>
  <si>
    <t>PP outer diam</t>
  </si>
  <si>
    <t>Q_in</t>
  </si>
  <si>
    <t>Q_out</t>
  </si>
  <si>
    <t>Vdot_in</t>
  </si>
  <si>
    <t>Eff_therm</t>
  </si>
  <si>
    <t>outer height</t>
  </si>
  <si>
    <t>PP diam</t>
  </si>
  <si>
    <t>HX diam</t>
  </si>
  <si>
    <t>HX length</t>
  </si>
  <si>
    <t>Hand</t>
  </si>
  <si>
    <t>inches</t>
  </si>
  <si>
    <t>hand lengths</t>
  </si>
  <si>
    <t>bold = measured</t>
  </si>
  <si>
    <t>(PP stroke &gt; diam)</t>
  </si>
  <si>
    <t>Img1</t>
  </si>
  <si>
    <t>Img2</t>
  </si>
  <si>
    <t>Img3</t>
  </si>
  <si>
    <t>Img4</t>
  </si>
  <si>
    <t>more reliable</t>
  </si>
  <si>
    <t>PP stroke</t>
  </si>
  <si>
    <t>N HX tubes across</t>
  </si>
  <si>
    <t>HX tube spacing</t>
  </si>
  <si>
    <t xml:space="preserve"> Dtube</t>
  </si>
  <si>
    <t>HX diam (ass.)</t>
  </si>
  <si>
    <t>Tube OD (mm)</t>
  </si>
  <si>
    <t>Tube OD (in)</t>
  </si>
  <si>
    <t>Tube OD (16th in)</t>
  </si>
  <si>
    <t>1/16" OD tubes?</t>
  </si>
  <si>
    <t>R</t>
  </si>
  <si>
    <t>mu</t>
  </si>
  <si>
    <t>Air</t>
  </si>
  <si>
    <t>He</t>
  </si>
  <si>
    <t>H2</t>
  </si>
  <si>
    <t>N2</t>
  </si>
  <si>
    <t>Ind. Power prop factor (Rk/rho cp)</t>
  </si>
  <si>
    <t>Rel. to air</t>
  </si>
  <si>
    <t>Friction power loss prop factor (mu)</t>
  </si>
  <si>
    <t>Power ratio prop factor (Rk/rho cp mu)</t>
  </si>
  <si>
    <t>At 1 atm, 20-25C</t>
  </si>
  <si>
    <t>Ratio rho/mu (prop Re)</t>
  </si>
  <si>
    <t>Re is about 7-8 times smaller with He or H2 compared to Air</t>
  </si>
  <si>
    <t>Volumetric heat capacity (rho*cp)</t>
  </si>
  <si>
    <t>ratio</t>
  </si>
  <si>
    <t>img4</t>
  </si>
  <si>
    <t>Estimated dimensions</t>
  </si>
  <si>
    <t>D_HX</t>
  </si>
  <si>
    <t>D_PP</t>
  </si>
  <si>
    <t>S_PP</t>
  </si>
  <si>
    <t>N_tubes (known)</t>
  </si>
  <si>
    <t>HXs:</t>
  </si>
  <si>
    <t>D_o</t>
  </si>
  <si>
    <t>inch</t>
  </si>
  <si>
    <t>m</t>
  </si>
  <si>
    <t>D_i</t>
  </si>
  <si>
    <t>A_cross available</t>
  </si>
  <si>
    <t>A_cross tubes</t>
  </si>
  <si>
    <t>A taken per tube (hexagon)</t>
  </si>
  <si>
    <t>A taken (all tubes with hex spacing)</t>
  </si>
  <si>
    <t>Volumes (gas)</t>
  </si>
  <si>
    <t>m3</t>
  </si>
  <si>
    <t>Swept DP</t>
  </si>
  <si>
    <t>Total</t>
  </si>
  <si>
    <t>L</t>
  </si>
  <si>
    <t>Re_HX</t>
  </si>
  <si>
    <t>T</t>
  </si>
  <si>
    <t>100C</t>
  </si>
  <si>
    <t>Hz</t>
  </si>
  <si>
    <t>U_avg</t>
  </si>
  <si>
    <t>A_cross_gas</t>
  </si>
  <si>
    <t>m2</t>
  </si>
  <si>
    <t>m/s</t>
  </si>
  <si>
    <t>p</t>
  </si>
  <si>
    <t>Pa</t>
  </si>
  <si>
    <t>Swept PP</t>
  </si>
  <si>
    <t>in2</t>
  </si>
  <si>
    <t>Equivalent Raphael model dimensions</t>
  </si>
  <si>
    <t>D_DP</t>
  </si>
  <si>
    <t>S_DP</t>
  </si>
  <si>
    <t>r</t>
  </si>
  <si>
    <t>P_el</t>
  </si>
  <si>
    <t>N2 gas, 580psi, 550rpm, 20C cold side</t>
  </si>
  <si>
    <t>Theart 150C</t>
  </si>
  <si>
    <t>200C</t>
  </si>
  <si>
    <t>250C</t>
  </si>
  <si>
    <t>300C</t>
  </si>
  <si>
    <t>350C</t>
  </si>
  <si>
    <t>400C</t>
  </si>
  <si>
    <t>Model1 150C</t>
  </si>
  <si>
    <t>115-380 lpm</t>
  </si>
  <si>
    <t>Thermoheart &amp; MSPM comparison</t>
  </si>
  <si>
    <t>radius (m)</t>
  </si>
  <si>
    <t>Cooler length</t>
  </si>
  <si>
    <t>Heater length</t>
  </si>
  <si>
    <t>Img2 -Take2</t>
  </si>
  <si>
    <t>L_Heat</t>
  </si>
  <si>
    <t>L_Cool</t>
  </si>
  <si>
    <t>Reg length</t>
  </si>
  <si>
    <t>L_Reg</t>
  </si>
  <si>
    <t>Reg</t>
  </si>
  <si>
    <t>Porosity</t>
  </si>
  <si>
    <t>Reg/Heater:</t>
  </si>
  <si>
    <t>Heater = Cooler length</t>
  </si>
  <si>
    <t>Required phase angle</t>
  </si>
  <si>
    <t>20 or 340</t>
  </si>
  <si>
    <t>deg</t>
  </si>
  <si>
    <t>rad</t>
  </si>
  <si>
    <t>Dead vol HX</t>
  </si>
  <si>
    <t>Dead vol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</si>
</sst>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0.000"/>
    <numFmt numFmtId="167" formatCode="0.000000"/>
    <numFmt numFmtId="168" formatCode="0.00000"/>
    <numFmt numFmtId="169" formatCode="0.000E+00"/>
    <numFmt numFmtId="170" formatCode="0.0000"/>
    <numFmt numFmtId="179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10" fontId="3" fillId="0" borderId="0" xfId="1" applyNumberFormat="1" applyFont="1"/>
    <xf numFmtId="165" fontId="3" fillId="0" borderId="0" xfId="0" applyNumberFormat="1" applyFont="1"/>
    <xf numFmtId="165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64" fontId="3" fillId="0" borderId="1" xfId="1" applyNumberFormat="1" applyFont="1" applyBorder="1"/>
    <xf numFmtId="164" fontId="0" fillId="0" borderId="1" xfId="1" applyNumberFormat="1" applyFont="1" applyBorder="1"/>
    <xf numFmtId="0" fontId="3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49" fontId="0" fillId="0" borderId="0" xfId="0" applyNumberFormat="1"/>
    <xf numFmtId="49" fontId="0" fillId="0" borderId="1" xfId="1" applyNumberFormat="1" applyFont="1" applyBorder="1"/>
    <xf numFmtId="49" fontId="0" fillId="0" borderId="0" xfId="1" applyNumberFormat="1" applyFont="1"/>
    <xf numFmtId="49" fontId="0" fillId="0" borderId="1" xfId="0" applyNumberFormat="1" applyBorder="1"/>
    <xf numFmtId="49" fontId="2" fillId="0" borderId="0" xfId="0" applyNumberFormat="1" applyFont="1"/>
    <xf numFmtId="11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2" fillId="0" borderId="0" xfId="0" applyNumberFormat="1" applyFont="1" applyAlignment="1">
      <alignment horizontal="left"/>
    </xf>
    <xf numFmtId="167" fontId="0" fillId="0" borderId="0" xfId="0" applyNumberFormat="1"/>
    <xf numFmtId="168" fontId="0" fillId="0" borderId="0" xfId="0" applyNumberFormat="1"/>
    <xf numFmtId="165" fontId="7" fillId="0" borderId="0" xfId="0" applyNumberFormat="1" applyFont="1" applyAlignment="1">
      <alignment horizontal="left"/>
    </xf>
    <xf numFmtId="166" fontId="6" fillId="0" borderId="0" xfId="0" applyNumberFormat="1" applyFont="1"/>
    <xf numFmtId="1" fontId="0" fillId="0" borderId="0" xfId="0" applyNumberFormat="1"/>
    <xf numFmtId="169" fontId="0" fillId="0" borderId="0" xfId="0" applyNumberFormat="1"/>
    <xf numFmtId="165" fontId="2" fillId="0" borderId="0" xfId="0" applyNumberFormat="1" applyFont="1"/>
    <xf numFmtId="170" fontId="0" fillId="0" borderId="0" xfId="0" applyNumberFormat="1"/>
    <xf numFmtId="0" fontId="6" fillId="0" borderId="0" xfId="0" applyFont="1"/>
    <xf numFmtId="0" fontId="0" fillId="0" borderId="0" xfId="0" applyFont="1"/>
    <xf numFmtId="179" fontId="0" fillId="0" borderId="0" xfId="0" applyNumberFormat="1"/>
    <xf numFmtId="0" fontId="2" fillId="2" borderId="0" xfId="0" applyFont="1" applyFill="1"/>
    <xf numFmtId="170" fontId="0" fillId="2" borderId="0" xfId="0" applyNumberFormat="1" applyFill="1"/>
    <xf numFmtId="166" fontId="0" fillId="2" borderId="0" xfId="0" applyNumberFormat="1" applyFill="1"/>
    <xf numFmtId="1" fontId="2" fillId="0" borderId="0" xfId="0" applyNumberFormat="1" applyFont="1"/>
    <xf numFmtId="166" fontId="2" fillId="0" borderId="0" xfId="0" applyNumberFormat="1" applyFont="1"/>
    <xf numFmtId="2" fontId="0" fillId="2" borderId="0" xfId="0" applyNumberFormat="1" applyFill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5</xdr:row>
      <xdr:rowOff>28575</xdr:rowOff>
    </xdr:from>
    <xdr:to>
      <xdr:col>3</xdr:col>
      <xdr:colOff>3543300</xdr:colOff>
      <xdr:row>5</xdr:row>
      <xdr:rowOff>951865</xdr:rowOff>
    </xdr:to>
    <xdr:pic>
      <xdr:nvPicPr>
        <xdr:cNvPr id="2" name="Picture 1" descr="Text, letter&#10;&#10;Description automatically generated">
          <a:extLst>
            <a:ext uri="{FF2B5EF4-FFF2-40B4-BE49-F238E27FC236}">
              <a16:creationId xmlns:a16="http://schemas.microsoft.com/office/drawing/2014/main" id="{210BD1D7-0906-4E8A-9C02-A3CC8797F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981075"/>
          <a:ext cx="3514725" cy="9232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</xdr:row>
      <xdr:rowOff>28575</xdr:rowOff>
    </xdr:from>
    <xdr:to>
      <xdr:col>5</xdr:col>
      <xdr:colOff>3657600</xdr:colOff>
      <xdr:row>5</xdr:row>
      <xdr:rowOff>1015985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042DB-E594-4853-A9FD-29CD2E6B7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981075"/>
          <a:ext cx="3638550" cy="98469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76200</xdr:rowOff>
    </xdr:from>
    <xdr:to>
      <xdr:col>5</xdr:col>
      <xdr:colOff>2309131</xdr:colOff>
      <xdr:row>36</xdr:row>
      <xdr:rowOff>76938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BDCAFF-9763-4698-AFD4-A071E84AD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0732" y="4988379"/>
          <a:ext cx="2251982" cy="4763238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4</xdr:row>
      <xdr:rowOff>28575</xdr:rowOff>
    </xdr:from>
    <xdr:to>
      <xdr:col>5</xdr:col>
      <xdr:colOff>3756931</xdr:colOff>
      <xdr:row>4</xdr:row>
      <xdr:rowOff>975298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85889-AF18-4C55-9D7F-2A03A1714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2349" y="790575"/>
          <a:ext cx="3733801" cy="937199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5</xdr:row>
      <xdr:rowOff>9525</xdr:rowOff>
    </xdr:from>
    <xdr:to>
      <xdr:col>4</xdr:col>
      <xdr:colOff>3716138</xdr:colOff>
      <xdr:row>5</xdr:row>
      <xdr:rowOff>1013731</xdr:rowOff>
    </xdr:to>
    <xdr:pic>
      <xdr:nvPicPr>
        <xdr:cNvPr id="6" name="Picture 5" descr="Text&#10;&#10;Description automatically generated">
          <a:extLst>
            <a:ext uri="{FF2B5EF4-FFF2-40B4-BE49-F238E27FC236}">
              <a16:creationId xmlns:a16="http://schemas.microsoft.com/office/drawing/2014/main" id="{31086A6B-6A06-424C-BDED-C3A86FAC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2351" y="3000375"/>
          <a:ext cx="3679398" cy="10096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</xdr:row>
      <xdr:rowOff>0</xdr:rowOff>
    </xdr:from>
    <xdr:to>
      <xdr:col>4</xdr:col>
      <xdr:colOff>2082935</xdr:colOff>
      <xdr:row>36</xdr:row>
      <xdr:rowOff>102052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8DC8AF-33E2-4947-89AF-AB74EF3AD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47858" y="4912179"/>
          <a:ext cx="2088378" cy="4857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3887615</xdr:colOff>
      <xdr:row>4</xdr:row>
      <xdr:rowOff>975631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D5032A-B58E-4619-B1E0-52C8D61D1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42607" y="1143000"/>
          <a:ext cx="3887615" cy="966107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4</xdr:row>
      <xdr:rowOff>952500</xdr:rowOff>
    </xdr:from>
    <xdr:to>
      <xdr:col>3</xdr:col>
      <xdr:colOff>1586592</xdr:colOff>
      <xdr:row>4</xdr:row>
      <xdr:rowOff>2740455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583CF1-6578-4AD0-A1FD-788F9D6D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56214" y="2095500"/>
          <a:ext cx="1578429" cy="1787955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1632858</xdr:colOff>
      <xdr:row>4</xdr:row>
      <xdr:rowOff>966106</xdr:rowOff>
    </xdr:from>
    <xdr:to>
      <xdr:col>3</xdr:col>
      <xdr:colOff>3223532</xdr:colOff>
      <xdr:row>4</xdr:row>
      <xdr:rowOff>2094096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7D12C1-E891-4706-A117-D5B85EF83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75465" y="2109106"/>
          <a:ext cx="1592036" cy="1127990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8</xdr:row>
      <xdr:rowOff>258535</xdr:rowOff>
    </xdr:from>
    <xdr:to>
      <xdr:col>3</xdr:col>
      <xdr:colOff>3240821</xdr:colOff>
      <xdr:row>8</xdr:row>
      <xdr:rowOff>2538805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3DE2E8-FF78-4AF9-B7E2-74EA4E54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83428" y="5619749"/>
          <a:ext cx="3200000" cy="2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2122715</xdr:colOff>
      <xdr:row>8</xdr:row>
      <xdr:rowOff>40820</xdr:rowOff>
    </xdr:from>
    <xdr:to>
      <xdr:col>3</xdr:col>
      <xdr:colOff>2837091</xdr:colOff>
      <xdr:row>8</xdr:row>
      <xdr:rowOff>229321</xdr:rowOff>
    </xdr:to>
    <xdr:pic>
      <xdr:nvPicPr>
        <xdr:cNvPr id="13" name="Picture 12" descr="Chart, scatter chart&#10;&#10;Description automatically generated">
          <a:extLst>
            <a:ext uri="{FF2B5EF4-FFF2-40B4-BE49-F238E27FC236}">
              <a16:creationId xmlns:a16="http://schemas.microsoft.com/office/drawing/2014/main" id="{7CE043A6-2663-4B28-BDE3-65BF52D12F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19" b="85238"/>
        <a:stretch/>
      </xdr:blipFill>
      <xdr:spPr bwMode="auto">
        <a:xfrm>
          <a:off x="3347358" y="5402034"/>
          <a:ext cx="2925536" cy="18850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54429</xdr:colOff>
      <xdr:row>11</xdr:row>
      <xdr:rowOff>13607</xdr:rowOff>
    </xdr:from>
    <xdr:to>
      <xdr:col>3</xdr:col>
      <xdr:colOff>3673023</xdr:colOff>
      <xdr:row>25</xdr:row>
      <xdr:rowOff>102051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3168D1-30EB-4BB1-A83E-64365CEC1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7036" y="8599714"/>
          <a:ext cx="3613150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30656</xdr:colOff>
      <xdr:row>8</xdr:row>
      <xdr:rowOff>14167</xdr:rowOff>
    </xdr:from>
    <xdr:to>
      <xdr:col>5</xdr:col>
      <xdr:colOff>2768708</xdr:colOff>
      <xdr:row>8</xdr:row>
      <xdr:rowOff>1978639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7C890C3-F07D-47CE-9F8F-46B953FF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81362" y="7000234"/>
          <a:ext cx="2736692" cy="1964472"/>
        </a:xfrm>
        <a:prstGeom prst="rect">
          <a:avLst/>
        </a:prstGeom>
      </xdr:spPr>
    </xdr:pic>
    <xdr:clientData/>
  </xdr:twoCellAnchor>
  <xdr:twoCellAnchor editAs="oneCell">
    <xdr:from>
      <xdr:col>5</xdr:col>
      <xdr:colOff>118940</xdr:colOff>
      <xdr:row>8</xdr:row>
      <xdr:rowOff>2043288</xdr:rowOff>
    </xdr:from>
    <xdr:to>
      <xdr:col>5</xdr:col>
      <xdr:colOff>2708621</xdr:colOff>
      <xdr:row>8</xdr:row>
      <xdr:rowOff>3896526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7170C8-44BB-4EF4-9BE4-3F53B897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69646" y="9029355"/>
          <a:ext cx="2589681" cy="1853238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27214</xdr:rowOff>
    </xdr:from>
    <xdr:to>
      <xdr:col>8</xdr:col>
      <xdr:colOff>3227214</xdr:colOff>
      <xdr:row>8</xdr:row>
      <xdr:rowOff>2312928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0FD1F6-9538-481A-9AA4-8583B3BA4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996071" y="7007678"/>
          <a:ext cx="3200000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70757</xdr:colOff>
      <xdr:row>8</xdr:row>
      <xdr:rowOff>2370364</xdr:rowOff>
    </xdr:from>
    <xdr:to>
      <xdr:col>8</xdr:col>
      <xdr:colOff>3270757</xdr:colOff>
      <xdr:row>8</xdr:row>
      <xdr:rowOff>4656078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FF78AEA-7DE4-47C9-8E80-0FFDDEA8F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3039614" y="9350828"/>
          <a:ext cx="3200000" cy="2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38101</xdr:colOff>
      <xdr:row>26</xdr:row>
      <xdr:rowOff>19051</xdr:rowOff>
    </xdr:from>
    <xdr:to>
      <xdr:col>22</xdr:col>
      <xdr:colOff>342901</xdr:colOff>
      <xdr:row>36</xdr:row>
      <xdr:rowOff>88706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7F076-5FAD-4E8D-9E26-F1C83EF1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1" y="4591051"/>
          <a:ext cx="3352800" cy="1974655"/>
        </a:xfrm>
        <a:prstGeom prst="rect">
          <a:avLst/>
        </a:prstGeom>
      </xdr:spPr>
    </xdr:pic>
    <xdr:clientData/>
  </xdr:twoCellAnchor>
  <xdr:twoCellAnchor editAs="oneCell">
    <xdr:from>
      <xdr:col>22</xdr:col>
      <xdr:colOff>581025</xdr:colOff>
      <xdr:row>26</xdr:row>
      <xdr:rowOff>9524</xdr:rowOff>
    </xdr:from>
    <xdr:to>
      <xdr:col>25</xdr:col>
      <xdr:colOff>501499</xdr:colOff>
      <xdr:row>42</xdr:row>
      <xdr:rowOff>85023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106B2D-D79F-4FEA-A405-48470007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97275" y="4581524"/>
          <a:ext cx="1749274" cy="3504499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38101</xdr:colOff>
      <xdr:row>26</xdr:row>
      <xdr:rowOff>66226</xdr:rowOff>
    </xdr:from>
    <xdr:to>
      <xdr:col>15</xdr:col>
      <xdr:colOff>510429</xdr:colOff>
      <xdr:row>44</xdr:row>
      <xdr:rowOff>161117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929F7A-D662-4956-98D8-C8EB4AFC2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7951" y="4638226"/>
          <a:ext cx="2133600" cy="390489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26</xdr:row>
      <xdr:rowOff>19050</xdr:rowOff>
    </xdr:from>
    <xdr:to>
      <xdr:col>10</xdr:col>
      <xdr:colOff>552450</xdr:colOff>
      <xdr:row>44</xdr:row>
      <xdr:rowOff>82984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076EA1-C895-4AA4-96B3-9C59228A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591050"/>
          <a:ext cx="1933575" cy="3873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0"/>
  <sheetViews>
    <sheetView zoomScale="40" zoomScaleNormal="40" workbookViewId="0">
      <selection activeCell="I6" sqref="I6"/>
    </sheetView>
  </sheetViews>
  <sheetFormatPr defaultRowHeight="15" x14ac:dyDescent="0.25"/>
  <cols>
    <col min="1" max="2" width="9.140625" style="1"/>
    <col min="3" max="3" width="33.28515625" style="1" customWidth="1"/>
    <col min="4" max="18" width="58.5703125" style="1" customWidth="1"/>
    <col min="19" max="16384" width="9.140625" style="1"/>
  </cols>
  <sheetData>
    <row r="3" spans="3:13" s="2" customFormat="1" ht="30" x14ac:dyDescent="0.25">
      <c r="C3" s="2" t="s">
        <v>0</v>
      </c>
      <c r="D3" s="2" t="s">
        <v>5</v>
      </c>
      <c r="E3" s="2" t="s">
        <v>13</v>
      </c>
      <c r="F3" s="2" t="s">
        <v>9</v>
      </c>
      <c r="G3" s="2" t="s">
        <v>25</v>
      </c>
      <c r="H3" s="2" t="s">
        <v>26</v>
      </c>
      <c r="I3" s="2" t="s">
        <v>29</v>
      </c>
      <c r="J3" s="2" t="s">
        <v>32</v>
      </c>
      <c r="K3" s="2" t="s">
        <v>35</v>
      </c>
      <c r="L3" s="2" t="s">
        <v>38</v>
      </c>
      <c r="M3" s="2" t="s">
        <v>40</v>
      </c>
    </row>
    <row r="4" spans="3:13" ht="30" x14ac:dyDescent="0.25">
      <c r="C4" s="1" t="s">
        <v>1</v>
      </c>
      <c r="D4" s="1" t="s">
        <v>17</v>
      </c>
      <c r="E4" s="1" t="s">
        <v>14</v>
      </c>
      <c r="F4" s="1" t="s">
        <v>10</v>
      </c>
      <c r="H4" s="1" t="s">
        <v>27</v>
      </c>
      <c r="J4" s="1" t="s">
        <v>33</v>
      </c>
      <c r="K4" s="1" t="s">
        <v>36</v>
      </c>
      <c r="M4" s="1" t="s">
        <v>41</v>
      </c>
    </row>
    <row r="5" spans="3:13" ht="225.75" customHeight="1" x14ac:dyDescent="0.25">
      <c r="C5" s="1" t="s">
        <v>6</v>
      </c>
      <c r="D5" s="1" t="s">
        <v>19</v>
      </c>
      <c r="E5" s="1" t="s">
        <v>15</v>
      </c>
      <c r="F5" s="1" t="s">
        <v>18</v>
      </c>
    </row>
    <row r="6" spans="3:13" ht="90.75" customHeight="1" x14ac:dyDescent="0.25">
      <c r="C6" s="1" t="s">
        <v>2</v>
      </c>
      <c r="D6" s="1" t="s">
        <v>8</v>
      </c>
      <c r="E6" s="1" t="s">
        <v>8</v>
      </c>
      <c r="F6" s="1" t="s">
        <v>8</v>
      </c>
      <c r="G6" s="1" t="s">
        <v>22</v>
      </c>
    </row>
    <row r="7" spans="3:13" ht="142.5" customHeight="1" x14ac:dyDescent="0.25">
      <c r="C7" s="1" t="s">
        <v>4</v>
      </c>
      <c r="D7" s="1" t="s">
        <v>7</v>
      </c>
      <c r="E7" s="1" t="s">
        <v>16</v>
      </c>
      <c r="F7" s="1" t="s">
        <v>11</v>
      </c>
      <c r="G7" s="1" t="s">
        <v>23</v>
      </c>
      <c r="H7" s="1" t="s">
        <v>28</v>
      </c>
      <c r="I7" s="1" t="s">
        <v>31</v>
      </c>
      <c r="J7" s="1" t="s">
        <v>34</v>
      </c>
      <c r="K7" s="1" t="s">
        <v>37</v>
      </c>
      <c r="L7" s="1" t="s">
        <v>39</v>
      </c>
      <c r="M7" s="1" t="s">
        <v>42</v>
      </c>
    </row>
    <row r="8" spans="3:13" ht="142.5" customHeight="1" x14ac:dyDescent="0.25">
      <c r="C8" s="1" t="s">
        <v>44</v>
      </c>
      <c r="F8" s="1" t="s">
        <v>45</v>
      </c>
      <c r="I8" s="1" t="s">
        <v>30</v>
      </c>
    </row>
    <row r="9" spans="3:13" ht="409.6" customHeight="1" x14ac:dyDescent="0.25">
      <c r="C9" s="1" t="s">
        <v>12</v>
      </c>
      <c r="D9" s="1" t="s">
        <v>20</v>
      </c>
      <c r="E9" s="1" t="s">
        <v>21</v>
      </c>
      <c r="F9" s="1" t="s">
        <v>43</v>
      </c>
      <c r="G9" s="1" t="s">
        <v>24</v>
      </c>
    </row>
    <row r="10" spans="3:13" x14ac:dyDescent="0.25">
      <c r="C10" s="1" t="s">
        <v>3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84-0BB7-4F8C-AFD1-38AE1C66868D}">
  <dimension ref="A1:O37"/>
  <sheetViews>
    <sheetView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1" max="1" width="29.5703125" customWidth="1"/>
    <col min="2" max="2" width="11" style="10" customWidth="1"/>
    <col min="3" max="3" width="19.140625" style="12" customWidth="1"/>
    <col min="4" max="4" width="12.85546875" style="8" customWidth="1"/>
    <col min="5" max="5" width="9.140625" style="12" customWidth="1"/>
    <col min="6" max="6" width="10" style="8" customWidth="1"/>
    <col min="7" max="7" width="9.140625" style="12"/>
    <col min="8" max="8" width="9.140625" style="8"/>
    <col min="9" max="9" width="9.140625" style="12"/>
    <col min="10" max="10" width="9.140625" style="5"/>
    <col min="11" max="11" width="9.140625" style="14"/>
  </cols>
  <sheetData>
    <row r="1" spans="1:15" s="4" customFormat="1" ht="18.75" x14ac:dyDescent="0.3">
      <c r="A1" s="4" t="s">
        <v>46</v>
      </c>
      <c r="B1" s="9" t="s">
        <v>47</v>
      </c>
      <c r="C1" s="11" t="s">
        <v>48</v>
      </c>
      <c r="D1" s="7" t="s">
        <v>62</v>
      </c>
      <c r="E1" s="7" t="s">
        <v>48</v>
      </c>
      <c r="F1" s="7" t="s">
        <v>63</v>
      </c>
      <c r="G1" s="11" t="s">
        <v>48</v>
      </c>
      <c r="H1" s="7" t="s">
        <v>64</v>
      </c>
      <c r="I1" s="11" t="s">
        <v>48</v>
      </c>
      <c r="J1" s="6" t="s">
        <v>65</v>
      </c>
      <c r="K1" s="13" t="s">
        <v>48</v>
      </c>
      <c r="N1" s="4" t="s">
        <v>60</v>
      </c>
      <c r="O1" s="4" t="s">
        <v>51</v>
      </c>
    </row>
    <row r="2" spans="1:15" x14ac:dyDescent="0.25">
      <c r="A2" s="3" t="s">
        <v>49</v>
      </c>
      <c r="N2" t="s">
        <v>59</v>
      </c>
      <c r="O2" t="s">
        <v>50</v>
      </c>
    </row>
    <row r="3" spans="1:15" x14ac:dyDescent="0.25">
      <c r="A3" t="s">
        <v>61</v>
      </c>
      <c r="B3" s="10">
        <v>10.5</v>
      </c>
      <c r="D3" s="8">
        <v>850</v>
      </c>
      <c r="F3" s="8">
        <v>850</v>
      </c>
    </row>
    <row r="4" spans="1:15" x14ac:dyDescent="0.25">
      <c r="A4" t="s">
        <v>52</v>
      </c>
      <c r="B4" s="10">
        <v>5.0454561428608704</v>
      </c>
      <c r="D4" s="8">
        <v>619.49859648205404</v>
      </c>
      <c r="F4" s="8">
        <v>540.45332275574594</v>
      </c>
      <c r="H4" s="8">
        <v>53.916196981068303</v>
      </c>
      <c r="J4" s="5">
        <v>2.0361047512909999E-2</v>
      </c>
    </row>
    <row r="5" spans="1:15" x14ac:dyDescent="0.25">
      <c r="A5" t="s">
        <v>56</v>
      </c>
      <c r="B5" s="10">
        <v>5.1733322107088204</v>
      </c>
      <c r="C5" s="12">
        <f t="shared" ref="C5:C8" si="0">B5/B$4-1</f>
        <v>2.5344798215893638E-2</v>
      </c>
      <c r="D5" s="8">
        <v>610.36748074606101</v>
      </c>
      <c r="E5" s="12">
        <f t="shared" ref="E5:E8" si="1">D5/D$4-1</f>
        <v>-1.4739526106832046E-2</v>
      </c>
      <c r="F5" s="8">
        <v>528.62310238583996</v>
      </c>
      <c r="G5" s="12">
        <f t="shared" ref="G5:G8" si="2">F5/F$4-1</f>
        <v>-2.1889439608927308E-2</v>
      </c>
      <c r="H5" s="8">
        <v>53.032535428040397</v>
      </c>
      <c r="I5" s="12">
        <f t="shared" ref="I5:I8" si="3">H5/H$4-1</f>
        <v>-1.6389537884843541E-2</v>
      </c>
      <c r="J5" s="5">
        <v>2.1189416105464001E-2</v>
      </c>
      <c r="K5" s="15">
        <f t="shared" ref="K5:K8" si="4">J5/J$4-1</f>
        <v>4.0683987011413514E-2</v>
      </c>
    </row>
    <row r="6" spans="1:15" x14ac:dyDescent="0.25">
      <c r="A6" t="s">
        <v>55</v>
      </c>
      <c r="B6" s="10">
        <v>2.9196662804922502</v>
      </c>
      <c r="C6" s="12">
        <f>B6/B$4-1</f>
        <v>-0.42132758707585483</v>
      </c>
      <c r="D6" s="8">
        <v>416.59588290578802</v>
      </c>
      <c r="E6" s="12">
        <f>D6/D$4-1</f>
        <v>-0.32752731762184684</v>
      </c>
      <c r="F6" s="8">
        <v>412.70895274760898</v>
      </c>
      <c r="G6" s="12">
        <f>F6/F$4-1</f>
        <v>-0.236365222729642</v>
      </c>
      <c r="H6" s="8">
        <v>29.369774522735</v>
      </c>
      <c r="I6" s="12">
        <f>H6/H$4-1</f>
        <v>-0.45526991577229259</v>
      </c>
      <c r="J6" s="5">
        <v>1.7520974164022901E-2</v>
      </c>
      <c r="K6" s="15">
        <f>J6/J$4-1</f>
        <v>-0.13948562062370995</v>
      </c>
    </row>
    <row r="7" spans="1:15" x14ac:dyDescent="0.25">
      <c r="A7" t="s">
        <v>57</v>
      </c>
      <c r="B7" s="10">
        <v>5.0153897412447597</v>
      </c>
      <c r="C7" s="12">
        <f>B7/B$4-1</f>
        <v>-5.9591047399457642E-3</v>
      </c>
      <c r="D7" s="8">
        <v>620.63557330531603</v>
      </c>
      <c r="E7" s="12">
        <f>D7/D$4-1</f>
        <v>1.8353178356149691E-3</v>
      </c>
      <c r="F7" s="8">
        <v>541.09716065780106</v>
      </c>
      <c r="G7" s="12">
        <f>F7/F$4-1</f>
        <v>1.1912923372776607E-3</v>
      </c>
      <c r="H7" s="8">
        <v>53.7861312107242</v>
      </c>
      <c r="I7" s="12">
        <f>H7/H$4-1</f>
        <v>-2.4123691511435119E-3</v>
      </c>
      <c r="J7" s="5">
        <v>2.0202635640647899E-2</v>
      </c>
      <c r="K7" s="15">
        <f>J7/J$4-1</f>
        <v>-7.7801435393566321E-3</v>
      </c>
    </row>
    <row r="8" spans="1:15" x14ac:dyDescent="0.25">
      <c r="A8" t="s">
        <v>54</v>
      </c>
      <c r="B8" s="10">
        <v>5.23583257185002</v>
      </c>
      <c r="C8" s="12">
        <f t="shared" si="0"/>
        <v>3.7732253258909942E-2</v>
      </c>
      <c r="D8" s="8">
        <v>604.58649829428498</v>
      </c>
      <c r="E8" s="12">
        <f t="shared" si="1"/>
        <v>-2.4071238050336841E-2</v>
      </c>
      <c r="F8" s="8">
        <v>546.76622544595295</v>
      </c>
      <c r="G8" s="12">
        <f t="shared" si="2"/>
        <v>1.1680754700549967E-2</v>
      </c>
      <c r="H8" s="8">
        <v>22.095151555746401</v>
      </c>
      <c r="I8" s="12">
        <f t="shared" si="3"/>
        <v>-0.5901945464828553</v>
      </c>
      <c r="J8" s="5">
        <v>2.16504693150684E-2</v>
      </c>
      <c r="K8" s="15">
        <f t="shared" si="4"/>
        <v>6.3327871581304374E-2</v>
      </c>
    </row>
    <row r="9" spans="1:15" x14ac:dyDescent="0.25">
      <c r="A9" t="s">
        <v>53</v>
      </c>
      <c r="B9" s="10">
        <v>4.4782069574780401</v>
      </c>
      <c r="C9" s="12">
        <f>B9/B$4-1</f>
        <v>-0.11242773087730962</v>
      </c>
      <c r="D9" s="8">
        <v>607.62902133031105</v>
      </c>
      <c r="E9" s="12">
        <f>D9/D$4-1</f>
        <v>-1.9159971013892108E-2</v>
      </c>
      <c r="F9" s="8">
        <v>515.56548033532897</v>
      </c>
      <c r="G9" s="12">
        <f>F9/F$4-1</f>
        <v>-4.6049938769022747E-2</v>
      </c>
      <c r="H9" s="8">
        <v>59.259995825005198</v>
      </c>
      <c r="I9" s="12">
        <f>H9/H$4-1</f>
        <v>9.911305216525701E-2</v>
      </c>
      <c r="J9" s="5">
        <v>1.84249221164326E-2</v>
      </c>
      <c r="K9" s="15">
        <f>J9/J$4-1</f>
        <v>-9.5089675285605635E-2</v>
      </c>
    </row>
    <row r="10" spans="1:15" x14ac:dyDescent="0.25">
      <c r="A10" t="s">
        <v>58</v>
      </c>
      <c r="B10" s="10">
        <v>5.0253768822220799</v>
      </c>
      <c r="C10" s="12">
        <f>B10/B$4-1</f>
        <v>-3.9796720197839974E-3</v>
      </c>
      <c r="D10" s="8">
        <v>619.86354438425803</v>
      </c>
      <c r="E10" s="12">
        <f>D10/D$4-1</f>
        <v>5.8910206459938941E-4</v>
      </c>
      <c r="F10" s="8">
        <v>539.22948234151204</v>
      </c>
      <c r="G10" s="12">
        <f>F10/F$4-1</f>
        <v>-2.2644701451618454E-3</v>
      </c>
      <c r="H10" s="8">
        <v>57.120449392946</v>
      </c>
      <c r="I10" s="12">
        <f>H10/H$4-1</f>
        <v>5.9430237874581682E-2</v>
      </c>
      <c r="J10" s="5">
        <v>2.02680772556726E-2</v>
      </c>
      <c r="K10" s="15">
        <f>J10/J$4-1</f>
        <v>-4.5660841947572361E-3</v>
      </c>
    </row>
    <row r="12" spans="1:15" x14ac:dyDescent="0.25">
      <c r="A12" s="3" t="s">
        <v>66</v>
      </c>
    </row>
    <row r="13" spans="1:15" x14ac:dyDescent="0.25">
      <c r="A13" t="s">
        <v>52</v>
      </c>
      <c r="B13" s="10">
        <v>5.0454561428608704</v>
      </c>
      <c r="D13" s="8">
        <v>619.49859648205404</v>
      </c>
      <c r="F13" s="8">
        <v>540.45332275574594</v>
      </c>
      <c r="H13" s="8">
        <v>53.916196981068303</v>
      </c>
      <c r="J13" s="5">
        <v>2.0361047512909999E-2</v>
      </c>
    </row>
    <row r="14" spans="1:15" x14ac:dyDescent="0.25">
      <c r="A14" t="s">
        <v>67</v>
      </c>
      <c r="B14" s="10">
        <v>4.9118027103155102</v>
      </c>
      <c r="C14" s="12">
        <f t="shared" ref="C14:C18" si="5">B14/B$4-1</f>
        <v>-2.6489861126723802E-2</v>
      </c>
      <c r="D14" s="8">
        <v>575.114684674979</v>
      </c>
      <c r="E14" s="12">
        <f t="shared" ref="E14:E18" si="6">D14/D$4-1</f>
        <v>-7.1644894853867158E-2</v>
      </c>
      <c r="F14" s="8">
        <v>529.55397163642795</v>
      </c>
      <c r="G14" s="12">
        <f t="shared" ref="G14:G18" si="7">F14/F$4-1</f>
        <v>-2.0167053583356132E-2</v>
      </c>
      <c r="H14" s="8">
        <v>45.715144061816602</v>
      </c>
      <c r="J14" s="5">
        <v>2.1351405385742199E-2</v>
      </c>
      <c r="K14" s="15">
        <f t="shared" ref="K14:K18" si="8">J14/J$4-1</f>
        <v>4.8639829174027538E-2</v>
      </c>
    </row>
    <row r="15" spans="1:15" x14ac:dyDescent="0.25">
      <c r="A15" t="s">
        <v>55</v>
      </c>
      <c r="B15" s="10">
        <v>2.9196662804922502</v>
      </c>
      <c r="C15" s="12">
        <f t="shared" si="5"/>
        <v>-0.42132758707585483</v>
      </c>
      <c r="D15" s="8">
        <v>416.59588290578802</v>
      </c>
      <c r="E15" s="12">
        <f t="shared" si="6"/>
        <v>-0.32752731762184684</v>
      </c>
      <c r="F15" s="8">
        <v>412.70895274760898</v>
      </c>
      <c r="G15" s="12">
        <f t="shared" si="7"/>
        <v>-0.236365222729642</v>
      </c>
      <c r="H15" s="8">
        <v>29.369774522735</v>
      </c>
      <c r="J15" s="5">
        <v>1.7520974164022901E-2</v>
      </c>
      <c r="K15" s="15">
        <f t="shared" si="8"/>
        <v>-0.13948562062370995</v>
      </c>
    </row>
    <row r="16" spans="1:15" x14ac:dyDescent="0.25">
      <c r="A16" t="s">
        <v>68</v>
      </c>
      <c r="B16" s="10">
        <v>14.423273980652599</v>
      </c>
      <c r="C16" s="12">
        <f t="shared" si="5"/>
        <v>1.8586660100219059</v>
      </c>
      <c r="D16" s="8">
        <v>1330.1402231633599</v>
      </c>
      <c r="E16" s="12">
        <f t="shared" si="6"/>
        <v>1.1471238687493814</v>
      </c>
      <c r="F16" s="8">
        <v>1174.1445258266499</v>
      </c>
      <c r="G16" s="12">
        <f t="shared" si="7"/>
        <v>1.172517914849228</v>
      </c>
      <c r="H16" s="8">
        <v>105.212062547557</v>
      </c>
      <c r="J16" s="5">
        <v>2.7108559175721601E-2</v>
      </c>
      <c r="K16" s="15">
        <f t="shared" si="8"/>
        <v>0.33139314951911558</v>
      </c>
    </row>
    <row r="17" spans="1:11" x14ac:dyDescent="0.25">
      <c r="A17" t="s">
        <v>69</v>
      </c>
      <c r="B17" s="10">
        <v>2.4000506682201399</v>
      </c>
      <c r="C17" s="12">
        <f t="shared" si="5"/>
        <v>-0.52431443257789079</v>
      </c>
      <c r="D17" s="8">
        <v>377.07439060911901</v>
      </c>
      <c r="E17" s="12">
        <f t="shared" si="6"/>
        <v>-0.39132325278796287</v>
      </c>
      <c r="F17" s="8">
        <v>373.87940198222299</v>
      </c>
      <c r="G17" s="12">
        <f t="shared" si="7"/>
        <v>-0.30821148424839062</v>
      </c>
      <c r="H17" s="8">
        <v>20.354340800382701</v>
      </c>
      <c r="J17" s="5">
        <v>1.59123155005511E-2</v>
      </c>
      <c r="K17" s="15">
        <f t="shared" si="8"/>
        <v>-0.21849229562173378</v>
      </c>
    </row>
    <row r="18" spans="1:11" x14ac:dyDescent="0.25">
      <c r="A18" t="s">
        <v>70</v>
      </c>
      <c r="B18" s="10">
        <v>9.3662111663656393</v>
      </c>
      <c r="C18" s="12">
        <f t="shared" si="5"/>
        <v>0.85636558938649654</v>
      </c>
      <c r="D18" s="8">
        <v>583.95957826354402</v>
      </c>
      <c r="E18" s="12">
        <f t="shared" si="6"/>
        <v>-5.7367391016421077E-2</v>
      </c>
      <c r="F18" s="8">
        <v>512.51015097041602</v>
      </c>
      <c r="G18" s="12">
        <f t="shared" si="7"/>
        <v>-5.1703210265872768E-2</v>
      </c>
      <c r="H18" s="8">
        <v>42.613898531309502</v>
      </c>
      <c r="J18" s="5">
        <v>4.0097857433116002E-2</v>
      </c>
      <c r="K18" s="15">
        <f t="shared" si="8"/>
        <v>0.96934157772048835</v>
      </c>
    </row>
    <row r="19" spans="1:11" x14ac:dyDescent="0.25">
      <c r="A19" s="3" t="s">
        <v>112</v>
      </c>
      <c r="K19" s="15"/>
    </row>
    <row r="20" spans="1:11" x14ac:dyDescent="0.25">
      <c r="A20" t="s">
        <v>113</v>
      </c>
      <c r="B20" s="10">
        <v>16.985085596418902</v>
      </c>
      <c r="D20" s="8">
        <v>933.08421963151795</v>
      </c>
      <c r="F20" s="8">
        <v>804.49082430249598</v>
      </c>
      <c r="H20" s="8">
        <v>81.602209781780203</v>
      </c>
      <c r="J20" s="5">
        <v>4.5507911394982198E-2</v>
      </c>
      <c r="K20" s="15"/>
    </row>
    <row r="21" spans="1:11" x14ac:dyDescent="0.25">
      <c r="A21" t="s">
        <v>115</v>
      </c>
      <c r="B21" s="10">
        <v>17.149749655459701</v>
      </c>
      <c r="C21" s="12">
        <f>B21/B$20-1</f>
        <v>9.6946263889017281E-3</v>
      </c>
      <c r="D21" s="8">
        <v>906.44749305559105</v>
      </c>
      <c r="E21" s="12">
        <f t="shared" ref="E21:E22" si="9">D21/D$20-1</f>
        <v>-2.8546969304063419E-2</v>
      </c>
      <c r="F21" s="8">
        <v>804.62229900137902</v>
      </c>
      <c r="G21" s="12">
        <f t="shared" ref="G21:G22" si="10">F21/F$20-1</f>
        <v>1.6342597691787475E-4</v>
      </c>
      <c r="H21" s="8">
        <v>49.614165642400003</v>
      </c>
      <c r="I21" s="12">
        <f t="shared" ref="I21:I22" si="11">H21/H$20-1</f>
        <v>-0.39199972923432225</v>
      </c>
      <c r="J21" s="5">
        <v>4.72993465888705E-2</v>
      </c>
      <c r="K21" s="12">
        <f t="shared" ref="K21:K22" si="12">J21/J$20-1</f>
        <v>3.9365357340610307E-2</v>
      </c>
    </row>
    <row r="22" spans="1:11" x14ac:dyDescent="0.25">
      <c r="A22" t="s">
        <v>114</v>
      </c>
      <c r="B22" s="10">
        <v>12.975201139690199</v>
      </c>
      <c r="C22" s="12">
        <f>B22/B$20-1</f>
        <v>-0.23608267582555709</v>
      </c>
      <c r="D22" s="8">
        <v>717.46168192716004</v>
      </c>
      <c r="E22" s="12">
        <f t="shared" si="9"/>
        <v>-0.23108582608921291</v>
      </c>
      <c r="F22" s="8">
        <v>703.70969979579002</v>
      </c>
      <c r="G22" s="12">
        <f t="shared" si="10"/>
        <v>-0.12527318082724503</v>
      </c>
      <c r="H22" s="8">
        <v>45.219458422028602</v>
      </c>
      <c r="I22" s="12">
        <f t="shared" si="11"/>
        <v>-0.44585497693072262</v>
      </c>
      <c r="J22" s="5">
        <v>4.5212174623868902E-2</v>
      </c>
      <c r="K22" s="12">
        <f t="shared" si="12"/>
        <v>-6.4985793029803673E-3</v>
      </c>
    </row>
    <row r="24" spans="1:11" x14ac:dyDescent="0.25">
      <c r="A24" s="3" t="s">
        <v>71</v>
      </c>
    </row>
    <row r="25" spans="1:11" s="16" customFormat="1" x14ac:dyDescent="0.25">
      <c r="A25" s="16" t="s">
        <v>72</v>
      </c>
      <c r="B25" s="16" t="s">
        <v>74</v>
      </c>
      <c r="C25" s="17"/>
      <c r="D25" s="16" t="s">
        <v>76</v>
      </c>
      <c r="E25" s="17"/>
      <c r="F25" s="18" t="s">
        <v>78</v>
      </c>
      <c r="G25" s="17"/>
      <c r="H25" s="16" t="s">
        <v>77</v>
      </c>
      <c r="I25" s="17"/>
      <c r="J25" s="18" t="s">
        <v>79</v>
      </c>
      <c r="K25" s="19"/>
    </row>
    <row r="26" spans="1:11" s="16" customFormat="1" x14ac:dyDescent="0.25">
      <c r="A26" s="16" t="s">
        <v>73</v>
      </c>
      <c r="B26" s="16" t="s">
        <v>75</v>
      </c>
      <c r="C26" s="17"/>
      <c r="D26" s="16" t="s">
        <v>81</v>
      </c>
      <c r="E26" s="17"/>
      <c r="F26" s="16" t="s">
        <v>82</v>
      </c>
      <c r="G26" s="17"/>
      <c r="H26" s="16" t="s">
        <v>83</v>
      </c>
      <c r="I26" s="17"/>
      <c r="J26" s="18" t="s">
        <v>80</v>
      </c>
      <c r="K26" s="19"/>
    </row>
    <row r="28" spans="1:11" s="16" customFormat="1" x14ac:dyDescent="0.25">
      <c r="A28" s="20" t="s">
        <v>96</v>
      </c>
      <c r="C28" s="17"/>
      <c r="E28" s="17"/>
      <c r="G28" s="17"/>
      <c r="I28" s="17"/>
      <c r="J28" s="18"/>
      <c r="K28" s="19"/>
    </row>
    <row r="29" spans="1:11" s="16" customFormat="1" x14ac:dyDescent="0.25">
      <c r="A29" s="16" t="s">
        <v>99</v>
      </c>
      <c r="B29" s="16" t="s">
        <v>97</v>
      </c>
      <c r="C29" s="17"/>
      <c r="D29" s="16" t="s">
        <v>98</v>
      </c>
      <c r="E29" s="17"/>
      <c r="F29" s="16" t="s">
        <v>100</v>
      </c>
      <c r="G29" s="17"/>
      <c r="H29" s="16" t="s">
        <v>101</v>
      </c>
      <c r="I29" s="17"/>
      <c r="J29" s="16" t="s">
        <v>102</v>
      </c>
      <c r="K29" s="19"/>
    </row>
    <row r="30" spans="1:11" x14ac:dyDescent="0.25">
      <c r="A30" s="16" t="s">
        <v>103</v>
      </c>
      <c r="B30" s="16" t="s">
        <v>108</v>
      </c>
      <c r="D30" s="16" t="s">
        <v>107</v>
      </c>
      <c r="F30" s="16" t="s">
        <v>106</v>
      </c>
      <c r="H30" s="16" t="s">
        <v>105</v>
      </c>
      <c r="J30" s="5" t="s">
        <v>104</v>
      </c>
    </row>
    <row r="32" spans="1:11" s="16" customFormat="1" x14ac:dyDescent="0.25">
      <c r="A32" s="20" t="s">
        <v>84</v>
      </c>
      <c r="C32" s="17"/>
      <c r="E32" s="17"/>
      <c r="G32" s="17"/>
      <c r="I32" s="17"/>
      <c r="J32" s="18"/>
      <c r="K32" s="19"/>
    </row>
    <row r="33" spans="1:11" s="16" customFormat="1" x14ac:dyDescent="0.25">
      <c r="A33" s="16" t="s">
        <v>89</v>
      </c>
      <c r="B33" s="16" t="s">
        <v>85</v>
      </c>
      <c r="C33" s="17"/>
      <c r="D33" s="16" t="s">
        <v>86</v>
      </c>
      <c r="E33" s="17"/>
      <c r="F33" s="16" t="s">
        <v>88</v>
      </c>
      <c r="G33" s="17"/>
      <c r="H33" s="16" t="s">
        <v>90</v>
      </c>
      <c r="I33" s="17"/>
      <c r="J33" s="18" t="s">
        <v>87</v>
      </c>
      <c r="K33" s="19"/>
    </row>
    <row r="34" spans="1:11" x14ac:dyDescent="0.25">
      <c r="A34" s="16" t="s">
        <v>92</v>
      </c>
      <c r="B34" s="5" t="s">
        <v>95</v>
      </c>
      <c r="D34" s="8" t="s">
        <v>94</v>
      </c>
      <c r="H34" s="8" t="s">
        <v>91</v>
      </c>
      <c r="J34" s="5" t="s">
        <v>93</v>
      </c>
    </row>
    <row r="36" spans="1:11" x14ac:dyDescent="0.25">
      <c r="A36" s="3" t="s">
        <v>109</v>
      </c>
    </row>
    <row r="37" spans="1:11" x14ac:dyDescent="0.25">
      <c r="A37" t="s">
        <v>110</v>
      </c>
      <c r="B37" s="10" t="s">
        <v>111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1027-A15E-4D2B-94B2-EB94212B3DB6}">
  <dimension ref="B2:T29"/>
  <sheetViews>
    <sheetView topLeftCell="I1" workbookViewId="0">
      <selection activeCell="N25" sqref="N25"/>
    </sheetView>
  </sheetViews>
  <sheetFormatPr defaultRowHeight="15" x14ac:dyDescent="0.25"/>
  <cols>
    <col min="2" max="2" width="13.85546875" style="3" customWidth="1"/>
    <col min="8" max="8" width="11.140625" style="22" customWidth="1"/>
    <col min="9" max="9" width="11.140625" style="3" customWidth="1"/>
    <col min="10" max="10" width="11.140625" customWidth="1"/>
    <col min="12" max="12" width="15.140625" customWidth="1"/>
    <col min="16" max="16" width="10.28515625" style="22" bestFit="1" customWidth="1"/>
    <col min="17" max="17" width="9.5703125" style="22" bestFit="1" customWidth="1"/>
    <col min="18" max="18" width="14.28515625" customWidth="1"/>
  </cols>
  <sheetData>
    <row r="2" spans="2:20" x14ac:dyDescent="0.25">
      <c r="B2" t="s">
        <v>128</v>
      </c>
      <c r="P2" s="22" t="s">
        <v>132</v>
      </c>
    </row>
    <row r="3" spans="2:20" x14ac:dyDescent="0.25">
      <c r="B3" s="3" t="s">
        <v>130</v>
      </c>
      <c r="C3" t="s">
        <v>117</v>
      </c>
      <c r="D3" t="s">
        <v>126</v>
      </c>
      <c r="E3" t="s">
        <v>127</v>
      </c>
      <c r="F3" t="s">
        <v>118</v>
      </c>
      <c r="G3" t="s">
        <v>119</v>
      </c>
      <c r="H3" s="22" t="s">
        <v>129</v>
      </c>
      <c r="I3" s="3" t="s">
        <v>131</v>
      </c>
      <c r="K3" t="s">
        <v>121</v>
      </c>
      <c r="L3" t="s">
        <v>122</v>
      </c>
      <c r="M3" t="s">
        <v>123</v>
      </c>
      <c r="N3" t="s">
        <v>125</v>
      </c>
      <c r="P3" s="22" t="s">
        <v>133</v>
      </c>
      <c r="Q3" s="22" t="s">
        <v>134</v>
      </c>
      <c r="R3" t="s">
        <v>135</v>
      </c>
      <c r="S3" t="s">
        <v>136</v>
      </c>
    </row>
    <row r="4" spans="2:20" x14ac:dyDescent="0.25">
      <c r="B4" s="3">
        <v>1</v>
      </c>
      <c r="C4" s="21">
        <v>8.8400000000000006E-3</v>
      </c>
      <c r="D4" s="21"/>
      <c r="E4" s="21">
        <v>0.21870000000000001</v>
      </c>
      <c r="F4" s="21">
        <f>C4*E4/L4</f>
        <v>966.65400000000011</v>
      </c>
      <c r="G4" s="10">
        <f>L4*K4*N4/M4</f>
        <v>34.111199999999997</v>
      </c>
      <c r="H4" s="22">
        <v>7</v>
      </c>
      <c r="I4" s="24">
        <f>H4*M4/C4</f>
        <v>79.185520361990953</v>
      </c>
      <c r="K4">
        <v>932</v>
      </c>
      <c r="L4" s="21">
        <v>1.9999999999999999E-6</v>
      </c>
      <c r="M4">
        <v>0.1</v>
      </c>
      <c r="N4">
        <v>1830</v>
      </c>
      <c r="P4" s="26">
        <v>1.4599999999999999E-3</v>
      </c>
      <c r="Q4" s="26">
        <v>1E-3</v>
      </c>
      <c r="R4" s="23">
        <f>Q4/(P4+Q4)</f>
        <v>0.4065040650406504</v>
      </c>
      <c r="S4" s="8">
        <f>2/(P4+Q4)</f>
        <v>813.00813008130081</v>
      </c>
    </row>
    <row r="5" spans="2:20" x14ac:dyDescent="0.25">
      <c r="B5" s="3">
        <v>1.5</v>
      </c>
      <c r="C5" s="21">
        <f>B5*$C$4</f>
        <v>1.3260000000000001E-2</v>
      </c>
      <c r="E5" s="21">
        <f>$E$4</f>
        <v>0.21870000000000001</v>
      </c>
      <c r="F5" s="21">
        <f>C5*E5/L5</f>
        <v>1449.9810000000002</v>
      </c>
      <c r="G5" s="10">
        <f>L5*K5*N5/M5</f>
        <v>34.111199999999997</v>
      </c>
      <c r="H5" s="22">
        <v>7</v>
      </c>
      <c r="I5" s="24">
        <f>H5*M5/C5</f>
        <v>52.790346907993971</v>
      </c>
      <c r="K5">
        <v>932</v>
      </c>
      <c r="L5" s="21">
        <v>1.9999999999999999E-6</v>
      </c>
      <c r="M5">
        <v>0.1</v>
      </c>
      <c r="N5">
        <v>1830</v>
      </c>
      <c r="P5" s="26">
        <f>($P$4+$Q$4)-Q5</f>
        <v>9.5999999999999992E-4</v>
      </c>
      <c r="Q5" s="26">
        <f>2*R5/S5</f>
        <v>1.5E-3</v>
      </c>
      <c r="R5" s="23">
        <f>$R$4*B5</f>
        <v>0.6097560975609756</v>
      </c>
      <c r="S5" s="8">
        <f>$S$4</f>
        <v>813.00813008130081</v>
      </c>
    </row>
    <row r="6" spans="2:20" x14ac:dyDescent="0.25">
      <c r="B6" s="3">
        <v>2</v>
      </c>
      <c r="C6" s="21">
        <f>B6*$C$4</f>
        <v>1.7680000000000001E-2</v>
      </c>
      <c r="E6" s="21">
        <f>$E$4</f>
        <v>0.21870000000000001</v>
      </c>
      <c r="F6" s="21">
        <f>C6*E6/L6</f>
        <v>1933.3080000000002</v>
      </c>
      <c r="G6" s="10">
        <f>L6*K6*N6/M6</f>
        <v>34.111199999999997</v>
      </c>
      <c r="H6" s="22">
        <v>7</v>
      </c>
      <c r="I6" s="24">
        <f>H6*M6/C6</f>
        <v>39.592760180995477</v>
      </c>
      <c r="K6">
        <v>932</v>
      </c>
      <c r="L6" s="21">
        <v>1.9999999999999999E-6</v>
      </c>
      <c r="M6">
        <v>0.1</v>
      </c>
      <c r="N6">
        <v>1830</v>
      </c>
      <c r="P6" s="26">
        <f>($P$4+$Q$4)-Q6</f>
        <v>4.5999999999999991E-4</v>
      </c>
      <c r="Q6" s="26">
        <f>2*R6/S6</f>
        <v>2E-3</v>
      </c>
      <c r="R6" s="23">
        <f>$R$4*B6</f>
        <v>0.81300813008130079</v>
      </c>
      <c r="S6" s="8">
        <f>$S$4</f>
        <v>813.00813008130081</v>
      </c>
    </row>
    <row r="7" spans="2:20" x14ac:dyDescent="0.25">
      <c r="B7" s="3">
        <v>2.5</v>
      </c>
      <c r="C7" s="21">
        <f>B7*$C$4</f>
        <v>2.2100000000000002E-2</v>
      </c>
      <c r="E7" s="21">
        <f>$E$4</f>
        <v>0.21870000000000001</v>
      </c>
      <c r="F7" s="21">
        <f>C7*E7/L7</f>
        <v>2416.6350000000002</v>
      </c>
      <c r="G7" s="10">
        <f>L7*K7*N7/M7</f>
        <v>34.111199999999997</v>
      </c>
      <c r="H7" s="22">
        <v>7</v>
      </c>
      <c r="I7" s="24">
        <f>H7*M7/C7</f>
        <v>31.674208144796381</v>
      </c>
      <c r="K7">
        <v>932</v>
      </c>
      <c r="L7" s="21">
        <v>1.9999999999999999E-6</v>
      </c>
      <c r="M7">
        <v>0.1</v>
      </c>
      <c r="N7">
        <v>1830</v>
      </c>
      <c r="P7" s="26">
        <f t="shared" ref="P7:P10" si="0">($P$4+$Q$4)-Q7</f>
        <v>-3.9999999999999671E-5</v>
      </c>
      <c r="Q7" s="26">
        <f t="shared" ref="Q7:Q10" si="1">2*R7/S7</f>
        <v>2.4999999999999996E-3</v>
      </c>
      <c r="R7" s="28">
        <f t="shared" ref="R7:R10" si="2">$R$4*B7</f>
        <v>1.0162601626016259</v>
      </c>
      <c r="S7" s="8">
        <f t="shared" ref="S7:S10" si="3">$S$4</f>
        <v>813.00813008130081</v>
      </c>
      <c r="T7" t="s">
        <v>137</v>
      </c>
    </row>
    <row r="8" spans="2:20" x14ac:dyDescent="0.25">
      <c r="B8" s="3">
        <v>3</v>
      </c>
      <c r="C8" s="21">
        <f t="shared" ref="C8:C20" si="4">B8*$C$4</f>
        <v>2.6520000000000002E-2</v>
      </c>
      <c r="D8" s="21">
        <f>(0.79*LN(F8)-1.64)^(-2)</f>
        <v>4.6084692012932194E-2</v>
      </c>
      <c r="E8" s="21">
        <f t="shared" ref="E8:E20" si="5">$E$4</f>
        <v>0.21870000000000001</v>
      </c>
      <c r="F8" s="21">
        <f t="shared" ref="F8:F9" si="6">C8*E8/L8</f>
        <v>2899.9620000000004</v>
      </c>
      <c r="G8" s="10">
        <f t="shared" ref="G8:G9" si="7">L8*K8*N8/M8</f>
        <v>34.111199999999997</v>
      </c>
      <c r="H8" s="8">
        <f>((D8/8)*(F8-1000)*G8)/(1+12.7*(D8/8)^0.5*(G8^(2/3)-1))</f>
        <v>36.694167212210139</v>
      </c>
      <c r="I8" s="24">
        <f t="shared" ref="I8:I9" si="8">H8*M8/C8</f>
        <v>138.36412975946507</v>
      </c>
      <c r="J8" s="21"/>
      <c r="K8">
        <v>932</v>
      </c>
      <c r="L8" s="21">
        <v>1.9999999999999999E-6</v>
      </c>
      <c r="M8">
        <v>0.1</v>
      </c>
      <c r="N8">
        <v>1830</v>
      </c>
      <c r="P8" s="26">
        <f t="shared" si="0"/>
        <v>-5.4000000000000012E-4</v>
      </c>
      <c r="Q8" s="26">
        <f t="shared" si="1"/>
        <v>3.0000000000000001E-3</v>
      </c>
      <c r="R8" s="28">
        <f t="shared" si="2"/>
        <v>1.2195121951219512</v>
      </c>
      <c r="S8" s="8">
        <f t="shared" si="3"/>
        <v>813.00813008130081</v>
      </c>
    </row>
    <row r="9" spans="2:20" x14ac:dyDescent="0.25">
      <c r="B9" s="3">
        <v>4</v>
      </c>
      <c r="C9" s="21">
        <f t="shared" si="4"/>
        <v>3.5360000000000003E-2</v>
      </c>
      <c r="D9" s="21">
        <f>(0.79*LN(F9)-1.64)^(-2)</f>
        <v>4.1896793339550688E-2</v>
      </c>
      <c r="E9" s="21">
        <f t="shared" si="5"/>
        <v>0.21870000000000001</v>
      </c>
      <c r="F9" s="21">
        <f t="shared" si="6"/>
        <v>3866.6160000000004</v>
      </c>
      <c r="G9" s="10">
        <f t="shared" si="7"/>
        <v>34.111199999999997</v>
      </c>
      <c r="H9" s="8">
        <f>((D9/8)*(F9-1000)*G9)/(1+12.7*(D9/8)^0.5*(G9^(2/3)-1))</f>
        <v>52.535895260229758</v>
      </c>
      <c r="I9" s="24">
        <f t="shared" si="8"/>
        <v>148.57436442372668</v>
      </c>
      <c r="K9">
        <v>932</v>
      </c>
      <c r="L9" s="21">
        <v>1.9999999999999999E-6</v>
      </c>
      <c r="M9">
        <v>0.1</v>
      </c>
      <c r="N9">
        <v>1830</v>
      </c>
      <c r="P9" s="26">
        <f t="shared" si="0"/>
        <v>-1.5400000000000001E-3</v>
      </c>
      <c r="Q9" s="26">
        <f t="shared" si="1"/>
        <v>4.0000000000000001E-3</v>
      </c>
      <c r="R9" s="28">
        <f t="shared" si="2"/>
        <v>1.6260162601626016</v>
      </c>
      <c r="S9" s="8">
        <f t="shared" si="3"/>
        <v>813.00813008130081</v>
      </c>
    </row>
    <row r="10" spans="2:20" x14ac:dyDescent="0.25">
      <c r="B10" s="3">
        <v>5</v>
      </c>
      <c r="C10" s="21">
        <f t="shared" si="4"/>
        <v>4.4200000000000003E-2</v>
      </c>
      <c r="D10" s="21">
        <f>(0.79*LN(F10)-1.64)^(-2)</f>
        <v>3.9029388373240839E-2</v>
      </c>
      <c r="E10" s="21">
        <f t="shared" si="5"/>
        <v>0.21870000000000001</v>
      </c>
      <c r="F10" s="21">
        <f t="shared" ref="F10" si="9">C10*E10/L10</f>
        <v>4833.2700000000004</v>
      </c>
      <c r="G10" s="10">
        <f t="shared" ref="G10" si="10">L10*K10*N10/M10</f>
        <v>34.111199999999997</v>
      </c>
      <c r="H10" s="8">
        <f>((D10/8)*(F10-1000)*G10)/(1+12.7*(D10/8)^0.5*(G10^(2/3)-1))</f>
        <v>67.554899156522367</v>
      </c>
      <c r="I10" s="24">
        <f t="shared" ref="I10" si="11">H10*M10/C10</f>
        <v>152.83913836317279</v>
      </c>
      <c r="K10">
        <v>932</v>
      </c>
      <c r="L10" s="21">
        <v>1.9999999999999999E-6</v>
      </c>
      <c r="M10">
        <v>0.1</v>
      </c>
      <c r="N10">
        <v>1830</v>
      </c>
      <c r="P10" s="26">
        <f t="shared" si="0"/>
        <v>-2.5399999999999993E-3</v>
      </c>
      <c r="Q10" s="26">
        <f t="shared" si="1"/>
        <v>4.9999999999999992E-3</v>
      </c>
      <c r="R10" s="28">
        <f t="shared" si="2"/>
        <v>2.0325203252032518</v>
      </c>
      <c r="S10" s="8">
        <f t="shared" si="3"/>
        <v>813.00813008130081</v>
      </c>
    </row>
    <row r="11" spans="2:20" x14ac:dyDescent="0.25">
      <c r="B11" s="3">
        <v>6</v>
      </c>
      <c r="C11" s="21">
        <f t="shared" si="4"/>
        <v>5.3040000000000004E-2</v>
      </c>
      <c r="D11" s="21">
        <f t="shared" ref="D11:D15" si="12">(0.79*LN(F11)-1.64)^(-2)</f>
        <v>3.6899546206548464E-2</v>
      </c>
      <c r="E11" s="21">
        <f t="shared" si="5"/>
        <v>0.21870000000000001</v>
      </c>
      <c r="F11" s="21">
        <f t="shared" ref="F11:F15" si="13">C11*E11/L11</f>
        <v>5799.9240000000009</v>
      </c>
      <c r="G11" s="10">
        <f t="shared" ref="G11:G15" si="14">L11*K11*N11/M11</f>
        <v>34.111199999999997</v>
      </c>
      <c r="H11" s="8">
        <f t="shared" ref="H11:H15" si="15">((D11/8)*(F11-1000)*G11)/(1+12.7*(D11/8)^0.5*(G11^(2/3)-1))</f>
        <v>82.002997340054861</v>
      </c>
      <c r="I11" s="24">
        <f t="shared" ref="I11:I15" si="16">H11*M11/C11</f>
        <v>154.60595275274295</v>
      </c>
      <c r="K11">
        <v>932</v>
      </c>
      <c r="L11" s="21">
        <v>1.9999999999999999E-6</v>
      </c>
      <c r="M11">
        <v>0.1</v>
      </c>
      <c r="N11">
        <v>1830</v>
      </c>
    </row>
    <row r="12" spans="2:20" x14ac:dyDescent="0.25">
      <c r="B12" s="3">
        <v>7</v>
      </c>
      <c r="C12" s="21">
        <f t="shared" si="4"/>
        <v>6.1880000000000004E-2</v>
      </c>
      <c r="D12" s="21">
        <f t="shared" si="12"/>
        <v>3.523191685424313E-2</v>
      </c>
      <c r="E12" s="21">
        <f t="shared" si="5"/>
        <v>0.21870000000000001</v>
      </c>
      <c r="F12" s="21">
        <f t="shared" si="13"/>
        <v>6766.5780000000004</v>
      </c>
      <c r="G12" s="10">
        <f t="shared" si="14"/>
        <v>34.111199999999997</v>
      </c>
      <c r="H12" s="8">
        <f t="shared" si="15"/>
        <v>96.021703974400083</v>
      </c>
      <c r="I12" s="27">
        <f t="shared" si="16"/>
        <v>155.17405296444744</v>
      </c>
      <c r="K12">
        <v>932</v>
      </c>
      <c r="L12" s="21">
        <v>1.9999999999999999E-6</v>
      </c>
      <c r="M12">
        <v>0.1</v>
      </c>
      <c r="N12">
        <v>1830</v>
      </c>
    </row>
    <row r="13" spans="2:20" x14ac:dyDescent="0.25">
      <c r="B13" s="3">
        <v>8</v>
      </c>
      <c r="C13" s="21">
        <f t="shared" si="4"/>
        <v>7.0720000000000005E-2</v>
      </c>
      <c r="D13" s="21">
        <f t="shared" si="12"/>
        <v>3.3877061782548769E-2</v>
      </c>
      <c r="E13" s="21">
        <f t="shared" si="5"/>
        <v>0.21870000000000001</v>
      </c>
      <c r="F13" s="21">
        <f t="shared" si="13"/>
        <v>7733.2320000000009</v>
      </c>
      <c r="G13" s="10">
        <f t="shared" si="14"/>
        <v>34.111199999999997</v>
      </c>
      <c r="H13" s="8">
        <f t="shared" si="15"/>
        <v>109.70020061831129</v>
      </c>
      <c r="I13" s="24">
        <f t="shared" si="16"/>
        <v>155.11906196028178</v>
      </c>
      <c r="K13">
        <v>932</v>
      </c>
      <c r="L13" s="21">
        <v>1.9999999999999999E-6</v>
      </c>
      <c r="M13">
        <v>0.1</v>
      </c>
      <c r="N13">
        <v>1830</v>
      </c>
    </row>
    <row r="14" spans="2:20" x14ac:dyDescent="0.25">
      <c r="B14" s="3">
        <v>9</v>
      </c>
      <c r="C14" s="21">
        <f t="shared" si="4"/>
        <v>7.9560000000000006E-2</v>
      </c>
      <c r="D14" s="21">
        <f t="shared" si="12"/>
        <v>3.274582951676272E-2</v>
      </c>
      <c r="E14" s="21">
        <f t="shared" si="5"/>
        <v>0.21870000000000001</v>
      </c>
      <c r="F14" s="21">
        <f t="shared" si="13"/>
        <v>8699.8860000000004</v>
      </c>
      <c r="G14" s="10">
        <f t="shared" si="14"/>
        <v>34.111199999999997</v>
      </c>
      <c r="H14" s="8">
        <f t="shared" si="15"/>
        <v>123.09918069251192</v>
      </c>
      <c r="I14" s="24">
        <f t="shared" si="16"/>
        <v>154.72496316303659</v>
      </c>
      <c r="K14">
        <v>932</v>
      </c>
      <c r="L14" s="21">
        <v>1.9999999999999999E-6</v>
      </c>
      <c r="M14">
        <v>0.1</v>
      </c>
      <c r="N14">
        <v>1830</v>
      </c>
    </row>
    <row r="15" spans="2:20" x14ac:dyDescent="0.25">
      <c r="B15" s="3">
        <v>10</v>
      </c>
      <c r="C15" s="21">
        <f t="shared" si="4"/>
        <v>8.8400000000000006E-2</v>
      </c>
      <c r="D15" s="21">
        <f t="shared" si="12"/>
        <v>3.1781240661848599E-2</v>
      </c>
      <c r="E15" s="21">
        <f t="shared" si="5"/>
        <v>0.21870000000000001</v>
      </c>
      <c r="F15" s="21">
        <f t="shared" si="13"/>
        <v>9666.5400000000009</v>
      </c>
      <c r="G15" s="10">
        <f t="shared" si="14"/>
        <v>34.111199999999997</v>
      </c>
      <c r="H15" s="8">
        <f t="shared" si="15"/>
        <v>136.2622936036768</v>
      </c>
      <c r="I15" s="24">
        <f t="shared" si="16"/>
        <v>154.1428660675077</v>
      </c>
      <c r="K15">
        <v>932</v>
      </c>
      <c r="L15" s="21">
        <v>1.9999999999999999E-6</v>
      </c>
      <c r="M15">
        <v>0.1</v>
      </c>
      <c r="N15">
        <v>1830</v>
      </c>
    </row>
    <row r="16" spans="2:20" x14ac:dyDescent="0.25">
      <c r="B16" s="3">
        <v>11</v>
      </c>
      <c r="C16" s="21">
        <f t="shared" si="4"/>
        <v>9.7240000000000007E-2</v>
      </c>
      <c r="D16" s="21">
        <f t="shared" ref="D16:D20" si="17">(0.79*LN(F16)-1.64)^(-2)</f>
        <v>3.094491365935562E-2</v>
      </c>
      <c r="E16" s="21">
        <f t="shared" si="5"/>
        <v>0.21870000000000001</v>
      </c>
      <c r="F16" s="21">
        <f t="shared" ref="F16:F20" si="18">C16*E16/L16</f>
        <v>10633.194000000001</v>
      </c>
      <c r="G16" s="10">
        <f t="shared" ref="G16:G20" si="19">L16*K16*N16/M16</f>
        <v>34.111199999999997</v>
      </c>
      <c r="H16" s="8">
        <f t="shared" ref="H16:H20" si="20">((D16/8)*(F16-1000)*G16)/(1+12.7*(D16/8)^0.5*(G16^(2/3)-1))</f>
        <v>149.22226226689386</v>
      </c>
      <c r="I16" s="24">
        <f t="shared" ref="I16:I20" si="21">H16*M16/C16</f>
        <v>153.45769463892827</v>
      </c>
      <c r="K16">
        <v>932</v>
      </c>
      <c r="L16" s="21">
        <v>1.9999999999999999E-6</v>
      </c>
      <c r="M16">
        <v>0.1</v>
      </c>
      <c r="N16">
        <v>1830</v>
      </c>
    </row>
    <row r="17" spans="2:14" x14ac:dyDescent="0.25">
      <c r="B17" s="3">
        <v>12</v>
      </c>
      <c r="C17" s="21">
        <f t="shared" si="4"/>
        <v>0.10608000000000001</v>
      </c>
      <c r="D17" s="21">
        <f t="shared" si="17"/>
        <v>3.0209900858629308E-2</v>
      </c>
      <c r="E17" s="21">
        <f t="shared" si="5"/>
        <v>0.21870000000000001</v>
      </c>
      <c r="F17" s="21">
        <f t="shared" si="18"/>
        <v>11599.848000000002</v>
      </c>
      <c r="G17" s="10">
        <f t="shared" si="19"/>
        <v>34.111199999999997</v>
      </c>
      <c r="H17" s="8">
        <f t="shared" si="20"/>
        <v>162.00442523583416</v>
      </c>
      <c r="I17" s="24">
        <f t="shared" si="21"/>
        <v>152.71910372910457</v>
      </c>
      <c r="K17">
        <v>932</v>
      </c>
      <c r="L17" s="21">
        <v>1.9999999999999999E-6</v>
      </c>
      <c r="M17">
        <v>0.1</v>
      </c>
      <c r="N17">
        <v>1830</v>
      </c>
    </row>
    <row r="18" spans="2:14" x14ac:dyDescent="0.25">
      <c r="B18" s="3">
        <v>13</v>
      </c>
      <c r="C18" s="21">
        <f t="shared" si="4"/>
        <v>0.11492000000000001</v>
      </c>
      <c r="D18" s="21">
        <f t="shared" si="17"/>
        <v>2.9556637072258425E-2</v>
      </c>
      <c r="E18" s="21">
        <f t="shared" si="5"/>
        <v>0.21870000000000001</v>
      </c>
      <c r="F18" s="21">
        <f t="shared" si="18"/>
        <v>12566.502000000002</v>
      </c>
      <c r="G18" s="10">
        <f t="shared" si="19"/>
        <v>34.111199999999997</v>
      </c>
      <c r="H18" s="8">
        <f t="shared" si="20"/>
        <v>174.62891825668825</v>
      </c>
      <c r="I18" s="24">
        <f t="shared" si="21"/>
        <v>151.95694244403782</v>
      </c>
      <c r="K18">
        <v>932</v>
      </c>
      <c r="L18" s="21">
        <v>1.9999999999999999E-6</v>
      </c>
      <c r="M18">
        <v>0.1</v>
      </c>
      <c r="N18">
        <v>1830</v>
      </c>
    </row>
    <row r="19" spans="2:14" x14ac:dyDescent="0.25">
      <c r="B19" s="3">
        <v>14</v>
      </c>
      <c r="C19" s="21">
        <f t="shared" si="4"/>
        <v>0.12376000000000001</v>
      </c>
      <c r="D19" s="21">
        <f t="shared" si="17"/>
        <v>2.8970517910330285E-2</v>
      </c>
      <c r="E19" s="21">
        <f t="shared" si="5"/>
        <v>0.21870000000000001</v>
      </c>
      <c r="F19" s="21">
        <f t="shared" si="18"/>
        <v>13533.156000000001</v>
      </c>
      <c r="G19" s="10">
        <f t="shared" si="19"/>
        <v>34.111199999999997</v>
      </c>
      <c r="H19" s="8">
        <f t="shared" si="20"/>
        <v>187.11208561501698</v>
      </c>
      <c r="I19" s="24">
        <f t="shared" si="21"/>
        <v>151.18946801471961</v>
      </c>
      <c r="K19">
        <v>932</v>
      </c>
      <c r="L19" s="21">
        <v>1.9999999999999999E-6</v>
      </c>
      <c r="M19">
        <v>0.1</v>
      </c>
      <c r="N19">
        <v>1830</v>
      </c>
    </row>
    <row r="20" spans="2:14" x14ac:dyDescent="0.25">
      <c r="B20" s="3">
        <v>15</v>
      </c>
      <c r="C20" s="21">
        <f t="shared" si="4"/>
        <v>0.1326</v>
      </c>
      <c r="D20" s="21">
        <f t="shared" si="17"/>
        <v>2.8440385037616697E-2</v>
      </c>
      <c r="E20" s="21">
        <f t="shared" si="5"/>
        <v>0.21870000000000001</v>
      </c>
      <c r="F20" s="21">
        <f t="shared" si="18"/>
        <v>14499.810000000001</v>
      </c>
      <c r="G20" s="10">
        <f t="shared" si="19"/>
        <v>34.111199999999997</v>
      </c>
      <c r="H20" s="8">
        <f t="shared" si="20"/>
        <v>199.46743060546564</v>
      </c>
      <c r="I20" s="24">
        <f t="shared" si="21"/>
        <v>150.42792655012494</v>
      </c>
      <c r="K20">
        <v>932</v>
      </c>
      <c r="L20" s="21">
        <v>1.9999999999999999E-6</v>
      </c>
      <c r="M20">
        <v>0.1</v>
      </c>
      <c r="N20">
        <v>1830</v>
      </c>
    </row>
    <row r="23" spans="2:14" x14ac:dyDescent="0.25">
      <c r="B23" t="s">
        <v>138</v>
      </c>
    </row>
    <row r="24" spans="2:14" x14ac:dyDescent="0.25">
      <c r="B24" s="3" t="s">
        <v>130</v>
      </c>
      <c r="C24" t="s">
        <v>117</v>
      </c>
      <c r="D24" t="s">
        <v>126</v>
      </c>
      <c r="E24" t="s">
        <v>127</v>
      </c>
      <c r="F24" t="s">
        <v>118</v>
      </c>
      <c r="G24" t="s">
        <v>119</v>
      </c>
      <c r="H24" s="22" t="s">
        <v>129</v>
      </c>
      <c r="I24" s="3" t="s">
        <v>131</v>
      </c>
      <c r="K24" t="s">
        <v>140</v>
      </c>
      <c r="L24" t="s">
        <v>139</v>
      </c>
      <c r="M24" t="s">
        <v>123</v>
      </c>
      <c r="N24" t="s">
        <v>174</v>
      </c>
    </row>
    <row r="25" spans="2:14" x14ac:dyDescent="0.25">
      <c r="B25" s="3">
        <v>1</v>
      </c>
      <c r="C25" s="21">
        <v>8.8400000000000006E-3</v>
      </c>
      <c r="D25" s="21"/>
      <c r="E25" s="21">
        <v>8.3460000000000006E-2</v>
      </c>
      <c r="F25" s="21">
        <f>K25*C25*E25/L25</f>
        <v>457.42756800000012</v>
      </c>
      <c r="G25" s="10">
        <f>N25*L25/M25</f>
        <v>13.241735537190083</v>
      </c>
      <c r="H25" s="22">
        <v>7</v>
      </c>
      <c r="I25" s="24">
        <f>H25*M25/C25</f>
        <v>383.25791855203619</v>
      </c>
      <c r="K25">
        <v>1054</v>
      </c>
      <c r="L25" s="21">
        <v>1.6999999999999999E-3</v>
      </c>
      <c r="M25">
        <v>0.48399999999999999</v>
      </c>
      <c r="N25">
        <v>3770</v>
      </c>
    </row>
    <row r="26" spans="2:14" x14ac:dyDescent="0.25">
      <c r="B26" s="3">
        <v>1.5</v>
      </c>
      <c r="C26" s="21">
        <f>B26*$C$25</f>
        <v>1.3260000000000001E-2</v>
      </c>
      <c r="E26" s="21">
        <f>$E$25</f>
        <v>8.3460000000000006E-2</v>
      </c>
      <c r="F26" s="21">
        <f t="shared" ref="F26:F28" si="22">K26*C26*E26/L26</f>
        <v>686.1413520000001</v>
      </c>
      <c r="G26" s="10">
        <f t="shared" ref="G26:G28" si="23">N26*L26/M26</f>
        <v>13.241735537190083</v>
      </c>
      <c r="H26" s="22">
        <v>7</v>
      </c>
      <c r="I26" s="24">
        <f t="shared" ref="I26:I28" si="24">H26*M26/C26</f>
        <v>255.50527903469077</v>
      </c>
      <c r="K26">
        <v>1054</v>
      </c>
      <c r="L26" s="21">
        <v>1.6999999999999999E-3</v>
      </c>
      <c r="M26">
        <v>0.48399999999999999</v>
      </c>
      <c r="N26">
        <v>3770</v>
      </c>
    </row>
    <row r="27" spans="2:14" x14ac:dyDescent="0.25">
      <c r="B27" s="3">
        <v>2</v>
      </c>
      <c r="C27" s="21">
        <f t="shared" ref="C27:C29" si="25">B27*$C$25</f>
        <v>1.7680000000000001E-2</v>
      </c>
      <c r="E27" s="21">
        <f t="shared" ref="E27:E29" si="26">$E$25</f>
        <v>8.3460000000000006E-2</v>
      </c>
      <c r="F27" s="21">
        <f t="shared" si="22"/>
        <v>914.85513600000024</v>
      </c>
      <c r="G27" s="10">
        <f t="shared" si="23"/>
        <v>13.241735537190083</v>
      </c>
      <c r="H27" s="22">
        <v>7</v>
      </c>
      <c r="I27" s="24">
        <f t="shared" si="24"/>
        <v>191.62895927601809</v>
      </c>
      <c r="K27">
        <v>1054</v>
      </c>
      <c r="L27" s="21">
        <v>1.6999999999999999E-3</v>
      </c>
      <c r="M27">
        <v>0.48399999999999999</v>
      </c>
      <c r="N27">
        <v>3770</v>
      </c>
    </row>
    <row r="28" spans="2:14" x14ac:dyDescent="0.25">
      <c r="B28" s="3">
        <v>2.5</v>
      </c>
      <c r="C28" s="21">
        <f t="shared" si="25"/>
        <v>2.2100000000000002E-2</v>
      </c>
      <c r="E28" s="21">
        <f t="shared" si="26"/>
        <v>8.3460000000000006E-2</v>
      </c>
      <c r="F28" s="21">
        <f t="shared" si="22"/>
        <v>1143.5689200000002</v>
      </c>
      <c r="G28" s="10">
        <f t="shared" si="23"/>
        <v>13.241735537190083</v>
      </c>
      <c r="H28" s="22">
        <v>7</v>
      </c>
      <c r="I28" s="24">
        <f t="shared" si="24"/>
        <v>153.30316742081448</v>
      </c>
      <c r="K28">
        <v>1054</v>
      </c>
      <c r="L28" s="21">
        <v>1.6999999999999999E-3</v>
      </c>
      <c r="M28">
        <v>0.48399999999999999</v>
      </c>
      <c r="N28">
        <v>3770</v>
      </c>
    </row>
    <row r="29" spans="2:14" x14ac:dyDescent="0.25">
      <c r="B29" s="3">
        <v>3</v>
      </c>
      <c r="C29" s="21">
        <f t="shared" si="25"/>
        <v>2.6520000000000002E-2</v>
      </c>
      <c r="E29" s="21">
        <f t="shared" si="26"/>
        <v>8.3460000000000006E-2</v>
      </c>
      <c r="F29" s="21">
        <f t="shared" ref="F29" si="27">K29*C29*E29/L29</f>
        <v>1372.2827040000002</v>
      </c>
      <c r="G29" s="10">
        <f t="shared" ref="G29" si="28">N29*L29/M29</f>
        <v>13.241735537190083</v>
      </c>
      <c r="H29" s="22">
        <v>7</v>
      </c>
      <c r="I29" s="24">
        <f t="shared" ref="I29" si="29">H29*M29/C29</f>
        <v>127.75263951734539</v>
      </c>
      <c r="K29">
        <v>1054</v>
      </c>
      <c r="L29" s="21">
        <v>1.6999999999999999E-3</v>
      </c>
      <c r="M29">
        <v>0.48399999999999999</v>
      </c>
      <c r="N29">
        <v>3770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FED6-F19D-427F-BC9B-405F36DAB691}">
  <dimension ref="A3:R50"/>
  <sheetViews>
    <sheetView topLeftCell="A28" workbookViewId="0">
      <selection activeCell="F37" sqref="F37"/>
    </sheetView>
  </sheetViews>
  <sheetFormatPr defaultRowHeight="15" x14ac:dyDescent="0.25"/>
  <cols>
    <col min="1" max="1" width="16.140625" customWidth="1"/>
    <col min="2" max="2" width="10.5703125" bestFit="1" customWidth="1"/>
    <col min="3" max="3" width="13" customWidth="1"/>
    <col min="5" max="5" width="11.42578125" customWidth="1"/>
    <col min="12" max="12" width="10" customWidth="1"/>
    <col min="13" max="13" width="13.28515625" customWidth="1"/>
  </cols>
  <sheetData>
    <row r="3" spans="1:18" x14ac:dyDescent="0.25">
      <c r="A3" t="s">
        <v>146</v>
      </c>
      <c r="C3" t="s">
        <v>148</v>
      </c>
      <c r="D3" t="s">
        <v>147</v>
      </c>
      <c r="E3" t="s">
        <v>119</v>
      </c>
      <c r="F3" t="s">
        <v>123</v>
      </c>
      <c r="G3" t="s">
        <v>149</v>
      </c>
      <c r="H3" t="s">
        <v>120</v>
      </c>
      <c r="J3" s="3" t="s">
        <v>141</v>
      </c>
      <c r="M3" t="s">
        <v>144</v>
      </c>
    </row>
    <row r="4" spans="1:18" x14ac:dyDescent="0.25">
      <c r="A4" s="21">
        <v>600000</v>
      </c>
      <c r="C4">
        <v>60</v>
      </c>
      <c r="D4">
        <v>287</v>
      </c>
      <c r="E4">
        <v>0.7</v>
      </c>
      <c r="F4">
        <v>0.03</v>
      </c>
      <c r="G4" s="21">
        <v>2.0000000000000002E-5</v>
      </c>
      <c r="H4" s="22">
        <f>A4/(D4*(273+C4))</f>
        <v>6.2780550585428632</v>
      </c>
      <c r="J4" s="3">
        <v>0.1</v>
      </c>
      <c r="M4" s="22">
        <f>1/60</f>
        <v>1.6666666666666666E-2</v>
      </c>
    </row>
    <row r="5" spans="1:18" x14ac:dyDescent="0.25">
      <c r="J5" s="3" t="s">
        <v>142</v>
      </c>
    </row>
    <row r="6" spans="1:18" x14ac:dyDescent="0.25">
      <c r="J6" s="3">
        <v>2E-3</v>
      </c>
    </row>
    <row r="7" spans="1:18" x14ac:dyDescent="0.25">
      <c r="C7" t="s">
        <v>143</v>
      </c>
      <c r="D7" t="s">
        <v>118</v>
      </c>
      <c r="E7" t="s">
        <v>150</v>
      </c>
      <c r="F7" t="s">
        <v>131</v>
      </c>
      <c r="J7" t="s">
        <v>158</v>
      </c>
      <c r="L7" t="s">
        <v>145</v>
      </c>
      <c r="M7" t="s">
        <v>154</v>
      </c>
      <c r="N7" t="s">
        <v>164</v>
      </c>
      <c r="R7" t="s">
        <v>159</v>
      </c>
    </row>
    <row r="8" spans="1:18" x14ac:dyDescent="0.25">
      <c r="C8" s="22">
        <f>M4/L17</f>
        <v>2.8985507246376812</v>
      </c>
      <c r="D8" s="29">
        <f>H4*C8*J6/G4</f>
        <v>1819.7261039254677</v>
      </c>
      <c r="E8" s="8">
        <f>0.036*(J4/J6)^(-0.055)*D8^0.8*E4^0.33</f>
        <v>10.465170872819833</v>
      </c>
      <c r="F8" s="8">
        <f>E8*F4/J6</f>
        <v>156.97756309229749</v>
      </c>
      <c r="J8">
        <v>4.0000000000000001E-3</v>
      </c>
      <c r="L8" s="22">
        <f>L17/(PI()/4*J6^2)</f>
        <v>1830.2818455567965</v>
      </c>
      <c r="M8" s="21">
        <f>L8*PI()*J6*J4</f>
        <v>1.1500000000000001</v>
      </c>
      <c r="N8">
        <f>SQRT(R8/PI())</f>
        <v>8.9848179259024802E-2</v>
      </c>
      <c r="O8">
        <v>0.09</v>
      </c>
      <c r="R8">
        <f>L8*PI()/4*J8^2 / 0.9069</f>
        <v>2.5361120299922813E-2</v>
      </c>
    </row>
    <row r="10" spans="1:18" x14ac:dyDescent="0.25">
      <c r="C10" t="s">
        <v>151</v>
      </c>
      <c r="E10" t="s">
        <v>152</v>
      </c>
      <c r="L10" t="s">
        <v>160</v>
      </c>
    </row>
    <row r="11" spans="1:18" x14ac:dyDescent="0.25">
      <c r="C11" s="26">
        <f>0.11*(68/D8)^0.25</f>
        <v>4.8363576220778602E-2</v>
      </c>
      <c r="E11" s="8">
        <f>0.5*C11*J4/J6*H4*C8^2</f>
        <v>63.774247918941917</v>
      </c>
      <c r="L11" s="22">
        <f>L21/(PI()*N8^2)</f>
        <v>1.428564652173913E-2</v>
      </c>
      <c r="N11" s="30"/>
    </row>
    <row r="12" spans="1:18" x14ac:dyDescent="0.25">
      <c r="L12" t="s">
        <v>177</v>
      </c>
      <c r="N12" t="s">
        <v>155</v>
      </c>
    </row>
    <row r="13" spans="1:18" x14ac:dyDescent="0.25">
      <c r="L13" s="21">
        <f>L8*PI()/4*J6^2*J4</f>
        <v>5.7499999999999999E-4</v>
      </c>
      <c r="N13" s="22">
        <f>L19/(L8*PI()*J6)</f>
        <v>9.7217391304347839E-2</v>
      </c>
    </row>
    <row r="15" spans="1:18" x14ac:dyDescent="0.25">
      <c r="L15" s="3" t="s">
        <v>116</v>
      </c>
    </row>
    <row r="16" spans="1:18" x14ac:dyDescent="0.25">
      <c r="L16" t="s">
        <v>156</v>
      </c>
    </row>
    <row r="17" spans="1:15" x14ac:dyDescent="0.25">
      <c r="L17" s="21">
        <v>5.7499999999999999E-3</v>
      </c>
    </row>
    <row r="18" spans="1:15" x14ac:dyDescent="0.25">
      <c r="L18" t="s">
        <v>153</v>
      </c>
      <c r="M18" t="s">
        <v>176</v>
      </c>
    </row>
    <row r="19" spans="1:15" x14ac:dyDescent="0.25">
      <c r="L19" s="21">
        <v>1.1180000000000001</v>
      </c>
      <c r="M19">
        <f>L8*PI()*J8*J4</f>
        <v>2.3000000000000003</v>
      </c>
    </row>
    <row r="20" spans="1:15" x14ac:dyDescent="0.25">
      <c r="L20" t="s">
        <v>157</v>
      </c>
    </row>
    <row r="21" spans="1:15" x14ac:dyDescent="0.25">
      <c r="L21" s="21">
        <v>3.6230000000000002E-4</v>
      </c>
      <c r="M21" s="21"/>
    </row>
    <row r="22" spans="1:15" x14ac:dyDescent="0.25">
      <c r="N22">
        <v>1.6749000000000001</v>
      </c>
      <c r="O22">
        <v>1.3489</v>
      </c>
    </row>
    <row r="23" spans="1:15" x14ac:dyDescent="0.25">
      <c r="O23">
        <f>N22-O22</f>
        <v>0.32600000000000007</v>
      </c>
    </row>
    <row r="28" spans="1:15" x14ac:dyDescent="0.25">
      <c r="A28" s="3" t="s">
        <v>161</v>
      </c>
    </row>
    <row r="30" spans="1:15" x14ac:dyDescent="0.25">
      <c r="A30" t="s">
        <v>165</v>
      </c>
    </row>
    <row r="31" spans="1:15" x14ac:dyDescent="0.25">
      <c r="A31" t="s">
        <v>162</v>
      </c>
    </row>
    <row r="34" spans="1:3" x14ac:dyDescent="0.25">
      <c r="A34" t="s">
        <v>163</v>
      </c>
    </row>
    <row r="35" spans="1:3" x14ac:dyDescent="0.25">
      <c r="A35" s="25">
        <f>2*0.09*J4</f>
        <v>1.7999999999999999E-2</v>
      </c>
    </row>
    <row r="37" spans="1:3" x14ac:dyDescent="0.25">
      <c r="B37" t="s">
        <v>168</v>
      </c>
      <c r="C37" t="s">
        <v>167</v>
      </c>
    </row>
    <row r="38" spans="1:3" x14ac:dyDescent="0.25">
      <c r="A38" t="s">
        <v>169</v>
      </c>
      <c r="B38">
        <v>2.3599999999999999E-2</v>
      </c>
      <c r="C38">
        <v>5.4600000000000003E-2</v>
      </c>
    </row>
    <row r="39" spans="1:3" x14ac:dyDescent="0.25">
      <c r="A39" t="s">
        <v>120</v>
      </c>
      <c r="B39">
        <v>1054</v>
      </c>
      <c r="C39">
        <v>932</v>
      </c>
    </row>
    <row r="40" spans="1:3" x14ac:dyDescent="0.25">
      <c r="A40" t="s">
        <v>166</v>
      </c>
      <c r="B40" s="26">
        <f>B38/(B39*A35)</f>
        <v>1.2439384355892897E-3</v>
      </c>
      <c r="C40" s="26">
        <f>C38/(C39*A35)</f>
        <v>3.2546494992846927E-3</v>
      </c>
    </row>
    <row r="41" spans="1:3" x14ac:dyDescent="0.25">
      <c r="A41" t="s">
        <v>171</v>
      </c>
      <c r="B41">
        <v>1.5</v>
      </c>
      <c r="C41">
        <v>1.5</v>
      </c>
    </row>
    <row r="42" spans="1:3" x14ac:dyDescent="0.25">
      <c r="A42" t="s">
        <v>170</v>
      </c>
      <c r="B42" s="26">
        <f>(B41/(B41-1))*B40</f>
        <v>3.7318153067678692E-3</v>
      </c>
      <c r="C42" s="26">
        <f>(C41/(C41-1))*C40</f>
        <v>9.7639484978540789E-3</v>
      </c>
    </row>
    <row r="43" spans="1:3" x14ac:dyDescent="0.25">
      <c r="A43" t="s">
        <v>172</v>
      </c>
      <c r="B43">
        <v>1.6999999999999999E-3</v>
      </c>
    </row>
    <row r="44" spans="1:3" x14ac:dyDescent="0.25">
      <c r="A44" t="s">
        <v>173</v>
      </c>
      <c r="C44" s="21">
        <v>1.9999999999999999E-6</v>
      </c>
    </row>
    <row r="45" spans="1:3" x14ac:dyDescent="0.25">
      <c r="A45" t="s">
        <v>118</v>
      </c>
      <c r="B45" s="8">
        <f>B39*B42*J8/B43</f>
        <v>9.2549019607843146</v>
      </c>
      <c r="C45" s="8">
        <f>C42*J8/C44</f>
        <v>19.527896995708158</v>
      </c>
    </row>
    <row r="46" spans="1:3" x14ac:dyDescent="0.25">
      <c r="A46" t="s">
        <v>123</v>
      </c>
      <c r="B46">
        <v>0.48399999999999999</v>
      </c>
      <c r="C46">
        <v>0.1</v>
      </c>
    </row>
    <row r="47" spans="1:3" x14ac:dyDescent="0.25">
      <c r="A47" t="s">
        <v>124</v>
      </c>
      <c r="B47">
        <v>3770</v>
      </c>
      <c r="C47">
        <v>1830</v>
      </c>
    </row>
    <row r="48" spans="1:3" x14ac:dyDescent="0.25">
      <c r="A48" t="s">
        <v>119</v>
      </c>
      <c r="B48" s="10">
        <f>B47*B43/B46</f>
        <v>13.241735537190083</v>
      </c>
      <c r="C48" s="10">
        <f>C44*C39*C47/C46</f>
        <v>34.111199999999997</v>
      </c>
    </row>
    <row r="49" spans="1:4" x14ac:dyDescent="0.25">
      <c r="A49" t="s">
        <v>129</v>
      </c>
      <c r="B49" s="10">
        <f>1.04*B45^0.4*B48^0.36</f>
        <v>6.4192196419853191</v>
      </c>
      <c r="C49" s="10">
        <f>1.04*C45^0.4*C48^0.36</f>
        <v>12.165737703944993</v>
      </c>
      <c r="D49" t="s">
        <v>175</v>
      </c>
    </row>
    <row r="50" spans="1:4" x14ac:dyDescent="0.25">
      <c r="A50" s="3" t="s">
        <v>131</v>
      </c>
      <c r="B50" s="31">
        <f>B49*B46/$J$8</f>
        <v>776.72557668022353</v>
      </c>
      <c r="C50" s="31">
        <f>C49*C46/$J$8</f>
        <v>304.14344259862486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9129-D6F9-4D49-98AB-6A943F00B32F}">
  <dimension ref="A1:AF41"/>
  <sheetViews>
    <sheetView tabSelected="1" topLeftCell="H1" zoomScale="85" zoomScaleNormal="85" workbookViewId="0">
      <selection activeCell="M7" sqref="M7"/>
    </sheetView>
  </sheetViews>
  <sheetFormatPr defaultRowHeight="15" x14ac:dyDescent="0.25"/>
  <cols>
    <col min="1" max="1" width="12" customWidth="1"/>
    <col min="2" max="2" width="17.85546875" customWidth="1"/>
    <col min="6" max="6" width="12.42578125" customWidth="1"/>
    <col min="7" max="7" width="13.5703125" customWidth="1"/>
    <col min="9" max="9" width="11.85546875" customWidth="1"/>
    <col min="11" max="11" width="12.5703125" bestFit="1" customWidth="1"/>
    <col min="12" max="12" width="9.5703125" bestFit="1" customWidth="1"/>
    <col min="13" max="13" width="9.5703125" customWidth="1"/>
    <col min="14" max="14" width="13.85546875" customWidth="1"/>
    <col min="15" max="15" width="11" bestFit="1" customWidth="1"/>
    <col min="16" max="16" width="17" bestFit="1" customWidth="1"/>
    <col min="28" max="28" width="12.7109375" customWidth="1"/>
  </cols>
  <sheetData>
    <row r="1" spans="1:32" x14ac:dyDescent="0.25">
      <c r="C1" s="3" t="s">
        <v>191</v>
      </c>
      <c r="D1" s="3" t="s">
        <v>179</v>
      </c>
      <c r="E1" s="3" t="s">
        <v>192</v>
      </c>
      <c r="G1" s="3" t="s">
        <v>193</v>
      </c>
      <c r="I1" t="s">
        <v>225</v>
      </c>
      <c r="N1" t="s">
        <v>239</v>
      </c>
      <c r="S1" t="s">
        <v>256</v>
      </c>
      <c r="AB1" s="3" t="s">
        <v>270</v>
      </c>
    </row>
    <row r="2" spans="1:32" x14ac:dyDescent="0.25">
      <c r="A2" t="s">
        <v>195</v>
      </c>
      <c r="B2" t="s">
        <v>178</v>
      </c>
      <c r="C2" s="3">
        <v>52</v>
      </c>
      <c r="D2" s="3">
        <v>360</v>
      </c>
      <c r="J2" t="s">
        <v>232</v>
      </c>
      <c r="K2" t="s">
        <v>233</v>
      </c>
      <c r="L2" t="s">
        <v>271</v>
      </c>
      <c r="O2" t="s">
        <v>240</v>
      </c>
      <c r="P2" t="s">
        <v>243</v>
      </c>
      <c r="V2" t="s">
        <v>259</v>
      </c>
      <c r="AB2" t="s">
        <v>261</v>
      </c>
    </row>
    <row r="3" spans="1:32" x14ac:dyDescent="0.25">
      <c r="B3" t="s">
        <v>180</v>
      </c>
      <c r="C3">
        <f>(C2/D2)*D3</f>
        <v>13.866666666666665</v>
      </c>
      <c r="D3" s="3">
        <v>96</v>
      </c>
      <c r="I3" t="s">
        <v>226</v>
      </c>
      <c r="J3">
        <v>12</v>
      </c>
      <c r="K3" s="25">
        <f>J3*0.0254</f>
        <v>0.30479999999999996</v>
      </c>
      <c r="L3" s="32">
        <f>K3/2</f>
        <v>0.15239999999999998</v>
      </c>
      <c r="M3" s="32"/>
      <c r="N3" t="s">
        <v>167</v>
      </c>
      <c r="O3" s="26">
        <f>J14*K5</f>
        <v>1.0711895666006591E-3</v>
      </c>
      <c r="P3" s="23">
        <f t="shared" ref="P3:P10" si="0">O3*1000</f>
        <v>1.0711895666006592</v>
      </c>
      <c r="S3" t="s">
        <v>257</v>
      </c>
      <c r="T3" s="3">
        <v>0.19800000000000001</v>
      </c>
      <c r="U3">
        <f>SQRT(O6/U4 *4/PI())</f>
        <v>0.20240469362146721</v>
      </c>
      <c r="V3">
        <f>U3/2</f>
        <v>0.1012023468107336</v>
      </c>
      <c r="AB3" t="s">
        <v>184</v>
      </c>
      <c r="AC3" t="s">
        <v>269</v>
      </c>
    </row>
    <row r="4" spans="1:32" x14ac:dyDescent="0.25">
      <c r="B4" t="s">
        <v>181</v>
      </c>
      <c r="C4">
        <f>(C2/D2)*D4</f>
        <v>5.7777777777777768</v>
      </c>
      <c r="D4" s="3">
        <v>40</v>
      </c>
      <c r="I4" t="s">
        <v>227</v>
      </c>
      <c r="J4">
        <v>5</v>
      </c>
      <c r="K4" s="25">
        <f t="shared" ref="K4:K11" si="1">J4*0.0254</f>
        <v>0.127</v>
      </c>
      <c r="L4" s="32">
        <f>K4/2</f>
        <v>6.3500000000000001E-2</v>
      </c>
      <c r="M4" s="32"/>
      <c r="N4" t="s">
        <v>168</v>
      </c>
      <c r="O4" s="26">
        <f>J14*K6</f>
        <v>1.0711895666006591E-3</v>
      </c>
      <c r="P4" s="23">
        <f t="shared" si="0"/>
        <v>1.0711895666006592</v>
      </c>
      <c r="S4" t="s">
        <v>258</v>
      </c>
      <c r="T4">
        <f>O6/(PI()/4*T3^2)</f>
        <v>7.8374005203550659E-2</v>
      </c>
      <c r="U4" s="3">
        <v>7.4999999999999997E-2</v>
      </c>
    </row>
    <row r="5" spans="1:32" x14ac:dyDescent="0.25">
      <c r="B5" t="s">
        <v>194</v>
      </c>
      <c r="I5" t="s">
        <v>275</v>
      </c>
      <c r="J5">
        <v>3.8</v>
      </c>
      <c r="K5" s="25">
        <f t="shared" si="1"/>
        <v>9.6519999999999995E-2</v>
      </c>
      <c r="N5" t="s">
        <v>279</v>
      </c>
      <c r="O5" s="26">
        <f>PI()/4*K3^2*K7*J17</f>
        <v>2.5191076137627399E-3</v>
      </c>
      <c r="P5" s="23">
        <f t="shared" si="0"/>
        <v>2.5191076137627397</v>
      </c>
      <c r="AC5" t="s">
        <v>260</v>
      </c>
      <c r="AD5" t="s">
        <v>182</v>
      </c>
      <c r="AE5" t="s">
        <v>183</v>
      </c>
      <c r="AF5" t="s">
        <v>185</v>
      </c>
    </row>
    <row r="6" spans="1:32" x14ac:dyDescent="0.25">
      <c r="I6" t="s">
        <v>276</v>
      </c>
      <c r="J6">
        <v>3.8</v>
      </c>
      <c r="K6" s="25">
        <f t="shared" si="1"/>
        <v>9.6519999999999995E-2</v>
      </c>
      <c r="N6" t="s">
        <v>241</v>
      </c>
      <c r="O6" s="26">
        <f>PI()/4*K4^2*K8</f>
        <v>2.4131943692018332E-3</v>
      </c>
      <c r="P6" s="23">
        <f>O6*1000</f>
        <v>2.4131943692018334</v>
      </c>
      <c r="S6" t="s">
        <v>228</v>
      </c>
      <c r="T6" s="3">
        <v>7.4999999999999997E-2</v>
      </c>
      <c r="AB6" t="s">
        <v>262</v>
      </c>
      <c r="AC6" s="29">
        <f>2535/4</f>
        <v>633.75</v>
      </c>
      <c r="AD6" s="29">
        <f>54356/4</f>
        <v>13589</v>
      </c>
      <c r="AE6" s="29">
        <f>51821/4</f>
        <v>12955.25</v>
      </c>
      <c r="AF6" s="5">
        <f>AC6/AD6</f>
        <v>4.6636985797336078E-2</v>
      </c>
    </row>
    <row r="7" spans="1:32" x14ac:dyDescent="0.25">
      <c r="I7" t="s">
        <v>278</v>
      </c>
      <c r="J7" s="10">
        <f>J5*G19</f>
        <v>2.2653846153846153</v>
      </c>
      <c r="K7" s="25">
        <f t="shared" si="1"/>
        <v>5.7540769230769229E-2</v>
      </c>
      <c r="N7" t="s">
        <v>254</v>
      </c>
      <c r="O7" s="26">
        <f>0.1*SUM(O3:O6)</f>
        <v>7.0746811161658907E-4</v>
      </c>
      <c r="P7" s="26">
        <f>O7*1000</f>
        <v>0.70746811161658907</v>
      </c>
      <c r="S7" t="s">
        <v>227</v>
      </c>
      <c r="T7">
        <f>SQRT(O7/T6 *4/PI())</f>
        <v>0.10959175007571517</v>
      </c>
      <c r="U7">
        <f>T7/2</f>
        <v>5.4795875037857586E-2</v>
      </c>
      <c r="AB7" t="s">
        <v>263</v>
      </c>
      <c r="AC7" s="29">
        <f>8330/4</f>
        <v>2082.5</v>
      </c>
      <c r="AD7" s="29">
        <f>60930/4</f>
        <v>15232.5</v>
      </c>
      <c r="AE7" s="29">
        <f>52599/4</f>
        <v>13149.75</v>
      </c>
      <c r="AF7" s="5">
        <f t="shared" ref="AF7:AF11" si="2">AC7/AD7</f>
        <v>0.1367142622681766</v>
      </c>
    </row>
    <row r="8" spans="1:32" x14ac:dyDescent="0.25">
      <c r="A8" t="s">
        <v>196</v>
      </c>
      <c r="B8" t="s">
        <v>186</v>
      </c>
      <c r="C8" s="3">
        <v>105</v>
      </c>
      <c r="D8" s="3">
        <v>540</v>
      </c>
      <c r="I8" t="s">
        <v>228</v>
      </c>
      <c r="J8">
        <v>7.5</v>
      </c>
      <c r="K8" s="25">
        <f>J8*0.0254</f>
        <v>0.1905</v>
      </c>
      <c r="N8" t="s">
        <v>287</v>
      </c>
      <c r="O8" s="26">
        <f>2*0.00073</f>
        <v>1.4599999999999999E-3</v>
      </c>
      <c r="P8" s="26">
        <f t="shared" ref="P8:P9" si="3">O8*1000</f>
        <v>1.46</v>
      </c>
      <c r="AB8" t="s">
        <v>264</v>
      </c>
      <c r="AC8" s="29">
        <f>13404/4</f>
        <v>3351</v>
      </c>
      <c r="AD8" s="29">
        <f>67502/4</f>
        <v>16875.5</v>
      </c>
      <c r="AE8" s="29">
        <f>54099/4</f>
        <v>13524.75</v>
      </c>
      <c r="AF8" s="5">
        <f t="shared" si="2"/>
        <v>0.19857189416609877</v>
      </c>
    </row>
    <row r="9" spans="1:32" x14ac:dyDescent="0.25">
      <c r="B9" t="s">
        <v>189</v>
      </c>
      <c r="C9">
        <f>(C8/D8)*D9</f>
        <v>5.833333333333333</v>
      </c>
      <c r="D9" s="3">
        <v>30</v>
      </c>
      <c r="N9" t="s">
        <v>288</v>
      </c>
      <c r="O9" s="26">
        <f>2*0.000127</f>
        <v>2.5399999999999999E-4</v>
      </c>
      <c r="P9" s="26">
        <f t="shared" si="3"/>
        <v>0.254</v>
      </c>
      <c r="AB9" t="s">
        <v>265</v>
      </c>
      <c r="AC9" s="29">
        <f>17926/4</f>
        <v>4481.5</v>
      </c>
      <c r="AD9" s="29">
        <f>74074/4</f>
        <v>18518.5</v>
      </c>
      <c r="AE9" s="29">
        <f>56148/4</f>
        <v>14037</v>
      </c>
      <c r="AF9" s="5">
        <f t="shared" si="2"/>
        <v>0.24200124200124201</v>
      </c>
    </row>
    <row r="10" spans="1:32" x14ac:dyDescent="0.25">
      <c r="I10" t="s">
        <v>230</v>
      </c>
      <c r="O10" s="26"/>
      <c r="P10" s="23"/>
      <c r="AB10" t="s">
        <v>266</v>
      </c>
      <c r="AC10" s="29">
        <f>22025/4</f>
        <v>5506.25</v>
      </c>
      <c r="AD10" s="29">
        <f>80645/4</f>
        <v>20161.25</v>
      </c>
      <c r="AE10" s="29">
        <f>58620/4</f>
        <v>14655</v>
      </c>
      <c r="AF10" s="5">
        <f t="shared" si="2"/>
        <v>0.27311054622109243</v>
      </c>
    </row>
    <row r="11" spans="1:32" x14ac:dyDescent="0.25">
      <c r="I11" t="s">
        <v>231</v>
      </c>
      <c r="J11" s="10">
        <f>1/16</f>
        <v>6.25E-2</v>
      </c>
      <c r="K11" s="35">
        <f>J11*0.0254</f>
        <v>1.5874999999999999E-3</v>
      </c>
      <c r="N11" t="s">
        <v>242</v>
      </c>
      <c r="O11" s="26">
        <f>SUM(O3:O10)</f>
        <v>9.496149227782481E-3</v>
      </c>
      <c r="P11" s="40">
        <f>O11*1000</f>
        <v>9.4961492277824817</v>
      </c>
      <c r="AB11" t="s">
        <v>267</v>
      </c>
      <c r="AC11" s="29">
        <f>25000/4</f>
        <v>6250</v>
      </c>
      <c r="AD11" s="29">
        <f>84723/4</f>
        <v>21180.75</v>
      </c>
      <c r="AE11" s="29">
        <f>59723/4</f>
        <v>14930.75</v>
      </c>
      <c r="AF11" s="5">
        <f t="shared" si="2"/>
        <v>0.29507925828877635</v>
      </c>
    </row>
    <row r="12" spans="1:32" x14ac:dyDescent="0.25">
      <c r="A12" t="s">
        <v>274</v>
      </c>
      <c r="B12" t="s">
        <v>186</v>
      </c>
      <c r="C12" s="3">
        <v>105</v>
      </c>
      <c r="D12" s="3">
        <v>580</v>
      </c>
      <c r="I12" t="s">
        <v>234</v>
      </c>
      <c r="J12">
        <v>5.1999999999999998E-2</v>
      </c>
      <c r="K12" s="35">
        <f>J12*0.0254</f>
        <v>1.3207999999999998E-3</v>
      </c>
      <c r="N12" t="s">
        <v>283</v>
      </c>
      <c r="P12" t="s">
        <v>284</v>
      </c>
      <c r="Q12" t="s">
        <v>285</v>
      </c>
    </row>
    <row r="13" spans="1:32" x14ac:dyDescent="0.25">
      <c r="B13" t="s">
        <v>273</v>
      </c>
      <c r="C13">
        <f>C12/D12*D13</f>
        <v>3.8017241379310347</v>
      </c>
      <c r="D13">
        <v>21</v>
      </c>
      <c r="F13" t="s">
        <v>199</v>
      </c>
      <c r="G13" s="3"/>
      <c r="I13" t="s">
        <v>229</v>
      </c>
      <c r="J13">
        <v>8100</v>
      </c>
      <c r="P13">
        <f>20*PI()/180</f>
        <v>0.3490658503988659</v>
      </c>
      <c r="Q13" t="s">
        <v>286</v>
      </c>
      <c r="AB13" t="s">
        <v>268</v>
      </c>
      <c r="AC13" s="29">
        <v>33.624937680368099</v>
      </c>
      <c r="AD13" s="29">
        <v>31806.288078847101</v>
      </c>
      <c r="AE13" s="29">
        <v>30597.0881813341</v>
      </c>
      <c r="AF13" s="5">
        <v>1.0571789325749901E-3</v>
      </c>
    </row>
    <row r="14" spans="1:32" x14ac:dyDescent="0.25">
      <c r="B14" s="42" t="s">
        <v>272</v>
      </c>
      <c r="C14" s="42">
        <f>C12/D12*D14</f>
        <v>2.5344827586206895</v>
      </c>
      <c r="D14" s="42">
        <v>14</v>
      </c>
      <c r="G14" s="3"/>
      <c r="I14" t="s">
        <v>249</v>
      </c>
      <c r="J14">
        <f>PI()/4*K12^2*J13</f>
        <v>1.109810989018503E-2</v>
      </c>
      <c r="K14" t="s">
        <v>250</v>
      </c>
      <c r="AB14" t="s">
        <v>263</v>
      </c>
      <c r="AC14" s="29">
        <v>407.98686582899302</v>
      </c>
      <c r="AD14" s="29">
        <v>42611.580880815003</v>
      </c>
      <c r="AE14" s="29">
        <v>40780.465471864198</v>
      </c>
      <c r="AF14" s="5">
        <v>9.5745536165423202E-3</v>
      </c>
    </row>
    <row r="15" spans="1:32" x14ac:dyDescent="0.25">
      <c r="B15" s="42" t="s">
        <v>277</v>
      </c>
      <c r="C15" s="42">
        <f>C12/D12*D15</f>
        <v>1.8103448275862069</v>
      </c>
      <c r="D15" s="42">
        <v>10</v>
      </c>
      <c r="N15" s="3" t="s">
        <v>244</v>
      </c>
      <c r="O15" s="39">
        <f>O21*O24*K12/O16</f>
        <v>8742.6703581649708</v>
      </c>
      <c r="AB15" t="s">
        <v>264</v>
      </c>
      <c r="AC15" s="29">
        <v>775.36538270033998</v>
      </c>
      <c r="AD15" s="29">
        <v>52932.9101988443</v>
      </c>
      <c r="AE15" s="29">
        <v>50467.936313245496</v>
      </c>
      <c r="AF15" s="5">
        <v>1.46480777230584E-2</v>
      </c>
    </row>
    <row r="16" spans="1:32" x14ac:dyDescent="0.25">
      <c r="I16" t="s">
        <v>84</v>
      </c>
      <c r="N16" t="s">
        <v>210</v>
      </c>
      <c r="O16">
        <v>2.1739999999999999E-5</v>
      </c>
      <c r="AB16" t="s">
        <v>265</v>
      </c>
      <c r="AC16" s="29">
        <v>1133.73371908735</v>
      </c>
      <c r="AD16" s="29">
        <v>62936.9031532972</v>
      </c>
      <c r="AE16" s="29">
        <v>59814.6076987591</v>
      </c>
      <c r="AF16" s="5">
        <v>1.8013814825395599E-2</v>
      </c>
    </row>
    <row r="17" spans="1:32" x14ac:dyDescent="0.25">
      <c r="A17" t="s">
        <v>197</v>
      </c>
      <c r="B17" t="s">
        <v>188</v>
      </c>
      <c r="C17">
        <f>E17*C21</f>
        <v>14</v>
      </c>
      <c r="D17" s="3">
        <v>320</v>
      </c>
      <c r="E17" s="3">
        <v>2</v>
      </c>
      <c r="I17" t="s">
        <v>280</v>
      </c>
      <c r="J17">
        <v>0.6</v>
      </c>
      <c r="N17" t="s">
        <v>245</v>
      </c>
      <c r="O17">
        <v>373</v>
      </c>
      <c r="P17" t="s">
        <v>246</v>
      </c>
      <c r="AB17" t="s">
        <v>266</v>
      </c>
      <c r="AC17" s="29">
        <v>1487.38496438425</v>
      </c>
      <c r="AD17" s="29">
        <v>72570.588416346</v>
      </c>
      <c r="AE17" s="29">
        <v>68772.461502854698</v>
      </c>
      <c r="AF17" s="5">
        <v>2.04956993851413E-2</v>
      </c>
    </row>
    <row r="18" spans="1:32" x14ac:dyDescent="0.25">
      <c r="B18" t="s">
        <v>273</v>
      </c>
      <c r="D18" s="3">
        <v>104</v>
      </c>
      <c r="N18" t="s">
        <v>209</v>
      </c>
      <c r="O18">
        <v>297</v>
      </c>
      <c r="AB18" t="s">
        <v>267</v>
      </c>
      <c r="AC18" s="29">
        <v>1828.25605762856</v>
      </c>
      <c r="AD18" s="29">
        <v>81779.622321542105</v>
      </c>
      <c r="AE18" s="29">
        <v>77295.310436942498</v>
      </c>
      <c r="AF18" s="5">
        <v>2.2355887759425E-2</v>
      </c>
    </row>
    <row r="19" spans="1:32" x14ac:dyDescent="0.25">
      <c r="B19" t="s">
        <v>277</v>
      </c>
      <c r="D19" s="3">
        <v>62</v>
      </c>
      <c r="F19" t="s">
        <v>281</v>
      </c>
      <c r="G19">
        <f>D19/D18</f>
        <v>0.59615384615384615</v>
      </c>
      <c r="AC19" s="29"/>
      <c r="AD19" s="29"/>
      <c r="AE19" s="29"/>
      <c r="AF19" s="5"/>
    </row>
    <row r="20" spans="1:32" x14ac:dyDescent="0.25">
      <c r="B20" t="s">
        <v>187</v>
      </c>
      <c r="C20">
        <f>E20*C21</f>
        <v>7</v>
      </c>
      <c r="D20">
        <f>E20*D21</f>
        <v>160</v>
      </c>
      <c r="E20" s="3">
        <v>1</v>
      </c>
      <c r="N20" t="s">
        <v>252</v>
      </c>
      <c r="O20" s="29">
        <f>580*6894.76</f>
        <v>3998960.8000000003</v>
      </c>
      <c r="P20" t="s">
        <v>253</v>
      </c>
    </row>
    <row r="21" spans="1:32" x14ac:dyDescent="0.25">
      <c r="B21" t="s">
        <v>190</v>
      </c>
      <c r="C21" s="3">
        <v>7</v>
      </c>
      <c r="D21">
        <f>D17/E17</f>
        <v>160</v>
      </c>
      <c r="N21" t="s">
        <v>120</v>
      </c>
      <c r="O21" s="10">
        <f>O20/(O18*O17)</f>
        <v>36.097894043202359</v>
      </c>
    </row>
    <row r="22" spans="1:32" x14ac:dyDescent="0.25">
      <c r="B22" s="3" t="s">
        <v>282</v>
      </c>
      <c r="C22" s="3"/>
      <c r="O22" s="10"/>
    </row>
    <row r="23" spans="1:32" x14ac:dyDescent="0.25">
      <c r="N23" t="s">
        <v>126</v>
      </c>
      <c r="O23" s="10">
        <f>550/60</f>
        <v>9.1666666666666661</v>
      </c>
      <c r="P23" t="s">
        <v>247</v>
      </c>
    </row>
    <row r="24" spans="1:32" x14ac:dyDescent="0.25">
      <c r="A24" t="s">
        <v>198</v>
      </c>
      <c r="B24" t="s">
        <v>178</v>
      </c>
      <c r="C24" s="3">
        <v>52</v>
      </c>
      <c r="D24" s="3">
        <v>365</v>
      </c>
      <c r="N24" t="s">
        <v>248</v>
      </c>
      <c r="O24" s="23">
        <f>O6*2*O23/J14</f>
        <v>3.9864352764993809</v>
      </c>
      <c r="P24" t="s">
        <v>251</v>
      </c>
    </row>
    <row r="25" spans="1:32" x14ac:dyDescent="0.25">
      <c r="B25" t="s">
        <v>180</v>
      </c>
      <c r="C25">
        <f>(C24/D24)*D25</f>
        <v>12.536986301369863</v>
      </c>
      <c r="D25" s="3">
        <v>88</v>
      </c>
    </row>
    <row r="26" spans="1:32" x14ac:dyDescent="0.25">
      <c r="B26" t="s">
        <v>200</v>
      </c>
      <c r="C26">
        <f>(C24/D24)*D26</f>
        <v>7.5506849315068489</v>
      </c>
      <c r="D26" s="3">
        <v>53</v>
      </c>
      <c r="I26" t="s">
        <v>195</v>
      </c>
      <c r="N26" t="s">
        <v>196</v>
      </c>
      <c r="R26" t="s">
        <v>197</v>
      </c>
      <c r="X26" t="s">
        <v>224</v>
      </c>
    </row>
    <row r="27" spans="1:32" x14ac:dyDescent="0.25">
      <c r="B27" t="s">
        <v>187</v>
      </c>
      <c r="C27">
        <f>(C24/D24)*D27</f>
        <v>4.2739726027397262</v>
      </c>
      <c r="D27" s="3">
        <v>30</v>
      </c>
      <c r="F27" t="s">
        <v>199</v>
      </c>
    </row>
    <row r="30" spans="1:32" x14ac:dyDescent="0.25">
      <c r="B30" t="s">
        <v>201</v>
      </c>
      <c r="C30" s="3">
        <v>97</v>
      </c>
    </row>
    <row r="31" spans="1:32" x14ac:dyDescent="0.25">
      <c r="B31" t="s">
        <v>202</v>
      </c>
      <c r="C31" s="3">
        <v>2</v>
      </c>
      <c r="D31" t="s">
        <v>203</v>
      </c>
    </row>
    <row r="32" spans="1:32" x14ac:dyDescent="0.25">
      <c r="B32" t="s">
        <v>204</v>
      </c>
      <c r="C32">
        <v>12</v>
      </c>
      <c r="D32" t="s">
        <v>29</v>
      </c>
    </row>
    <row r="33" spans="2:5" x14ac:dyDescent="0.25">
      <c r="B33" t="s">
        <v>206</v>
      </c>
      <c r="C33" s="23">
        <f>C32/C30/C31</f>
        <v>6.1855670103092786E-2</v>
      </c>
      <c r="D33">
        <f>1/16</f>
        <v>6.25E-2</v>
      </c>
    </row>
    <row r="34" spans="2:5" x14ac:dyDescent="0.25">
      <c r="B34" t="s">
        <v>205</v>
      </c>
      <c r="C34" s="23">
        <f>C33*25.4</f>
        <v>1.5711340206185567</v>
      </c>
    </row>
    <row r="35" spans="2:5" x14ac:dyDescent="0.25">
      <c r="B35" t="s">
        <v>207</v>
      </c>
      <c r="C35" s="23">
        <f>C33*16</f>
        <v>0.98969072164948457</v>
      </c>
      <c r="E35" s="33" t="s">
        <v>208</v>
      </c>
    </row>
    <row r="36" spans="2:5" x14ac:dyDescent="0.25">
      <c r="B36" t="s">
        <v>229</v>
      </c>
      <c r="C36">
        <v>8100</v>
      </c>
    </row>
    <row r="38" spans="2:5" x14ac:dyDescent="0.25">
      <c r="B38" t="s">
        <v>235</v>
      </c>
      <c r="C38" s="41">
        <f>PI()/4*C32^2</f>
        <v>113.09733552923255</v>
      </c>
      <c r="D38" t="s">
        <v>255</v>
      </c>
    </row>
    <row r="39" spans="2:5" x14ac:dyDescent="0.25">
      <c r="B39" t="s">
        <v>236</v>
      </c>
      <c r="C39" s="10">
        <f>PI()/4*D33^2*C36</f>
        <v>24.850488763747386</v>
      </c>
    </row>
    <row r="40" spans="2:5" ht="30" x14ac:dyDescent="0.25">
      <c r="B40" s="1" t="s">
        <v>237</v>
      </c>
      <c r="C40" s="32">
        <f>2*SQRT(3)*(C31*D33/2)^2</f>
        <v>1.3531646934131853E-2</v>
      </c>
    </row>
    <row r="41" spans="2:5" ht="30" x14ac:dyDescent="0.25">
      <c r="B41" s="1" t="s">
        <v>238</v>
      </c>
      <c r="C41" s="41">
        <f>C40*C36</f>
        <v>109.60634016646802</v>
      </c>
      <c r="D41">
        <f>C41/C38</f>
        <v>0.96913282398361889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B308-AB9E-4530-99CE-0ADF96F3D6F1}">
  <dimension ref="A2:G18"/>
  <sheetViews>
    <sheetView workbookViewId="0">
      <selection activeCell="B22" sqref="B22"/>
    </sheetView>
  </sheetViews>
  <sheetFormatPr defaultRowHeight="15" x14ac:dyDescent="0.25"/>
  <cols>
    <col min="1" max="1" width="31.140625" style="3" customWidth="1"/>
    <col min="2" max="2" width="13" bestFit="1" customWidth="1"/>
    <col min="3" max="3" width="12.5703125" bestFit="1" customWidth="1"/>
    <col min="4" max="4" width="13.7109375" bestFit="1" customWidth="1"/>
    <col min="5" max="5" width="14.7109375" bestFit="1" customWidth="1"/>
  </cols>
  <sheetData>
    <row r="2" spans="1:7" s="3" customFormat="1" x14ac:dyDescent="0.25">
      <c r="B2" s="3" t="s">
        <v>211</v>
      </c>
      <c r="C2" s="3" t="s">
        <v>214</v>
      </c>
      <c r="D2" s="3" t="s">
        <v>212</v>
      </c>
      <c r="E2" s="3" t="s">
        <v>213</v>
      </c>
    </row>
    <row r="3" spans="1:7" x14ac:dyDescent="0.25">
      <c r="A3" s="3" t="s">
        <v>209</v>
      </c>
      <c r="B3">
        <v>287</v>
      </c>
      <c r="C3">
        <v>297</v>
      </c>
      <c r="D3">
        <v>2077</v>
      </c>
      <c r="E3">
        <v>4124</v>
      </c>
      <c r="G3" t="s">
        <v>219</v>
      </c>
    </row>
    <row r="4" spans="1:7" x14ac:dyDescent="0.25">
      <c r="A4" s="34" t="s">
        <v>223</v>
      </c>
      <c r="D4">
        <f>D3/B3</f>
        <v>7.2369337979094075</v>
      </c>
      <c r="E4">
        <f>E3/B3</f>
        <v>14.369337979094077</v>
      </c>
    </row>
    <row r="5" spans="1:7" x14ac:dyDescent="0.25">
      <c r="A5" s="3" t="s">
        <v>123</v>
      </c>
      <c r="B5">
        <v>2.5999999999999999E-2</v>
      </c>
      <c r="C5">
        <v>2.5999999999999999E-2</v>
      </c>
      <c r="D5">
        <v>0.14899999999999999</v>
      </c>
      <c r="E5">
        <v>0.182</v>
      </c>
    </row>
    <row r="6" spans="1:7" x14ac:dyDescent="0.25">
      <c r="A6" s="34" t="s">
        <v>223</v>
      </c>
      <c r="D6">
        <f>D5/$B$5</f>
        <v>5.7307692307692308</v>
      </c>
      <c r="E6" s="35">
        <f>E5/$B$5</f>
        <v>7</v>
      </c>
    </row>
    <row r="7" spans="1:7" x14ac:dyDescent="0.25">
      <c r="A7" s="3" t="s">
        <v>120</v>
      </c>
      <c r="B7">
        <v>1.2050000000000001</v>
      </c>
      <c r="C7">
        <v>1.165</v>
      </c>
      <c r="D7" s="23">
        <v>0.16639999999999999</v>
      </c>
      <c r="E7" s="23">
        <f>1/12</f>
        <v>8.3333333333333329E-2</v>
      </c>
    </row>
    <row r="8" spans="1:7" x14ac:dyDescent="0.25">
      <c r="A8" s="3" t="s">
        <v>124</v>
      </c>
      <c r="B8">
        <v>1005</v>
      </c>
      <c r="C8">
        <v>1039</v>
      </c>
      <c r="D8">
        <v>5193</v>
      </c>
      <c r="E8">
        <v>14307</v>
      </c>
    </row>
    <row r="9" spans="1:7" x14ac:dyDescent="0.25">
      <c r="A9" s="3" t="s">
        <v>210</v>
      </c>
      <c r="B9" s="21">
        <v>1.8499999999999999E-5</v>
      </c>
      <c r="C9" s="21">
        <v>1.8E-5</v>
      </c>
      <c r="D9" s="21">
        <v>1.98E-5</v>
      </c>
      <c r="E9" s="21">
        <v>9.0000000000000002E-6</v>
      </c>
    </row>
    <row r="10" spans="1:7" x14ac:dyDescent="0.25">
      <c r="A10" s="3" t="s">
        <v>220</v>
      </c>
      <c r="B10" s="21">
        <f>B7/B9</f>
        <v>65135.13513513514</v>
      </c>
      <c r="C10" s="21">
        <f t="shared" ref="C10:E10" si="0">C7/C9</f>
        <v>64722.222222222219</v>
      </c>
      <c r="D10" s="21">
        <f t="shared" si="0"/>
        <v>8404.0404040404028</v>
      </c>
      <c r="E10" s="21">
        <f t="shared" si="0"/>
        <v>9259.2592592592591</v>
      </c>
      <c r="G10" t="s">
        <v>221</v>
      </c>
    </row>
    <row r="11" spans="1:7" x14ac:dyDescent="0.25">
      <c r="A11" s="3" t="s">
        <v>222</v>
      </c>
      <c r="B11" s="8">
        <f>B7*B8</f>
        <v>1211.0250000000001</v>
      </c>
      <c r="C11" s="8">
        <f t="shared" ref="C11:E11" si="1">C7*C8</f>
        <v>1210.4349999999999</v>
      </c>
      <c r="D11" s="8">
        <f t="shared" si="1"/>
        <v>864.11519999999996</v>
      </c>
      <c r="E11" s="8">
        <f t="shared" si="1"/>
        <v>1192.25</v>
      </c>
    </row>
    <row r="12" spans="1:7" ht="44.25" customHeight="1" x14ac:dyDescent="0.25">
      <c r="A12" s="2" t="s">
        <v>218</v>
      </c>
      <c r="B12" s="8">
        <f>B3*B5/(B7*B8*B9)</f>
        <v>333.06608150232353</v>
      </c>
      <c r="C12" s="8">
        <f t="shared" ref="C12:E12" si="2">C3*C5/(C7*C8*C9)</f>
        <v>354.41803979561064</v>
      </c>
      <c r="D12" s="8">
        <f t="shared" si="2"/>
        <v>18087.807615176189</v>
      </c>
      <c r="E12" s="8">
        <f t="shared" si="2"/>
        <v>69948.789636774542</v>
      </c>
    </row>
    <row r="14" spans="1:7" ht="34.5" customHeight="1" x14ac:dyDescent="0.25">
      <c r="A14" s="2" t="s">
        <v>215</v>
      </c>
      <c r="B14" s="32">
        <f>B3*B5/(B7*B8)</f>
        <v>6.1617225077929844E-3</v>
      </c>
      <c r="C14" s="32">
        <f t="shared" ref="C14:E14" si="3">C3*C5/(C7*C8)</f>
        <v>6.3795247163209922E-3</v>
      </c>
      <c r="D14" s="32">
        <f t="shared" si="3"/>
        <v>0.35813859078048854</v>
      </c>
      <c r="E14" s="32">
        <f t="shared" si="3"/>
        <v>0.6295391067309708</v>
      </c>
    </row>
    <row r="15" spans="1:7" x14ac:dyDescent="0.25">
      <c r="A15" s="36" t="s">
        <v>216</v>
      </c>
      <c r="B15" s="37"/>
      <c r="C15" s="38">
        <f>C14/$B14</f>
        <v>1.0353476172048555</v>
      </c>
      <c r="D15" s="38">
        <f t="shared" ref="D15:E15" si="4">D14/$B14</f>
        <v>58.123128772439188</v>
      </c>
      <c r="E15" s="38">
        <f t="shared" si="4"/>
        <v>102.16933754072286</v>
      </c>
    </row>
    <row r="17" spans="1:5" ht="45" x14ac:dyDescent="0.25">
      <c r="A17" s="2" t="s">
        <v>217</v>
      </c>
      <c r="B17" s="21">
        <f>B9</f>
        <v>1.8499999999999999E-5</v>
      </c>
      <c r="C17" s="21">
        <f t="shared" ref="C17:E17" si="5">C9</f>
        <v>1.8E-5</v>
      </c>
      <c r="D17" s="21">
        <f t="shared" si="5"/>
        <v>1.98E-5</v>
      </c>
      <c r="E17" s="21">
        <f t="shared" si="5"/>
        <v>9.0000000000000002E-6</v>
      </c>
    </row>
    <row r="18" spans="1:5" x14ac:dyDescent="0.25">
      <c r="A18" s="36" t="s">
        <v>216</v>
      </c>
      <c r="B18" s="37"/>
      <c r="C18" s="38">
        <f>C17/$B17</f>
        <v>0.97297297297297303</v>
      </c>
      <c r="D18" s="38">
        <f t="shared" ref="D18" si="6">D17/$B17</f>
        <v>1.0702702702702704</v>
      </c>
      <c r="E18" s="38">
        <f t="shared" ref="E18" si="7">E17/$B17</f>
        <v>0.48648648648648651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Sensitivity Study</vt:lpstr>
      <vt:lpstr>Rapheal Scaling</vt:lpstr>
      <vt:lpstr>Tube bundle scaling</vt:lpstr>
      <vt:lpstr>ThermoHeart dimensions</vt:lpstr>
      <vt:lpstr>Gases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Lottmann</dc:creator>
  <cp:lastModifiedBy>Matthias Lottmann</cp:lastModifiedBy>
  <dcterms:created xsi:type="dcterms:W3CDTF">2015-06-05T18:17:20Z</dcterms:created>
  <dcterms:modified xsi:type="dcterms:W3CDTF">2022-11-01T21:55:44Z</dcterms:modified>
</cp:coreProperties>
</file>