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chs\Documents\Git_Projekte_Uni_Passau_Neu\vortraege_fortbildungen\Material_k_naechste_Nachbarn\KNN_TK_Material\Version_MS_Excel\"/>
    </mc:Choice>
  </mc:AlternateContent>
  <xr:revisionPtr revIDLastSave="0" documentId="13_ncr:1_{2379ED53-CB64-4296-A6FB-3292A1A87558}" xr6:coauthVersionLast="47" xr6:coauthVersionMax="47" xr10:uidLastSave="{00000000-0000-0000-0000-000000000000}"/>
  <bookViews>
    <workbookView xWindow="-120" yWindow="-120" windowWidth="29040" windowHeight="15720" xr2:uid="{1F6EC3A2-A9BD-4E81-AB9D-55C271834E42}"/>
  </bookViews>
  <sheets>
    <sheet name="Klassifikation" sheetId="2" r:id="rId1"/>
    <sheet name="Training_Dateneingabe" sheetId="1" r:id="rId2"/>
    <sheet name="Bestimmung k_Allgemein" sheetId="6" r:id="rId3"/>
    <sheet name="Bestimmung k_Leave One Out" sheetId="3" r:id="rId4"/>
    <sheet name="Testen_Konfusionsmatrix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I20" i="4" l="1"/>
  <c r="O2" i="2"/>
  <c r="N2" i="2"/>
  <c r="H3" i="2"/>
  <c r="U2" i="2"/>
  <c r="T2" i="2"/>
  <c r="F2" i="2"/>
  <c r="E2" i="2"/>
  <c r="D2" i="2"/>
  <c r="S4" i="4" l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3" i="4"/>
  <c r="AB2" i="4"/>
  <c r="AA2" i="4"/>
  <c r="AE3" i="4"/>
  <c r="S2" i="4"/>
  <c r="R2" i="4"/>
  <c r="Q2" i="4"/>
  <c r="C2" i="4"/>
  <c r="I22" i="4"/>
  <c r="I21" i="4"/>
  <c r="D19" i="6"/>
  <c r="D20" i="6"/>
  <c r="D21" i="6"/>
  <c r="D22" i="6"/>
  <c r="D18" i="6"/>
  <c r="C19" i="6"/>
  <c r="C20" i="6"/>
  <c r="C21" i="6"/>
  <c r="C22" i="6"/>
  <c r="C18" i="6"/>
  <c r="B19" i="6"/>
  <c r="B20" i="6"/>
  <c r="B21" i="6"/>
  <c r="B22" i="6"/>
  <c r="B18" i="6"/>
  <c r="L24" i="6" s="1"/>
  <c r="D17" i="6"/>
  <c r="C17" i="6"/>
  <c r="B17" i="6"/>
  <c r="D4" i="6"/>
  <c r="D5" i="6"/>
  <c r="D6" i="6"/>
  <c r="D7" i="6"/>
  <c r="D8" i="6"/>
  <c r="D9" i="6"/>
  <c r="D10" i="6"/>
  <c r="D11" i="6"/>
  <c r="D12" i="6"/>
  <c r="D3" i="6"/>
  <c r="D2" i="6"/>
  <c r="C3" i="6"/>
  <c r="C4" i="6"/>
  <c r="C5" i="6"/>
  <c r="C6" i="6"/>
  <c r="C7" i="6"/>
  <c r="C8" i="6"/>
  <c r="C9" i="6"/>
  <c r="C10" i="6"/>
  <c r="C11" i="6"/>
  <c r="C12" i="6"/>
  <c r="C2" i="6"/>
  <c r="B3" i="6"/>
  <c r="B4" i="6"/>
  <c r="B5" i="6"/>
  <c r="B6" i="6"/>
  <c r="B7" i="6"/>
  <c r="B8" i="6"/>
  <c r="B9" i="6"/>
  <c r="B10" i="6"/>
  <c r="B11" i="6"/>
  <c r="B12" i="6"/>
  <c r="B2" i="6"/>
  <c r="G17" i="6"/>
  <c r="F17" i="6"/>
  <c r="E17" i="6"/>
  <c r="E18" i="6" s="1"/>
  <c r="B2" i="3" a="1"/>
  <c r="B2" i="3" s="1"/>
  <c r="F18" i="6" l="1"/>
  <c r="G18" i="6"/>
  <c r="U5" i="6"/>
  <c r="K5" i="6" a="1"/>
  <c r="K5" i="6" s="1"/>
  <c r="F22" i="6"/>
  <c r="F20" i="6"/>
  <c r="E22" i="6"/>
  <c r="G21" i="6"/>
  <c r="G19" i="6"/>
  <c r="K24" i="6"/>
  <c r="U6" i="6"/>
  <c r="U24" i="6"/>
  <c r="H20" i="6"/>
  <c r="H19" i="6"/>
  <c r="T24" i="6"/>
  <c r="U4" i="6"/>
  <c r="S24" i="6"/>
  <c r="R24" i="6"/>
  <c r="Q24" i="6"/>
  <c r="P24" i="6"/>
  <c r="M24" i="6"/>
  <c r="H18" i="6"/>
  <c r="O24" i="6"/>
  <c r="N24" i="6"/>
  <c r="E20" i="6"/>
  <c r="F21" i="6"/>
  <c r="G22" i="6"/>
  <c r="E21" i="6"/>
  <c r="F19" i="6"/>
  <c r="G20" i="6"/>
  <c r="E19" i="6"/>
  <c r="H22" i="6"/>
  <c r="H21" i="6"/>
  <c r="U9" i="6"/>
  <c r="U10" i="6"/>
  <c r="U7" i="6"/>
  <c r="H3" i="6"/>
  <c r="U12" i="6"/>
  <c r="U8" i="6"/>
  <c r="U11" i="6"/>
  <c r="U3" i="6"/>
  <c r="G2" i="6"/>
  <c r="F2" i="6"/>
  <c r="E2" i="6"/>
  <c r="E3" i="6" s="1"/>
  <c r="G4" i="4"/>
  <c r="G5" i="4"/>
  <c r="G6" i="4"/>
  <c r="G7" i="4"/>
  <c r="G3" i="4"/>
  <c r="F2" i="4"/>
  <c r="F3" i="4" s="1"/>
  <c r="E2" i="4"/>
  <c r="E4" i="4" s="1"/>
  <c r="D2" i="4"/>
  <c r="D6" i="4" s="1"/>
  <c r="G2" i="3"/>
  <c r="F2" i="3"/>
  <c r="E2" i="3"/>
  <c r="L19" i="4"/>
  <c r="K19" i="4"/>
  <c r="J19" i="4"/>
  <c r="V2" i="4"/>
  <c r="V4" i="4" s="1"/>
  <c r="U2" i="4"/>
  <c r="U8" i="4" s="1"/>
  <c r="T2" i="4"/>
  <c r="T9" i="4" s="1"/>
  <c r="B2" i="4"/>
  <c r="I4" i="4" s="1"/>
  <c r="A2" i="4"/>
  <c r="I3" i="4" s="1"/>
  <c r="K25" i="4"/>
  <c r="J5" i="4" a="1"/>
  <c r="J5" i="4" s="1"/>
  <c r="AR9" i="4"/>
  <c r="AQ9" i="4"/>
  <c r="AO9" i="4"/>
  <c r="AN9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3" i="4"/>
  <c r="AR8" i="4"/>
  <c r="AR3" i="4"/>
  <c r="AO8" i="4"/>
  <c r="AO3" i="4"/>
  <c r="AL8" i="4"/>
  <c r="AL3" i="4"/>
  <c r="AI3" i="4"/>
  <c r="AI8" i="4"/>
  <c r="AF8" i="4"/>
  <c r="AF3" i="4"/>
  <c r="AQ8" i="4"/>
  <c r="AQ3" i="4"/>
  <c r="AN8" i="4"/>
  <c r="AN3" i="4"/>
  <c r="AK8" i="4"/>
  <c r="AK3" i="4"/>
  <c r="AH8" i="4"/>
  <c r="AH3" i="4"/>
  <c r="AE8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3" i="4"/>
  <c r="Z2" i="4"/>
  <c r="N12" i="4"/>
  <c r="O12" i="4" s="1"/>
  <c r="N11" i="4"/>
  <c r="O11" i="4" s="1"/>
  <c r="N10" i="4"/>
  <c r="N9" i="4"/>
  <c r="N8" i="4"/>
  <c r="N7" i="4"/>
  <c r="N6" i="4"/>
  <c r="N5" i="4"/>
  <c r="N4" i="4"/>
  <c r="N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3" i="4"/>
  <c r="R12" i="2"/>
  <c r="E7" i="4" l="1"/>
  <c r="E3" i="4"/>
  <c r="E6" i="4"/>
  <c r="D4" i="4"/>
  <c r="F7" i="4"/>
  <c r="F6" i="4"/>
  <c r="F5" i="4"/>
  <c r="F4" i="4"/>
  <c r="D3" i="4"/>
  <c r="D7" i="4"/>
  <c r="J20" i="6"/>
  <c r="E12" i="6"/>
  <c r="F11" i="6"/>
  <c r="G10" i="6"/>
  <c r="H9" i="6"/>
  <c r="J19" i="6"/>
  <c r="E11" i="6"/>
  <c r="F10" i="6"/>
  <c r="G9" i="6"/>
  <c r="H8" i="6"/>
  <c r="V2" i="6"/>
  <c r="J18" i="6"/>
  <c r="E10" i="6"/>
  <c r="F9" i="6"/>
  <c r="G8" i="6"/>
  <c r="H7" i="6"/>
  <c r="E9" i="6"/>
  <c r="F8" i="6"/>
  <c r="G7" i="6"/>
  <c r="H6" i="6"/>
  <c r="E8" i="6"/>
  <c r="F7" i="6"/>
  <c r="G6" i="6"/>
  <c r="H5" i="6"/>
  <c r="H10" i="6"/>
  <c r="F4" i="6"/>
  <c r="F12" i="6"/>
  <c r="G4" i="6"/>
  <c r="H4" i="6"/>
  <c r="H12" i="6"/>
  <c r="E6" i="6"/>
  <c r="G3" i="6"/>
  <c r="F6" i="6"/>
  <c r="G11" i="6"/>
  <c r="G5" i="6"/>
  <c r="E4" i="6"/>
  <c r="G12" i="6"/>
  <c r="X2" i="6"/>
  <c r="J4" i="6"/>
  <c r="F3" i="6"/>
  <c r="H11" i="6"/>
  <c r="E5" i="6"/>
  <c r="J22" i="6"/>
  <c r="E7" i="6"/>
  <c r="F5" i="6"/>
  <c r="J21" i="6"/>
  <c r="D5" i="4"/>
  <c r="E5" i="4"/>
  <c r="V15" i="4"/>
  <c r="V14" i="4"/>
  <c r="V13" i="4"/>
  <c r="V9" i="4"/>
  <c r="V12" i="4"/>
  <c r="V11" i="4"/>
  <c r="V10" i="4"/>
  <c r="V8" i="4"/>
  <c r="V7" i="4"/>
  <c r="V3" i="4"/>
  <c r="V6" i="4"/>
  <c r="V17" i="4"/>
  <c r="V5" i="4"/>
  <c r="V16" i="4"/>
  <c r="U9" i="4"/>
  <c r="U7" i="4"/>
  <c r="U3" i="4"/>
  <c r="U6" i="4"/>
  <c r="U17" i="4"/>
  <c r="U5" i="4"/>
  <c r="U16" i="4"/>
  <c r="U4" i="4"/>
  <c r="U15" i="4"/>
  <c r="U14" i="4"/>
  <c r="U13" i="4"/>
  <c r="U12" i="4"/>
  <c r="U11" i="4"/>
  <c r="U10" i="4"/>
  <c r="T6" i="4"/>
  <c r="T17" i="4"/>
  <c r="T5" i="4"/>
  <c r="T16" i="4"/>
  <c r="T4" i="4"/>
  <c r="T7" i="4"/>
  <c r="T3" i="4"/>
  <c r="T15" i="4"/>
  <c r="T13" i="4"/>
  <c r="T11" i="4"/>
  <c r="T10" i="4"/>
  <c r="T8" i="4"/>
  <c r="T14" i="4"/>
  <c r="T12" i="4"/>
  <c r="X15" i="4"/>
  <c r="X4" i="4"/>
  <c r="X12" i="4"/>
  <c r="X10" i="4"/>
  <c r="X17" i="4"/>
  <c r="X8" i="4"/>
  <c r="X7" i="4"/>
  <c r="X14" i="4"/>
  <c r="X6" i="4"/>
  <c r="X13" i="4"/>
  <c r="X5" i="4"/>
  <c r="X16" i="4"/>
  <c r="X9" i="4"/>
  <c r="X11" i="4"/>
  <c r="X3" i="4"/>
  <c r="AK8" i="2"/>
  <c r="AJ8" i="2"/>
  <c r="AH8" i="2"/>
  <c r="AG8" i="2"/>
  <c r="AE8" i="2"/>
  <c r="AD8" i="2"/>
  <c r="AB8" i="2"/>
  <c r="AA8" i="2"/>
  <c r="Y8" i="2"/>
  <c r="X8" i="2"/>
  <c r="AK3" i="2"/>
  <c r="AJ3" i="2"/>
  <c r="AH3" i="2"/>
  <c r="AG3" i="2"/>
  <c r="AE3" i="2"/>
  <c r="AD3" i="2"/>
  <c r="AB3" i="2"/>
  <c r="AA3" i="2"/>
  <c r="Y3" i="2"/>
  <c r="X3" i="2"/>
  <c r="R11" i="2"/>
  <c r="R10" i="2"/>
  <c r="R9" i="2"/>
  <c r="R8" i="2"/>
  <c r="R7" i="2"/>
  <c r="R6" i="2"/>
  <c r="R5" i="2"/>
  <c r="R4" i="2"/>
  <c r="R3" i="2"/>
  <c r="AL9" i="4" l="1"/>
  <c r="AK9" i="4"/>
  <c r="O10" i="4"/>
  <c r="H3" i="3"/>
  <c r="E3" i="3"/>
  <c r="X5" i="6"/>
  <c r="W5" i="6"/>
  <c r="V5" i="6"/>
  <c r="T5" i="6"/>
  <c r="X11" i="6"/>
  <c r="W11" i="6"/>
  <c r="V11" i="6"/>
  <c r="T11" i="6"/>
  <c r="X9" i="6"/>
  <c r="W9" i="6"/>
  <c r="T9" i="6"/>
  <c r="V9" i="6"/>
  <c r="T4" i="6"/>
  <c r="X4" i="6"/>
  <c r="V4" i="6"/>
  <c r="W4" i="6"/>
  <c r="W2" i="6"/>
  <c r="J3" i="6"/>
  <c r="X12" i="6"/>
  <c r="W12" i="6"/>
  <c r="V12" i="6"/>
  <c r="T12" i="6"/>
  <c r="V3" i="6"/>
  <c r="T3" i="6"/>
  <c r="W3" i="6"/>
  <c r="X3" i="6"/>
  <c r="X6" i="6"/>
  <c r="T6" i="6"/>
  <c r="W6" i="6"/>
  <c r="V6" i="6"/>
  <c r="X10" i="6"/>
  <c r="W10" i="6"/>
  <c r="V10" i="6"/>
  <c r="T10" i="6"/>
  <c r="X7" i="6"/>
  <c r="W7" i="6"/>
  <c r="T7" i="6"/>
  <c r="V7" i="6"/>
  <c r="X8" i="6"/>
  <c r="V8" i="6"/>
  <c r="W8" i="6"/>
  <c r="T8" i="6"/>
  <c r="F17" i="2"/>
  <c r="K5" i="3" a="1"/>
  <c r="K5" i="3" s="1"/>
  <c r="N37" i="3"/>
  <c r="J32" i="3"/>
  <c r="O37" i="3"/>
  <c r="J31" i="3"/>
  <c r="P37" i="3"/>
  <c r="J30" i="3"/>
  <c r="J29" i="3"/>
  <c r="J28" i="3"/>
  <c r="S37" i="3"/>
  <c r="J27" i="3"/>
  <c r="T37" i="3"/>
  <c r="J26" i="3"/>
  <c r="U37" i="3"/>
  <c r="J25" i="3"/>
  <c r="K37" i="3"/>
  <c r="J24" i="3"/>
  <c r="J35" i="3"/>
  <c r="J23" i="3"/>
  <c r="L37" i="3"/>
  <c r="J34" i="3"/>
  <c r="J22" i="3"/>
  <c r="M37" i="3"/>
  <c r="J21" i="3"/>
  <c r="Q37" i="3"/>
  <c r="J33" i="3"/>
  <c r="R37" i="3"/>
  <c r="AQ4" i="4"/>
  <c r="AO4" i="4"/>
  <c r="AN4" i="4"/>
  <c r="AL4" i="4"/>
  <c r="AK4" i="4"/>
  <c r="AI4" i="4"/>
  <c r="AH4" i="4"/>
  <c r="AI9" i="4"/>
  <c r="AF4" i="4"/>
  <c r="AH9" i="4"/>
  <c r="AE4" i="4"/>
  <c r="AF9" i="4"/>
  <c r="AE9" i="4"/>
  <c r="AR4" i="4"/>
  <c r="O9" i="4"/>
  <c r="O8" i="4"/>
  <c r="O6" i="4"/>
  <c r="O7" i="4"/>
  <c r="O4" i="4"/>
  <c r="O3" i="4"/>
  <c r="O5" i="4"/>
  <c r="V2" i="3"/>
  <c r="X2" i="3"/>
  <c r="U13" i="3"/>
  <c r="U10" i="3"/>
  <c r="U14" i="3"/>
  <c r="U8" i="3"/>
  <c r="U15" i="3"/>
  <c r="U4" i="3"/>
  <c r="U16" i="3"/>
  <c r="U9" i="3"/>
  <c r="U12" i="3"/>
  <c r="U5" i="3"/>
  <c r="U17" i="3"/>
  <c r="U6" i="3"/>
  <c r="U3" i="3"/>
  <c r="U7" i="3"/>
  <c r="U11" i="3"/>
  <c r="H11" i="3"/>
  <c r="H10" i="3"/>
  <c r="H8" i="3"/>
  <c r="H15" i="3"/>
  <c r="H7" i="3"/>
  <c r="H17" i="3"/>
  <c r="H16" i="3"/>
  <c r="H14" i="3"/>
  <c r="H6" i="3"/>
  <c r="H9" i="3"/>
  <c r="H13" i="3"/>
  <c r="H5" i="3"/>
  <c r="H12" i="3"/>
  <c r="H4" i="3"/>
  <c r="E12" i="3"/>
  <c r="E7" i="3"/>
  <c r="G9" i="3"/>
  <c r="G12" i="3"/>
  <c r="E13" i="3"/>
  <c r="E14" i="3"/>
  <c r="E15" i="3"/>
  <c r="E16" i="3"/>
  <c r="E17" i="3"/>
  <c r="F4" i="3"/>
  <c r="G6" i="3"/>
  <c r="F11" i="3"/>
  <c r="G4" i="3"/>
  <c r="G11" i="3"/>
  <c r="J4" i="3"/>
  <c r="F9" i="3"/>
  <c r="F12" i="3"/>
  <c r="G3" i="3"/>
  <c r="E5" i="3"/>
  <c r="F7" i="3"/>
  <c r="F13" i="3"/>
  <c r="F14" i="3"/>
  <c r="F15" i="3"/>
  <c r="F16" i="3"/>
  <c r="F17" i="3"/>
  <c r="E9" i="3"/>
  <c r="F5" i="3"/>
  <c r="G7" i="3"/>
  <c r="E8" i="3"/>
  <c r="E10" i="3"/>
  <c r="G13" i="3"/>
  <c r="G14" i="3"/>
  <c r="G15" i="3"/>
  <c r="G16" i="3"/>
  <c r="G17" i="3"/>
  <c r="F3" i="3"/>
  <c r="G5" i="3"/>
  <c r="E6" i="3"/>
  <c r="F8" i="3"/>
  <c r="F10" i="3"/>
  <c r="E4" i="3"/>
  <c r="F6" i="3"/>
  <c r="G8" i="3"/>
  <c r="G10" i="3"/>
  <c r="E11" i="3"/>
  <c r="O9" i="2"/>
  <c r="N4" i="2"/>
  <c r="O4" i="2"/>
  <c r="M7" i="2"/>
  <c r="D10" i="2"/>
  <c r="O12" i="2"/>
  <c r="F14" i="2"/>
  <c r="D16" i="2"/>
  <c r="N17" i="2"/>
  <c r="M3" i="2"/>
  <c r="N7" i="2"/>
  <c r="E10" i="2"/>
  <c r="M11" i="2"/>
  <c r="E16" i="2"/>
  <c r="O17" i="2"/>
  <c r="F3" i="2"/>
  <c r="M8" i="2"/>
  <c r="M12" i="2"/>
  <c r="O8" i="2"/>
  <c r="M17" i="2"/>
  <c r="O3" i="2"/>
  <c r="E5" i="2"/>
  <c r="M6" i="2"/>
  <c r="E9" i="2"/>
  <c r="O11" i="2"/>
  <c r="D13" i="2"/>
  <c r="N14" i="2"/>
  <c r="F5" i="2"/>
  <c r="N6" i="2"/>
  <c r="F9" i="2"/>
  <c r="M10" i="2"/>
  <c r="E13" i="2"/>
  <c r="O14" i="2"/>
  <c r="M16" i="2"/>
  <c r="D4" i="2"/>
  <c r="O6" i="2"/>
  <c r="D8" i="2"/>
  <c r="N10" i="2"/>
  <c r="F13" i="2"/>
  <c r="D15" i="2"/>
  <c r="N16" i="2"/>
  <c r="E7" i="2"/>
  <c r="F7" i="2"/>
  <c r="N15" i="2"/>
  <c r="E14" i="2"/>
  <c r="F6" i="2"/>
  <c r="N3" i="2"/>
  <c r="D9" i="2"/>
  <c r="M14" i="2"/>
  <c r="M2" i="2"/>
  <c r="E4" i="2"/>
  <c r="M5" i="2"/>
  <c r="E8" i="2"/>
  <c r="O10" i="2"/>
  <c r="D12" i="2"/>
  <c r="E15" i="2"/>
  <c r="O16" i="2"/>
  <c r="D11" i="2"/>
  <c r="D6" i="2"/>
  <c r="E11" i="2"/>
  <c r="E6" i="2"/>
  <c r="F11" i="2"/>
  <c r="N12" i="2"/>
  <c r="D5" i="2"/>
  <c r="O7" i="2"/>
  <c r="F10" i="2"/>
  <c r="N11" i="2"/>
  <c r="F16" i="2"/>
  <c r="D3" i="2"/>
  <c r="F4" i="2"/>
  <c r="N5" i="2"/>
  <c r="F8" i="2"/>
  <c r="M9" i="2"/>
  <c r="E12" i="2"/>
  <c r="M13" i="2"/>
  <c r="F15" i="2"/>
  <c r="D17" i="2"/>
  <c r="M4" i="2"/>
  <c r="N8" i="2"/>
  <c r="D14" i="2"/>
  <c r="O15" i="2"/>
  <c r="E3" i="2"/>
  <c r="H4" i="2"/>
  <c r="O5" i="2"/>
  <c r="D7" i="2"/>
  <c r="N9" i="2"/>
  <c r="F12" i="2"/>
  <c r="N13" i="2"/>
  <c r="E17" i="2"/>
  <c r="O13" i="2"/>
  <c r="M15" i="2"/>
  <c r="L5" i="4" a="1"/>
  <c r="K3" i="2" l="1"/>
  <c r="N11" i="6"/>
  <c r="N10" i="6"/>
  <c r="N12" i="6"/>
  <c r="N4" i="6"/>
  <c r="N9" i="6"/>
  <c r="N8" i="6"/>
  <c r="N5" i="6"/>
  <c r="N7" i="6"/>
  <c r="N6" i="6"/>
  <c r="N3" i="6"/>
  <c r="L5" i="4"/>
  <c r="V12" i="3"/>
  <c r="T12" i="3"/>
  <c r="X12" i="3"/>
  <c r="W12" i="3"/>
  <c r="V9" i="3"/>
  <c r="T9" i="3"/>
  <c r="X9" i="3"/>
  <c r="W9" i="3"/>
  <c r="V16" i="3"/>
  <c r="X16" i="3"/>
  <c r="T16" i="3"/>
  <c r="W16" i="3"/>
  <c r="V4" i="3"/>
  <c r="X4" i="3"/>
  <c r="W4" i="3"/>
  <c r="T4" i="3"/>
  <c r="V15" i="3"/>
  <c r="X15" i="3"/>
  <c r="W15" i="3"/>
  <c r="T15" i="3"/>
  <c r="V8" i="3"/>
  <c r="W8" i="3"/>
  <c r="X8" i="3"/>
  <c r="T8" i="3"/>
  <c r="V5" i="3"/>
  <c r="X5" i="3"/>
  <c r="T5" i="3"/>
  <c r="W5" i="3"/>
  <c r="V11" i="3"/>
  <c r="T11" i="3"/>
  <c r="W11" i="3"/>
  <c r="X11" i="3"/>
  <c r="V14" i="3"/>
  <c r="W14" i="3"/>
  <c r="T14" i="3"/>
  <c r="X14" i="3"/>
  <c r="V7" i="3"/>
  <c r="X7" i="3"/>
  <c r="W7" i="3"/>
  <c r="T7" i="3"/>
  <c r="V10" i="3"/>
  <c r="T10" i="3"/>
  <c r="X10" i="3"/>
  <c r="W10" i="3"/>
  <c r="V3" i="3"/>
  <c r="W3" i="3"/>
  <c r="X3" i="3"/>
  <c r="T3" i="3"/>
  <c r="V13" i="3"/>
  <c r="W13" i="3"/>
  <c r="T13" i="3"/>
  <c r="X13" i="3"/>
  <c r="V6" i="3"/>
  <c r="T6" i="3"/>
  <c r="X6" i="3"/>
  <c r="W6" i="3"/>
  <c r="V17" i="3"/>
  <c r="X17" i="3"/>
  <c r="T17" i="3"/>
  <c r="W17" i="3"/>
  <c r="J3" i="3"/>
  <c r="W2" i="3"/>
  <c r="K11" i="2"/>
  <c r="K15" i="2"/>
  <c r="K17" i="2"/>
  <c r="K4" i="2"/>
  <c r="K8" i="2"/>
  <c r="K16" i="2"/>
  <c r="K9" i="2"/>
  <c r="K5" i="2"/>
  <c r="K6" i="2"/>
  <c r="K7" i="2"/>
  <c r="K10" i="2"/>
  <c r="K14" i="2"/>
  <c r="K12" i="2"/>
  <c r="K13" i="2"/>
  <c r="P6" i="6" a="1"/>
  <c r="P12" i="6" a="1"/>
  <c r="P8" i="6" a="1"/>
  <c r="P9" i="6" a="1"/>
  <c r="P7" i="6" a="1"/>
  <c r="P10" i="6" a="1"/>
  <c r="P11" i="6" a="1"/>
  <c r="P12" i="6" l="1"/>
  <c r="Q12" i="6" s="1"/>
  <c r="P11" i="6"/>
  <c r="Q11" i="6" s="1"/>
  <c r="P10" i="6"/>
  <c r="Q10" i="6" s="1"/>
  <c r="P9" i="6"/>
  <c r="Q9" i="6" s="1"/>
  <c r="P8" i="6"/>
  <c r="Q8" i="6" s="1"/>
  <c r="P7" i="6"/>
  <c r="Q7" i="6" s="1"/>
  <c r="P6" i="6"/>
  <c r="Q6" i="6" s="1"/>
  <c r="P5" i="6"/>
  <c r="Q5" i="6" s="1"/>
  <c r="P4" i="6"/>
  <c r="Q4" i="6" s="1"/>
  <c r="P3" i="6"/>
  <c r="Q3" i="6" s="1"/>
  <c r="U12" i="2"/>
  <c r="AK9" i="2"/>
  <c r="AH4" i="2"/>
  <c r="AJ9" i="2"/>
  <c r="AG4" i="2"/>
  <c r="AH9" i="2"/>
  <c r="AE9" i="2"/>
  <c r="AB4" i="2"/>
  <c r="AD9" i="2"/>
  <c r="AA4" i="2"/>
  <c r="AB9" i="2"/>
  <c r="Y4" i="2"/>
  <c r="AD4" i="2"/>
  <c r="AA9" i="2"/>
  <c r="X4" i="2"/>
  <c r="Y9" i="2"/>
  <c r="X9" i="2"/>
  <c r="AK4" i="2"/>
  <c r="AG9" i="2"/>
  <c r="AJ4" i="2"/>
  <c r="AE4" i="2"/>
  <c r="U5" i="2"/>
  <c r="U4" i="2"/>
  <c r="U6" i="2"/>
  <c r="U8" i="2"/>
  <c r="U7" i="2"/>
  <c r="U9" i="2"/>
  <c r="U10" i="2"/>
  <c r="U11" i="2"/>
  <c r="U3" i="2"/>
  <c r="S3" i="2"/>
  <c r="T8" i="2"/>
  <c r="T4" i="2"/>
  <c r="T3" i="2"/>
  <c r="T10" i="2"/>
  <c r="T7" i="2"/>
  <c r="T12" i="2"/>
  <c r="T11" i="2"/>
  <c r="T9" i="2"/>
  <c r="T5" i="2"/>
  <c r="T6" i="2"/>
  <c r="N12" i="3"/>
  <c r="N8" i="3"/>
  <c r="N5" i="3"/>
  <c r="N11" i="3"/>
  <c r="N4" i="3"/>
  <c r="N10" i="3"/>
  <c r="N9" i="3"/>
  <c r="N7" i="3"/>
  <c r="N6" i="3"/>
  <c r="N3" i="3"/>
  <c r="S6" i="2"/>
  <c r="S7" i="2"/>
  <c r="S8" i="2"/>
  <c r="S9" i="2"/>
  <c r="S11" i="2"/>
  <c r="S10" i="2"/>
  <c r="S12" i="2"/>
  <c r="S5" i="2"/>
  <c r="S4" i="2"/>
  <c r="P12" i="3" a="1"/>
  <c r="P7" i="3" a="1"/>
  <c r="P11" i="3" a="1"/>
  <c r="P10" i="3" a="1"/>
  <c r="P8" i="3" a="1"/>
  <c r="P9" i="3" a="1"/>
  <c r="I6" i="2" a="1"/>
  <c r="P6" i="3" a="1"/>
  <c r="P6" i="3" l="1"/>
  <c r="Q6" i="3" s="1"/>
  <c r="P12" i="3"/>
  <c r="Q12" i="3" s="1"/>
  <c r="P11" i="3"/>
  <c r="Q11" i="3" s="1"/>
  <c r="P10" i="3"/>
  <c r="Q10" i="3" s="1"/>
  <c r="P9" i="3"/>
  <c r="Q9" i="3" s="1"/>
  <c r="P8" i="3"/>
  <c r="Q8" i="3" s="1"/>
  <c r="P7" i="3"/>
  <c r="Q7" i="3" s="1"/>
  <c r="I6" i="2"/>
  <c r="P5" i="3"/>
  <c r="Q5" i="3" s="1"/>
  <c r="P4" i="3"/>
  <c r="Q4" i="3" s="1"/>
  <c r="P3" i="3"/>
  <c r="Q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<sst xmlns="http://schemas.openxmlformats.org/spreadsheetml/2006/main" count="153" uniqueCount="55">
  <si>
    <t>Neuer Datensatz:</t>
  </si>
  <si>
    <t>Abstand</t>
  </si>
  <si>
    <t>Rang</t>
  </si>
  <si>
    <t>Parameter k:</t>
  </si>
  <si>
    <t>k-nächste Punkte</t>
  </si>
  <si>
    <t>The One to Leave Out:</t>
  </si>
  <si>
    <t>Korrekt?</t>
  </si>
  <si>
    <t>Training des k-nächsten-Nachbarn-Modells/ Dateneingabe:</t>
  </si>
  <si>
    <t>Label k-ter Nachbar</t>
  </si>
  <si>
    <t>Parameter k</t>
  </si>
  <si>
    <t>Erwartetes Label:</t>
  </si>
  <si>
    <t>Trainingsdaten:</t>
  </si>
  <si>
    <t>k = 1</t>
  </si>
  <si>
    <t>k = 2</t>
  </si>
  <si>
    <r>
      <t xml:space="preserve">Wurde das </t>
    </r>
    <r>
      <rPr>
        <b/>
        <i/>
        <sz val="11"/>
        <color theme="1"/>
        <rFont val="Calibri"/>
        <family val="2"/>
        <scheme val="minor"/>
      </rPr>
      <t>erwartete Label</t>
    </r>
    <r>
      <rPr>
        <i/>
        <sz val="11"/>
        <color theme="1"/>
        <rFont val="Calibri"/>
        <family val="2"/>
        <scheme val="minor"/>
      </rPr>
      <t xml:space="preserve"> des </t>
    </r>
    <r>
      <rPr>
        <b/>
        <i/>
        <sz val="11"/>
        <color theme="1"/>
        <rFont val="Calibri"/>
        <family val="2"/>
        <scheme val="minor"/>
      </rPr>
      <t>betrachteten(left out) Datensatzes</t>
    </r>
    <r>
      <rPr>
        <i/>
        <sz val="11"/>
        <color theme="1"/>
        <rFont val="Calibri"/>
        <family val="2"/>
        <scheme val="minor"/>
      </rPr>
      <t xml:space="preserve"> für den </t>
    </r>
    <r>
      <rPr>
        <b/>
        <i/>
        <sz val="11"/>
        <color theme="1"/>
        <rFont val="Calibri"/>
        <family val="2"/>
        <scheme val="minor"/>
      </rPr>
      <t>Parameter k</t>
    </r>
    <r>
      <rPr>
        <i/>
        <sz val="11"/>
        <color theme="1"/>
        <rFont val="Calibri"/>
        <family val="2"/>
        <scheme val="minor"/>
      </rPr>
      <t xml:space="preserve"> korrekt vorhergesagt, tragen Sie bitte ein 'X' in die zugehörige Zelle ein.</t>
    </r>
  </si>
  <si>
    <t>x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</si>
  <si>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</si>
  <si>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</si>
  <si>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</si>
  <si>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</si>
  <si>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</si>
  <si>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</si>
  <si>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</si>
  <si>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</si>
  <si>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Berechnetes Label:</t>
  </si>
  <si>
    <t>Bestimmung eines passenden Werts k:</t>
  </si>
  <si>
    <t>Testdaten:</t>
  </si>
  <si>
    <t>Aktueller Testdatensatz</t>
  </si>
  <si>
    <t>Abstand zum Testdatensatz</t>
  </si>
  <si>
    <t>Hilfsdaten für Verbinder</t>
  </si>
  <si>
    <t xml:space="preserve">Konfusionsmatrix: </t>
  </si>
  <si>
    <t>Genauigkeit:</t>
  </si>
  <si>
    <t>Parameter k /                                                                                       Nummer ausgelassener Datensatz</t>
  </si>
  <si>
    <t>Berechnung ganzer Datensatz:</t>
  </si>
  <si>
    <t>Berechnungen für die k nächsten Nachbarn:</t>
  </si>
  <si>
    <t>Rang k</t>
  </si>
  <si>
    <t>Berechnetes Label für Parameter k</t>
  </si>
  <si>
    <t>Zugelassene Label:</t>
  </si>
  <si>
    <r>
      <rPr>
        <b/>
        <i/>
        <sz val="11"/>
        <color theme="1"/>
        <rFont val="Calibri"/>
        <family val="2"/>
        <scheme val="minor"/>
      </rPr>
      <t>Erhöhen</t>
    </r>
    <r>
      <rPr>
        <i/>
        <sz val="11"/>
        <color theme="1"/>
        <rFont val="Calibri"/>
        <family val="2"/>
        <scheme val="minor"/>
      </rPr>
      <t xml:space="preserve"> Sie jeweils den </t>
    </r>
    <r>
      <rPr>
        <b/>
        <i/>
        <sz val="11"/>
        <color theme="1"/>
        <rFont val="Calibri"/>
        <family val="2"/>
        <scheme val="minor"/>
      </rPr>
      <t>Eintrag</t>
    </r>
    <r>
      <rPr>
        <i/>
        <sz val="11"/>
        <color theme="1"/>
        <rFont val="Calibri"/>
        <family val="2"/>
        <scheme val="minor"/>
      </rPr>
      <t xml:space="preserve"> der Tabelle </t>
    </r>
    <r>
      <rPr>
        <b/>
        <i/>
        <sz val="11"/>
        <color theme="1"/>
        <rFont val="Calibri"/>
        <family val="2"/>
        <scheme val="minor"/>
      </rPr>
      <t>um 1</t>
    </r>
    <r>
      <rPr>
        <i/>
        <sz val="11"/>
        <color theme="1"/>
        <rFont val="Calibri"/>
        <family val="2"/>
        <scheme val="minor"/>
      </rPr>
      <t xml:space="preserve"> in der Zelle, welche sich aus dem obigen </t>
    </r>
    <r>
      <rPr>
        <b/>
        <i/>
        <sz val="11"/>
        <color theme="1"/>
        <rFont val="Calibri"/>
        <family val="2"/>
        <scheme val="minor"/>
      </rPr>
      <t>erwarteten Label</t>
    </r>
    <r>
      <rPr>
        <i/>
        <sz val="11"/>
        <color theme="1"/>
        <rFont val="Calibri"/>
        <family val="2"/>
        <scheme val="minor"/>
      </rPr>
      <t xml:space="preserve"> und dem obigen </t>
    </r>
    <r>
      <rPr>
        <b/>
        <i/>
        <sz val="11"/>
        <color theme="1"/>
        <rFont val="Calibri"/>
        <family val="2"/>
        <scheme val="minor"/>
      </rPr>
      <t>berechneten Label</t>
    </r>
    <r>
      <rPr>
        <i/>
        <sz val="11"/>
        <color theme="1"/>
        <rFont val="Calibri"/>
        <family val="2"/>
        <scheme val="minor"/>
      </rPr>
      <t xml:space="preserve"> zusammensetzt.</t>
    </r>
  </si>
  <si>
    <t>Nr</t>
  </si>
  <si>
    <t>Validierungsdaten:</t>
  </si>
  <si>
    <t>Aktueller Validierungs- datenpunkt:</t>
  </si>
  <si>
    <t>Hinweis:                         Unterstützt nur k bis 10</t>
  </si>
  <si>
    <t>Hinweis:  Unterstützt nur k bis 10</t>
  </si>
  <si>
    <t>Erwartetes Label</t>
  </si>
  <si>
    <t>Korrekt:</t>
  </si>
  <si>
    <r>
      <t xml:space="preserve">Wurde das </t>
    </r>
    <r>
      <rPr>
        <b/>
        <i/>
        <sz val="11"/>
        <color theme="1"/>
        <rFont val="Calibri"/>
        <family val="2"/>
        <scheme val="minor"/>
      </rPr>
      <t>erwartete Label</t>
    </r>
    <r>
      <rPr>
        <i/>
        <sz val="11"/>
        <color theme="1"/>
        <rFont val="Calibri"/>
        <family val="2"/>
        <scheme val="minor"/>
      </rPr>
      <t xml:space="preserve"> des </t>
    </r>
    <r>
      <rPr>
        <b/>
        <i/>
        <sz val="11"/>
        <color theme="1"/>
        <rFont val="Calibri"/>
        <family val="2"/>
        <scheme val="minor"/>
      </rPr>
      <t>aktuellen Validierungsdatensatzes</t>
    </r>
    <r>
      <rPr>
        <i/>
        <sz val="11"/>
        <color theme="1"/>
        <rFont val="Calibri"/>
        <family val="2"/>
        <scheme val="minor"/>
      </rPr>
      <t xml:space="preserve"> für den </t>
    </r>
    <r>
      <rPr>
        <b/>
        <i/>
        <sz val="11"/>
        <color theme="1"/>
        <rFont val="Calibri"/>
        <family val="2"/>
        <scheme val="minor"/>
      </rPr>
      <t>Parameter k</t>
    </r>
    <r>
      <rPr>
        <i/>
        <sz val="11"/>
        <color theme="1"/>
        <rFont val="Calibri"/>
        <family val="2"/>
        <scheme val="minor"/>
      </rPr>
      <t xml:space="preserve"> korrekt vorhergesagt, tragen Sie bitte ein 'X' in die zugehörige Zelle ein.</t>
    </r>
  </si>
  <si>
    <t>Das Material wurde erstellt von:</t>
  </si>
  <si>
    <t>Tobias Fuchs, Wolfgang Pfeffer</t>
  </si>
  <si>
    <t>Didaktik der Informatik, Uni Passau</t>
  </si>
  <si>
    <t>Blattbreite</t>
  </si>
  <si>
    <t>Blattlänge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</si>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</sst>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3" fillId="0" borderId="0" xfId="0" applyFont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2" fontId="0" fillId="2" borderId="4" xfId="0" applyNumberFormat="1" applyFill="1" applyBorder="1"/>
    <xf numFmtId="0" fontId="0" fillId="2" borderId="4" xfId="0" applyFill="1" applyBorder="1"/>
    <xf numFmtId="0" fontId="1" fillId="4" borderId="16" xfId="0" applyFont="1" applyFill="1" applyBorder="1"/>
    <xf numFmtId="9" fontId="1" fillId="3" borderId="22" xfId="1" applyFont="1" applyFill="1" applyBorder="1" applyAlignment="1">
      <alignment horizontal="center"/>
    </xf>
    <xf numFmtId="9" fontId="1" fillId="3" borderId="19" xfId="1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 wrapText="1"/>
    </xf>
    <xf numFmtId="0" fontId="0" fillId="0" borderId="31" xfId="0" applyBorder="1"/>
    <xf numFmtId="0" fontId="1" fillId="0" borderId="31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32" xfId="0" applyBorder="1"/>
    <xf numFmtId="1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9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1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49" fontId="3" fillId="0" borderId="0" xfId="0" applyNumberFormat="1" applyFont="1"/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/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 applyProtection="1">
      <alignment horizontal="center" vertical="center"/>
      <protection locked="0"/>
    </xf>
    <xf numFmtId="2" fontId="0" fillId="5" borderId="2" xfId="0" applyNumberFormat="1" applyFill="1" applyBorder="1" applyAlignment="1" applyProtection="1">
      <alignment horizontal="center" vertical="center"/>
      <protection locked="0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" fontId="1" fillId="3" borderId="24" xfId="0" applyNumberFormat="1" applyFont="1" applyFill="1" applyBorder="1" applyAlignment="1">
      <alignment horizontal="center"/>
    </xf>
    <xf numFmtId="1" fontId="1" fillId="3" borderId="25" xfId="0" applyNumberFormat="1" applyFont="1" applyFill="1" applyBorder="1" applyAlignment="1">
      <alignment horizontal="center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49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1" fillId="5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10" fontId="6" fillId="4" borderId="17" xfId="1" applyNumberFormat="1" applyFont="1" applyFill="1" applyBorder="1" applyAlignment="1">
      <alignment horizontal="center" vertical="center" wrapText="1"/>
    </xf>
    <xf numFmtId="10" fontId="6" fillId="4" borderId="23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7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616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Klassifikation!$D$2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0.00</c:formatCode>
                <c:ptCount val="15"/>
                <c:pt idx="0">
                  <c:v>3.4</c:v>
                </c:pt>
                <c:pt idx="1">
                  <c:v>2.6</c:v>
                </c:pt>
                <c:pt idx="2">
                  <c:v>3.2</c:v>
                </c:pt>
                <c:pt idx="3">
                  <c:v>3.1</c:v>
                </c:pt>
                <c:pt idx="4">
                  <c:v>3.3</c:v>
                </c:pt>
                <c:pt idx="5">
                  <c:v>2.8</c:v>
                </c:pt>
                <c:pt idx="6">
                  <c:v>3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2.7</c:v>
                </c:pt>
                <c:pt idx="11">
                  <c:v>3.2</c:v>
                </c:pt>
                <c:pt idx="12">
                  <c:v>2.5</c:v>
                </c:pt>
                <c:pt idx="13">
                  <c:v>3.8</c:v>
                </c:pt>
                <c:pt idx="14">
                  <c:v>2.5</c:v>
                </c:pt>
              </c:numCache>
            </c:numRef>
          </c:xVal>
          <c:yVal>
            <c:numRef>
              <c:f>Klassifikation!$D$3:$D$17</c:f>
              <c:numCache>
                <c:formatCode>General</c:formatCode>
                <c:ptCount val="15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4.8</c:v>
                </c:pt>
                <c:pt idx="4">
                  <c:v>5.0999999999999996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4.5999999999999996</c:v>
                </c:pt>
                <c:pt idx="12">
                  <c:v>#N/A</c:v>
                </c:pt>
                <c:pt idx="13">
                  <c:v>5.0999999999999996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BF1-49A5-8DD6-4B8D7A1E4545}"/>
            </c:ext>
          </c:extLst>
        </c:ser>
        <c:ser>
          <c:idx val="1"/>
          <c:order val="1"/>
          <c:tx>
            <c:strRef>
              <c:f>Klassifikation!$E$2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0.00</c:formatCode>
                <c:ptCount val="15"/>
                <c:pt idx="0">
                  <c:v>3.4</c:v>
                </c:pt>
                <c:pt idx="1">
                  <c:v>2.6</c:v>
                </c:pt>
                <c:pt idx="2">
                  <c:v>3.2</c:v>
                </c:pt>
                <c:pt idx="3">
                  <c:v>3.1</c:v>
                </c:pt>
                <c:pt idx="4">
                  <c:v>3.3</c:v>
                </c:pt>
                <c:pt idx="5">
                  <c:v>2.8</c:v>
                </c:pt>
                <c:pt idx="6">
                  <c:v>3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2.7</c:v>
                </c:pt>
                <c:pt idx="11">
                  <c:v>3.2</c:v>
                </c:pt>
                <c:pt idx="12">
                  <c:v>2.5</c:v>
                </c:pt>
                <c:pt idx="13">
                  <c:v>3.8</c:v>
                </c:pt>
                <c:pt idx="14">
                  <c:v>2.5</c:v>
                </c:pt>
              </c:numCache>
            </c:numRef>
          </c:xVal>
          <c:yVal>
            <c:numRef>
              <c:f>Klassifikation!$E$3:$E$17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6.5</c:v>
                </c:pt>
                <c:pt idx="3">
                  <c:v>#N/A</c:v>
                </c:pt>
                <c:pt idx="4">
                  <c:v>#N/A</c:v>
                </c:pt>
                <c:pt idx="5">
                  <c:v>6.3</c:v>
                </c:pt>
                <c:pt idx="6">
                  <c:v>7.2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BF1-49A5-8DD6-4B8D7A1E4545}"/>
            </c:ext>
          </c:extLst>
        </c:ser>
        <c:ser>
          <c:idx val="2"/>
          <c:order val="2"/>
          <c:tx>
            <c:strRef>
              <c:f>Klassifikation!$F$2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Klassifikation!$A$3:$A$17</c:f>
              <c:numCache>
                <c:formatCode>0.00</c:formatCode>
                <c:ptCount val="15"/>
                <c:pt idx="0">
                  <c:v>3.4</c:v>
                </c:pt>
                <c:pt idx="1">
                  <c:v>2.6</c:v>
                </c:pt>
                <c:pt idx="2">
                  <c:v>3.2</c:v>
                </c:pt>
                <c:pt idx="3">
                  <c:v>3.1</c:v>
                </c:pt>
                <c:pt idx="4">
                  <c:v>3.3</c:v>
                </c:pt>
                <c:pt idx="5">
                  <c:v>2.8</c:v>
                </c:pt>
                <c:pt idx="6">
                  <c:v>3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2.7</c:v>
                </c:pt>
                <c:pt idx="11">
                  <c:v>3.2</c:v>
                </c:pt>
                <c:pt idx="12">
                  <c:v>2.5</c:v>
                </c:pt>
                <c:pt idx="13">
                  <c:v>3.8</c:v>
                </c:pt>
                <c:pt idx="14">
                  <c:v>2.5</c:v>
                </c:pt>
              </c:numCache>
            </c:numRef>
          </c:xVal>
          <c:yVal>
            <c:numRef>
              <c:f>Klassifikation!$F$3:$F$51</c:f>
              <c:numCache>
                <c:formatCode>General</c:formatCode>
                <c:ptCount val="49"/>
                <c:pt idx="0">
                  <c:v>#N/A</c:v>
                </c:pt>
                <c:pt idx="1">
                  <c:v>5.5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5</c:v>
                </c:pt>
                <c:pt idx="8">
                  <c:v>5.8</c:v>
                </c:pt>
                <c:pt idx="9">
                  <c:v>5.7</c:v>
                </c:pt>
                <c:pt idx="10">
                  <c:v>#N/A</c:v>
                </c:pt>
                <c:pt idx="11">
                  <c:v>#N/A</c:v>
                </c:pt>
                <c:pt idx="12">
                  <c:v>5.6</c:v>
                </c:pt>
                <c:pt idx="13">
                  <c:v>#N/A</c:v>
                </c:pt>
                <c:pt idx="14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BF1-49A5-8DD6-4B8D7A1E4545}"/>
            </c:ext>
          </c:extLst>
        </c:ser>
        <c:ser>
          <c:idx val="3"/>
          <c:order val="3"/>
          <c:tx>
            <c:v>Neuer Datenpunkt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Klassifikation!$I$3</c:f>
              <c:numCache>
                <c:formatCode>0.00</c:formatCode>
                <c:ptCount val="1"/>
                <c:pt idx="0">
                  <c:v>3</c:v>
                </c:pt>
              </c:numCache>
            </c:numRef>
          </c:xVal>
          <c:yVal>
            <c:numRef>
              <c:f>Klassifikation!$I$4</c:f>
              <c:numCache>
                <c:formatCode>0.00</c:formatCode>
                <c:ptCount val="1"/>
                <c:pt idx="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EBF1-49A5-8DD6-4B8D7A1E4545}"/>
            </c:ext>
          </c:extLst>
        </c:ser>
        <c:ser>
          <c:idx val="4"/>
          <c:order val="4"/>
          <c:tx>
            <c:v>Verbinder_1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Klassifikation!$X$3:$X$4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Klassifikation!$Y$3:$Y$4</c:f>
              <c:numCache>
                <c:formatCode>0.00</c:formatCode>
                <c:ptCount val="2"/>
                <c:pt idx="0">
                  <c:v>6</c:v>
                </c:pt>
                <c:pt idx="1">
                  <c:v>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EBF1-49A5-8DD6-4B8D7A1E4545}"/>
            </c:ext>
          </c:extLst>
        </c:ser>
        <c:ser>
          <c:idx val="5"/>
          <c:order val="5"/>
          <c:tx>
            <c:v>Verbinder_2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Klassifikation!$AA$3:$AA$4</c:f>
              <c:numCache>
                <c:formatCode>0.00</c:formatCode>
                <c:ptCount val="2"/>
                <c:pt idx="0">
                  <c:v>3</c:v>
                </c:pt>
                <c:pt idx="1">
                  <c:v>2.8</c:v>
                </c:pt>
              </c:numCache>
            </c:numRef>
          </c:xVal>
          <c:yVal>
            <c:numRef>
              <c:f>Klassifikation!$AB$3:$AB$4</c:f>
              <c:numCache>
                <c:formatCode>0.00</c:formatCode>
                <c:ptCount val="2"/>
                <c:pt idx="0">
                  <c:v>6</c:v>
                </c:pt>
                <c:pt idx="1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EBF1-49A5-8DD6-4B8D7A1E4545}"/>
            </c:ext>
          </c:extLst>
        </c:ser>
        <c:ser>
          <c:idx val="6"/>
          <c:order val="6"/>
          <c:tx>
            <c:v>Verbinder_3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Klassifikation!$AD$3:$AD$4</c:f>
              <c:numCache>
                <c:formatCode>0.00</c:formatCode>
                <c:ptCount val="2"/>
                <c:pt idx="0">
                  <c:v>3</c:v>
                </c:pt>
                <c:pt idx="1">
                  <c:v>2.7</c:v>
                </c:pt>
              </c:numCache>
            </c:numRef>
          </c:xVal>
          <c:yVal>
            <c:numRef>
              <c:f>Klassifikation!$AE$3:$AE$4</c:f>
              <c:numCache>
                <c:formatCode>0.00</c:formatCode>
                <c:ptCount val="2"/>
                <c:pt idx="0">
                  <c:v>6</c:v>
                </c:pt>
                <c:pt idx="1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8-4376-8F56-A1202C2E3C84}"/>
            </c:ext>
          </c:extLst>
        </c:ser>
        <c:ser>
          <c:idx val="7"/>
          <c:order val="7"/>
          <c:tx>
            <c:v>Verbinder_4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Klassifikation!$AG$3:$AG$4</c:f>
              <c:numCache>
                <c:formatCode>0.00</c:formatCode>
                <c:ptCount val="2"/>
                <c:pt idx="0">
                  <c:v>3</c:v>
                </c:pt>
                <c:pt idx="1">
                  <c:v>2.7</c:v>
                </c:pt>
              </c:numCache>
            </c:numRef>
          </c:xVal>
          <c:yVal>
            <c:numRef>
              <c:f>Klassifikation!$AH$3:$AH$4</c:f>
              <c:numCache>
                <c:formatCode>0.00</c:formatCode>
                <c:ptCount val="2"/>
                <c:pt idx="0">
                  <c:v>6</c:v>
                </c:pt>
                <c:pt idx="1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E8-4376-8F56-A1202C2E3C84}"/>
            </c:ext>
          </c:extLst>
        </c:ser>
        <c:ser>
          <c:idx val="8"/>
          <c:order val="8"/>
          <c:tx>
            <c:v>Verbinder_5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Klassifikation!$AJ$3:$AJ$4</c:f>
            </c:numRef>
          </c:xVal>
          <c:yVal>
            <c:numRef>
              <c:f>Klassifikation!$AK$3:$AK$4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8-4376-8F56-A1202C2E3C84}"/>
            </c:ext>
          </c:extLst>
        </c:ser>
        <c:ser>
          <c:idx val="9"/>
          <c:order val="9"/>
          <c:tx>
            <c:v>Verbinder_6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Klassifikation!$X$8:$X$9</c:f>
            </c:numRef>
          </c:xVal>
          <c:yVal>
            <c:numRef>
              <c:f>Klassifikation!$Y$8:$Y$9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E8-4376-8F56-A1202C2E3C84}"/>
            </c:ext>
          </c:extLst>
        </c:ser>
        <c:ser>
          <c:idx val="10"/>
          <c:order val="10"/>
          <c:tx>
            <c:v>Verbinder_7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Klassifikation!$AA$8:$AA$9</c:f>
            </c:numRef>
          </c:xVal>
          <c:yVal>
            <c:numRef>
              <c:f>Klassifikation!$AB$8:$AB$9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E8-4376-8F56-A1202C2E3C84}"/>
            </c:ext>
          </c:extLst>
        </c:ser>
        <c:ser>
          <c:idx val="11"/>
          <c:order val="11"/>
          <c:tx>
            <c:v>Verbinder_8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Klassifikation!$AD$8:$AD$9</c:f>
            </c:numRef>
          </c:xVal>
          <c:yVal>
            <c:numRef>
              <c:f>Klassifikation!$AE$8:$AE$9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8E8-4376-8F56-A1202C2E3C84}"/>
            </c:ext>
          </c:extLst>
        </c:ser>
        <c:ser>
          <c:idx val="12"/>
          <c:order val="12"/>
          <c:tx>
            <c:v>Verbinder_9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Klassifikation!$AG$8:$AG$9</c:f>
            </c:numRef>
          </c:xVal>
          <c:yVal>
            <c:numRef>
              <c:f>Klassifikation!$AH$8:$AH$9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8E8-4376-8F56-A1202C2E3C84}"/>
            </c:ext>
          </c:extLst>
        </c:ser>
        <c:ser>
          <c:idx val="13"/>
          <c:order val="13"/>
          <c:tx>
            <c:v>Verbinder_10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Klassifikation!$AJ$8:$AJ$9</c:f>
            </c:numRef>
          </c:xVal>
          <c:yVal>
            <c:numRef>
              <c:f>Klassifikation!$AK$8:$AK$9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E8-4376-8F56-A1202C2E3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1216"/>
        <c:axId val="575615392"/>
        <c:extLst/>
      </c:scatterChart>
      <c:valAx>
        <c:axId val="575621216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Klassifikation!$A$2</c:f>
              <c:strCache>
                <c:ptCount val="1"/>
                <c:pt idx="0">
                  <c:v>Blattbreite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15392"/>
        <c:crosses val="autoZero"/>
        <c:crossBetween val="midCat"/>
      </c:valAx>
      <c:valAx>
        <c:axId val="575615392"/>
        <c:scaling>
          <c:orientation val="minMax"/>
          <c:max val="8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Klassifikation!$B$2</c:f>
              <c:strCache>
                <c:ptCount val="1"/>
                <c:pt idx="0">
                  <c:v>Blattlänge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Training_Dateneingabe!$E$4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3.4</c:v>
                </c:pt>
                <c:pt idx="1">
                  <c:v>2.6</c:v>
                </c:pt>
                <c:pt idx="2">
                  <c:v>3.2</c:v>
                </c:pt>
                <c:pt idx="3">
                  <c:v>3.1</c:v>
                </c:pt>
                <c:pt idx="4">
                  <c:v>3.3</c:v>
                </c:pt>
                <c:pt idx="5">
                  <c:v>2.8</c:v>
                </c:pt>
                <c:pt idx="6">
                  <c:v>3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2.7</c:v>
                </c:pt>
                <c:pt idx="11">
                  <c:v>3.2</c:v>
                </c:pt>
                <c:pt idx="12">
                  <c:v>2.5</c:v>
                </c:pt>
                <c:pt idx="13">
                  <c:v>3.8</c:v>
                </c:pt>
                <c:pt idx="14">
                  <c:v>2.5</c:v>
                </c:pt>
              </c:numCache>
            </c:numRef>
          </c:xVal>
          <c:yVal>
            <c:numRef>
              <c:f>Testen_Konfusionsmatrix!$T$3:$T$17</c:f>
              <c:numCache>
                <c:formatCode>General</c:formatCode>
                <c:ptCount val="15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4.8</c:v>
                </c:pt>
                <c:pt idx="4">
                  <c:v>5.0999999999999996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4.5999999999999996</c:v>
                </c:pt>
                <c:pt idx="12">
                  <c:v>#N/A</c:v>
                </c:pt>
                <c:pt idx="13">
                  <c:v>5.0999999999999996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E-4AB7-8948-C87C9B98FC0B}"/>
            </c:ext>
          </c:extLst>
        </c:ser>
        <c:ser>
          <c:idx val="1"/>
          <c:order val="1"/>
          <c:tx>
            <c:strRef>
              <c:f>Training_Dateneingabe!$E$5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3.4</c:v>
                </c:pt>
                <c:pt idx="1">
                  <c:v>2.6</c:v>
                </c:pt>
                <c:pt idx="2">
                  <c:v>3.2</c:v>
                </c:pt>
                <c:pt idx="3">
                  <c:v>3.1</c:v>
                </c:pt>
                <c:pt idx="4">
                  <c:v>3.3</c:v>
                </c:pt>
                <c:pt idx="5">
                  <c:v>2.8</c:v>
                </c:pt>
                <c:pt idx="6">
                  <c:v>3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2.7</c:v>
                </c:pt>
                <c:pt idx="11">
                  <c:v>3.2</c:v>
                </c:pt>
                <c:pt idx="12">
                  <c:v>2.5</c:v>
                </c:pt>
                <c:pt idx="13">
                  <c:v>3.8</c:v>
                </c:pt>
                <c:pt idx="14">
                  <c:v>2.5</c:v>
                </c:pt>
              </c:numCache>
            </c:numRef>
          </c:xVal>
          <c:yVal>
            <c:numRef>
              <c:f>Testen_Konfusionsmatrix!$U$3:$U$17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6.5</c:v>
                </c:pt>
                <c:pt idx="3">
                  <c:v>#N/A</c:v>
                </c:pt>
                <c:pt idx="4">
                  <c:v>#N/A</c:v>
                </c:pt>
                <c:pt idx="5">
                  <c:v>6.3</c:v>
                </c:pt>
                <c:pt idx="6">
                  <c:v>7.2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3E-4AB7-8948-C87C9B98FC0B}"/>
            </c:ext>
          </c:extLst>
        </c:ser>
        <c:ser>
          <c:idx val="2"/>
          <c:order val="2"/>
          <c:tx>
            <c:strRef>
              <c:f>Training_Dateneingabe!$E$6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Testen_Konfusionsmatrix!$Q$3:$Q$17</c:f>
              <c:numCache>
                <c:formatCode>0</c:formatCode>
                <c:ptCount val="15"/>
                <c:pt idx="0">
                  <c:v>3.4</c:v>
                </c:pt>
                <c:pt idx="1">
                  <c:v>2.6</c:v>
                </c:pt>
                <c:pt idx="2">
                  <c:v>3.2</c:v>
                </c:pt>
                <c:pt idx="3">
                  <c:v>3.1</c:v>
                </c:pt>
                <c:pt idx="4">
                  <c:v>3.3</c:v>
                </c:pt>
                <c:pt idx="5">
                  <c:v>2.8</c:v>
                </c:pt>
                <c:pt idx="6">
                  <c:v>3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2.7</c:v>
                </c:pt>
                <c:pt idx="11">
                  <c:v>3.2</c:v>
                </c:pt>
                <c:pt idx="12">
                  <c:v>2.5</c:v>
                </c:pt>
                <c:pt idx="13">
                  <c:v>3.8</c:v>
                </c:pt>
                <c:pt idx="14">
                  <c:v>2.5</c:v>
                </c:pt>
              </c:numCache>
            </c:numRef>
          </c:xVal>
          <c:yVal>
            <c:numRef>
              <c:f>Testen_Konfusionsmatrix!$V$3:$V$17</c:f>
              <c:numCache>
                <c:formatCode>General</c:formatCode>
                <c:ptCount val="15"/>
                <c:pt idx="0">
                  <c:v>#N/A</c:v>
                </c:pt>
                <c:pt idx="1">
                  <c:v>5.5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5</c:v>
                </c:pt>
                <c:pt idx="8">
                  <c:v>5.8</c:v>
                </c:pt>
                <c:pt idx="9">
                  <c:v>5.7</c:v>
                </c:pt>
                <c:pt idx="10">
                  <c:v>#N/A</c:v>
                </c:pt>
                <c:pt idx="11">
                  <c:v>#N/A</c:v>
                </c:pt>
                <c:pt idx="12">
                  <c:v>5.6</c:v>
                </c:pt>
                <c:pt idx="13">
                  <c:v>#N/A</c:v>
                </c:pt>
                <c:pt idx="14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E-4AB7-8948-C87C9B98FC0B}"/>
            </c:ext>
          </c:extLst>
        </c:ser>
        <c:ser>
          <c:idx val="4"/>
          <c:order val="3"/>
          <c:tx>
            <c:v>Verbinder_1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Testen_Konfusionsmatrix!$AE$3:$AE$4</c:f>
              <c:numCache>
                <c:formatCode>0.00</c:formatCode>
                <c:ptCount val="2"/>
                <c:pt idx="0">
                  <c:v>2.4</c:v>
                </c:pt>
                <c:pt idx="1">
                  <c:v>2.2999999999999998</c:v>
                </c:pt>
              </c:numCache>
            </c:numRef>
          </c:xVal>
          <c:yVal>
            <c:numRef>
              <c:f>Testen_Konfusionsmatrix!$AF$3:$AF$4</c:f>
              <c:numCache>
                <c:formatCode>0.00</c:formatCode>
                <c:ptCount val="2"/>
                <c:pt idx="0">
                  <c:v>4.9000000000000004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3E-4AB7-8948-C87C9B98FC0B}"/>
            </c:ext>
          </c:extLst>
        </c:ser>
        <c:ser>
          <c:idx val="5"/>
          <c:order val="4"/>
          <c:tx>
            <c:v>Verbinder_2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Testen_Konfusionsmatrix!$AH$3:$AH$4</c:f>
              <c:numCache>
                <c:formatCode>0.00</c:formatCode>
                <c:ptCount val="2"/>
                <c:pt idx="0">
                  <c:v>2.4</c:v>
                </c:pt>
                <c:pt idx="1">
                  <c:v>2.5</c:v>
                </c:pt>
              </c:numCache>
            </c:numRef>
          </c:xVal>
          <c:yVal>
            <c:numRef>
              <c:f>Testen_Konfusionsmatrix!$AI$3:$AI$4</c:f>
              <c:numCache>
                <c:formatCode>0.00</c:formatCode>
                <c:ptCount val="2"/>
                <c:pt idx="0">
                  <c:v>4.9000000000000004</c:v>
                </c:pt>
                <c:pt idx="1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3E-4AB7-8948-C87C9B98FC0B}"/>
            </c:ext>
          </c:extLst>
        </c:ser>
        <c:ser>
          <c:idx val="6"/>
          <c:order val="5"/>
          <c:tx>
            <c:v>Verbinder_3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Testen_Konfusionsmatrix!$AK$3:$AK$4</c:f>
              <c:numCache>
                <c:formatCode>0.00</c:formatCode>
                <c:ptCount val="2"/>
                <c:pt idx="0">
                  <c:v>2.4</c:v>
                </c:pt>
                <c:pt idx="1">
                  <c:v>2.6</c:v>
                </c:pt>
              </c:numCache>
            </c:numRef>
          </c:xVal>
          <c:yVal>
            <c:numRef>
              <c:f>Testen_Konfusionsmatrix!$AL$3:$AL$4</c:f>
              <c:numCache>
                <c:formatCode>0.00</c:formatCode>
                <c:ptCount val="2"/>
                <c:pt idx="0">
                  <c:v>4.9000000000000004</c:v>
                </c:pt>
                <c:pt idx="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3E-4AB7-8948-C87C9B98FC0B}"/>
            </c:ext>
          </c:extLst>
        </c:ser>
        <c:ser>
          <c:idx val="7"/>
          <c:order val="6"/>
          <c:tx>
            <c:v>Verbinder_4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Testen_Konfusionsmatrix!$AN$3:$AN$4</c:f>
              <c:numCache>
                <c:formatCode>0.00</c:formatCode>
                <c:ptCount val="2"/>
                <c:pt idx="0">
                  <c:v>2.4</c:v>
                </c:pt>
                <c:pt idx="1">
                  <c:v>3.1</c:v>
                </c:pt>
              </c:numCache>
            </c:numRef>
          </c:xVal>
          <c:yVal>
            <c:numRef>
              <c:f>Testen_Konfusionsmatrix!$AO$3:$AO$4</c:f>
              <c:numCache>
                <c:formatCode>0.00</c:formatCode>
                <c:ptCount val="2"/>
                <c:pt idx="0">
                  <c:v>4.9000000000000004</c:v>
                </c:pt>
                <c:pt idx="1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3E-4AB7-8948-C87C9B98FC0B}"/>
            </c:ext>
          </c:extLst>
        </c:ser>
        <c:ser>
          <c:idx val="8"/>
          <c:order val="7"/>
          <c:tx>
            <c:v>Verbinder_5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Testen_Konfusionsmatrix!$AQ$3:$AQ$4</c:f>
            </c:numRef>
          </c:xVal>
          <c:yVal>
            <c:numRef>
              <c:f>Testen_Konfusionsmatrix!$AR$3:$AR$4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3E-4AB7-8948-C87C9B98FC0B}"/>
            </c:ext>
          </c:extLst>
        </c:ser>
        <c:ser>
          <c:idx val="9"/>
          <c:order val="8"/>
          <c:tx>
            <c:v>Verbinder_6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Testen_Konfusionsmatrix!$AE$8:$AE$9</c:f>
            </c:numRef>
          </c:xVal>
          <c:yVal>
            <c:numRef>
              <c:f>Testen_Konfusionsmatrix!$AF$8:$AF$9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3E-4AB7-8948-C87C9B98FC0B}"/>
            </c:ext>
          </c:extLst>
        </c:ser>
        <c:ser>
          <c:idx val="10"/>
          <c:order val="9"/>
          <c:tx>
            <c:v>Verbinder_7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Testen_Konfusionsmatrix!$AH$8:$AH$9</c:f>
            </c:numRef>
          </c:xVal>
          <c:yVal>
            <c:numRef>
              <c:f>Testen_Konfusionsmatrix!$AI$8:$AI$9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3E-4AB7-8948-C87C9B98FC0B}"/>
            </c:ext>
          </c:extLst>
        </c:ser>
        <c:ser>
          <c:idx val="11"/>
          <c:order val="10"/>
          <c:tx>
            <c:v>Verbinder_8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Testen_Konfusionsmatrix!$AK$8:$AK$9</c:f>
            </c:numRef>
          </c:xVal>
          <c:yVal>
            <c:numRef>
              <c:f>Testen_Konfusionsmatrix!$AL$8:$AL$9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3E-4AB7-8948-C87C9B98FC0B}"/>
            </c:ext>
          </c:extLst>
        </c:ser>
        <c:ser>
          <c:idx val="12"/>
          <c:order val="11"/>
          <c:tx>
            <c:v>Verbinder_9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Testen_Konfusionsmatrix!$AN$8:$AN$9</c:f>
            </c:numRef>
          </c:xVal>
          <c:yVal>
            <c:numRef>
              <c:f>Testen_Konfusionsmatrix!$AO$8:$AO$9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E3E-4AB7-8948-C87C9B98FC0B}"/>
            </c:ext>
          </c:extLst>
        </c:ser>
        <c:ser>
          <c:idx val="13"/>
          <c:order val="12"/>
          <c:tx>
            <c:v>Verbinder_10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Testen_Konfusionsmatrix!$AQ$8:$AQ$9</c:f>
            </c:numRef>
          </c:xVal>
          <c:yVal>
            <c:numRef>
              <c:f>Testen_Konfusionsmatrix!$AR$8:$AR$9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3E-4AB7-8948-C87C9B98FC0B}"/>
            </c:ext>
          </c:extLst>
        </c:ser>
        <c:ser>
          <c:idx val="3"/>
          <c:order val="13"/>
          <c:tx>
            <c:v>Testdatenpunkt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Testen_Konfusionsmatrix!$J$3</c:f>
              <c:numCache>
                <c:formatCode>0.00</c:formatCode>
                <c:ptCount val="1"/>
                <c:pt idx="0">
                  <c:v>2.4</c:v>
                </c:pt>
              </c:numCache>
            </c:numRef>
          </c:xVal>
          <c:yVal>
            <c:numRef>
              <c:f>Testen_Konfusionsmatrix!$J$4</c:f>
              <c:numCache>
                <c:formatCode>0.00</c:formatCode>
                <c:ptCount val="1"/>
                <c:pt idx="0">
                  <c:v>4.9000000000000004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E3E-4AB7-8948-C87C9B98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1216"/>
        <c:axId val="575615392"/>
      </c:scatterChart>
      <c:valAx>
        <c:axId val="575621216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Training_Dateneingabe!$A$3</c:f>
              <c:strCache>
                <c:ptCount val="1"/>
                <c:pt idx="0">
                  <c:v>Blattbreite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15392"/>
        <c:crosses val="autoZero"/>
        <c:crossBetween val="midCat"/>
      </c:valAx>
      <c:valAx>
        <c:axId val="575615392"/>
        <c:scaling>
          <c:orientation val="minMax"/>
          <c:max val="8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Blattlänge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6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18</xdr:row>
      <xdr:rowOff>19050</xdr:rowOff>
    </xdr:from>
    <xdr:to>
      <xdr:col>16</xdr:col>
      <xdr:colOff>371475</xdr:colOff>
      <xdr:row>42</xdr:row>
      <xdr:rowOff>123825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1C91FEB-E431-07E0-77D4-AAC194AF2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571500</xdr:colOff>
      <xdr:row>31</xdr:row>
      <xdr:rowOff>95250</xdr:rowOff>
    </xdr:from>
    <xdr:to>
      <xdr:col>2</xdr:col>
      <xdr:colOff>61905</xdr:colOff>
      <xdr:row>34</xdr:row>
      <xdr:rowOff>119063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4F1D763-116B-4757-92CC-7B6D2D2F3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257925"/>
          <a:ext cx="1119180" cy="595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31</xdr:row>
      <xdr:rowOff>61912</xdr:rowOff>
    </xdr:from>
    <xdr:to>
      <xdr:col>2</xdr:col>
      <xdr:colOff>219067</xdr:colOff>
      <xdr:row>34</xdr:row>
      <xdr:rowOff>85725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3BD972E-5A9E-4201-95AE-9F3220562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757862"/>
          <a:ext cx="1114417" cy="5667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28</xdr:row>
      <xdr:rowOff>76200</xdr:rowOff>
    </xdr:from>
    <xdr:to>
      <xdr:col>2</xdr:col>
      <xdr:colOff>785805</xdr:colOff>
      <xdr:row>31</xdr:row>
      <xdr:rowOff>100013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08E9830-E59C-43E0-BE2B-C55BE9AC0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638925"/>
          <a:ext cx="1119180" cy="595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41</xdr:row>
      <xdr:rowOff>76200</xdr:rowOff>
    </xdr:from>
    <xdr:to>
      <xdr:col>2</xdr:col>
      <xdr:colOff>776280</xdr:colOff>
      <xdr:row>44</xdr:row>
      <xdr:rowOff>100013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6D0C13A-2F31-48E2-90CD-47281AEE2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9115425"/>
          <a:ext cx="1119180" cy="5953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17</xdr:row>
      <xdr:rowOff>190499</xdr:rowOff>
    </xdr:from>
    <xdr:to>
      <xdr:col>23</xdr:col>
      <xdr:colOff>533400</xdr:colOff>
      <xdr:row>38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765A7-3676-4A43-BFBF-D8A7C1A1C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723900</xdr:colOff>
      <xdr:row>30</xdr:row>
      <xdr:rowOff>114300</xdr:rowOff>
    </xdr:from>
    <xdr:to>
      <xdr:col>2</xdr:col>
      <xdr:colOff>214305</xdr:colOff>
      <xdr:row>33</xdr:row>
      <xdr:rowOff>138113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7D239A1-8296-4387-818A-FBE3DD63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6819900"/>
          <a:ext cx="1119180" cy="59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2656-808F-44EA-A0AC-1EB1AFD6B115}">
  <dimension ref="A1:AK51"/>
  <sheetViews>
    <sheetView tabSelected="1" zoomScaleNormal="100" workbookViewId="0">
      <pane xSplit="6" topLeftCell="G1" activePane="topRight" state="frozen"/>
      <selection pane="topRight" activeCell="L3" sqref="L3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4" max="6" width="11.42578125" hidden="1" customWidth="1"/>
    <col min="8" max="8" width="13.28515625" customWidth="1"/>
    <col min="9" max="9" width="13.5703125" customWidth="1"/>
    <col min="12" max="12" width="12.5703125" bestFit="1" customWidth="1"/>
    <col min="13" max="13" width="10.5703125" bestFit="1" customWidth="1"/>
    <col min="14" max="15" width="11.42578125" hidden="1" customWidth="1"/>
    <col min="18" max="18" width="13" customWidth="1"/>
    <col min="19" max="20" width="11.42578125" customWidth="1"/>
    <col min="21" max="21" width="14.28515625" customWidth="1"/>
    <col min="22" max="22" width="11.42578125" customWidth="1"/>
    <col min="23" max="23" width="16.42578125" hidden="1" customWidth="1"/>
    <col min="24" max="32" width="11.42578125" hidden="1" customWidth="1"/>
    <col min="33" max="33" width="13.5703125" hidden="1" customWidth="1"/>
    <col min="34" max="34" width="17.85546875" hidden="1" customWidth="1"/>
    <col min="35" max="37" width="11.42578125" hidden="1" customWidth="1"/>
  </cols>
  <sheetData>
    <row r="1" spans="1:37" ht="18.75" x14ac:dyDescent="0.25">
      <c r="A1" s="99" t="s">
        <v>11</v>
      </c>
      <c r="B1" s="99"/>
      <c r="C1" s="99"/>
      <c r="D1" s="33"/>
      <c r="E1" s="33"/>
      <c r="F1" s="13"/>
      <c r="G1" s="13"/>
      <c r="H1" s="100" t="s">
        <v>0</v>
      </c>
      <c r="I1" s="101"/>
      <c r="J1" s="72"/>
      <c r="K1" s="113" t="s">
        <v>33</v>
      </c>
      <c r="L1" s="113"/>
      <c r="M1" s="113"/>
      <c r="N1" s="72"/>
      <c r="O1" s="72"/>
      <c r="P1" s="72"/>
      <c r="Q1" s="72"/>
      <c r="R1" s="96" t="s">
        <v>34</v>
      </c>
      <c r="S1" s="97"/>
      <c r="T1" s="97"/>
      <c r="U1" s="98"/>
      <c r="V1" s="72"/>
      <c r="W1" s="44" t="s">
        <v>29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ht="30" x14ac:dyDescent="0.25">
      <c r="A2" s="71" t="s">
        <v>50</v>
      </c>
      <c r="B2" s="71" t="s">
        <v>51</v>
      </c>
      <c r="C2" s="61" t="s">
        <v>44</v>
      </c>
      <c r="D2" s="73" t="str">
        <f>A21</f>
        <v>setosa</v>
      </c>
      <c r="E2" s="73" t="str">
        <f>A22</f>
        <v>virginica</v>
      </c>
      <c r="F2" s="74" t="str">
        <f>A23</f>
        <v>versicolor</v>
      </c>
      <c r="G2" s="72"/>
      <c r="H2" s="102"/>
      <c r="I2" s="103"/>
      <c r="J2" s="72"/>
      <c r="K2" s="28" t="s">
        <v>2</v>
      </c>
      <c r="L2" s="28" t="s">
        <v>1</v>
      </c>
      <c r="M2" s="75" t="str">
        <f>C2</f>
        <v>Erwartetes Label</v>
      </c>
      <c r="N2" s="28" t="str">
        <f>A2</f>
        <v>Blattbreite</v>
      </c>
      <c r="O2" s="28" t="str">
        <f>B2</f>
        <v>Blattlänge</v>
      </c>
      <c r="P2" s="14"/>
      <c r="Q2" s="72"/>
      <c r="R2" s="28" t="s">
        <v>35</v>
      </c>
      <c r="S2" s="75" t="s">
        <v>8</v>
      </c>
      <c r="T2" s="28" t="str">
        <f>A2</f>
        <v>Blattbreite</v>
      </c>
      <c r="U2" s="76" t="str">
        <f>B2</f>
        <v>Blattlänge</v>
      </c>
      <c r="V2" s="77"/>
      <c r="W2" s="78" t="s">
        <v>4</v>
      </c>
      <c r="X2" s="78">
        <v>1</v>
      </c>
      <c r="Y2" s="78"/>
      <c r="Z2" s="78"/>
      <c r="AA2" s="78">
        <v>2</v>
      </c>
      <c r="AB2" s="78"/>
      <c r="AC2" s="78"/>
      <c r="AD2" s="78">
        <v>3</v>
      </c>
      <c r="AE2" s="78"/>
      <c r="AF2" s="78"/>
      <c r="AG2" s="78">
        <v>4</v>
      </c>
      <c r="AH2" s="78"/>
      <c r="AI2" s="78"/>
      <c r="AJ2" s="78">
        <v>5</v>
      </c>
      <c r="AK2" s="78"/>
    </row>
    <row r="3" spans="1:37" x14ac:dyDescent="0.25">
      <c r="A3" s="86">
        <v>3.4</v>
      </c>
      <c r="B3" s="86">
        <v>5</v>
      </c>
      <c r="C3" s="69" t="s">
        <v>52</v>
      </c>
      <c r="D3" s="13">
        <f>IF($C3=$D$2,$B3,NA())</f>
        <v>5</v>
      </c>
      <c r="E3" s="13" t="e">
        <f>IF($C3=$E$2,$B3,NA())</f>
        <v>#N/A</v>
      </c>
      <c r="F3" s="2" t="e">
        <f>IF($C3=$F$2,$B3,NA())</f>
        <v>#N/A</v>
      </c>
      <c r="H3" s="8" t="str">
        <f>$A$2</f>
        <v>Blattbreite</v>
      </c>
      <c r="I3" s="87">
        <v>3</v>
      </c>
      <c r="K3" s="35">
        <f>_xlfn.RANK.EQ(L3,$L$3:$L$17,1)</f>
        <v>10</v>
      </c>
      <c r="L3" s="82">
        <f>SQRT(($I$3-A3)^2+($I$4-B3)^2)+(ROW()/100000000)</f>
        <v>1.0770329914269008</v>
      </c>
      <c r="M3" s="16" t="str">
        <f>C3</f>
        <v>setosa</v>
      </c>
      <c r="N3" s="16">
        <f>A3</f>
        <v>3.4</v>
      </c>
      <c r="O3" s="16">
        <f>B3</f>
        <v>5</v>
      </c>
      <c r="P3" s="13"/>
      <c r="R3" s="13">
        <f>IF($I$10&gt;=1,1,"")</f>
        <v>1</v>
      </c>
      <c r="S3" s="13" t="str">
        <f>IF($I$10&gt;=1,VLOOKUP(R3,$K$3:$M$17,3,FALSE),"")</f>
        <v>versicolor</v>
      </c>
      <c r="T3" s="13">
        <f>IF($I$10&gt;=1,VLOOKUP(R3,$K$3:$O$17,4,FALSE),"")</f>
        <v>3</v>
      </c>
      <c r="U3" s="2">
        <f>IF($I$10&gt;=1,VLOOKUP(R3,$K$3:$O$17,5,FALSE),"")</f>
        <v>5.7</v>
      </c>
      <c r="W3" s="18"/>
      <c r="X3" s="36">
        <f>IF($I$10&gt;=1,$I$3,"")</f>
        <v>3</v>
      </c>
      <c r="Y3" s="36">
        <f>IF($I$10&gt;=1,$I$4,"")</f>
        <v>6</v>
      </c>
      <c r="Z3" s="36"/>
      <c r="AA3" s="36">
        <f>IF($I$10&gt;=2,$I$3,"")</f>
        <v>3</v>
      </c>
      <c r="AB3" s="36">
        <f>IF($I$10&gt;=2,$I$4,"")</f>
        <v>6</v>
      </c>
      <c r="AC3" s="36"/>
      <c r="AD3" s="36">
        <f>IF($I$10&gt;=3,$I$3,"")</f>
        <v>3</v>
      </c>
      <c r="AE3" s="36">
        <f>IF($I$10&gt;=3,$I$4,"")</f>
        <v>6</v>
      </c>
      <c r="AF3" s="37"/>
      <c r="AG3" s="36">
        <f>IF($I$10&gt;=4,$I$3,"")</f>
        <v>3</v>
      </c>
      <c r="AH3" s="36">
        <f>IF($I$10&gt;=4,$I$4,"")</f>
        <v>6</v>
      </c>
      <c r="AI3" s="37"/>
      <c r="AJ3" s="36" t="str">
        <f>IF($I$10&gt;=5,$I$3,"")</f>
        <v/>
      </c>
      <c r="AK3" s="36" t="str">
        <f>IF($I$10&gt;=5,$I$4,"")</f>
        <v/>
      </c>
    </row>
    <row r="4" spans="1:37" x14ac:dyDescent="0.25">
      <c r="A4" s="86">
        <v>2.6</v>
      </c>
      <c r="B4" s="86">
        <v>5.5</v>
      </c>
      <c r="C4" s="69" t="s">
        <v>53</v>
      </c>
      <c r="D4" s="13" t="e">
        <f t="shared" ref="D4:D17" si="0">IF($C4=$D$2,$B4,NA())</f>
        <v>#N/A</v>
      </c>
      <c r="E4" s="13" t="e">
        <f t="shared" ref="E4:E17" si="1">IF($C4=$E$2,$B4,NA())</f>
        <v>#N/A</v>
      </c>
      <c r="F4" s="2">
        <f t="shared" ref="F4:F17" si="2">IF($C4=$F$2,$B4,NA())</f>
        <v>5.5</v>
      </c>
      <c r="H4" s="8" t="str">
        <f>$B$2</f>
        <v>Blattlänge</v>
      </c>
      <c r="I4" s="87">
        <v>6</v>
      </c>
      <c r="K4" s="35">
        <f t="shared" ref="K4:K17" si="3">_xlfn.RANK.EQ(L4,$L$3:$L$17,1)</f>
        <v>6</v>
      </c>
      <c r="L4" s="82">
        <f t="shared" ref="L4:L17" si="4">SQRT(($I$3-A4)^2+($I$4-B4)^2)+(ROW()/100000000)</f>
        <v>0.64031246374328477</v>
      </c>
      <c r="M4" s="16" t="str">
        <f t="shared" ref="M4:M17" si="5">C4</f>
        <v>versicolor</v>
      </c>
      <c r="N4" s="16">
        <f t="shared" ref="N4:N17" si="6">A4</f>
        <v>2.6</v>
      </c>
      <c r="O4" s="16">
        <f t="shared" ref="O4:O17" si="7">B4</f>
        <v>5.5</v>
      </c>
      <c r="P4" s="13"/>
      <c r="R4" s="13">
        <f>IF($I$10&gt;=2,2,"")</f>
        <v>2</v>
      </c>
      <c r="S4" s="13" t="str">
        <f>IF($I$10&gt;=2,VLOOKUP(R4,$K$3:$M$17,3,FALSE),"")</f>
        <v>virginica</v>
      </c>
      <c r="T4" s="13">
        <f>IF($I$10&gt;=2,VLOOKUP(R4,$K$3:$O$17,4,FALSE),"")</f>
        <v>2.8</v>
      </c>
      <c r="U4" s="2">
        <f>IF($I$10&gt;=2,VLOOKUP(R4,$K$3:$O$17,5,FALSE),"")</f>
        <v>6.3</v>
      </c>
      <c r="W4" s="18"/>
      <c r="X4" s="20">
        <f>IF($I$10&gt;=1,VLOOKUP(X2,$K$3:$O$17,4,FALSE),"")</f>
        <v>3</v>
      </c>
      <c r="Y4" s="20">
        <f>IF($I$10&gt;=1,VLOOKUP(X2,$K$3:$O$17,5,FALSE),"")</f>
        <v>5.7</v>
      </c>
      <c r="Z4" s="20"/>
      <c r="AA4" s="20">
        <f>IF($I$10&gt;=2,VLOOKUP(AA2,$K$3:$O$17,4,FALSE),"")</f>
        <v>2.8</v>
      </c>
      <c r="AB4" s="20">
        <f>IF($I$10&gt;=2,VLOOKUP(AA2,$K$3:$O$17,5,FALSE),"")</f>
        <v>6.3</v>
      </c>
      <c r="AC4" s="20"/>
      <c r="AD4" s="20">
        <f>IF($I$10&gt;=3,VLOOKUP(AD2,$K$3:$O$17,4,FALSE),"")</f>
        <v>2.7</v>
      </c>
      <c r="AE4" s="20">
        <f>IF($I$10&gt;=3,VLOOKUP(AD2,$K$3:$O$17,5,FALSE),"")</f>
        <v>5.8</v>
      </c>
      <c r="AF4" s="19"/>
      <c r="AG4" s="20">
        <f>IF($I$10&gt;=4,VLOOKUP(AG2,$K$3:$O$17,4,FALSE),"")</f>
        <v>2.7</v>
      </c>
      <c r="AH4" s="20">
        <f>IF($I$10&gt;=4,VLOOKUP(AG2,$K$3:$O$17,5,FALSE),"")</f>
        <v>6.4</v>
      </c>
      <c r="AI4" s="19"/>
      <c r="AJ4" s="20" t="str">
        <f>IF($I$10&gt;=5,VLOOKUP(AJ2,$K$3:$O$17,4,FALSE),"")</f>
        <v/>
      </c>
      <c r="AK4" s="20" t="str">
        <f>IF($I$10&gt;=5,VLOOKUP(AJ2,$K$3:$O$17,5,FALSE),"")</f>
        <v/>
      </c>
    </row>
    <row r="5" spans="1:37" x14ac:dyDescent="0.25">
      <c r="A5" s="86">
        <v>3.2</v>
      </c>
      <c r="B5" s="86">
        <v>6.5</v>
      </c>
      <c r="C5" s="69" t="s">
        <v>54</v>
      </c>
      <c r="D5" s="13" t="e">
        <f t="shared" si="0"/>
        <v>#N/A</v>
      </c>
      <c r="E5" s="13">
        <f t="shared" si="1"/>
        <v>6.5</v>
      </c>
      <c r="F5" s="2" t="e">
        <f t="shared" si="2"/>
        <v>#N/A</v>
      </c>
      <c r="H5" s="14"/>
      <c r="K5" s="35">
        <f t="shared" si="3"/>
        <v>5</v>
      </c>
      <c r="L5" s="82">
        <f t="shared" si="4"/>
        <v>0.53851653071345051</v>
      </c>
      <c r="M5" s="16" t="str">
        <f t="shared" si="5"/>
        <v>virginica</v>
      </c>
      <c r="N5" s="16">
        <f t="shared" si="6"/>
        <v>3.2</v>
      </c>
      <c r="O5" s="16">
        <f t="shared" si="7"/>
        <v>6.5</v>
      </c>
      <c r="P5" s="13"/>
      <c r="R5" s="13">
        <f>IF($I$10&gt;=3,3,"")</f>
        <v>3</v>
      </c>
      <c r="S5" s="13" t="str">
        <f>IF($I$10&gt;=3,VLOOKUP(R5,$K$3:$M$17,3,FALSE),"")</f>
        <v>versicolor</v>
      </c>
      <c r="T5" s="13">
        <f>IF($I$10&gt;=3,VLOOKUP(R5,$K$3:$O$17,4,FALSE),"")</f>
        <v>2.7</v>
      </c>
      <c r="U5" s="2">
        <f>IF($I$10&gt;=3,VLOOKUP(R5,$K$3:$O$17,5,FALSE),"")</f>
        <v>5.8</v>
      </c>
      <c r="W5" s="18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25">
      <c r="A6" s="86">
        <v>3.1</v>
      </c>
      <c r="B6" s="86">
        <v>4.8</v>
      </c>
      <c r="C6" s="69" t="s">
        <v>52</v>
      </c>
      <c r="D6" s="13">
        <f t="shared" si="0"/>
        <v>4.8</v>
      </c>
      <c r="E6" s="13" t="e">
        <f t="shared" si="1"/>
        <v>#N/A</v>
      </c>
      <c r="F6" s="2" t="e">
        <f t="shared" si="2"/>
        <v>#N/A</v>
      </c>
      <c r="H6" s="105" t="s">
        <v>24</v>
      </c>
      <c r="I6" s="107" t="str" cm="1">
        <f t="array" aca="1" ref="I6" ca="1">IF(I10&lt;=2,S3,IF(I10=3,IF(S3=S4=S5,S3, IF(OR(S3=S4,S3=S5),S3,IF(S5=S4,S4,S3))),INDEX($S$3:INDIRECT("S"&amp;2+I10),_xlfn.MODE.SNGL(MATCH($S$3:INDIRECT("S"&amp;2+I10),$S$3:INDIRECT("S"&amp;2+I10),0)))))</f>
        <v>versicolor</v>
      </c>
      <c r="K6" s="35">
        <f t="shared" si="3"/>
        <v>12</v>
      </c>
      <c r="L6" s="82">
        <f t="shared" si="4"/>
        <v>1.2041595178792297</v>
      </c>
      <c r="M6" s="16" t="str">
        <f t="shared" si="5"/>
        <v>setosa</v>
      </c>
      <c r="N6" s="16">
        <f t="shared" si="6"/>
        <v>3.1</v>
      </c>
      <c r="O6" s="16">
        <f t="shared" si="7"/>
        <v>4.8</v>
      </c>
      <c r="P6" s="13"/>
      <c r="R6" s="13">
        <f>IF($I$10&gt;=4,4,"")</f>
        <v>4</v>
      </c>
      <c r="S6" s="13" t="str">
        <f>IF($I$10&gt;=4,VLOOKUP(R6,$K$3:$M$17,3,FALSE),"")</f>
        <v>virginica</v>
      </c>
      <c r="T6" s="13">
        <f>IF($I$10&gt;=4,VLOOKUP(R6,$K$3:$O$17,4,FALSE),"")</f>
        <v>2.7</v>
      </c>
      <c r="U6" s="2">
        <f>IF($I$10&gt;=4,VLOOKUP(R6,$K$3:$O$17,5,FALSE),"")</f>
        <v>6.4</v>
      </c>
      <c r="W6" s="18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25">
      <c r="A7" s="86">
        <v>3.3</v>
      </c>
      <c r="B7" s="86">
        <v>5.0999999999999996</v>
      </c>
      <c r="C7" s="69" t="s">
        <v>52</v>
      </c>
      <c r="D7" s="13">
        <f t="shared" si="0"/>
        <v>5.0999999999999996</v>
      </c>
      <c r="E7" s="13" t="e">
        <f t="shared" si="1"/>
        <v>#N/A</v>
      </c>
      <c r="F7" s="2" t="e">
        <f t="shared" si="2"/>
        <v>#N/A</v>
      </c>
      <c r="H7" s="106"/>
      <c r="I7" s="108"/>
      <c r="K7" s="35">
        <f t="shared" si="3"/>
        <v>8</v>
      </c>
      <c r="L7" s="82">
        <f t="shared" si="4"/>
        <v>0.94868336805051401</v>
      </c>
      <c r="M7" s="16" t="str">
        <f t="shared" si="5"/>
        <v>setosa</v>
      </c>
      <c r="N7" s="16">
        <f t="shared" si="6"/>
        <v>3.3</v>
      </c>
      <c r="O7" s="16">
        <f t="shared" si="7"/>
        <v>5.0999999999999996</v>
      </c>
      <c r="P7" s="13"/>
      <c r="R7" s="13" t="str">
        <f>IF($I$10&gt;=5,5,"")</f>
        <v/>
      </c>
      <c r="S7" s="13" t="str">
        <f>IF($I$10&gt;=5,VLOOKUP(R7,$K$3:$M$17,3,FALSE),"")</f>
        <v/>
      </c>
      <c r="T7" s="13" t="str">
        <f>IF($I$10&gt;=5,VLOOKUP(R7,$K$3:$O$17,4,FALSE),"")</f>
        <v/>
      </c>
      <c r="U7" s="2" t="str">
        <f>IF($I$10&gt;=5,VLOOKUP(R7,$K$3:$O$17,5,FALSE),"")</f>
        <v/>
      </c>
      <c r="W7" s="18"/>
      <c r="X7" s="43">
        <v>6</v>
      </c>
      <c r="Y7" s="43"/>
      <c r="Z7" s="43"/>
      <c r="AA7" s="43">
        <v>7</v>
      </c>
      <c r="AB7" s="43"/>
      <c r="AC7" s="43"/>
      <c r="AD7" s="43">
        <v>8</v>
      </c>
      <c r="AE7" s="43"/>
      <c r="AF7" s="43"/>
      <c r="AG7" s="43">
        <v>9</v>
      </c>
      <c r="AH7" s="43"/>
      <c r="AI7" s="43"/>
      <c r="AJ7" s="43">
        <v>10</v>
      </c>
      <c r="AK7" s="43"/>
    </row>
    <row r="8" spans="1:37" x14ac:dyDescent="0.25">
      <c r="A8" s="86">
        <v>2.8</v>
      </c>
      <c r="B8" s="86">
        <v>6.3</v>
      </c>
      <c r="C8" s="69" t="s">
        <v>54</v>
      </c>
      <c r="D8" s="13" t="e">
        <f t="shared" si="0"/>
        <v>#N/A</v>
      </c>
      <c r="E8" s="13">
        <f t="shared" si="1"/>
        <v>6.3</v>
      </c>
      <c r="F8" s="2" t="e">
        <f t="shared" si="2"/>
        <v>#N/A</v>
      </c>
      <c r="K8" s="35">
        <f t="shared" si="3"/>
        <v>2</v>
      </c>
      <c r="L8" s="82">
        <f t="shared" si="4"/>
        <v>0.36055520754639891</v>
      </c>
      <c r="M8" s="16" t="str">
        <f t="shared" si="5"/>
        <v>virginica</v>
      </c>
      <c r="N8" s="16">
        <f t="shared" si="6"/>
        <v>2.8</v>
      </c>
      <c r="O8" s="16">
        <f t="shared" si="7"/>
        <v>6.3</v>
      </c>
      <c r="P8" s="13"/>
      <c r="R8" s="13" t="str">
        <f>IF($I$10&gt;=6,6,"")</f>
        <v/>
      </c>
      <c r="S8" s="13" t="str">
        <f>IF($I$10&gt;=6,VLOOKUP(R8,$K$3:$M$17,3,FALSE),"")</f>
        <v/>
      </c>
      <c r="T8" s="13" t="str">
        <f>IF($I$10&gt;=6,VLOOKUP(R8,$K$3:$O$17,4,FALSE),"")</f>
        <v/>
      </c>
      <c r="U8" s="2" t="str">
        <f>IF($I$10&gt;=6,VLOOKUP(R8,$K$3:$O$17,5,FALSE),"")</f>
        <v/>
      </c>
      <c r="W8" s="18"/>
      <c r="X8" s="20" t="str">
        <f>IF($I$10&gt;=6,$I$3,"")</f>
        <v/>
      </c>
      <c r="Y8" s="20" t="str">
        <f>IF($I$10&gt;=6,$I$4,"")</f>
        <v/>
      </c>
      <c r="Z8" s="19"/>
      <c r="AA8" s="20" t="str">
        <f>IF($I$10&gt;=7,$I$3,"")</f>
        <v/>
      </c>
      <c r="AB8" s="20" t="str">
        <f>IF($I$10&gt;=7,$I$4,"")</f>
        <v/>
      </c>
      <c r="AC8" s="19"/>
      <c r="AD8" s="20" t="str">
        <f>IF($I$10&gt;=8,$I$3,"")</f>
        <v/>
      </c>
      <c r="AE8" s="20" t="str">
        <f>IF($I$10&gt;=8,$I$4,"")</f>
        <v/>
      </c>
      <c r="AF8" s="19"/>
      <c r="AG8" s="20" t="str">
        <f>IF($I$10&gt;=9,$I$3,"")</f>
        <v/>
      </c>
      <c r="AH8" s="20" t="str">
        <f>IF($I$10&gt;=9,$I$4,"")</f>
        <v/>
      </c>
      <c r="AI8" s="19"/>
      <c r="AJ8" s="20" t="str">
        <f>IF($I$10&gt;=10,$I$3,"")</f>
        <v/>
      </c>
      <c r="AK8" s="20" t="str">
        <f>IF($I$10&gt;=10,$I$4,"")</f>
        <v/>
      </c>
    </row>
    <row r="9" spans="1:37" ht="15.75" thickBot="1" x14ac:dyDescent="0.3">
      <c r="A9" s="86">
        <v>3</v>
      </c>
      <c r="B9" s="86">
        <v>7.2</v>
      </c>
      <c r="C9" s="69" t="s">
        <v>54</v>
      </c>
      <c r="D9" s="13" t="e">
        <f t="shared" si="0"/>
        <v>#N/A</v>
      </c>
      <c r="E9" s="13">
        <f t="shared" si="1"/>
        <v>7.2</v>
      </c>
      <c r="F9" s="2" t="e">
        <f t="shared" si="2"/>
        <v>#N/A</v>
      </c>
      <c r="K9" s="35">
        <f t="shared" si="3"/>
        <v>11</v>
      </c>
      <c r="L9" s="82">
        <f t="shared" si="4"/>
        <v>1.2000000900000001</v>
      </c>
      <c r="M9" s="16" t="str">
        <f t="shared" si="5"/>
        <v>virginica</v>
      </c>
      <c r="N9" s="16">
        <f t="shared" si="6"/>
        <v>3</v>
      </c>
      <c r="O9" s="16">
        <f t="shared" si="7"/>
        <v>7.2</v>
      </c>
      <c r="P9" s="13"/>
      <c r="R9" s="13" t="str">
        <f>IF($I$10&gt;=7,7,"")</f>
        <v/>
      </c>
      <c r="S9" s="13" t="str">
        <f>IF($I$10&gt;=7,VLOOKUP(R9,$K$3:$M$17,3,FALSE),"")</f>
        <v/>
      </c>
      <c r="T9" s="13" t="str">
        <f>IF($I$10&gt;=7,VLOOKUP(R9,$K$3:$O$17,4,FALSE),"")</f>
        <v/>
      </c>
      <c r="U9" s="2" t="str">
        <f>IF($I$10&gt;=7,VLOOKUP(R9,$K$3:$O$17,5,FALSE),"")</f>
        <v/>
      </c>
      <c r="W9" s="18"/>
      <c r="X9" s="20" t="str">
        <f>IF($I$10&gt;=6,VLOOKUP(X7,$K$3:$O$17,4,FALSE),"")</f>
        <v/>
      </c>
      <c r="Y9" s="20" t="str">
        <f>IF($I$10&gt;=6,VLOOKUP(X7,$K$3:$O$17,5,FALSE),"")</f>
        <v/>
      </c>
      <c r="Z9" s="19"/>
      <c r="AA9" s="20" t="str">
        <f>IF($I$10&gt;=7,VLOOKUP(AA7,$K$3:$O$17,4,FALSE),"")</f>
        <v/>
      </c>
      <c r="AB9" s="20" t="str">
        <f>IF($I$10&gt;=7,VLOOKUP(AA7,$K$3:$O$17,5,FALSE),"")</f>
        <v/>
      </c>
      <c r="AC9" s="19"/>
      <c r="AD9" s="20" t="str">
        <f>IF($I$10&gt;=8,VLOOKUP(AD7,$K$3:$O$17,4,FALSE),"")</f>
        <v/>
      </c>
      <c r="AE9" s="20" t="str">
        <f>IF($I$10&gt;=8,VLOOKUP(AD7,$K$3:$O$17,5,FALSE),"")</f>
        <v/>
      </c>
      <c r="AF9" s="19"/>
      <c r="AG9" s="20" t="str">
        <f>IF($I$10&gt;=9,VLOOKUP(AG7,$K$3:$O$17,4,FALSE),"")</f>
        <v/>
      </c>
      <c r="AH9" s="20" t="str">
        <f>IF($I$10&gt;=9,VLOOKUP(AG7,$K$3:$O$17,5,FALSE),"")</f>
        <v/>
      </c>
      <c r="AI9" s="19"/>
      <c r="AJ9" s="20" t="str">
        <f>IF($I$10&gt;=10,VLOOKUP(AJ7,$K$3:$O$17,4,FALSE),"")</f>
        <v/>
      </c>
      <c r="AK9" s="20" t="str">
        <f>IF($I$10&gt;=10,VLOOKUP(AJ7,$K$3:$O$17,5,FALSE),"")</f>
        <v/>
      </c>
    </row>
    <row r="10" spans="1:37" ht="15.75" thickBot="1" x14ac:dyDescent="0.3">
      <c r="A10" s="86">
        <v>2.2999999999999998</v>
      </c>
      <c r="B10" s="86">
        <v>5</v>
      </c>
      <c r="C10" s="69" t="s">
        <v>53</v>
      </c>
      <c r="D10" s="13" t="e">
        <f t="shared" si="0"/>
        <v>#N/A</v>
      </c>
      <c r="E10" s="13" t="e">
        <f t="shared" si="1"/>
        <v>#N/A</v>
      </c>
      <c r="F10" s="2">
        <f t="shared" si="2"/>
        <v>5</v>
      </c>
      <c r="H10" s="38" t="s">
        <v>3</v>
      </c>
      <c r="I10" s="66">
        <v>4</v>
      </c>
      <c r="K10" s="35">
        <f t="shared" si="3"/>
        <v>14</v>
      </c>
      <c r="L10" s="82">
        <f t="shared" si="4"/>
        <v>1.2206556615733704</v>
      </c>
      <c r="M10" s="16" t="str">
        <f t="shared" si="5"/>
        <v>versicolor</v>
      </c>
      <c r="N10" s="16">
        <f t="shared" si="6"/>
        <v>2.2999999999999998</v>
      </c>
      <c r="O10" s="16">
        <f t="shared" si="7"/>
        <v>5</v>
      </c>
      <c r="P10" s="13"/>
      <c r="R10" s="13" t="str">
        <f>IF($I$10&gt;=8,8,"")</f>
        <v/>
      </c>
      <c r="S10" s="13" t="str">
        <f>IF($I$10&gt;=8,VLOOKUP(R10,$K$3:$M$17,3,FALSE),"")</f>
        <v/>
      </c>
      <c r="T10" s="13" t="str">
        <f>IF($I$10&gt;=8,VLOOKUP(R10,$K$3:$O$17,4,FALSE),"")</f>
        <v/>
      </c>
      <c r="U10" s="2" t="str">
        <f>IF($I$10&gt;=8,VLOOKUP(R10,$K$3:$O$17,5,FALSE),"")</f>
        <v/>
      </c>
    </row>
    <row r="11" spans="1:37" x14ac:dyDescent="0.25">
      <c r="A11" s="86">
        <v>2.7</v>
      </c>
      <c r="B11" s="86">
        <v>5.8</v>
      </c>
      <c r="C11" s="69" t="s">
        <v>53</v>
      </c>
      <c r="D11" s="13" t="e">
        <f t="shared" si="0"/>
        <v>#N/A</v>
      </c>
      <c r="E11" s="13" t="e">
        <f t="shared" si="1"/>
        <v>#N/A</v>
      </c>
      <c r="F11" s="2">
        <f t="shared" si="2"/>
        <v>5.8</v>
      </c>
      <c r="H11" s="104" t="s">
        <v>42</v>
      </c>
      <c r="I11" s="104"/>
      <c r="K11" s="35">
        <f t="shared" si="3"/>
        <v>3</v>
      </c>
      <c r="L11" s="82">
        <f t="shared" si="4"/>
        <v>0.3605552375463989</v>
      </c>
      <c r="M11" s="16" t="str">
        <f t="shared" si="5"/>
        <v>versicolor</v>
      </c>
      <c r="N11" s="16">
        <f t="shared" si="6"/>
        <v>2.7</v>
      </c>
      <c r="O11" s="16">
        <f t="shared" si="7"/>
        <v>5.8</v>
      </c>
      <c r="P11" s="13"/>
      <c r="R11" s="13" t="str">
        <f>IF($I$10&gt;=9,9,"")</f>
        <v/>
      </c>
      <c r="S11" s="13" t="str">
        <f>IF($I$10&gt;=9,VLOOKUP(R11,$K$3:$M$17,3,FALSE),"")</f>
        <v/>
      </c>
      <c r="T11" s="13" t="str">
        <f>IF($I$10&gt;=9,VLOOKUP(R11,$K$3:$O$17,4,FALSE),"")</f>
        <v/>
      </c>
      <c r="U11" s="2" t="str">
        <f>IF($I$10&gt;=9,VLOOKUP(R11,$K$3:$O$17,5,FALSE),"")</f>
        <v/>
      </c>
    </row>
    <row r="12" spans="1:37" x14ac:dyDescent="0.25">
      <c r="A12" s="86">
        <v>3</v>
      </c>
      <c r="B12" s="86">
        <v>5.7</v>
      </c>
      <c r="C12" s="69" t="s">
        <v>53</v>
      </c>
      <c r="D12" s="13" t="e">
        <f t="shared" si="0"/>
        <v>#N/A</v>
      </c>
      <c r="E12" s="13" t="e">
        <f t="shared" si="1"/>
        <v>#N/A</v>
      </c>
      <c r="F12" s="2">
        <f t="shared" si="2"/>
        <v>5.7</v>
      </c>
      <c r="H12" s="104"/>
      <c r="I12" s="104"/>
      <c r="K12" s="35">
        <f t="shared" si="3"/>
        <v>1</v>
      </c>
      <c r="L12" s="82">
        <f t="shared" si="4"/>
        <v>0.30000011999999981</v>
      </c>
      <c r="M12" s="16" t="str">
        <f t="shared" si="5"/>
        <v>versicolor</v>
      </c>
      <c r="N12" s="16">
        <f t="shared" si="6"/>
        <v>3</v>
      </c>
      <c r="O12" s="16">
        <f t="shared" si="7"/>
        <v>5.7</v>
      </c>
      <c r="P12" s="13"/>
      <c r="R12" s="13" t="str">
        <f>IF($I$10&gt;=10,10,"")</f>
        <v/>
      </c>
      <c r="S12" s="13" t="str">
        <f>IF($I$10&gt;=10,VLOOKUP(R12,$K$3:$M$17,3,FALSE),"")</f>
        <v/>
      </c>
      <c r="T12" s="13" t="str">
        <f>IF($I$10&gt;=10,VLOOKUP(R12,$K$3:$O$17,4,FALSE),"")</f>
        <v/>
      </c>
      <c r="U12" s="2" t="str">
        <f>IF($I$10&gt;=10,VLOOKUP(R12,$K$3:$O$17,5,FALSE),"")</f>
        <v/>
      </c>
    </row>
    <row r="13" spans="1:37" x14ac:dyDescent="0.25">
      <c r="A13" s="86">
        <v>2.7</v>
      </c>
      <c r="B13" s="86">
        <v>6.4</v>
      </c>
      <c r="C13" s="69" t="s">
        <v>54</v>
      </c>
      <c r="D13" s="13" t="e">
        <f t="shared" si="0"/>
        <v>#N/A</v>
      </c>
      <c r="E13" s="13">
        <f t="shared" si="1"/>
        <v>6.4</v>
      </c>
      <c r="F13" s="2" t="e">
        <f t="shared" si="2"/>
        <v>#N/A</v>
      </c>
      <c r="K13" s="35">
        <f t="shared" si="3"/>
        <v>4</v>
      </c>
      <c r="L13" s="82">
        <f t="shared" si="4"/>
        <v>0.50000013000000021</v>
      </c>
      <c r="M13" s="16" t="str">
        <f t="shared" si="5"/>
        <v>virginica</v>
      </c>
      <c r="N13" s="16">
        <f t="shared" si="6"/>
        <v>2.7</v>
      </c>
      <c r="O13" s="16">
        <f t="shared" si="7"/>
        <v>6.4</v>
      </c>
      <c r="P13" s="13"/>
      <c r="R13" s="13"/>
    </row>
    <row r="14" spans="1:37" x14ac:dyDescent="0.25">
      <c r="A14" s="86">
        <v>3.2</v>
      </c>
      <c r="B14" s="86">
        <v>4.5999999999999996</v>
      </c>
      <c r="C14" s="69" t="s">
        <v>52</v>
      </c>
      <c r="D14" s="13">
        <f t="shared" si="0"/>
        <v>4.5999999999999996</v>
      </c>
      <c r="E14" s="13" t="e">
        <f t="shared" si="1"/>
        <v>#N/A</v>
      </c>
      <c r="F14" s="2" t="e">
        <f t="shared" si="2"/>
        <v>#N/A</v>
      </c>
      <c r="K14" s="35">
        <f t="shared" si="3"/>
        <v>15</v>
      </c>
      <c r="L14" s="82">
        <f t="shared" si="4"/>
        <v>1.4142137023730956</v>
      </c>
      <c r="M14" s="16" t="str">
        <f t="shared" si="5"/>
        <v>setosa</v>
      </c>
      <c r="N14" s="16">
        <f t="shared" si="6"/>
        <v>3.2</v>
      </c>
      <c r="O14" s="16">
        <f t="shared" si="7"/>
        <v>4.5999999999999996</v>
      </c>
      <c r="P14" s="13"/>
      <c r="R14" s="13"/>
    </row>
    <row r="15" spans="1:37" x14ac:dyDescent="0.25">
      <c r="A15" s="86">
        <v>2.5</v>
      </c>
      <c r="B15" s="86">
        <v>5.6</v>
      </c>
      <c r="C15" s="69" t="s">
        <v>53</v>
      </c>
      <c r="D15" s="13" t="e">
        <f t="shared" si="0"/>
        <v>#N/A</v>
      </c>
      <c r="E15" s="13" t="e">
        <f t="shared" si="1"/>
        <v>#N/A</v>
      </c>
      <c r="F15" s="2">
        <f t="shared" si="2"/>
        <v>5.6</v>
      </c>
      <c r="K15" s="35">
        <f t="shared" si="3"/>
        <v>7</v>
      </c>
      <c r="L15" s="82">
        <f t="shared" si="4"/>
        <v>0.6403125737432851</v>
      </c>
      <c r="M15" s="16" t="str">
        <f t="shared" si="5"/>
        <v>versicolor</v>
      </c>
      <c r="N15" s="16">
        <f t="shared" si="6"/>
        <v>2.5</v>
      </c>
      <c r="O15" s="16">
        <f t="shared" si="7"/>
        <v>5.6</v>
      </c>
      <c r="P15" s="13"/>
    </row>
    <row r="16" spans="1:37" x14ac:dyDescent="0.25">
      <c r="A16" s="86">
        <v>3.8</v>
      </c>
      <c r="B16" s="86">
        <v>5.0999999999999996</v>
      </c>
      <c r="C16" s="69" t="s">
        <v>52</v>
      </c>
      <c r="D16" s="13">
        <f t="shared" si="0"/>
        <v>5.0999999999999996</v>
      </c>
      <c r="E16" s="13" t="e">
        <f t="shared" si="1"/>
        <v>#N/A</v>
      </c>
      <c r="F16" s="2" t="e">
        <f t="shared" si="2"/>
        <v>#N/A</v>
      </c>
      <c r="K16" s="35">
        <f t="shared" si="3"/>
        <v>13</v>
      </c>
      <c r="L16" s="82">
        <f t="shared" si="4"/>
        <v>1.2041596178792295</v>
      </c>
      <c r="M16" s="16" t="str">
        <f t="shared" si="5"/>
        <v>setosa</v>
      </c>
      <c r="N16" s="16">
        <f t="shared" si="6"/>
        <v>3.8</v>
      </c>
      <c r="O16" s="16">
        <f t="shared" si="7"/>
        <v>5.0999999999999996</v>
      </c>
      <c r="P16" s="13"/>
    </row>
    <row r="17" spans="1:16" x14ac:dyDescent="0.25">
      <c r="A17" s="86">
        <v>2.5</v>
      </c>
      <c r="B17" s="86">
        <v>5.0999999999999996</v>
      </c>
      <c r="C17" s="69" t="s">
        <v>53</v>
      </c>
      <c r="D17" s="13" t="e">
        <f t="shared" si="0"/>
        <v>#N/A</v>
      </c>
      <c r="E17" s="13" t="e">
        <f t="shared" si="1"/>
        <v>#N/A</v>
      </c>
      <c r="F17" s="2">
        <f t="shared" si="2"/>
        <v>5.0999999999999996</v>
      </c>
      <c r="K17" s="35">
        <f t="shared" si="3"/>
        <v>9</v>
      </c>
      <c r="L17" s="82">
        <f t="shared" si="4"/>
        <v>1.0295631840987003</v>
      </c>
      <c r="M17" s="16" t="str">
        <f t="shared" si="5"/>
        <v>versicolor</v>
      </c>
      <c r="N17" s="16">
        <f t="shared" si="6"/>
        <v>2.5</v>
      </c>
      <c r="O17" s="16">
        <f t="shared" si="7"/>
        <v>5.0999999999999996</v>
      </c>
      <c r="P17" s="13"/>
    </row>
    <row r="18" spans="1:16" x14ac:dyDescent="0.25">
      <c r="A18" s="79"/>
      <c r="B18" s="79"/>
      <c r="C18" s="80"/>
      <c r="D18" s="13"/>
      <c r="E18" s="13"/>
      <c r="F18" s="2"/>
    </row>
    <row r="19" spans="1:16" x14ac:dyDescent="0.25">
      <c r="A19" s="81"/>
      <c r="B19" s="81"/>
      <c r="C19" s="2"/>
      <c r="D19" s="13"/>
      <c r="E19" s="13"/>
      <c r="F19" s="2"/>
    </row>
    <row r="20" spans="1:16" x14ac:dyDescent="0.25">
      <c r="A20" s="109" t="s">
        <v>37</v>
      </c>
      <c r="B20" s="110"/>
      <c r="C20" s="2"/>
      <c r="D20" s="13"/>
      <c r="E20" s="13"/>
      <c r="F20" s="2"/>
    </row>
    <row r="21" spans="1:16" x14ac:dyDescent="0.25">
      <c r="A21" s="111" t="s">
        <v>52</v>
      </c>
      <c r="B21" s="111"/>
      <c r="C21" s="2"/>
      <c r="D21" s="13"/>
      <c r="E21" s="13"/>
      <c r="F21" s="2"/>
    </row>
    <row r="22" spans="1:16" x14ac:dyDescent="0.25">
      <c r="A22" s="111" t="s">
        <v>54</v>
      </c>
      <c r="B22" s="111"/>
      <c r="C22" s="2"/>
      <c r="D22" s="13"/>
      <c r="E22" s="13"/>
      <c r="F22" s="2"/>
    </row>
    <row r="23" spans="1:16" x14ac:dyDescent="0.25">
      <c r="A23" s="112" t="s">
        <v>53</v>
      </c>
      <c r="B23" s="112"/>
      <c r="C23" s="7"/>
      <c r="D23" s="13"/>
      <c r="E23" s="13"/>
    </row>
    <row r="24" spans="1:16" x14ac:dyDescent="0.25">
      <c r="A24" s="7"/>
      <c r="B24" s="7"/>
      <c r="C24" s="7"/>
      <c r="D24" s="13"/>
      <c r="E24" s="13"/>
    </row>
    <row r="25" spans="1:16" x14ac:dyDescent="0.25">
      <c r="A25" s="7"/>
      <c r="B25" s="7"/>
      <c r="C25" s="7"/>
      <c r="D25" s="13"/>
      <c r="E25" s="13"/>
    </row>
    <row r="26" spans="1:16" x14ac:dyDescent="0.25">
      <c r="A26" s="7"/>
      <c r="B26" s="7"/>
      <c r="C26" s="7"/>
      <c r="D26" s="13"/>
      <c r="E26" s="13"/>
    </row>
    <row r="27" spans="1:16" x14ac:dyDescent="0.25">
      <c r="A27" s="7"/>
      <c r="B27" s="7"/>
      <c r="C27" s="7"/>
      <c r="D27" s="13"/>
      <c r="E27" s="13"/>
    </row>
    <row r="28" spans="1:16" x14ac:dyDescent="0.25">
      <c r="A28" s="7"/>
      <c r="B28" s="7"/>
      <c r="C28" s="7"/>
      <c r="D28" s="13"/>
      <c r="E28" s="13"/>
    </row>
    <row r="29" spans="1:16" x14ac:dyDescent="0.25">
      <c r="A29" s="83" t="s">
        <v>47</v>
      </c>
      <c r="B29" s="83"/>
      <c r="C29" s="83"/>
      <c r="D29" s="13"/>
      <c r="E29" s="13"/>
    </row>
    <row r="30" spans="1:16" x14ac:dyDescent="0.25">
      <c r="A30" s="95" t="s">
        <v>48</v>
      </c>
      <c r="B30" s="95"/>
      <c r="C30" s="95"/>
      <c r="D30" s="13"/>
      <c r="E30" s="13"/>
    </row>
    <row r="31" spans="1:16" x14ac:dyDescent="0.25">
      <c r="A31" s="95" t="s">
        <v>49</v>
      </c>
      <c r="B31" s="95"/>
      <c r="C31" s="95"/>
      <c r="D31" s="13"/>
      <c r="E31" s="13"/>
    </row>
    <row r="32" spans="1:16" x14ac:dyDescent="0.25">
      <c r="A32" s="95"/>
      <c r="B32" s="95"/>
      <c r="C32" s="95"/>
      <c r="D32" s="13"/>
      <c r="E32" s="13"/>
    </row>
    <row r="33" spans="1:5" x14ac:dyDescent="0.25">
      <c r="A33" s="95"/>
      <c r="B33" s="95"/>
      <c r="C33" s="95"/>
      <c r="D33" s="13"/>
      <c r="E33" s="13"/>
    </row>
    <row r="34" spans="1:5" x14ac:dyDescent="0.25">
      <c r="A34" s="95"/>
      <c r="B34" s="95"/>
      <c r="C34" s="95"/>
      <c r="D34" s="13"/>
      <c r="E34" s="13"/>
    </row>
    <row r="35" spans="1:5" x14ac:dyDescent="0.25">
      <c r="A35" s="95"/>
      <c r="B35" s="95"/>
      <c r="C35" s="95"/>
      <c r="D35" s="13"/>
      <c r="E35" s="13"/>
    </row>
    <row r="36" spans="1:5" x14ac:dyDescent="0.25">
      <c r="A36" s="7"/>
      <c r="B36" s="7"/>
      <c r="C36" s="7"/>
      <c r="D36" s="13"/>
      <c r="E36" s="13"/>
    </row>
    <row r="37" spans="1:5" x14ac:dyDescent="0.25">
      <c r="A37" s="7"/>
      <c r="B37" s="7"/>
      <c r="C37" s="7"/>
      <c r="D37" s="13"/>
      <c r="E37" s="13"/>
    </row>
    <row r="38" spans="1:5" x14ac:dyDescent="0.25">
      <c r="A38" s="7"/>
      <c r="B38" s="7"/>
      <c r="C38" s="7"/>
      <c r="D38" s="13"/>
      <c r="E38" s="13"/>
    </row>
    <row r="39" spans="1:5" x14ac:dyDescent="0.25">
      <c r="A39" s="7"/>
      <c r="B39" s="7"/>
      <c r="C39" s="7"/>
      <c r="D39" s="13"/>
      <c r="E39" s="13"/>
    </row>
    <row r="40" spans="1:5" x14ac:dyDescent="0.25">
      <c r="A40" s="7"/>
      <c r="B40" s="7"/>
      <c r="C40" s="7"/>
      <c r="D40" s="13"/>
      <c r="E40" s="13"/>
    </row>
    <row r="41" spans="1:5" x14ac:dyDescent="0.25">
      <c r="A41" s="7"/>
      <c r="B41" s="7"/>
      <c r="C41" s="7"/>
      <c r="D41" s="13"/>
      <c r="E41" s="13"/>
    </row>
    <row r="42" spans="1:5" x14ac:dyDescent="0.25">
      <c r="A42" s="7"/>
      <c r="B42" s="7"/>
      <c r="C42" s="7"/>
      <c r="D42" s="13"/>
      <c r="E42" s="13"/>
    </row>
    <row r="43" spans="1:5" x14ac:dyDescent="0.25">
      <c r="A43" s="7"/>
      <c r="B43" s="7"/>
      <c r="C43" s="7"/>
      <c r="D43" s="13"/>
      <c r="E43" s="13"/>
    </row>
    <row r="44" spans="1:5" x14ac:dyDescent="0.25">
      <c r="A44" s="7"/>
      <c r="B44" s="7"/>
      <c r="C44" s="7"/>
      <c r="D44" s="13"/>
      <c r="E44" s="13"/>
    </row>
    <row r="45" spans="1:5" x14ac:dyDescent="0.25">
      <c r="A45" s="7"/>
      <c r="B45" s="7"/>
      <c r="C45" s="7"/>
      <c r="D45" s="13"/>
      <c r="E45" s="13"/>
    </row>
    <row r="46" spans="1:5" x14ac:dyDescent="0.25">
      <c r="A46" s="7"/>
      <c r="B46" s="7"/>
      <c r="C46" s="7"/>
      <c r="D46" s="13"/>
      <c r="E46" s="13"/>
    </row>
    <row r="47" spans="1:5" x14ac:dyDescent="0.25">
      <c r="A47" s="7"/>
      <c r="B47" s="7"/>
      <c r="C47" s="7"/>
      <c r="D47" s="13"/>
      <c r="E47" s="13"/>
    </row>
    <row r="48" spans="1:5" x14ac:dyDescent="0.25">
      <c r="A48" s="7"/>
      <c r="B48" s="7"/>
      <c r="C48" s="7"/>
      <c r="D48" s="13"/>
      <c r="E48" s="13"/>
    </row>
    <row r="49" spans="1:5" x14ac:dyDescent="0.25">
      <c r="A49" s="7"/>
      <c r="B49" s="7"/>
      <c r="C49" s="7"/>
      <c r="D49" s="13"/>
      <c r="E49" s="13"/>
    </row>
    <row r="50" spans="1:5" x14ac:dyDescent="0.25">
      <c r="A50" s="7"/>
      <c r="B50" s="7"/>
      <c r="C50" s="7"/>
      <c r="D50" s="13"/>
      <c r="E50" s="13"/>
    </row>
    <row r="51" spans="1:5" x14ac:dyDescent="0.25">
      <c r="A51" s="7"/>
      <c r="B51" s="7"/>
      <c r="C51" s="7"/>
      <c r="D51" s="13"/>
      <c r="E51" s="13"/>
    </row>
  </sheetData>
  <sheetProtection algorithmName="SHA-512" hashValue="Hc2H1PIozDqKRWaqTW45lc5ge4lz7SmzJyHjz7aKhXaL9fElFozGxR6Jx+x3yG47iuQK3DfV3r1vXiGQQmpDCQ==" saltValue="XZIU7hJ5T8IcF6BCl+p6Iw==" spinCount="100000" sheet="1" objects="1" scenarios="1" selectLockedCells="1"/>
  <mergeCells count="14">
    <mergeCell ref="A32:C35"/>
    <mergeCell ref="A30:C30"/>
    <mergeCell ref="A31:C31"/>
    <mergeCell ref="R1:U1"/>
    <mergeCell ref="A1:C1"/>
    <mergeCell ref="H1:I2"/>
    <mergeCell ref="H11:I12"/>
    <mergeCell ref="H6:H7"/>
    <mergeCell ref="I6:I7"/>
    <mergeCell ref="A20:B20"/>
    <mergeCell ref="A21:B21"/>
    <mergeCell ref="A22:B22"/>
    <mergeCell ref="A23:B23"/>
    <mergeCell ref="K1:M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76D-A575-417E-8F43-CCAA37557F98}">
  <dimension ref="A1:H52"/>
  <sheetViews>
    <sheetView topLeftCell="A3" workbookViewId="0">
      <selection activeCell="A3" sqref="A3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</cols>
  <sheetData>
    <row r="1" spans="1:7" ht="21" x14ac:dyDescent="0.35">
      <c r="A1" s="114" t="s">
        <v>7</v>
      </c>
      <c r="B1" s="114"/>
      <c r="C1" s="114"/>
      <c r="D1" s="114"/>
      <c r="E1" s="114"/>
      <c r="F1" s="114"/>
      <c r="G1" s="114"/>
    </row>
    <row r="3" spans="1:7" x14ac:dyDescent="0.25">
      <c r="A3" s="67" t="s">
        <v>50</v>
      </c>
      <c r="B3" s="67" t="s">
        <v>51</v>
      </c>
      <c r="C3" s="68" t="s">
        <v>44</v>
      </c>
      <c r="E3" s="115" t="s">
        <v>37</v>
      </c>
      <c r="F3" s="115"/>
    </row>
    <row r="4" spans="1:7" x14ac:dyDescent="0.25">
      <c r="A4" s="86">
        <v>3.4</v>
      </c>
      <c r="B4" s="86">
        <v>5</v>
      </c>
      <c r="C4" s="69" t="s">
        <v>52</v>
      </c>
      <c r="E4" s="116" t="s">
        <v>52</v>
      </c>
      <c r="F4" s="117"/>
    </row>
    <row r="5" spans="1:7" x14ac:dyDescent="0.25">
      <c r="A5" s="86">
        <v>2.6</v>
      </c>
      <c r="B5" s="86">
        <v>5.5</v>
      </c>
      <c r="C5" s="69" t="s">
        <v>53</v>
      </c>
      <c r="E5" s="116" t="s">
        <v>54</v>
      </c>
      <c r="F5" s="117"/>
    </row>
    <row r="6" spans="1:7" x14ac:dyDescent="0.25">
      <c r="A6" s="86">
        <v>3.2</v>
      </c>
      <c r="B6" s="86">
        <v>6.5</v>
      </c>
      <c r="C6" s="69" t="s">
        <v>54</v>
      </c>
      <c r="E6" s="116" t="s">
        <v>53</v>
      </c>
      <c r="F6" s="117"/>
    </row>
    <row r="7" spans="1:7" x14ac:dyDescent="0.25">
      <c r="A7" s="86">
        <v>3.1</v>
      </c>
      <c r="B7" s="86">
        <v>4.8</v>
      </c>
      <c r="C7" s="69" t="s">
        <v>52</v>
      </c>
      <c r="E7" s="58"/>
      <c r="F7" s="58"/>
    </row>
    <row r="8" spans="1:7" x14ac:dyDescent="0.25">
      <c r="A8" s="86">
        <v>3.3</v>
      </c>
      <c r="B8" s="86">
        <v>5.0999999999999996</v>
      </c>
      <c r="C8" s="69" t="s">
        <v>52</v>
      </c>
    </row>
    <row r="9" spans="1:7" x14ac:dyDescent="0.25">
      <c r="A9" s="86">
        <v>2.8</v>
      </c>
      <c r="B9" s="86">
        <v>6.3</v>
      </c>
      <c r="C9" s="69" t="s">
        <v>54</v>
      </c>
    </row>
    <row r="10" spans="1:7" x14ac:dyDescent="0.25">
      <c r="A10" s="86">
        <v>3</v>
      </c>
      <c r="B10" s="86">
        <v>7.2</v>
      </c>
      <c r="C10" s="69" t="s">
        <v>54</v>
      </c>
    </row>
    <row r="11" spans="1:7" x14ac:dyDescent="0.25">
      <c r="A11" s="86">
        <v>2.2999999999999998</v>
      </c>
      <c r="B11" s="86">
        <v>5</v>
      </c>
      <c r="C11" s="69" t="s">
        <v>53</v>
      </c>
    </row>
    <row r="12" spans="1:7" x14ac:dyDescent="0.25">
      <c r="A12" s="86">
        <v>2.7</v>
      </c>
      <c r="B12" s="86">
        <v>5.8</v>
      </c>
      <c r="C12" s="69" t="s">
        <v>53</v>
      </c>
    </row>
    <row r="13" spans="1:7" x14ac:dyDescent="0.25">
      <c r="A13" s="86">
        <v>3</v>
      </c>
      <c r="B13" s="86">
        <v>5.7</v>
      </c>
      <c r="C13" s="69" t="s">
        <v>53</v>
      </c>
    </row>
    <row r="14" spans="1:7" x14ac:dyDescent="0.25">
      <c r="A14" s="86">
        <v>2.7</v>
      </c>
      <c r="B14" s="86">
        <v>6.4</v>
      </c>
      <c r="C14" s="69" t="s">
        <v>54</v>
      </c>
    </row>
    <row r="15" spans="1:7" x14ac:dyDescent="0.25">
      <c r="A15" s="86">
        <v>3.2</v>
      </c>
      <c r="B15" s="86">
        <v>4.5999999999999996</v>
      </c>
      <c r="C15" s="69" t="s">
        <v>52</v>
      </c>
    </row>
    <row r="16" spans="1:7" x14ac:dyDescent="0.25">
      <c r="A16" s="86">
        <v>2.5</v>
      </c>
      <c r="B16" s="86">
        <v>5.6</v>
      </c>
      <c r="C16" s="69" t="s">
        <v>53</v>
      </c>
    </row>
    <row r="17" spans="1:8" x14ac:dyDescent="0.25">
      <c r="A17" s="86">
        <v>3.8</v>
      </c>
      <c r="B17" s="86">
        <v>5.0999999999999996</v>
      </c>
      <c r="C17" s="69" t="s">
        <v>52</v>
      </c>
      <c r="E17" s="15"/>
      <c r="F17" s="15"/>
      <c r="G17" s="2"/>
    </row>
    <row r="18" spans="1:8" x14ac:dyDescent="0.25">
      <c r="A18" s="86">
        <v>2.5</v>
      </c>
      <c r="B18" s="86">
        <v>5.0999999999999996</v>
      </c>
      <c r="C18" s="69" t="s">
        <v>53</v>
      </c>
    </row>
    <row r="19" spans="1:8" x14ac:dyDescent="0.25">
      <c r="A19" s="7"/>
      <c r="B19" s="7"/>
      <c r="C19" s="7"/>
    </row>
    <row r="20" spans="1:8" x14ac:dyDescent="0.25">
      <c r="A20" s="7"/>
      <c r="B20" s="7"/>
      <c r="C20" s="7"/>
    </row>
    <row r="21" spans="1:8" x14ac:dyDescent="0.25">
      <c r="A21" s="7"/>
      <c r="B21" s="7"/>
      <c r="C21" s="7"/>
    </row>
    <row r="22" spans="1:8" x14ac:dyDescent="0.25">
      <c r="A22" s="7"/>
      <c r="B22" s="7"/>
      <c r="C22" s="7"/>
    </row>
    <row r="23" spans="1:8" x14ac:dyDescent="0.25">
      <c r="A23" s="7"/>
      <c r="B23" s="7"/>
      <c r="C23" s="7"/>
    </row>
    <row r="24" spans="1:8" x14ac:dyDescent="0.25">
      <c r="A24" s="7"/>
      <c r="B24" s="7"/>
      <c r="C24" s="7"/>
    </row>
    <row r="25" spans="1:8" x14ac:dyDescent="0.25">
      <c r="A25" s="7"/>
      <c r="B25" s="7"/>
      <c r="C25" s="7"/>
    </row>
    <row r="26" spans="1:8" x14ac:dyDescent="0.25">
      <c r="A26" s="7"/>
      <c r="B26" s="7"/>
      <c r="C26" s="7"/>
    </row>
    <row r="27" spans="1:8" x14ac:dyDescent="0.25">
      <c r="A27" s="7"/>
      <c r="B27" s="7"/>
      <c r="C27" s="7"/>
    </row>
    <row r="28" spans="1:8" x14ac:dyDescent="0.25">
      <c r="A28" s="7"/>
      <c r="B28" s="7"/>
      <c r="C28" s="7"/>
      <c r="H28" s="15"/>
    </row>
    <row r="29" spans="1:8" x14ac:dyDescent="0.25">
      <c r="A29" s="83" t="s">
        <v>47</v>
      </c>
      <c r="B29" s="83"/>
      <c r="C29" s="83"/>
      <c r="H29" s="15"/>
    </row>
    <row r="30" spans="1:8" x14ac:dyDescent="0.25">
      <c r="A30" s="95" t="s">
        <v>48</v>
      </c>
      <c r="B30" s="95"/>
      <c r="C30" s="95"/>
      <c r="H30" s="15"/>
    </row>
    <row r="31" spans="1:8" x14ac:dyDescent="0.25">
      <c r="A31" s="95" t="s">
        <v>49</v>
      </c>
      <c r="B31" s="95"/>
      <c r="C31" s="95"/>
      <c r="H31" s="15"/>
    </row>
    <row r="32" spans="1:8" x14ac:dyDescent="0.25">
      <c r="A32" s="95"/>
      <c r="B32" s="95"/>
      <c r="C32" s="95"/>
      <c r="H32" s="15"/>
    </row>
    <row r="33" spans="1:8" x14ac:dyDescent="0.25">
      <c r="A33" s="95"/>
      <c r="B33" s="95"/>
      <c r="C33" s="95"/>
      <c r="H33" s="15"/>
    </row>
    <row r="34" spans="1:8" x14ac:dyDescent="0.25">
      <c r="A34" s="95"/>
      <c r="B34" s="95"/>
      <c r="C34" s="95"/>
      <c r="H34" s="15"/>
    </row>
    <row r="35" spans="1:8" x14ac:dyDescent="0.25">
      <c r="A35" s="95"/>
      <c r="B35" s="95"/>
      <c r="C35" s="95"/>
      <c r="H35" s="15"/>
    </row>
    <row r="36" spans="1:8" x14ac:dyDescent="0.25">
      <c r="A36" s="7"/>
      <c r="B36" s="7"/>
      <c r="C36" s="7"/>
      <c r="H36" s="15"/>
    </row>
    <row r="37" spans="1:8" x14ac:dyDescent="0.25">
      <c r="A37" s="7"/>
      <c r="B37" s="7"/>
      <c r="C37" s="7"/>
      <c r="H37" s="15"/>
    </row>
    <row r="38" spans="1:8" x14ac:dyDescent="0.25">
      <c r="A38" s="7"/>
      <c r="B38" s="7"/>
      <c r="C38" s="7"/>
      <c r="H38" s="15"/>
    </row>
    <row r="39" spans="1:8" x14ac:dyDescent="0.25">
      <c r="A39" s="7"/>
      <c r="B39" s="7"/>
      <c r="C39" s="7"/>
      <c r="H39" s="15"/>
    </row>
    <row r="40" spans="1:8" x14ac:dyDescent="0.25">
      <c r="A40" s="7"/>
      <c r="B40" s="7"/>
      <c r="C40" s="7"/>
      <c r="H40" s="15"/>
    </row>
    <row r="41" spans="1:8" x14ac:dyDescent="0.25">
      <c r="A41" s="7"/>
      <c r="B41" s="7"/>
      <c r="C41" s="7"/>
      <c r="H41" s="15"/>
    </row>
    <row r="42" spans="1:8" x14ac:dyDescent="0.25">
      <c r="A42" s="7"/>
      <c r="B42" s="7"/>
      <c r="C42" s="7"/>
      <c r="H42" s="15"/>
    </row>
    <row r="43" spans="1:8" x14ac:dyDescent="0.25">
      <c r="A43" s="7"/>
      <c r="B43" s="7"/>
      <c r="C43" s="7"/>
    </row>
    <row r="44" spans="1:8" x14ac:dyDescent="0.25">
      <c r="A44" s="7"/>
      <c r="B44" s="7"/>
      <c r="C44" s="7"/>
    </row>
    <row r="45" spans="1:8" x14ac:dyDescent="0.25">
      <c r="A45" s="7"/>
      <c r="B45" s="7"/>
      <c r="C45" s="7"/>
    </row>
    <row r="46" spans="1:8" x14ac:dyDescent="0.25">
      <c r="A46" s="7"/>
      <c r="B46" s="7"/>
      <c r="C46" s="7"/>
    </row>
    <row r="47" spans="1:8" x14ac:dyDescent="0.25">
      <c r="A47" s="7"/>
      <c r="B47" s="7"/>
      <c r="C47" s="7"/>
    </row>
    <row r="48" spans="1:8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sheetProtection algorithmName="SHA-512" hashValue="HRFeUJ29sYXUbTm9OcdF48zGCwHbMhVlRQlxOvyhhGfMa8OGc9qlCkfgS6ZsyXVZ2aVdWI0+OdeR+Ker9US+MQ==" saltValue="iTTFNJSyO3TyptBhTr+aqw==" spinCount="100000" sheet="1" objects="1" scenarios="1" selectLockedCells="1"/>
  <mergeCells count="8">
    <mergeCell ref="A32:C35"/>
    <mergeCell ref="A30:C30"/>
    <mergeCell ref="A31:C31"/>
    <mergeCell ref="A1:G1"/>
    <mergeCell ref="E3:F3"/>
    <mergeCell ref="E4:F4"/>
    <mergeCell ref="E5:F5"/>
    <mergeCell ref="E6:F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4789-1B28-4B09-8843-C97ADF5F2EDC}">
  <dimension ref="A1:X38"/>
  <sheetViews>
    <sheetView zoomScaleNormal="100" workbookViewId="0">
      <pane xSplit="7" topLeftCell="I1" activePane="topRight" state="frozen"/>
      <selection pane="topRight" activeCell="P21" sqref="P21"/>
    </sheetView>
  </sheetViews>
  <sheetFormatPr baseColWidth="10" defaultRowHeight="15" x14ac:dyDescent="0.25"/>
  <cols>
    <col min="1" max="1" width="3.140625" bestFit="1" customWidth="1"/>
    <col min="2" max="2" width="12.140625" bestFit="1" customWidth="1"/>
    <col min="3" max="3" width="12.28515625" bestFit="1" customWidth="1"/>
    <col min="5" max="8" width="11.42578125" hidden="1" customWidth="1"/>
    <col min="10" max="10" width="19" customWidth="1"/>
    <col min="11" max="11" width="13.7109375" customWidth="1"/>
    <col min="12" max="12" width="13.5703125" customWidth="1"/>
    <col min="13" max="13" width="21.42578125" hidden="1" customWidth="1"/>
    <col min="14" max="14" width="14.28515625" customWidth="1"/>
    <col min="15" max="15" width="11.42578125" customWidth="1"/>
    <col min="16" max="16" width="14.28515625" customWidth="1"/>
    <col min="21" max="21" width="11.140625" customWidth="1"/>
    <col min="22" max="22" width="15.7109375" bestFit="1" customWidth="1"/>
    <col min="23" max="23" width="12.140625" bestFit="1" customWidth="1"/>
    <col min="24" max="24" width="12.28515625" bestFit="1" customWidth="1"/>
  </cols>
  <sheetData>
    <row r="1" spans="1:24" ht="19.5" thickBot="1" x14ac:dyDescent="0.35">
      <c r="B1" s="120" t="s">
        <v>11</v>
      </c>
      <c r="C1" s="120"/>
      <c r="D1" s="120"/>
      <c r="E1" s="12"/>
      <c r="F1" s="12"/>
      <c r="G1" s="2"/>
      <c r="H1" s="2"/>
      <c r="I1" s="2"/>
      <c r="J1" s="121" t="s">
        <v>41</v>
      </c>
      <c r="K1" s="122"/>
    </row>
    <row r="2" spans="1:24" ht="45.75" thickBot="1" x14ac:dyDescent="0.3">
      <c r="A2" s="1" t="s">
        <v>39</v>
      </c>
      <c r="B2" s="8" t="str">
        <f>Training_Dateneingabe!A3</f>
        <v>Blattbreite</v>
      </c>
      <c r="C2" s="8" t="str">
        <f>Training_Dateneingabe!B3</f>
        <v>Blattlänge</v>
      </c>
      <c r="D2" s="61" t="str">
        <f>Training_Dateneingabe!C3</f>
        <v>Erwartetes Label</v>
      </c>
      <c r="E2" s="14" t="str">
        <f>Training_Dateneingabe!E4</f>
        <v>setosa</v>
      </c>
      <c r="F2" s="14" t="str">
        <f>Training_Dateneingabe!E5</f>
        <v>virginica</v>
      </c>
      <c r="G2" s="14" t="str">
        <f>Training_Dateneingabe!E6</f>
        <v>versicolor</v>
      </c>
      <c r="J2" s="123"/>
      <c r="K2" s="124"/>
      <c r="M2" s="14"/>
      <c r="N2" s="54" t="s">
        <v>8</v>
      </c>
      <c r="O2" s="50" t="s">
        <v>9</v>
      </c>
      <c r="P2" s="51" t="s">
        <v>36</v>
      </c>
      <c r="Q2" s="53" t="s">
        <v>6</v>
      </c>
      <c r="T2" s="28" t="s">
        <v>2</v>
      </c>
      <c r="U2" s="28" t="s">
        <v>1</v>
      </c>
      <c r="V2" s="28" t="str">
        <f>$D$2</f>
        <v>Erwartetes Label</v>
      </c>
      <c r="W2" s="28" t="str">
        <f>$B$2</f>
        <v>Blattbreite</v>
      </c>
      <c r="X2" s="28" t="str">
        <f>$C$2</f>
        <v>Blattlänge</v>
      </c>
    </row>
    <row r="3" spans="1:24" x14ac:dyDescent="0.25">
      <c r="A3" s="2">
        <v>1</v>
      </c>
      <c r="B3" s="88">
        <f>Training_Dateneingabe!A4</f>
        <v>3.4</v>
      </c>
      <c r="C3" s="88">
        <f>Training_Dateneingabe!B4</f>
        <v>5</v>
      </c>
      <c r="D3" s="4" t="str">
        <f>Training_Dateneingabe!C4</f>
        <v>setosa</v>
      </c>
      <c r="E3" s="13">
        <f>IF($D3=$E$2,$C3,NA())</f>
        <v>5</v>
      </c>
      <c r="F3" s="13" t="e">
        <f t="shared" ref="F3:F12" si="0">IF($D3=$F$2,$C3,NA())</f>
        <v>#N/A</v>
      </c>
      <c r="G3" s="2" t="e">
        <f t="shared" ref="G3:G12" si="1">IF($D3=$G$2,$C3,NA())</f>
        <v>#N/A</v>
      </c>
      <c r="H3" t="b">
        <f>AND((B3=$K$3),(C3=$K$4))</f>
        <v>0</v>
      </c>
      <c r="J3" s="8" t="str">
        <f>$B$2</f>
        <v>Blattbreite</v>
      </c>
      <c r="K3" s="89">
        <v>2.7</v>
      </c>
      <c r="M3" s="13"/>
      <c r="N3" s="32" t="str">
        <f>VLOOKUP(1,$T$3:$V$12,3,FALSE)</f>
        <v>virginica</v>
      </c>
      <c r="O3" s="25">
        <v>1</v>
      </c>
      <c r="P3" s="57" t="str">
        <f>N3</f>
        <v>virginica</v>
      </c>
      <c r="Q3" s="23" t="b">
        <f>P3=$K$5</f>
        <v>1</v>
      </c>
      <c r="T3" s="16">
        <f t="shared" ref="T3:T12" si="2">IF(U3&lt;&gt;"",_xlfn.RANK.EQ(U3,$U$3:$U$14,1),"")</f>
        <v>9</v>
      </c>
      <c r="U3" s="22">
        <f>SQRT(($K$3-$B3)^2+($K$4-$C3)^2)+(ROW()/100000000)</f>
        <v>1.565247614249853</v>
      </c>
      <c r="V3" s="16" t="str">
        <f>IF(U3&lt;&gt;"",$D3,"")</f>
        <v>setosa</v>
      </c>
      <c r="W3" s="16">
        <f>IF(U3&lt;&gt;"",$B3,"")</f>
        <v>3.4</v>
      </c>
      <c r="X3" s="16">
        <f>IF(U3&lt;&gt;"",$C3,"")</f>
        <v>5</v>
      </c>
    </row>
    <row r="4" spans="1:24" ht="15.75" thickBot="1" x14ac:dyDescent="0.3">
      <c r="A4" s="2">
        <v>2</v>
      </c>
      <c r="B4" s="88">
        <f>Training_Dateneingabe!A5</f>
        <v>2.6</v>
      </c>
      <c r="C4" s="88">
        <f>Training_Dateneingabe!B5</f>
        <v>5.5</v>
      </c>
      <c r="D4" s="4" t="str">
        <f>Training_Dateneingabe!C5</f>
        <v>versicolor</v>
      </c>
      <c r="E4" s="13" t="e">
        <f t="shared" ref="E4:E12" si="3">IF($D4=$E$2,$C4,NA())</f>
        <v>#N/A</v>
      </c>
      <c r="F4" s="13" t="e">
        <f t="shared" si="0"/>
        <v>#N/A</v>
      </c>
      <c r="G4" s="2">
        <f t="shared" si="1"/>
        <v>5.5</v>
      </c>
      <c r="H4" t="b">
        <f t="shared" ref="H4:H12" si="4">AND((B4=$K$3),(C4=$K$4))</f>
        <v>0</v>
      </c>
      <c r="J4" s="27" t="str">
        <f>$C$2</f>
        <v>Blattlänge</v>
      </c>
      <c r="K4" s="90">
        <v>6.4</v>
      </c>
      <c r="M4" s="13"/>
      <c r="N4" s="32" t="str">
        <f>VLOOKUP(2,$T$3:$V$12,3,FALSE)</f>
        <v>virginica</v>
      </c>
      <c r="O4" s="25">
        <v>2</v>
      </c>
      <c r="P4" s="57" t="str">
        <f>IF(N3=N4,N3,N3)</f>
        <v>virginica</v>
      </c>
      <c r="Q4" s="23" t="b">
        <f t="shared" ref="Q4:Q12" si="5">P4=$K$5</f>
        <v>1</v>
      </c>
      <c r="T4" s="16">
        <f t="shared" si="2"/>
        <v>6</v>
      </c>
      <c r="U4" s="22">
        <f t="shared" ref="U4:U12" si="6">SQRT(($K$3-$B4)^2+($K$4-$C4)^2)+(ROW()/100000000)</f>
        <v>0.90553855381374193</v>
      </c>
      <c r="V4" s="16" t="str">
        <f t="shared" ref="V4:V12" si="7">IF(U4&lt;&gt;"",$D4,"")</f>
        <v>versicolor</v>
      </c>
      <c r="W4" s="16">
        <f t="shared" ref="W4:W12" si="8">IF(U4&lt;&gt;"",$B4,"")</f>
        <v>2.6</v>
      </c>
      <c r="X4" s="16">
        <f t="shared" ref="X4:X12" si="9">IF(U4&lt;&gt;"",$C4,"")</f>
        <v>5.5</v>
      </c>
    </row>
    <row r="5" spans="1:24" x14ac:dyDescent="0.25">
      <c r="A5" s="2">
        <v>3</v>
      </c>
      <c r="B5" s="88">
        <f>Training_Dateneingabe!A6</f>
        <v>3.2</v>
      </c>
      <c r="C5" s="88">
        <f>Training_Dateneingabe!B6</f>
        <v>6.5</v>
      </c>
      <c r="D5" s="4" t="str">
        <f>Training_Dateneingabe!C6</f>
        <v>virginica</v>
      </c>
      <c r="E5" s="13" t="e">
        <f t="shared" si="3"/>
        <v>#N/A</v>
      </c>
      <c r="F5" s="13">
        <f t="shared" si="0"/>
        <v>6.5</v>
      </c>
      <c r="G5" s="2" t="e">
        <f t="shared" si="1"/>
        <v>#N/A</v>
      </c>
      <c r="H5" t="b">
        <f t="shared" si="4"/>
        <v>0</v>
      </c>
      <c r="J5" s="125" t="s">
        <v>10</v>
      </c>
      <c r="K5" s="127" t="str" cm="1">
        <f t="array" ref="K5">VLOOKUP(K3&amp;K4,CHOOSE({1,2},B18:B22&amp;C18:C22,D18:D22),2,0)</f>
        <v>virginica</v>
      </c>
      <c r="M5" s="13"/>
      <c r="N5" s="32" t="str">
        <f>VLOOKUP(3,$T$3:$V$12,3,FALSE)</f>
        <v>versicolor</v>
      </c>
      <c r="O5" s="25">
        <v>3</v>
      </c>
      <c r="P5" s="57" t="str">
        <f>IF(N3=N4=N5,N3, IF(OR(N3=N4,N3=N5),N3,IF(N5=N4,N4,N3)))</f>
        <v>virginica</v>
      </c>
      <c r="Q5" s="23" t="b">
        <f t="shared" si="5"/>
        <v>1</v>
      </c>
      <c r="T5" s="16">
        <f t="shared" si="2"/>
        <v>2</v>
      </c>
      <c r="U5" s="22">
        <f t="shared" si="6"/>
        <v>0.50990200135927843</v>
      </c>
      <c r="V5" s="16" t="str">
        <f t="shared" si="7"/>
        <v>virginica</v>
      </c>
      <c r="W5" s="16">
        <f t="shared" si="8"/>
        <v>3.2</v>
      </c>
      <c r="X5" s="16">
        <f t="shared" si="9"/>
        <v>6.5</v>
      </c>
    </row>
    <row r="6" spans="1:24" ht="15.75" thickBot="1" x14ac:dyDescent="0.3">
      <c r="A6" s="2">
        <v>4</v>
      </c>
      <c r="B6" s="88">
        <f>Training_Dateneingabe!A7</f>
        <v>3.1</v>
      </c>
      <c r="C6" s="88">
        <f>Training_Dateneingabe!B7</f>
        <v>4.8</v>
      </c>
      <c r="D6" s="4" t="str">
        <f>Training_Dateneingabe!C7</f>
        <v>setosa</v>
      </c>
      <c r="E6" s="13">
        <f t="shared" si="3"/>
        <v>4.8</v>
      </c>
      <c r="F6" s="13" t="e">
        <f t="shared" si="0"/>
        <v>#N/A</v>
      </c>
      <c r="G6" s="2" t="e">
        <f t="shared" si="1"/>
        <v>#N/A</v>
      </c>
      <c r="H6" t="b">
        <f t="shared" si="4"/>
        <v>0</v>
      </c>
      <c r="J6" s="126"/>
      <c r="K6" s="128"/>
      <c r="M6" s="13"/>
      <c r="N6" s="32" t="str">
        <f>VLOOKUP(4,$T$3:$V$12,3,FALSE)</f>
        <v>versicolor</v>
      </c>
      <c r="O6" s="25">
        <v>4</v>
      </c>
      <c r="P6" s="23" t="str" cm="1">
        <f t="array" aca="1" ref="P6" ca="1">INDEX($N$3:INDIRECT("N"&amp;2+4),_xlfn.MODE.SNGL(MATCH($N$3:INDIRECT("N"&amp;2+4),$N$3:INDIRECT("N"&amp;2+4),0)))</f>
        <v>virginica</v>
      </c>
      <c r="Q6" s="23" t="b">
        <f t="shared" ca="1" si="5"/>
        <v>1</v>
      </c>
      <c r="T6" s="16">
        <f t="shared" si="2"/>
        <v>10</v>
      </c>
      <c r="U6" s="22">
        <f t="shared" si="6"/>
        <v>1.6492423102470648</v>
      </c>
      <c r="V6" s="16" t="str">
        <f t="shared" si="7"/>
        <v>setosa</v>
      </c>
      <c r="W6" s="16">
        <f t="shared" si="8"/>
        <v>3.1</v>
      </c>
      <c r="X6" s="16">
        <f t="shared" si="9"/>
        <v>4.8</v>
      </c>
    </row>
    <row r="7" spans="1:24" x14ac:dyDescent="0.25">
      <c r="A7" s="2">
        <v>5</v>
      </c>
      <c r="B7" s="88">
        <f>Training_Dateneingabe!A8</f>
        <v>3.3</v>
      </c>
      <c r="C7" s="88">
        <f>Training_Dateneingabe!B8</f>
        <v>5.0999999999999996</v>
      </c>
      <c r="D7" s="4" t="str">
        <f>Training_Dateneingabe!C8</f>
        <v>setosa</v>
      </c>
      <c r="E7" s="13">
        <f t="shared" si="3"/>
        <v>5.0999999999999996</v>
      </c>
      <c r="F7" s="13" t="e">
        <f t="shared" si="0"/>
        <v>#N/A</v>
      </c>
      <c r="G7" s="2" t="e">
        <f t="shared" si="1"/>
        <v>#N/A</v>
      </c>
      <c r="H7" t="b">
        <f t="shared" si="4"/>
        <v>0</v>
      </c>
      <c r="M7" s="13"/>
      <c r="N7" s="32" t="str">
        <f>VLOOKUP(5,$T$3:$V$12,3,FALSE)</f>
        <v>virginica</v>
      </c>
      <c r="O7" s="25">
        <v>5</v>
      </c>
      <c r="P7" s="23" t="str" cm="1">
        <f t="array" aca="1" ref="P7" ca="1">INDEX($N$3:INDIRECT("N"&amp;2+5),_xlfn.MODE.SNGL(MATCH($N$3:INDIRECT("N"&amp;2+5),$N$3:INDIRECT("N"&amp;2+5),0)))</f>
        <v>virginica</v>
      </c>
      <c r="Q7" s="23" t="b">
        <f t="shared" ca="1" si="5"/>
        <v>1</v>
      </c>
      <c r="T7" s="16">
        <f t="shared" si="2"/>
        <v>7</v>
      </c>
      <c r="U7" s="22">
        <f t="shared" si="6"/>
        <v>1.4317821763276359</v>
      </c>
      <c r="V7" s="16" t="str">
        <f t="shared" si="7"/>
        <v>setosa</v>
      </c>
      <c r="W7" s="16">
        <f t="shared" si="8"/>
        <v>3.3</v>
      </c>
      <c r="X7" s="16">
        <f t="shared" si="9"/>
        <v>5.0999999999999996</v>
      </c>
    </row>
    <row r="8" spans="1:24" x14ac:dyDescent="0.25">
      <c r="A8" s="2">
        <v>6</v>
      </c>
      <c r="B8" s="88">
        <f>Training_Dateneingabe!A9</f>
        <v>2.8</v>
      </c>
      <c r="C8" s="88">
        <f>Training_Dateneingabe!B9</f>
        <v>6.3</v>
      </c>
      <c r="D8" s="4" t="str">
        <f>Training_Dateneingabe!C9</f>
        <v>virginica</v>
      </c>
      <c r="E8" s="13" t="e">
        <f t="shared" si="3"/>
        <v>#N/A</v>
      </c>
      <c r="F8" s="13">
        <f t="shared" si="0"/>
        <v>6.3</v>
      </c>
      <c r="G8" s="2" t="e">
        <f t="shared" si="1"/>
        <v>#N/A</v>
      </c>
      <c r="H8" t="b">
        <f t="shared" si="4"/>
        <v>0</v>
      </c>
      <c r="M8" s="13"/>
      <c r="N8" s="32" t="str">
        <f>VLOOKUP(6,$T$3:$V$12,3,FALSE)</f>
        <v>versicolor</v>
      </c>
      <c r="O8" s="25">
        <v>6</v>
      </c>
      <c r="P8" s="23" t="str" cm="1">
        <f t="array" aca="1" ref="P8" ca="1">INDEX($N$3:INDIRECT("N"&amp;2+6),_xlfn.MODE.SNGL(MATCH($N$3:INDIRECT("N"&amp;2+6),$N$3:INDIRECT("N"&amp;2+6),0)))</f>
        <v>virginica</v>
      </c>
      <c r="Q8" s="23" t="b">
        <f t="shared" ca="1" si="5"/>
        <v>1</v>
      </c>
      <c r="T8" s="16">
        <f t="shared" si="2"/>
        <v>1</v>
      </c>
      <c r="U8" s="22">
        <f t="shared" si="6"/>
        <v>0.14142143623730966</v>
      </c>
      <c r="V8" s="16" t="str">
        <f t="shared" si="7"/>
        <v>virginica</v>
      </c>
      <c r="W8" s="16">
        <f t="shared" si="8"/>
        <v>2.8</v>
      </c>
      <c r="X8" s="16">
        <f t="shared" si="9"/>
        <v>6.3</v>
      </c>
    </row>
    <row r="9" spans="1:24" x14ac:dyDescent="0.25">
      <c r="A9" s="2">
        <v>7</v>
      </c>
      <c r="B9" s="88">
        <f>Training_Dateneingabe!A10</f>
        <v>3</v>
      </c>
      <c r="C9" s="88">
        <f>Training_Dateneingabe!B10</f>
        <v>7.2</v>
      </c>
      <c r="D9" s="4" t="str">
        <f>Training_Dateneingabe!C10</f>
        <v>virginica</v>
      </c>
      <c r="E9" s="13" t="e">
        <f t="shared" si="3"/>
        <v>#N/A</v>
      </c>
      <c r="F9" s="13">
        <f t="shared" si="0"/>
        <v>7.2</v>
      </c>
      <c r="G9" s="2" t="e">
        <f t="shared" si="1"/>
        <v>#N/A</v>
      </c>
      <c r="H9" t="b">
        <f t="shared" si="4"/>
        <v>0</v>
      </c>
      <c r="M9" s="13"/>
      <c r="N9" s="32" t="str">
        <f>VLOOKUP(7,$T$3:$V$12,3,FALSE)</f>
        <v>setosa</v>
      </c>
      <c r="O9" s="25">
        <v>7</v>
      </c>
      <c r="P9" s="23" t="str" cm="1">
        <f t="array" aca="1" ref="P9" ca="1">INDEX($N$3:INDIRECT("N"&amp;2+7),_xlfn.MODE.SNGL(MATCH($N$3:INDIRECT("N"&amp;2+7),$N$3:INDIRECT("N"&amp;2+7),0)))</f>
        <v>virginica</v>
      </c>
      <c r="Q9" s="23" t="b">
        <f t="shared" ca="1" si="5"/>
        <v>1</v>
      </c>
      <c r="T9" s="16">
        <f t="shared" si="2"/>
        <v>5</v>
      </c>
      <c r="U9" s="22">
        <f t="shared" si="6"/>
        <v>0.85440046453175289</v>
      </c>
      <c r="V9" s="16" t="str">
        <f t="shared" si="7"/>
        <v>virginica</v>
      </c>
      <c r="W9" s="16">
        <f t="shared" si="8"/>
        <v>3</v>
      </c>
      <c r="X9" s="16">
        <f t="shared" si="9"/>
        <v>7.2</v>
      </c>
    </row>
    <row r="10" spans="1:24" x14ac:dyDescent="0.25">
      <c r="A10" s="2">
        <v>8</v>
      </c>
      <c r="B10" s="88">
        <f>Training_Dateneingabe!A11</f>
        <v>2.2999999999999998</v>
      </c>
      <c r="C10" s="88">
        <f>Training_Dateneingabe!B11</f>
        <v>5</v>
      </c>
      <c r="D10" s="4" t="str">
        <f>Training_Dateneingabe!C11</f>
        <v>versicolor</v>
      </c>
      <c r="E10" s="13" t="e">
        <f t="shared" si="3"/>
        <v>#N/A</v>
      </c>
      <c r="F10" s="13" t="e">
        <f t="shared" si="0"/>
        <v>#N/A</v>
      </c>
      <c r="G10" s="2">
        <f t="shared" si="1"/>
        <v>5</v>
      </c>
      <c r="H10" t="b">
        <f t="shared" si="4"/>
        <v>0</v>
      </c>
      <c r="J10" s="1"/>
      <c r="K10" s="2"/>
      <c r="M10" s="13"/>
      <c r="N10" s="32" t="str">
        <f>VLOOKUP(8,$T$3:$V$12,3,FALSE)</f>
        <v>versicolor</v>
      </c>
      <c r="O10" s="25">
        <v>8</v>
      </c>
      <c r="P10" s="23" t="str" cm="1">
        <f t="array" aca="1" ref="P10" ca="1">INDEX($N$3:INDIRECT("N"&amp;2+8),_xlfn.MODE.SNGL(MATCH($N$3:INDIRECT("N"&amp;2+8),$N$3:INDIRECT("N"&amp;2+8),0)))</f>
        <v>versicolor</v>
      </c>
      <c r="Q10" s="23" t="b">
        <f t="shared" ca="1" si="5"/>
        <v>0</v>
      </c>
      <c r="T10" s="16">
        <f t="shared" si="2"/>
        <v>8</v>
      </c>
      <c r="U10" s="22">
        <f t="shared" si="6"/>
        <v>1.4560220778561042</v>
      </c>
      <c r="V10" s="16" t="str">
        <f t="shared" si="7"/>
        <v>versicolor</v>
      </c>
      <c r="W10" s="16">
        <f t="shared" si="8"/>
        <v>2.2999999999999998</v>
      </c>
      <c r="X10" s="16">
        <f t="shared" si="9"/>
        <v>5</v>
      </c>
    </row>
    <row r="11" spans="1:24" x14ac:dyDescent="0.25">
      <c r="A11" s="2">
        <v>9</v>
      </c>
      <c r="B11" s="88">
        <f>Training_Dateneingabe!A12</f>
        <v>2.7</v>
      </c>
      <c r="C11" s="88">
        <f>Training_Dateneingabe!B12</f>
        <v>5.8</v>
      </c>
      <c r="D11" s="4" t="str">
        <f>Training_Dateneingabe!C12</f>
        <v>versicolor</v>
      </c>
      <c r="E11" s="13" t="e">
        <f t="shared" si="3"/>
        <v>#N/A</v>
      </c>
      <c r="F11" s="13" t="e">
        <f t="shared" si="0"/>
        <v>#N/A</v>
      </c>
      <c r="G11" s="2">
        <f t="shared" si="1"/>
        <v>5.8</v>
      </c>
      <c r="H11" t="b">
        <f t="shared" si="4"/>
        <v>0</v>
      </c>
      <c r="J11" s="21"/>
      <c r="K11" s="21"/>
      <c r="M11" s="13"/>
      <c r="N11" s="32" t="str">
        <f>VLOOKUP(9,$T$3:$V$12,3,FALSE)</f>
        <v>setosa</v>
      </c>
      <c r="O11" s="25">
        <v>9</v>
      </c>
      <c r="P11" s="23" t="str" cm="1">
        <f t="array" aca="1" ref="P11" ca="1">INDEX($N$3:INDIRECT("N"&amp;2+9),_xlfn.MODE.SNGL(MATCH($N$3:INDIRECT("N"&amp;2+9),$N$3:INDIRECT("N"&amp;2+9),0)))</f>
        <v>versicolor</v>
      </c>
      <c r="Q11" s="23" t="b">
        <f t="shared" ca="1" si="5"/>
        <v>0</v>
      </c>
      <c r="T11" s="16">
        <f t="shared" si="2"/>
        <v>3</v>
      </c>
      <c r="U11" s="22">
        <f t="shared" si="6"/>
        <v>0.60000011000000053</v>
      </c>
      <c r="V11" s="16" t="str">
        <f t="shared" si="7"/>
        <v>versicolor</v>
      </c>
      <c r="W11" s="16">
        <f t="shared" si="8"/>
        <v>2.7</v>
      </c>
      <c r="X11" s="16">
        <f t="shared" si="9"/>
        <v>5.8</v>
      </c>
    </row>
    <row r="12" spans="1:24" ht="15.75" thickBot="1" x14ac:dyDescent="0.3">
      <c r="A12" s="4">
        <v>10</v>
      </c>
      <c r="B12" s="88">
        <f>Training_Dateneingabe!A13</f>
        <v>3</v>
      </c>
      <c r="C12" s="88">
        <f>Training_Dateneingabe!B13</f>
        <v>5.7</v>
      </c>
      <c r="D12" s="4" t="str">
        <f>Training_Dateneingabe!C13</f>
        <v>versicolor</v>
      </c>
      <c r="E12" s="13" t="e">
        <f t="shared" si="3"/>
        <v>#N/A</v>
      </c>
      <c r="F12" s="13" t="e">
        <f t="shared" si="0"/>
        <v>#N/A</v>
      </c>
      <c r="G12" s="2">
        <f t="shared" si="1"/>
        <v>5.7</v>
      </c>
      <c r="H12" t="b">
        <f t="shared" si="4"/>
        <v>0</v>
      </c>
      <c r="J12" s="21"/>
      <c r="K12" s="21"/>
      <c r="M12" s="13"/>
      <c r="N12" s="52" t="str">
        <f>VLOOKUP(10,$T$3:$V$12,3,FALSE)</f>
        <v>setosa</v>
      </c>
      <c r="O12" s="26">
        <v>10</v>
      </c>
      <c r="P12" s="63" t="str" cm="1">
        <f t="array" aca="1" ref="P12" ca="1">INDEX($N$3:INDIRECT("N"&amp;2+10),_xlfn.MODE.SNGL(MATCH($N$3:INDIRECT("N"&amp;2+10),$N$3:INDIRECT("N"&amp;2+10),0)))</f>
        <v>versicolor</v>
      </c>
      <c r="Q12" s="24" t="b">
        <f t="shared" ca="1" si="5"/>
        <v>0</v>
      </c>
      <c r="T12" s="16">
        <f t="shared" si="2"/>
        <v>4</v>
      </c>
      <c r="U12" s="22">
        <f t="shared" si="6"/>
        <v>0.76157743058639105</v>
      </c>
      <c r="V12" s="16" t="str">
        <f t="shared" si="7"/>
        <v>versicolor</v>
      </c>
      <c r="W12" s="16">
        <f t="shared" si="8"/>
        <v>3</v>
      </c>
      <c r="X12" s="16">
        <f t="shared" si="9"/>
        <v>5.7</v>
      </c>
    </row>
    <row r="13" spans="1:24" x14ac:dyDescent="0.25">
      <c r="B13" s="13"/>
      <c r="C13" s="13"/>
      <c r="D13" s="13"/>
      <c r="E13" s="13"/>
      <c r="F13" s="13"/>
      <c r="G13" s="2"/>
      <c r="T13" s="13"/>
      <c r="U13" s="64"/>
      <c r="V13" s="13"/>
      <c r="W13" s="13"/>
      <c r="X13" s="13"/>
    </row>
    <row r="14" spans="1:24" x14ac:dyDescent="0.25">
      <c r="B14" s="13"/>
      <c r="C14" s="13"/>
      <c r="D14" s="13"/>
      <c r="E14" s="13"/>
      <c r="F14" s="13"/>
      <c r="G14" s="2"/>
      <c r="T14" s="13"/>
      <c r="U14" s="64"/>
      <c r="V14" s="13"/>
      <c r="W14" s="13"/>
      <c r="X14" s="13"/>
    </row>
    <row r="15" spans="1:24" ht="18.75" x14ac:dyDescent="0.3">
      <c r="B15" s="7"/>
      <c r="C15" s="7"/>
      <c r="D15" s="7"/>
      <c r="E15" s="13"/>
      <c r="F15" s="13"/>
      <c r="G15" s="2"/>
      <c r="J15" s="129" t="s">
        <v>25</v>
      </c>
      <c r="K15" s="129"/>
      <c r="L15" s="129"/>
    </row>
    <row r="16" spans="1:24" ht="24" customHeight="1" x14ac:dyDescent="0.25">
      <c r="B16" s="99" t="s">
        <v>40</v>
      </c>
      <c r="C16" s="99"/>
      <c r="D16" s="99"/>
      <c r="E16" s="13"/>
      <c r="F16" s="13"/>
      <c r="J16" s="119" t="s">
        <v>46</v>
      </c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</row>
    <row r="17" spans="1:23" ht="60" x14ac:dyDescent="0.25">
      <c r="A17" s="1" t="s">
        <v>39</v>
      </c>
      <c r="B17" s="8" t="str">
        <f>Training_Dateneingabe!A3</f>
        <v>Blattbreite</v>
      </c>
      <c r="C17" s="8" t="str">
        <f>Training_Dateneingabe!B3</f>
        <v>Blattlänge</v>
      </c>
      <c r="D17" s="61" t="str">
        <f>Training_Dateneingabe!C3</f>
        <v>Erwartetes Label</v>
      </c>
      <c r="E17" s="13" t="str">
        <f>Training_Dateneingabe!E4</f>
        <v>setosa</v>
      </c>
      <c r="F17" s="13" t="str">
        <f>Training_Dateneingabe!E5</f>
        <v>virginica</v>
      </c>
      <c r="G17" s="13" t="str">
        <f>Training_Dateneingabe!E6</f>
        <v>versicolor</v>
      </c>
      <c r="J17" s="30" t="s">
        <v>32</v>
      </c>
      <c r="K17" s="28" t="s">
        <v>12</v>
      </c>
      <c r="L17" s="28" t="s">
        <v>13</v>
      </c>
      <c r="M17" s="28"/>
      <c r="N17" s="28" t="s">
        <v>16</v>
      </c>
      <c r="O17" s="28" t="s">
        <v>17</v>
      </c>
      <c r="P17" s="28" t="s">
        <v>18</v>
      </c>
      <c r="Q17" s="28" t="s">
        <v>19</v>
      </c>
      <c r="R17" s="28" t="s">
        <v>20</v>
      </c>
      <c r="S17" s="28" t="s">
        <v>21</v>
      </c>
      <c r="T17" s="28" t="s">
        <v>22</v>
      </c>
      <c r="U17" s="28" t="s">
        <v>23</v>
      </c>
    </row>
    <row r="18" spans="1:23" x14ac:dyDescent="0.25">
      <c r="A18" s="13">
        <v>1</v>
      </c>
      <c r="B18" s="3">
        <f>Training_Dateneingabe!A14</f>
        <v>2.7</v>
      </c>
      <c r="C18" s="3">
        <f>Training_Dateneingabe!B14</f>
        <v>6.4</v>
      </c>
      <c r="D18" s="4" t="str">
        <f>Training_Dateneingabe!C14</f>
        <v>virginica</v>
      </c>
      <c r="E18" s="13" t="e">
        <f>IF($D18=$E$17,$C18,NA())</f>
        <v>#N/A</v>
      </c>
      <c r="F18" s="13">
        <f>IF($D18=$F$17,$C18,NA())</f>
        <v>6.4</v>
      </c>
      <c r="G18" s="13" t="e">
        <f>IF($D18=$G$17,$C18,NA())</f>
        <v>#N/A</v>
      </c>
      <c r="H18" t="b">
        <f>AND((B18=$K$3),(C18=$K$4))</f>
        <v>1</v>
      </c>
      <c r="J18" s="29">
        <f>IF(B3&lt;&gt;"",1,"")</f>
        <v>1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3" x14ac:dyDescent="0.25">
      <c r="A19" s="13">
        <v>2</v>
      </c>
      <c r="B19" s="3">
        <f>Training_Dateneingabe!A15</f>
        <v>3.2</v>
      </c>
      <c r="C19" s="3">
        <f>Training_Dateneingabe!B15</f>
        <v>4.5999999999999996</v>
      </c>
      <c r="D19" s="4" t="str">
        <f>Training_Dateneingabe!C15</f>
        <v>setosa</v>
      </c>
      <c r="E19" s="13">
        <f t="shared" ref="E19:E22" si="10">IF($D19=$E$17,$C19,NA())</f>
        <v>4.5999999999999996</v>
      </c>
      <c r="F19" s="13" t="e">
        <f t="shared" ref="F19:F22" si="11">IF($D19=$F$17,$C19,NA())</f>
        <v>#N/A</v>
      </c>
      <c r="G19" s="13" t="e">
        <f t="shared" ref="G19:G22" si="12">IF($D19=$G$17,$C19,NA())</f>
        <v>#N/A</v>
      </c>
      <c r="H19" t="b">
        <f t="shared" ref="H19:H22" si="13">AND((B19=$K$3),(C19=$K$4))</f>
        <v>0</v>
      </c>
      <c r="J19" s="29">
        <f>IF(B4&lt;&gt;"",2,"")</f>
        <v>2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3" x14ac:dyDescent="0.25">
      <c r="A20" s="13">
        <v>3</v>
      </c>
      <c r="B20" s="3">
        <f>Training_Dateneingabe!A16</f>
        <v>2.5</v>
      </c>
      <c r="C20" s="3">
        <f>Training_Dateneingabe!B16</f>
        <v>5.6</v>
      </c>
      <c r="D20" s="4" t="str">
        <f>Training_Dateneingabe!C16</f>
        <v>versicolor</v>
      </c>
      <c r="E20" s="13" t="e">
        <f t="shared" si="10"/>
        <v>#N/A</v>
      </c>
      <c r="F20" s="13" t="e">
        <f t="shared" si="11"/>
        <v>#N/A</v>
      </c>
      <c r="G20" s="13">
        <f t="shared" si="12"/>
        <v>5.6</v>
      </c>
      <c r="H20" t="b">
        <f t="shared" si="13"/>
        <v>0</v>
      </c>
      <c r="J20" s="29">
        <f>IF(B5&lt;&gt;"",3,"")</f>
        <v>3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3" x14ac:dyDescent="0.25">
      <c r="A21" s="13">
        <v>4</v>
      </c>
      <c r="B21" s="3">
        <f>Training_Dateneingabe!A17</f>
        <v>3.8</v>
      </c>
      <c r="C21" s="3">
        <f>Training_Dateneingabe!B17</f>
        <v>5.0999999999999996</v>
      </c>
      <c r="D21" s="4" t="str">
        <f>Training_Dateneingabe!C17</f>
        <v>setosa</v>
      </c>
      <c r="E21" s="13">
        <f t="shared" si="10"/>
        <v>5.0999999999999996</v>
      </c>
      <c r="F21" s="13" t="e">
        <f t="shared" si="11"/>
        <v>#N/A</v>
      </c>
      <c r="G21" s="13" t="e">
        <f t="shared" si="12"/>
        <v>#N/A</v>
      </c>
      <c r="H21" t="b">
        <f t="shared" si="13"/>
        <v>0</v>
      </c>
      <c r="J21" s="29">
        <f>IF(B6&lt;&gt;"",4,"")</f>
        <v>4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2"/>
      <c r="W21" s="13"/>
    </row>
    <row r="22" spans="1:23" x14ac:dyDescent="0.25">
      <c r="A22" s="13">
        <v>5</v>
      </c>
      <c r="B22" s="3">
        <f>Training_Dateneingabe!A18</f>
        <v>2.5</v>
      </c>
      <c r="C22" s="3">
        <f>Training_Dateneingabe!B18</f>
        <v>5.0999999999999996</v>
      </c>
      <c r="D22" s="4" t="str">
        <f>Training_Dateneingabe!C18</f>
        <v>versicolor</v>
      </c>
      <c r="E22" s="13" t="e">
        <f t="shared" si="10"/>
        <v>#N/A</v>
      </c>
      <c r="F22" s="13" t="e">
        <f t="shared" si="11"/>
        <v>#N/A</v>
      </c>
      <c r="G22" s="13">
        <f t="shared" si="12"/>
        <v>5.0999999999999996</v>
      </c>
      <c r="H22" t="b">
        <f t="shared" si="13"/>
        <v>0</v>
      </c>
      <c r="J22" s="29">
        <f>IF(B7&lt;&gt;"",5,"")</f>
        <v>5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3" ht="15.75" thickBot="1" x14ac:dyDescent="0.3">
      <c r="E23" s="13"/>
      <c r="F23" s="13"/>
    </row>
    <row r="24" spans="1:23" ht="15.75" thickBot="1" x14ac:dyDescent="0.3">
      <c r="E24" s="13"/>
      <c r="F24" s="13"/>
      <c r="J24" s="31" t="s">
        <v>45</v>
      </c>
      <c r="K24" s="39">
        <f>COUNTA(K18:K22)/COUNTA($B$18:$B$22)</f>
        <v>0</v>
      </c>
      <c r="L24" s="39">
        <f t="shared" ref="L24:U24" si="14">COUNTA(L18:L22)/COUNTA($B$18:$B$22)</f>
        <v>0</v>
      </c>
      <c r="M24" s="39">
        <f t="shared" si="14"/>
        <v>0</v>
      </c>
      <c r="N24" s="39">
        <f t="shared" si="14"/>
        <v>0</v>
      </c>
      <c r="O24" s="39">
        <f t="shared" si="14"/>
        <v>0</v>
      </c>
      <c r="P24" s="39">
        <f t="shared" si="14"/>
        <v>0</v>
      </c>
      <c r="Q24" s="39">
        <f t="shared" si="14"/>
        <v>0</v>
      </c>
      <c r="R24" s="39">
        <f t="shared" si="14"/>
        <v>0</v>
      </c>
      <c r="S24" s="39">
        <f t="shared" si="14"/>
        <v>0</v>
      </c>
      <c r="T24" s="39">
        <f t="shared" si="14"/>
        <v>0</v>
      </c>
      <c r="U24" s="39">
        <f t="shared" si="14"/>
        <v>0</v>
      </c>
    </row>
    <row r="25" spans="1:23" x14ac:dyDescent="0.25">
      <c r="E25" s="13"/>
      <c r="F25" s="13"/>
    </row>
    <row r="26" spans="1:23" x14ac:dyDescent="0.25">
      <c r="A26" s="118" t="s">
        <v>47</v>
      </c>
      <c r="B26" s="118"/>
      <c r="C26" s="118"/>
      <c r="D26" s="118"/>
      <c r="E26" s="13"/>
      <c r="F26" s="13"/>
    </row>
    <row r="27" spans="1:23" x14ac:dyDescent="0.25">
      <c r="A27" s="95" t="s">
        <v>48</v>
      </c>
      <c r="B27" s="95"/>
      <c r="C27" s="95"/>
      <c r="D27" s="95"/>
      <c r="E27" s="13"/>
      <c r="F27" s="13"/>
    </row>
    <row r="28" spans="1:23" x14ac:dyDescent="0.25">
      <c r="A28" s="95" t="s">
        <v>49</v>
      </c>
      <c r="B28" s="95"/>
      <c r="C28" s="95"/>
      <c r="D28" s="95"/>
      <c r="E28" s="13"/>
      <c r="F28" s="13"/>
    </row>
    <row r="29" spans="1:23" x14ac:dyDescent="0.25">
      <c r="A29" s="95"/>
      <c r="B29" s="95"/>
      <c r="C29" s="95"/>
      <c r="D29" s="95"/>
      <c r="E29" s="13"/>
      <c r="F29" s="13"/>
    </row>
    <row r="30" spans="1:23" x14ac:dyDescent="0.25">
      <c r="A30" s="95"/>
      <c r="B30" s="95"/>
      <c r="C30" s="95"/>
      <c r="D30" s="95"/>
      <c r="E30" s="13"/>
      <c r="F30" s="13"/>
    </row>
    <row r="31" spans="1:23" x14ac:dyDescent="0.25">
      <c r="A31" s="95"/>
      <c r="B31" s="95"/>
      <c r="C31" s="95"/>
      <c r="D31" s="95"/>
      <c r="E31" s="13"/>
      <c r="F31" s="13"/>
    </row>
    <row r="32" spans="1:23" x14ac:dyDescent="0.25">
      <c r="A32" s="95"/>
      <c r="B32" s="95"/>
      <c r="C32" s="95"/>
      <c r="D32" s="95"/>
      <c r="E32" s="13"/>
      <c r="F32" s="13"/>
    </row>
    <row r="33" spans="2:6" x14ac:dyDescent="0.25">
      <c r="B33" s="7"/>
      <c r="C33" s="7"/>
      <c r="D33" s="7"/>
      <c r="E33" s="13"/>
      <c r="F33" s="13"/>
    </row>
    <row r="34" spans="2:6" x14ac:dyDescent="0.25">
      <c r="B34" s="7"/>
      <c r="C34" s="7"/>
      <c r="D34" s="7"/>
      <c r="E34" s="13"/>
      <c r="F34" s="13"/>
    </row>
    <row r="35" spans="2:6" x14ac:dyDescent="0.25">
      <c r="B35" s="7"/>
      <c r="C35" s="7"/>
      <c r="D35" s="7"/>
      <c r="E35" s="13"/>
      <c r="F35" s="13"/>
    </row>
    <row r="36" spans="2:6" x14ac:dyDescent="0.25">
      <c r="B36" s="7"/>
      <c r="C36" s="7"/>
      <c r="D36" s="7"/>
      <c r="E36" s="13"/>
      <c r="F36" s="13"/>
    </row>
    <row r="37" spans="2:6" x14ac:dyDescent="0.25">
      <c r="B37" s="7"/>
      <c r="C37" s="7"/>
      <c r="D37" s="7"/>
      <c r="E37" s="13"/>
      <c r="F37" s="13"/>
    </row>
    <row r="38" spans="2:6" x14ac:dyDescent="0.25">
      <c r="B38" s="7"/>
      <c r="C38" s="7"/>
      <c r="D38" s="7"/>
      <c r="E38" s="13"/>
      <c r="F38" s="13"/>
    </row>
  </sheetData>
  <sheetProtection algorithmName="SHA-512" hashValue="vdBL9vO9on7YjZDjou/0vv13Ksq/ACl0IdyHf3LELsRwD/OPIMtb0OqvoXqaEEqLpLtUOycjQYuxHuAvfpZVwA==" saltValue="myCl6yaBhThzwrpO4nKxcw==" spinCount="100000" sheet="1" objects="1" scenarios="1" selectLockedCells="1"/>
  <mergeCells count="11">
    <mergeCell ref="A29:D32"/>
    <mergeCell ref="B1:D1"/>
    <mergeCell ref="J1:K2"/>
    <mergeCell ref="J5:J6"/>
    <mergeCell ref="K5:K6"/>
    <mergeCell ref="J15:L15"/>
    <mergeCell ref="A26:D26"/>
    <mergeCell ref="A27:D27"/>
    <mergeCell ref="A28:D28"/>
    <mergeCell ref="J16:U16"/>
    <mergeCell ref="B16:D16"/>
  </mergeCells>
  <conditionalFormatting sqref="O3:O12 Q3:Q12">
    <cfRule type="expression" dxfId="6" priority="2">
      <formula>$Q3=FALSE</formula>
    </cfRule>
    <cfRule type="expression" dxfId="5" priority="3">
      <formula>$Q3=TRUE</formula>
    </cfRule>
  </conditionalFormatting>
  <conditionalFormatting sqref="B18:D22">
    <cfRule type="expression" dxfId="4" priority="1">
      <formula>$H18=TRUE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2FEC-C42F-4C5F-A4A8-B84BCCC21966}">
  <dimension ref="A1:X51"/>
  <sheetViews>
    <sheetView topLeftCell="A5" zoomScaleNormal="100" workbookViewId="0">
      <pane xSplit="7" topLeftCell="J1" activePane="topRight" state="frozen"/>
      <selection pane="topRight" activeCell="O32" sqref="O32"/>
    </sheetView>
  </sheetViews>
  <sheetFormatPr baseColWidth="10" defaultRowHeight="15" x14ac:dyDescent="0.25"/>
  <cols>
    <col min="1" max="1" width="3.140625" bestFit="1" customWidth="1"/>
    <col min="2" max="2" width="12.140625" bestFit="1" customWidth="1"/>
    <col min="3" max="3" width="12.28515625" bestFit="1" customWidth="1"/>
    <col min="5" max="8" width="11.42578125" hidden="1" customWidth="1"/>
    <col min="10" max="10" width="19" customWidth="1"/>
    <col min="11" max="11" width="13.7109375" customWidth="1"/>
    <col min="12" max="12" width="13.5703125" customWidth="1"/>
    <col min="13" max="13" width="21.42578125" hidden="1" customWidth="1"/>
    <col min="14" max="14" width="14.28515625" customWidth="1"/>
    <col min="15" max="15" width="11.42578125" customWidth="1"/>
    <col min="16" max="16" width="14.28515625" customWidth="1"/>
    <col min="22" max="22" width="15.7109375" bestFit="1" customWidth="1"/>
  </cols>
  <sheetData>
    <row r="1" spans="1:24" ht="19.5" thickBot="1" x14ac:dyDescent="0.35">
      <c r="B1" s="120" t="s">
        <v>11</v>
      </c>
      <c r="C1" s="120"/>
      <c r="D1" s="120"/>
      <c r="E1" s="12"/>
      <c r="F1" s="12"/>
      <c r="G1" s="2"/>
      <c r="H1" s="2"/>
      <c r="I1" s="2"/>
      <c r="J1" s="100" t="s">
        <v>5</v>
      </c>
      <c r="K1" s="101"/>
    </row>
    <row r="2" spans="1:24" ht="45.75" thickBot="1" x14ac:dyDescent="0.3">
      <c r="A2" s="1" t="s">
        <v>39</v>
      </c>
      <c r="B2" s="8" t="str" cm="1">
        <f t="array" ref="B2:D17">Training_Dateneingabe!A3:C18</f>
        <v>Blattbreite</v>
      </c>
      <c r="C2" s="8" t="str">
        <v>Blattlänge</v>
      </c>
      <c r="D2" s="61" t="str">
        <v>Erwartetes Label</v>
      </c>
      <c r="E2" s="14" t="str">
        <f>Training_Dateneingabe!E4</f>
        <v>setosa</v>
      </c>
      <c r="F2" s="14" t="str">
        <f>Training_Dateneingabe!E5</f>
        <v>virginica</v>
      </c>
      <c r="G2" s="14" t="str">
        <f>Training_Dateneingabe!E6</f>
        <v>versicolor</v>
      </c>
      <c r="J2" s="102"/>
      <c r="K2" s="103"/>
      <c r="M2" s="14"/>
      <c r="N2" s="54" t="s">
        <v>8</v>
      </c>
      <c r="O2" s="50" t="s">
        <v>9</v>
      </c>
      <c r="P2" s="51" t="s">
        <v>36</v>
      </c>
      <c r="Q2" s="53" t="s">
        <v>6</v>
      </c>
      <c r="T2" s="28" t="s">
        <v>2</v>
      </c>
      <c r="U2" s="28" t="s">
        <v>1</v>
      </c>
      <c r="V2" s="28" t="str">
        <f>$D$2</f>
        <v>Erwartetes Label</v>
      </c>
      <c r="W2" s="28" t="str">
        <f>$B$2</f>
        <v>Blattbreite</v>
      </c>
      <c r="X2" s="28" t="str">
        <f>$C$2</f>
        <v>Blattlänge</v>
      </c>
    </row>
    <row r="3" spans="1:24" x14ac:dyDescent="0.25">
      <c r="A3" s="10">
        <v>1</v>
      </c>
      <c r="B3" s="91">
        <v>3.4</v>
      </c>
      <c r="C3" s="91">
        <v>5</v>
      </c>
      <c r="D3" s="10" t="str">
        <v>setosa</v>
      </c>
      <c r="E3" s="13">
        <f>IF($D3=$E$2,$C3,NA())</f>
        <v>5</v>
      </c>
      <c r="F3" s="13" t="e">
        <f t="shared" ref="F3:F17" si="0">IF($D3=$F$2,$C3,NA())</f>
        <v>#N/A</v>
      </c>
      <c r="G3" s="2" t="e">
        <f t="shared" ref="G3:G17" si="1">IF($D3=$G$2,$C3,NA())</f>
        <v>#N/A</v>
      </c>
      <c r="H3" t="b">
        <f>AND((B3=$K$3),(C3=$K$4))</f>
        <v>1</v>
      </c>
      <c r="J3" s="8" t="str">
        <f>$B$2</f>
        <v>Blattbreite</v>
      </c>
      <c r="K3" s="87">
        <v>3.4</v>
      </c>
      <c r="M3" s="13"/>
      <c r="N3" s="32" t="str">
        <f>VLOOKUP(1,$T$3:$V$17,3,FALSE)</f>
        <v>setosa</v>
      </c>
      <c r="O3" s="25">
        <v>1</v>
      </c>
      <c r="P3" s="57" t="str">
        <f>N3</f>
        <v>setosa</v>
      </c>
      <c r="Q3" s="23" t="b">
        <f>P3=$K$5</f>
        <v>1</v>
      </c>
      <c r="T3" s="16" t="str">
        <f>IF(U3&lt;&gt;"",_xlfn.RANK.EQ(U3,$U$3:$U$17,1),"")</f>
        <v/>
      </c>
      <c r="U3" s="22" t="str">
        <f>IF(SQRT(($K$3-$B3)^2+($K$4-$C3)^2)&lt;&gt;0, SQRT(($K$3-$B3)^2+($K$4-$C3)^2)+(ROW()/100000000), "")</f>
        <v/>
      </c>
      <c r="V3" s="16" t="str">
        <f>IF(U3&lt;&gt;"",$D3,"")</f>
        <v/>
      </c>
      <c r="W3" s="16" t="str">
        <f>IF(U3&lt;&gt;"",$B3,"")</f>
        <v/>
      </c>
      <c r="X3" s="16" t="str">
        <f>IF(U3&lt;&gt;"",$C3,"")</f>
        <v/>
      </c>
    </row>
    <row r="4" spans="1:24" ht="15.75" thickBot="1" x14ac:dyDescent="0.3">
      <c r="A4" s="11">
        <v>2</v>
      </c>
      <c r="B4" s="92">
        <v>2.6</v>
      </c>
      <c r="C4" s="92">
        <v>5.5</v>
      </c>
      <c r="D4" s="11" t="str">
        <v>versicolor</v>
      </c>
      <c r="E4" s="13" t="e">
        <f t="shared" ref="E4:E17" si="2">IF($D4=$E$2,$C4,NA())</f>
        <v>#N/A</v>
      </c>
      <c r="F4" s="13" t="e">
        <f t="shared" si="0"/>
        <v>#N/A</v>
      </c>
      <c r="G4" s="2">
        <f t="shared" si="1"/>
        <v>5.5</v>
      </c>
      <c r="H4" t="b">
        <f t="shared" ref="H4:H17" si="3">AND((B4=$K$3),(C4=$K$4))</f>
        <v>0</v>
      </c>
      <c r="J4" s="27" t="str">
        <f>$C$2</f>
        <v>Blattlänge</v>
      </c>
      <c r="K4" s="94">
        <v>5</v>
      </c>
      <c r="M4" s="13"/>
      <c r="N4" s="32" t="str">
        <f>VLOOKUP(2,$T$3:$V$17,3,FALSE)</f>
        <v>setosa</v>
      </c>
      <c r="O4" s="25">
        <v>2</v>
      </c>
      <c r="P4" s="57" t="str">
        <f>IF(N3=N4,N3,N3)</f>
        <v>setosa</v>
      </c>
      <c r="Q4" s="23" t="b">
        <f t="shared" ref="Q4:Q12" si="4">P4=$K$5</f>
        <v>1</v>
      </c>
      <c r="T4" s="16">
        <f t="shared" ref="T4:T17" si="5">IF(U4&lt;&gt;"",_xlfn.RANK.EQ(U4,$U$3:$U$17,1),"")</f>
        <v>7</v>
      </c>
      <c r="U4" s="22">
        <f t="shared" ref="U4:U17" si="6">IF(SQRT(($K$3-$B4)^2+($K$4-$C4)^2)&lt;&gt;0, SQRT(($K$3-$B4)^2+($K$4-$C4)^2)+(ROW()/100000000), "")</f>
        <v>0.94339815320566023</v>
      </c>
      <c r="V4" s="16" t="str">
        <f t="shared" ref="V4:V17" si="7">IF(U4&lt;&gt;"",$D4,"")</f>
        <v>versicolor</v>
      </c>
      <c r="W4" s="16">
        <f t="shared" ref="W4:W17" si="8">IF(U4&lt;&gt;"",$B4,"")</f>
        <v>2.6</v>
      </c>
      <c r="X4" s="16">
        <f t="shared" ref="X4:X17" si="9">IF(U4&lt;&gt;"",$C4,"")</f>
        <v>5.5</v>
      </c>
    </row>
    <row r="5" spans="1:24" x14ac:dyDescent="0.25">
      <c r="A5" s="11">
        <v>3</v>
      </c>
      <c r="B5" s="92">
        <v>3.2</v>
      </c>
      <c r="C5" s="92">
        <v>6.5</v>
      </c>
      <c r="D5" s="11" t="str">
        <v>virginica</v>
      </c>
      <c r="E5" s="13" t="e">
        <f t="shared" si="2"/>
        <v>#N/A</v>
      </c>
      <c r="F5" s="13">
        <f t="shared" si="0"/>
        <v>6.5</v>
      </c>
      <c r="G5" s="2" t="e">
        <f t="shared" si="1"/>
        <v>#N/A</v>
      </c>
      <c r="H5" t="b">
        <f t="shared" si="3"/>
        <v>0</v>
      </c>
      <c r="J5" s="125" t="s">
        <v>10</v>
      </c>
      <c r="K5" s="130" t="str" cm="1">
        <f t="array" ref="K5">VLOOKUP(K3&amp;K4,CHOOSE({1,2},B3:B17&amp;C3:C17,D3:D17),2,0)</f>
        <v>setosa</v>
      </c>
      <c r="M5" s="13"/>
      <c r="N5" s="32" t="str">
        <f>VLOOKUP(3,$T$3:$V$17,3,FALSE)</f>
        <v>setosa</v>
      </c>
      <c r="O5" s="25">
        <v>3</v>
      </c>
      <c r="P5" s="57" t="str">
        <f>IF(N3=N4=N5,N3, IF(OR(N3=N4,N3=N5),N3,IF(N5=N4,N4,N3)))</f>
        <v>setosa</v>
      </c>
      <c r="Q5" s="23" t="b">
        <f t="shared" si="4"/>
        <v>1</v>
      </c>
      <c r="T5" s="16">
        <f t="shared" si="5"/>
        <v>12</v>
      </c>
      <c r="U5" s="22">
        <f t="shared" si="6"/>
        <v>1.5132746450421555</v>
      </c>
      <c r="V5" s="16" t="str">
        <f t="shared" si="7"/>
        <v>virginica</v>
      </c>
      <c r="W5" s="16">
        <f t="shared" si="8"/>
        <v>3.2</v>
      </c>
      <c r="X5" s="16">
        <f t="shared" si="9"/>
        <v>6.5</v>
      </c>
    </row>
    <row r="6" spans="1:24" ht="15.75" thickBot="1" x14ac:dyDescent="0.3">
      <c r="A6" s="11">
        <v>4</v>
      </c>
      <c r="B6" s="92">
        <v>3.1</v>
      </c>
      <c r="C6" s="92">
        <v>4.8</v>
      </c>
      <c r="D6" s="11" t="str">
        <v>setosa</v>
      </c>
      <c r="E6" s="13">
        <f t="shared" si="2"/>
        <v>4.8</v>
      </c>
      <c r="F6" s="13" t="e">
        <f t="shared" si="0"/>
        <v>#N/A</v>
      </c>
      <c r="G6" s="2" t="e">
        <f t="shared" si="1"/>
        <v>#N/A</v>
      </c>
      <c r="H6" t="b">
        <f t="shared" si="3"/>
        <v>0</v>
      </c>
      <c r="J6" s="126"/>
      <c r="K6" s="131"/>
      <c r="M6" s="13"/>
      <c r="N6" s="32" t="str">
        <f>VLOOKUP(4,$T$3:$V$17,3,FALSE)</f>
        <v>setosa</v>
      </c>
      <c r="O6" s="25">
        <v>4</v>
      </c>
      <c r="P6" s="23" t="str" cm="1">
        <f t="array" aca="1" ref="P6" ca="1">INDEX($N$3:INDIRECT("N"&amp;2+4),_xlfn.MODE.SNGL(MATCH($N$3:INDIRECT("N"&amp;2+4),$N$3:INDIRECT("N"&amp;2+4),0)))</f>
        <v>setosa</v>
      </c>
      <c r="Q6" s="23" t="b">
        <f t="shared" ca="1" si="4"/>
        <v>1</v>
      </c>
      <c r="T6" s="16">
        <f t="shared" si="5"/>
        <v>2</v>
      </c>
      <c r="U6" s="22">
        <f t="shared" si="6"/>
        <v>0.36055518754639893</v>
      </c>
      <c r="V6" s="16" t="str">
        <f t="shared" si="7"/>
        <v>setosa</v>
      </c>
      <c r="W6" s="16">
        <f t="shared" si="8"/>
        <v>3.1</v>
      </c>
      <c r="X6" s="16">
        <f t="shared" si="9"/>
        <v>4.8</v>
      </c>
    </row>
    <row r="7" spans="1:24" x14ac:dyDescent="0.25">
      <c r="A7" s="11">
        <v>5</v>
      </c>
      <c r="B7" s="92">
        <v>3.3</v>
      </c>
      <c r="C7" s="92">
        <v>5.0999999999999996</v>
      </c>
      <c r="D7" s="11" t="str">
        <v>setosa</v>
      </c>
      <c r="E7" s="13">
        <f t="shared" si="2"/>
        <v>5.0999999999999996</v>
      </c>
      <c r="F7" s="13" t="e">
        <f t="shared" si="0"/>
        <v>#N/A</v>
      </c>
      <c r="G7" s="2" t="e">
        <f t="shared" si="1"/>
        <v>#N/A</v>
      </c>
      <c r="H7" t="b">
        <f t="shared" si="3"/>
        <v>0</v>
      </c>
      <c r="M7" s="13"/>
      <c r="N7" s="32" t="str">
        <f>VLOOKUP(5,$T$3:$V$17,3,FALSE)</f>
        <v>versicolor</v>
      </c>
      <c r="O7" s="25">
        <v>5</v>
      </c>
      <c r="P7" s="23" t="str" cm="1">
        <f t="array" aca="1" ref="P7" ca="1">INDEX($N$3:INDIRECT("N"&amp;2+5),_xlfn.MODE.SNGL(MATCH($N$3:INDIRECT("N"&amp;2+5),$N$3:INDIRECT("N"&amp;2+5),0)))</f>
        <v>setosa</v>
      </c>
      <c r="Q7" s="23" t="b">
        <f t="shared" ca="1" si="4"/>
        <v>1</v>
      </c>
      <c r="T7" s="16">
        <f t="shared" si="5"/>
        <v>1</v>
      </c>
      <c r="U7" s="22">
        <f t="shared" si="6"/>
        <v>0.1414214262373093</v>
      </c>
      <c r="V7" s="16" t="str">
        <f t="shared" si="7"/>
        <v>setosa</v>
      </c>
      <c r="W7" s="16">
        <f t="shared" si="8"/>
        <v>3.3</v>
      </c>
      <c r="X7" s="16">
        <f t="shared" si="9"/>
        <v>5.0999999999999996</v>
      </c>
    </row>
    <row r="8" spans="1:24" x14ac:dyDescent="0.25">
      <c r="A8" s="11">
        <v>6</v>
      </c>
      <c r="B8" s="92">
        <v>2.8</v>
      </c>
      <c r="C8" s="92">
        <v>6.3</v>
      </c>
      <c r="D8" s="11" t="str">
        <v>virginica</v>
      </c>
      <c r="E8" s="13" t="e">
        <f t="shared" si="2"/>
        <v>#N/A</v>
      </c>
      <c r="F8" s="13">
        <f t="shared" si="0"/>
        <v>6.3</v>
      </c>
      <c r="G8" s="2" t="e">
        <f t="shared" si="1"/>
        <v>#N/A</v>
      </c>
      <c r="H8" t="b">
        <f t="shared" si="3"/>
        <v>0</v>
      </c>
      <c r="M8" s="13"/>
      <c r="N8" s="32" t="str">
        <f>VLOOKUP(6,$T$3:$V$17,3,FALSE)</f>
        <v>versicolor</v>
      </c>
      <c r="O8" s="25">
        <v>6</v>
      </c>
      <c r="P8" s="23" t="str" cm="1">
        <f t="array" aca="1" ref="P8" ca="1">INDEX($N$3:INDIRECT("N"&amp;2+6),_xlfn.MODE.SNGL(MATCH($N$3:INDIRECT("N"&amp;2+6),$N$3:INDIRECT("N"&amp;2+6),0)))</f>
        <v>setosa</v>
      </c>
      <c r="Q8" s="23" t="b">
        <f t="shared" ca="1" si="4"/>
        <v>1</v>
      </c>
      <c r="T8" s="16">
        <f t="shared" si="5"/>
        <v>11</v>
      </c>
      <c r="U8" s="22">
        <f t="shared" si="6"/>
        <v>1.4317821863276352</v>
      </c>
      <c r="V8" s="16" t="str">
        <f t="shared" si="7"/>
        <v>virginica</v>
      </c>
      <c r="W8" s="16">
        <f t="shared" si="8"/>
        <v>2.8</v>
      </c>
      <c r="X8" s="16">
        <f t="shared" si="9"/>
        <v>6.3</v>
      </c>
    </row>
    <row r="9" spans="1:24" x14ac:dyDescent="0.25">
      <c r="A9" s="11">
        <v>7</v>
      </c>
      <c r="B9" s="92">
        <v>3</v>
      </c>
      <c r="C9" s="92">
        <v>7.2</v>
      </c>
      <c r="D9" s="11" t="str">
        <v>virginica</v>
      </c>
      <c r="E9" s="13" t="e">
        <f t="shared" si="2"/>
        <v>#N/A</v>
      </c>
      <c r="F9" s="13">
        <f t="shared" si="0"/>
        <v>7.2</v>
      </c>
      <c r="G9" s="2" t="e">
        <f t="shared" si="1"/>
        <v>#N/A</v>
      </c>
      <c r="H9" t="b">
        <f t="shared" si="3"/>
        <v>0</v>
      </c>
      <c r="M9" s="13"/>
      <c r="N9" s="32" t="str">
        <f>VLOOKUP(7,$T$3:$V$17,3,FALSE)</f>
        <v>versicolor</v>
      </c>
      <c r="O9" s="25">
        <v>7</v>
      </c>
      <c r="P9" s="23" t="str" cm="1">
        <f t="array" aca="1" ref="P9" ca="1">INDEX($N$3:INDIRECT("N"&amp;2+7),_xlfn.MODE.SNGL(MATCH($N$3:INDIRECT("N"&amp;2+7),$N$3:INDIRECT("N"&amp;2+7),0)))</f>
        <v>setosa</v>
      </c>
      <c r="Q9" s="23" t="b">
        <f t="shared" ca="1" si="4"/>
        <v>1</v>
      </c>
      <c r="T9" s="16">
        <f t="shared" si="5"/>
        <v>14</v>
      </c>
      <c r="U9" s="22">
        <f t="shared" si="6"/>
        <v>2.2360680674997897</v>
      </c>
      <c r="V9" s="16" t="str">
        <f t="shared" si="7"/>
        <v>virginica</v>
      </c>
      <c r="W9" s="16">
        <f t="shared" si="8"/>
        <v>3</v>
      </c>
      <c r="X9" s="16">
        <f t="shared" si="9"/>
        <v>7.2</v>
      </c>
    </row>
    <row r="10" spans="1:24" x14ac:dyDescent="0.25">
      <c r="A10" s="11">
        <v>8</v>
      </c>
      <c r="B10" s="92">
        <v>2.2999999999999998</v>
      </c>
      <c r="C10" s="92">
        <v>5</v>
      </c>
      <c r="D10" s="11" t="str">
        <v>versicolor</v>
      </c>
      <c r="E10" s="13" t="e">
        <f t="shared" si="2"/>
        <v>#N/A</v>
      </c>
      <c r="F10" s="13" t="e">
        <f t="shared" si="0"/>
        <v>#N/A</v>
      </c>
      <c r="G10" s="2">
        <f t="shared" si="1"/>
        <v>5</v>
      </c>
      <c r="H10" t="b">
        <f t="shared" si="3"/>
        <v>0</v>
      </c>
      <c r="J10" s="1"/>
      <c r="K10" s="2"/>
      <c r="M10" s="13"/>
      <c r="N10" s="32" t="str">
        <f>VLOOKUP(8,$T$3:$V$17,3,FALSE)</f>
        <v>versicolor</v>
      </c>
      <c r="O10" s="25">
        <v>8</v>
      </c>
      <c r="P10" s="23" t="str" cm="1">
        <f t="array" aca="1" ref="P10" ca="1">INDEX($N$3:INDIRECT("N"&amp;2+8),_xlfn.MODE.SNGL(MATCH($N$3:INDIRECT("N"&amp;2+8),$N$3:INDIRECT("N"&amp;2+8),0)))</f>
        <v>setosa</v>
      </c>
      <c r="Q10" s="23" t="b">
        <f t="shared" ca="1" si="4"/>
        <v>1</v>
      </c>
      <c r="T10" s="16">
        <f t="shared" si="5"/>
        <v>10</v>
      </c>
      <c r="U10" s="22">
        <f t="shared" si="6"/>
        <v>1.1000001000000001</v>
      </c>
      <c r="V10" s="16" t="str">
        <f t="shared" si="7"/>
        <v>versicolor</v>
      </c>
      <c r="W10" s="16">
        <f t="shared" si="8"/>
        <v>2.2999999999999998</v>
      </c>
      <c r="X10" s="16">
        <f t="shared" si="9"/>
        <v>5</v>
      </c>
    </row>
    <row r="11" spans="1:24" x14ac:dyDescent="0.25">
      <c r="A11" s="11">
        <v>9</v>
      </c>
      <c r="B11" s="92">
        <v>2.7</v>
      </c>
      <c r="C11" s="92">
        <v>5.8</v>
      </c>
      <c r="D11" s="11" t="str">
        <v>versicolor</v>
      </c>
      <c r="E11" s="13" t="e">
        <f t="shared" si="2"/>
        <v>#N/A</v>
      </c>
      <c r="F11" s="13" t="e">
        <f t="shared" si="0"/>
        <v>#N/A</v>
      </c>
      <c r="G11" s="2">
        <f t="shared" si="1"/>
        <v>5.8</v>
      </c>
      <c r="H11" t="b">
        <f t="shared" si="3"/>
        <v>0</v>
      </c>
      <c r="J11" s="21"/>
      <c r="K11" s="21"/>
      <c r="M11" s="13"/>
      <c r="N11" s="32" t="str">
        <f>VLOOKUP(9,$T$3:$V$17,3,FALSE)</f>
        <v>versicolor</v>
      </c>
      <c r="O11" s="25">
        <v>9</v>
      </c>
      <c r="P11" s="23" t="str" cm="1">
        <f t="array" aca="1" ref="P11" ca="1">INDEX($N$3:INDIRECT("N"&amp;2+9),_xlfn.MODE.SNGL(MATCH($N$3:INDIRECT("N"&amp;2+9),$N$3:INDIRECT("N"&amp;2+9),0)))</f>
        <v>versicolor</v>
      </c>
      <c r="Q11" s="23" t="b">
        <f t="shared" ca="1" si="4"/>
        <v>0</v>
      </c>
      <c r="T11" s="16">
        <f t="shared" si="5"/>
        <v>8</v>
      </c>
      <c r="U11" s="22">
        <f t="shared" si="6"/>
        <v>1.0630146912734646</v>
      </c>
      <c r="V11" s="16" t="str">
        <f t="shared" si="7"/>
        <v>versicolor</v>
      </c>
      <c r="W11" s="16">
        <f t="shared" si="8"/>
        <v>2.7</v>
      </c>
      <c r="X11" s="16">
        <f t="shared" si="9"/>
        <v>5.8</v>
      </c>
    </row>
    <row r="12" spans="1:24" ht="15.75" thickBot="1" x14ac:dyDescent="0.3">
      <c r="A12" s="11">
        <v>10</v>
      </c>
      <c r="B12" s="92">
        <v>3</v>
      </c>
      <c r="C12" s="92">
        <v>5.7</v>
      </c>
      <c r="D12" s="11" t="str">
        <v>versicolor</v>
      </c>
      <c r="E12" s="13" t="e">
        <f t="shared" si="2"/>
        <v>#N/A</v>
      </c>
      <c r="F12" s="13" t="e">
        <f t="shared" si="0"/>
        <v>#N/A</v>
      </c>
      <c r="G12" s="2">
        <f t="shared" si="1"/>
        <v>5.7</v>
      </c>
      <c r="H12" t="b">
        <f t="shared" si="3"/>
        <v>0</v>
      </c>
      <c r="J12" s="21"/>
      <c r="K12" s="21"/>
      <c r="M12" s="13"/>
      <c r="N12" s="52" t="str">
        <f>VLOOKUP(10,$T$3:$V$17,3,FALSE)</f>
        <v>versicolor</v>
      </c>
      <c r="O12" s="26">
        <v>10</v>
      </c>
      <c r="P12" s="23" t="str" cm="1">
        <f t="array" aca="1" ref="P12" ca="1">INDEX($N$3:INDIRECT("N"&amp;2+10),_xlfn.MODE.SNGL(MATCH($N$3:INDIRECT("N"&amp;2+10),$N$3:INDIRECT("N"&amp;2+10),0)))</f>
        <v>versicolor</v>
      </c>
      <c r="Q12" s="24" t="b">
        <f t="shared" ca="1" si="4"/>
        <v>0</v>
      </c>
      <c r="T12" s="16">
        <f t="shared" si="5"/>
        <v>5</v>
      </c>
      <c r="U12" s="22">
        <f t="shared" si="6"/>
        <v>0.80622589482985507</v>
      </c>
      <c r="V12" s="16" t="str">
        <f t="shared" si="7"/>
        <v>versicolor</v>
      </c>
      <c r="W12" s="16">
        <f t="shared" si="8"/>
        <v>3</v>
      </c>
      <c r="X12" s="16">
        <f t="shared" si="9"/>
        <v>5.7</v>
      </c>
    </row>
    <row r="13" spans="1:24" x14ac:dyDescent="0.25">
      <c r="A13" s="11">
        <v>11</v>
      </c>
      <c r="B13" s="92">
        <v>2.7</v>
      </c>
      <c r="C13" s="92">
        <v>6.4</v>
      </c>
      <c r="D13" s="11" t="str">
        <v>virginica</v>
      </c>
      <c r="E13" s="13" t="e">
        <f t="shared" si="2"/>
        <v>#N/A</v>
      </c>
      <c r="F13" s="13">
        <f t="shared" si="0"/>
        <v>6.4</v>
      </c>
      <c r="G13" s="2" t="e">
        <f t="shared" si="1"/>
        <v>#N/A</v>
      </c>
      <c r="H13" t="b">
        <f t="shared" si="3"/>
        <v>0</v>
      </c>
      <c r="T13" s="16">
        <f t="shared" si="5"/>
        <v>13</v>
      </c>
      <c r="U13" s="22">
        <f t="shared" si="6"/>
        <v>1.5652477142498531</v>
      </c>
      <c r="V13" s="16" t="str">
        <f t="shared" si="7"/>
        <v>virginica</v>
      </c>
      <c r="W13" s="16">
        <f t="shared" si="8"/>
        <v>2.7</v>
      </c>
      <c r="X13" s="16">
        <f t="shared" si="9"/>
        <v>6.4</v>
      </c>
    </row>
    <row r="14" spans="1:24" x14ac:dyDescent="0.25">
      <c r="A14" s="11">
        <v>12</v>
      </c>
      <c r="B14" s="92">
        <v>3.2</v>
      </c>
      <c r="C14" s="92">
        <v>4.5999999999999996</v>
      </c>
      <c r="D14" s="11" t="str">
        <v>setosa</v>
      </c>
      <c r="E14" s="13">
        <f t="shared" si="2"/>
        <v>4.5999999999999996</v>
      </c>
      <c r="F14" s="13" t="e">
        <f t="shared" si="0"/>
        <v>#N/A</v>
      </c>
      <c r="G14" s="2" t="e">
        <f t="shared" si="1"/>
        <v>#N/A</v>
      </c>
      <c r="H14" t="b">
        <f t="shared" si="3"/>
        <v>0</v>
      </c>
      <c r="T14" s="16">
        <f t="shared" si="5"/>
        <v>4</v>
      </c>
      <c r="U14" s="22">
        <f t="shared" si="6"/>
        <v>0.44721373549995813</v>
      </c>
      <c r="V14" s="16" t="str">
        <f t="shared" si="7"/>
        <v>setosa</v>
      </c>
      <c r="W14" s="16">
        <f t="shared" si="8"/>
        <v>3.2</v>
      </c>
      <c r="X14" s="16">
        <f t="shared" si="9"/>
        <v>4.5999999999999996</v>
      </c>
    </row>
    <row r="15" spans="1:24" x14ac:dyDescent="0.25">
      <c r="A15" s="11">
        <v>13</v>
      </c>
      <c r="B15" s="92">
        <v>2.5</v>
      </c>
      <c r="C15" s="92">
        <v>5.6</v>
      </c>
      <c r="D15" s="11" t="str">
        <v>versicolor</v>
      </c>
      <c r="E15" s="13" t="e">
        <f t="shared" si="2"/>
        <v>#N/A</v>
      </c>
      <c r="F15" s="13" t="e">
        <f t="shared" si="0"/>
        <v>#N/A</v>
      </c>
      <c r="G15" s="2">
        <f t="shared" si="1"/>
        <v>5.6</v>
      </c>
      <c r="H15" t="b">
        <f t="shared" si="3"/>
        <v>0</v>
      </c>
      <c r="T15" s="16">
        <f t="shared" si="5"/>
        <v>9</v>
      </c>
      <c r="U15" s="22">
        <f t="shared" si="6"/>
        <v>1.0816655326391966</v>
      </c>
      <c r="V15" s="16" t="str">
        <f t="shared" si="7"/>
        <v>versicolor</v>
      </c>
      <c r="W15" s="16">
        <f t="shared" si="8"/>
        <v>2.5</v>
      </c>
      <c r="X15" s="16">
        <f t="shared" si="9"/>
        <v>5.6</v>
      </c>
    </row>
    <row r="16" spans="1:24" x14ac:dyDescent="0.25">
      <c r="A16" s="11">
        <v>14</v>
      </c>
      <c r="B16" s="92">
        <v>3.8</v>
      </c>
      <c r="C16" s="92">
        <v>5.0999999999999996</v>
      </c>
      <c r="D16" s="11" t="str">
        <v>setosa</v>
      </c>
      <c r="E16" s="13">
        <f t="shared" si="2"/>
        <v>5.0999999999999996</v>
      </c>
      <c r="F16" s="13" t="e">
        <f t="shared" si="0"/>
        <v>#N/A</v>
      </c>
      <c r="G16" s="2" t="e">
        <f t="shared" si="1"/>
        <v>#N/A</v>
      </c>
      <c r="H16" t="b">
        <f t="shared" si="3"/>
        <v>0</v>
      </c>
      <c r="T16" s="16">
        <f t="shared" si="5"/>
        <v>3</v>
      </c>
      <c r="U16" s="22">
        <f t="shared" si="6"/>
        <v>0.41231072256176587</v>
      </c>
      <c r="V16" s="16" t="str">
        <f t="shared" si="7"/>
        <v>setosa</v>
      </c>
      <c r="W16" s="16">
        <f t="shared" si="8"/>
        <v>3.8</v>
      </c>
      <c r="X16" s="16">
        <f t="shared" si="9"/>
        <v>5.0999999999999996</v>
      </c>
    </row>
    <row r="17" spans="1:24" x14ac:dyDescent="0.25">
      <c r="A17" s="17">
        <v>15</v>
      </c>
      <c r="B17" s="93">
        <v>2.5</v>
      </c>
      <c r="C17" s="93">
        <v>5.0999999999999996</v>
      </c>
      <c r="D17" s="17" t="str">
        <v>versicolor</v>
      </c>
      <c r="E17" s="13" t="e">
        <f t="shared" si="2"/>
        <v>#N/A</v>
      </c>
      <c r="F17" s="13" t="e">
        <f t="shared" si="0"/>
        <v>#N/A</v>
      </c>
      <c r="G17" s="2">
        <f t="shared" si="1"/>
        <v>5.0999999999999996</v>
      </c>
      <c r="H17" t="b">
        <f t="shared" si="3"/>
        <v>0</v>
      </c>
      <c r="T17" s="16">
        <f t="shared" si="5"/>
        <v>6</v>
      </c>
      <c r="U17" s="22">
        <f t="shared" si="6"/>
        <v>0.90553868381374147</v>
      </c>
      <c r="V17" s="16" t="str">
        <f t="shared" si="7"/>
        <v>versicolor</v>
      </c>
      <c r="W17" s="16">
        <f t="shared" si="8"/>
        <v>2.5</v>
      </c>
      <c r="X17" s="16">
        <f t="shared" si="9"/>
        <v>5.0999999999999996</v>
      </c>
    </row>
    <row r="18" spans="1:24" ht="18.75" x14ac:dyDescent="0.3">
      <c r="B18" s="7"/>
      <c r="C18" s="7"/>
      <c r="D18" s="7"/>
      <c r="E18" s="13"/>
      <c r="F18" s="13"/>
      <c r="G18" s="2"/>
      <c r="J18" s="129" t="s">
        <v>25</v>
      </c>
      <c r="K18" s="129"/>
      <c r="L18" s="129"/>
    </row>
    <row r="19" spans="1:24" ht="24" customHeight="1" x14ac:dyDescent="0.25">
      <c r="B19" s="7"/>
      <c r="C19" s="7"/>
      <c r="D19" s="7"/>
      <c r="E19" s="13"/>
      <c r="F19" s="13"/>
      <c r="J19" s="119" t="s">
        <v>14</v>
      </c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</row>
    <row r="20" spans="1:24" ht="60" x14ac:dyDescent="0.25">
      <c r="B20" s="7"/>
      <c r="C20" s="7"/>
      <c r="D20" s="7"/>
      <c r="E20" s="13"/>
      <c r="F20" s="13"/>
      <c r="J20" s="30" t="s">
        <v>32</v>
      </c>
      <c r="K20" s="28" t="s">
        <v>12</v>
      </c>
      <c r="L20" s="28" t="s">
        <v>13</v>
      </c>
      <c r="M20" s="28"/>
      <c r="N20" s="28" t="s">
        <v>16</v>
      </c>
      <c r="O20" s="28" t="s">
        <v>17</v>
      </c>
      <c r="P20" s="28" t="s">
        <v>18</v>
      </c>
      <c r="Q20" s="28" t="s">
        <v>19</v>
      </c>
      <c r="R20" s="28" t="s">
        <v>20</v>
      </c>
      <c r="S20" s="28" t="s">
        <v>21</v>
      </c>
      <c r="T20" s="28" t="s">
        <v>22</v>
      </c>
      <c r="U20" s="28" t="s">
        <v>23</v>
      </c>
    </row>
    <row r="21" spans="1:24" x14ac:dyDescent="0.25">
      <c r="B21" s="7"/>
      <c r="C21" s="7"/>
      <c r="D21" s="7"/>
      <c r="E21" s="13"/>
      <c r="F21" s="13"/>
      <c r="J21" s="29">
        <f>IF(B3&lt;&gt;"",1,"")</f>
        <v>1</v>
      </c>
      <c r="K21" s="65" t="s">
        <v>15</v>
      </c>
      <c r="L21" s="65" t="s">
        <v>15</v>
      </c>
      <c r="M21" s="65"/>
      <c r="N21" s="65" t="s">
        <v>15</v>
      </c>
      <c r="O21" s="65" t="s">
        <v>15</v>
      </c>
      <c r="P21" s="65" t="s">
        <v>15</v>
      </c>
      <c r="Q21" s="65" t="s">
        <v>15</v>
      </c>
      <c r="R21" s="65" t="s">
        <v>15</v>
      </c>
      <c r="S21" s="65" t="s">
        <v>15</v>
      </c>
      <c r="T21" s="65" t="s">
        <v>15</v>
      </c>
      <c r="U21" s="65" t="s">
        <v>15</v>
      </c>
    </row>
    <row r="22" spans="1:24" x14ac:dyDescent="0.25">
      <c r="B22" s="7"/>
      <c r="C22" s="7"/>
      <c r="D22" s="7"/>
      <c r="E22" s="13"/>
      <c r="F22" s="13"/>
      <c r="J22" s="29">
        <f>IF(B4&lt;&gt;"",2,"")</f>
        <v>2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4" x14ac:dyDescent="0.25">
      <c r="B23" s="7"/>
      <c r="C23" s="7"/>
      <c r="D23" s="7"/>
      <c r="E23" s="13"/>
      <c r="F23" s="13"/>
      <c r="J23" s="29">
        <f>IF(B5&lt;&gt;"",3,"")</f>
        <v>3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4" x14ac:dyDescent="0.25">
      <c r="B24" s="7"/>
      <c r="C24" s="7"/>
      <c r="D24" s="7"/>
      <c r="E24" s="13"/>
      <c r="F24" s="13"/>
      <c r="J24" s="29">
        <f>IF(B6&lt;&gt;"",4,"")</f>
        <v>4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2"/>
      <c r="W24" s="13"/>
    </row>
    <row r="25" spans="1:24" x14ac:dyDescent="0.25">
      <c r="B25" s="7"/>
      <c r="C25" s="7"/>
      <c r="D25" s="7"/>
      <c r="E25" s="13"/>
      <c r="F25" s="13"/>
      <c r="J25" s="29">
        <f>IF(B7&lt;&gt;"",5,"")</f>
        <v>5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4" x14ac:dyDescent="0.25">
      <c r="B26" s="7"/>
      <c r="C26" s="7"/>
      <c r="D26" s="7"/>
      <c r="E26" s="13"/>
      <c r="F26" s="13"/>
      <c r="J26" s="29">
        <f>IF(B8&lt;&gt;"",6,"")</f>
        <v>6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4" x14ac:dyDescent="0.25">
      <c r="B27" s="7"/>
      <c r="C27" s="7"/>
      <c r="D27" s="7"/>
      <c r="E27" s="13"/>
      <c r="F27" s="13"/>
      <c r="J27" s="29">
        <f>IF(B9&lt;&gt;"",7,"")</f>
        <v>7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4" x14ac:dyDescent="0.25">
      <c r="B28" s="7"/>
      <c r="C28" s="7"/>
      <c r="D28" s="7"/>
      <c r="E28" s="13"/>
      <c r="F28" s="13"/>
      <c r="J28" s="29">
        <f>IF(B10&lt;&gt;"",8,"")</f>
        <v>8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4" x14ac:dyDescent="0.25">
      <c r="B29" s="7"/>
      <c r="C29" s="7"/>
      <c r="D29" s="7"/>
      <c r="E29" s="13"/>
      <c r="F29" s="13"/>
      <c r="J29" s="29">
        <f>IF(B11&lt;&gt;"",9,"")</f>
        <v>9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4" x14ac:dyDescent="0.25">
      <c r="B30" s="7"/>
      <c r="C30" s="7"/>
      <c r="D30" s="7"/>
      <c r="E30" s="13"/>
      <c r="F30" s="13"/>
      <c r="J30" s="29">
        <f>IF(B12&lt;&gt;"",10,"")</f>
        <v>10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4" x14ac:dyDescent="0.25">
      <c r="B31" s="7"/>
      <c r="C31" s="7"/>
      <c r="D31" s="7"/>
      <c r="E31" s="13"/>
      <c r="F31" s="13"/>
      <c r="J31" s="29">
        <f>IF(B13&lt;&gt;"",11,"")</f>
        <v>11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4" x14ac:dyDescent="0.25">
      <c r="B32" s="7"/>
      <c r="C32" s="7"/>
      <c r="D32" s="7"/>
      <c r="E32" s="13"/>
      <c r="F32" s="13"/>
      <c r="J32" s="29">
        <f>IF(B14&lt;&gt;"",12,"")</f>
        <v>12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spans="1:21" x14ac:dyDescent="0.25">
      <c r="B33" s="7"/>
      <c r="C33" s="7"/>
      <c r="D33" s="7"/>
      <c r="E33" s="13"/>
      <c r="F33" s="13"/>
      <c r="J33" s="29">
        <f>IF(B15&lt;&gt;"",13,"")</f>
        <v>13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spans="1:21" x14ac:dyDescent="0.25">
      <c r="B34" s="7"/>
      <c r="C34" s="7"/>
      <c r="D34" s="7"/>
      <c r="E34" s="13"/>
      <c r="F34" s="13"/>
      <c r="J34" s="29">
        <f>IF(B16&lt;&gt;"",14,"")</f>
        <v>14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spans="1:21" x14ac:dyDescent="0.25">
      <c r="B35" s="7"/>
      <c r="C35" s="7"/>
      <c r="D35" s="7"/>
      <c r="E35" s="13"/>
      <c r="F35" s="13"/>
      <c r="J35" s="29">
        <f>IF(B17&lt;&gt;"",15,"")</f>
        <v>15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spans="1:21" ht="15.75" thickBot="1" x14ac:dyDescent="0.3">
      <c r="B36" s="7"/>
      <c r="C36" s="7"/>
      <c r="D36" s="7"/>
      <c r="E36" s="13"/>
      <c r="F36" s="13"/>
    </row>
    <row r="37" spans="1:21" ht="15.75" thickBot="1" x14ac:dyDescent="0.3">
      <c r="B37" s="7"/>
      <c r="C37" s="7"/>
      <c r="D37" s="7"/>
      <c r="E37" s="13"/>
      <c r="F37" s="13"/>
      <c r="J37" s="31" t="s">
        <v>45</v>
      </c>
      <c r="K37" s="39">
        <f>COUNTA(K21:K35)/COUNTA($B$3:$B$17)</f>
        <v>6.6666666666666666E-2</v>
      </c>
      <c r="L37" s="39">
        <f t="shared" ref="L37:U37" si="10">COUNTA(L21:L35)/COUNTA($B$3:$B$17)</f>
        <v>6.6666666666666666E-2</v>
      </c>
      <c r="M37" s="39">
        <f t="shared" si="10"/>
        <v>0</v>
      </c>
      <c r="N37" s="39">
        <f t="shared" si="10"/>
        <v>6.6666666666666666E-2</v>
      </c>
      <c r="O37" s="39">
        <f t="shared" si="10"/>
        <v>6.6666666666666666E-2</v>
      </c>
      <c r="P37" s="39">
        <f t="shared" si="10"/>
        <v>6.6666666666666666E-2</v>
      </c>
      <c r="Q37" s="39">
        <f t="shared" si="10"/>
        <v>6.6666666666666666E-2</v>
      </c>
      <c r="R37" s="39">
        <f t="shared" si="10"/>
        <v>6.6666666666666666E-2</v>
      </c>
      <c r="S37" s="39">
        <f t="shared" si="10"/>
        <v>6.6666666666666666E-2</v>
      </c>
      <c r="T37" s="39">
        <f t="shared" si="10"/>
        <v>6.6666666666666666E-2</v>
      </c>
      <c r="U37" s="40">
        <f t="shared" si="10"/>
        <v>6.6666666666666666E-2</v>
      </c>
    </row>
    <row r="38" spans="1:21" x14ac:dyDescent="0.25">
      <c r="B38" s="7"/>
      <c r="C38" s="7"/>
      <c r="D38" s="7"/>
      <c r="E38" s="13"/>
      <c r="F38" s="13"/>
    </row>
    <row r="39" spans="1:21" x14ac:dyDescent="0.25">
      <c r="A39" s="118" t="s">
        <v>47</v>
      </c>
      <c r="B39" s="118"/>
      <c r="C39" s="118"/>
      <c r="D39" s="118"/>
      <c r="E39" s="13"/>
      <c r="F39" s="13"/>
    </row>
    <row r="40" spans="1:21" x14ac:dyDescent="0.25">
      <c r="A40" s="95" t="s">
        <v>48</v>
      </c>
      <c r="B40" s="95"/>
      <c r="C40" s="95"/>
      <c r="D40" s="95"/>
      <c r="E40" s="13"/>
      <c r="F40" s="13"/>
    </row>
    <row r="41" spans="1:21" x14ac:dyDescent="0.25">
      <c r="A41" s="95" t="s">
        <v>49</v>
      </c>
      <c r="B41" s="95"/>
      <c r="C41" s="95"/>
      <c r="D41" s="95"/>
      <c r="E41" s="13"/>
      <c r="F41" s="13"/>
    </row>
    <row r="42" spans="1:21" x14ac:dyDescent="0.25">
      <c r="A42" s="95"/>
      <c r="B42" s="95"/>
      <c r="C42" s="95"/>
      <c r="D42" s="95"/>
      <c r="E42" s="13"/>
      <c r="F42" s="13"/>
    </row>
    <row r="43" spans="1:21" x14ac:dyDescent="0.25">
      <c r="A43" s="95"/>
      <c r="B43" s="95"/>
      <c r="C43" s="95"/>
      <c r="D43" s="95"/>
      <c r="E43" s="13"/>
      <c r="F43" s="13"/>
    </row>
    <row r="44" spans="1:21" x14ac:dyDescent="0.25">
      <c r="A44" s="95"/>
      <c r="B44" s="95"/>
      <c r="C44" s="95"/>
      <c r="D44" s="95"/>
      <c r="E44" s="13"/>
      <c r="F44" s="13"/>
    </row>
    <row r="45" spans="1:21" x14ac:dyDescent="0.25">
      <c r="A45" s="95"/>
      <c r="B45" s="95"/>
      <c r="C45" s="95"/>
      <c r="D45" s="95"/>
      <c r="E45" s="13"/>
      <c r="F45" s="13"/>
    </row>
    <row r="46" spans="1:21" x14ac:dyDescent="0.25">
      <c r="B46" s="7"/>
      <c r="C46" s="7"/>
      <c r="D46" s="7"/>
      <c r="E46" s="13"/>
      <c r="F46" s="13"/>
    </row>
    <row r="47" spans="1:21" x14ac:dyDescent="0.25">
      <c r="B47" s="7"/>
      <c r="C47" s="7"/>
      <c r="D47" s="7"/>
      <c r="E47" s="13"/>
      <c r="F47" s="13"/>
    </row>
    <row r="48" spans="1:21" x14ac:dyDescent="0.25">
      <c r="B48" s="7"/>
      <c r="C48" s="7"/>
      <c r="D48" s="7"/>
      <c r="E48" s="13"/>
      <c r="F48" s="13"/>
    </row>
    <row r="49" spans="2:6" x14ac:dyDescent="0.25">
      <c r="B49" s="7"/>
      <c r="C49" s="7"/>
      <c r="D49" s="7"/>
      <c r="E49" s="13"/>
      <c r="F49" s="13"/>
    </row>
    <row r="50" spans="2:6" x14ac:dyDescent="0.25">
      <c r="B50" s="7"/>
      <c r="C50" s="7"/>
      <c r="D50" s="7"/>
      <c r="E50" s="13"/>
      <c r="F50" s="13"/>
    </row>
    <row r="51" spans="2:6" x14ac:dyDescent="0.25">
      <c r="B51" s="7"/>
      <c r="C51" s="7"/>
      <c r="D51" s="7"/>
      <c r="E51" s="13"/>
      <c r="F51" s="13"/>
    </row>
  </sheetData>
  <sheetProtection algorithmName="SHA-512" hashValue="1wmBup/PgHRwRkpjuOnedCZbZQGezeVz9wpM4ggxgirE1pFJB73+nnTfdzSjhEwsVe4rgSmrP0vgwT6/zjRQqw==" saltValue="dDg7J7tZUJIJE76XvbX13Q==" spinCount="100000" sheet="1" objects="1" scenarios="1" selectLockedCells="1"/>
  <mergeCells count="10">
    <mergeCell ref="B1:D1"/>
    <mergeCell ref="J1:K2"/>
    <mergeCell ref="K5:K6"/>
    <mergeCell ref="J5:J6"/>
    <mergeCell ref="J18:L18"/>
    <mergeCell ref="A39:D39"/>
    <mergeCell ref="A40:D40"/>
    <mergeCell ref="A41:D41"/>
    <mergeCell ref="J19:U19"/>
    <mergeCell ref="A42:D45"/>
  </mergeCells>
  <conditionalFormatting sqref="B3:D17">
    <cfRule type="expression" dxfId="3" priority="3">
      <formula>$H3=TRUE</formula>
    </cfRule>
  </conditionalFormatting>
  <conditionalFormatting sqref="O3:O12 Q3:Q12">
    <cfRule type="expression" dxfId="2" priority="1">
      <formula>$Q3=FALSE</formula>
    </cfRule>
    <cfRule type="expression" dxfId="1" priority="2">
      <formula>$Q3=TRUE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BCA2-C8AA-47EE-9C79-2225D71FDD41}">
  <dimension ref="A1:AR38"/>
  <sheetViews>
    <sheetView zoomScaleNormal="100" workbookViewId="0">
      <selection activeCell="J11" sqref="J11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  <col min="4" max="7" width="0" hidden="1" customWidth="1"/>
    <col min="9" max="9" width="14.85546875" bestFit="1" customWidth="1"/>
    <col min="10" max="11" width="14.7109375" customWidth="1"/>
    <col min="12" max="12" width="18" bestFit="1" customWidth="1"/>
    <col min="13" max="13" width="10.7109375" customWidth="1"/>
    <col min="14" max="14" width="3.85546875" customWidth="1"/>
    <col min="15" max="15" width="16.5703125" bestFit="1" customWidth="1"/>
    <col min="17" max="17" width="20.42578125" bestFit="1" customWidth="1"/>
    <col min="18" max="18" width="12.28515625" bestFit="1" customWidth="1"/>
    <col min="19" max="19" width="15.7109375" bestFit="1" customWidth="1"/>
    <col min="20" max="22" width="11.42578125" hidden="1" customWidth="1"/>
    <col min="23" max="23" width="3.28515625" customWidth="1"/>
    <col min="25" max="25" width="25.42578125" bestFit="1" customWidth="1"/>
    <col min="26" max="26" width="15.7109375" bestFit="1" customWidth="1"/>
    <col min="27" max="28" width="10.7109375" hidden="1" customWidth="1"/>
    <col min="29" max="29" width="11.42578125" customWidth="1"/>
    <col min="30" max="30" width="22.85546875" hidden="1" customWidth="1"/>
    <col min="31" max="44" width="10.7109375" hidden="1" customWidth="1"/>
  </cols>
  <sheetData>
    <row r="1" spans="1:44" ht="21" x14ac:dyDescent="0.35">
      <c r="A1" s="99" t="s">
        <v>26</v>
      </c>
      <c r="B1" s="99"/>
      <c r="C1" s="99"/>
      <c r="D1" s="33"/>
      <c r="E1" s="33"/>
      <c r="F1" s="33"/>
      <c r="G1" s="33"/>
      <c r="I1" s="100" t="s">
        <v>27</v>
      </c>
      <c r="J1" s="101"/>
      <c r="K1" s="33"/>
      <c r="L1" s="33"/>
      <c r="M1" s="55"/>
      <c r="O1" s="132" t="s">
        <v>8</v>
      </c>
      <c r="Q1" s="41" t="s">
        <v>11</v>
      </c>
      <c r="AD1" s="44" t="s">
        <v>29</v>
      </c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4.25" customHeight="1" thickBot="1" x14ac:dyDescent="0.3">
      <c r="A2" s="8" t="str">
        <f>Training_Dateneingabe!A3</f>
        <v>Blattbreite</v>
      </c>
      <c r="B2" s="8" t="str">
        <f>Training_Dateneingabe!B3</f>
        <v>Blattlänge</v>
      </c>
      <c r="C2" s="9" t="str">
        <f>Training_Dateneingabe!C3</f>
        <v>Erwartetes Label</v>
      </c>
      <c r="D2" s="14" t="str">
        <f>Training_Dateneingabe!E4</f>
        <v>setosa</v>
      </c>
      <c r="E2" s="14" t="str">
        <f>Training_Dateneingabe!E5</f>
        <v>virginica</v>
      </c>
      <c r="F2" s="14" t="str">
        <f>Training_Dateneingabe!E6</f>
        <v>versicolor</v>
      </c>
      <c r="G2" s="14"/>
      <c r="I2" s="102"/>
      <c r="J2" s="103"/>
      <c r="K2" s="33"/>
      <c r="L2" s="33"/>
      <c r="M2" s="55"/>
      <c r="O2" s="133"/>
      <c r="Q2" s="5" t="str">
        <f>Training_Dateneingabe!A3</f>
        <v>Blattbreite</v>
      </c>
      <c r="R2" s="5" t="str">
        <f>Training_Dateneingabe!B3</f>
        <v>Blattlänge</v>
      </c>
      <c r="S2" s="6" t="str">
        <f>Training_Dateneingabe!C3</f>
        <v>Erwartetes Label</v>
      </c>
      <c r="T2" s="14" t="str">
        <f>Training_Dateneingabe!E4</f>
        <v>setosa</v>
      </c>
      <c r="U2" s="14" t="str">
        <f>Training_Dateneingabe!E5</f>
        <v>virginica</v>
      </c>
      <c r="V2" s="13" t="str">
        <f>Training_Dateneingabe!E6</f>
        <v>versicolor</v>
      </c>
      <c r="X2" s="28" t="s">
        <v>2</v>
      </c>
      <c r="Y2" s="28" t="s">
        <v>28</v>
      </c>
      <c r="Z2" s="28" t="str">
        <f>S2</f>
        <v>Erwartetes Label</v>
      </c>
      <c r="AA2" s="46" t="str">
        <f>Training_Dateneingabe!A3</f>
        <v>Blattbreite</v>
      </c>
      <c r="AB2" s="46" t="str">
        <f>Training_Dateneingabe!B3</f>
        <v>Blattlänge</v>
      </c>
      <c r="AD2" s="45" t="s">
        <v>4</v>
      </c>
      <c r="AE2" s="8">
        <v>1</v>
      </c>
      <c r="AF2" s="8"/>
      <c r="AG2" s="8"/>
      <c r="AH2" s="8">
        <v>2</v>
      </c>
      <c r="AI2" s="8"/>
      <c r="AJ2" s="8"/>
      <c r="AK2" s="8">
        <v>3</v>
      </c>
      <c r="AL2" s="8"/>
      <c r="AM2" s="8"/>
      <c r="AN2" s="8">
        <v>4</v>
      </c>
      <c r="AO2" s="8"/>
      <c r="AP2" s="8"/>
      <c r="AQ2" s="8">
        <v>5</v>
      </c>
      <c r="AR2" s="8"/>
    </row>
    <row r="3" spans="1:44" x14ac:dyDescent="0.25">
      <c r="A3" s="86">
        <v>2.4</v>
      </c>
      <c r="B3" s="86">
        <v>4.9000000000000004</v>
      </c>
      <c r="C3" s="69" t="s">
        <v>53</v>
      </c>
      <c r="D3" s="2" t="e">
        <f>IF($C3=$D$2,$B3,NA())</f>
        <v>#N/A</v>
      </c>
      <c r="E3" s="2" t="e">
        <f>IF($C3=$E$2,$B3,NA())</f>
        <v>#N/A</v>
      </c>
      <c r="F3" s="2">
        <f>IF($C3=$F$2,$B3,NA())</f>
        <v>4.9000000000000004</v>
      </c>
      <c r="G3" s="2" t="b">
        <f>AND((A3=$J$3),(B3=$J$4))</f>
        <v>1</v>
      </c>
      <c r="I3" s="8" t="str">
        <f>$A$2</f>
        <v>Blattbreite</v>
      </c>
      <c r="J3" s="89">
        <v>2.4</v>
      </c>
      <c r="K3" s="13"/>
      <c r="L3" s="134" t="s">
        <v>24</v>
      </c>
      <c r="M3" s="56"/>
      <c r="N3" s="2">
        <f>IF($J$11&gt;=1,1,"")</f>
        <v>1</v>
      </c>
      <c r="O3" s="13" t="str">
        <f>IF($J$11&gt;=1,VLOOKUP(N3,$X$3:$Z$17,3,FALSE),"")</f>
        <v>versicolor</v>
      </c>
      <c r="Q3" s="59">
        <f>Training_Dateneingabe!A4</f>
        <v>3.4</v>
      </c>
      <c r="R3" s="70">
        <f>Training_Dateneingabe!B4</f>
        <v>5</v>
      </c>
      <c r="S3" s="4" t="str">
        <f>Training_Dateneingabe!C4</f>
        <v>setosa</v>
      </c>
      <c r="T3" s="13">
        <f>IF($S3=$T$2,$R3,NA())</f>
        <v>5</v>
      </c>
      <c r="U3" s="13" t="e">
        <f>IF($S3=$U$2,$R3,NA())</f>
        <v>#N/A</v>
      </c>
      <c r="V3" s="13" t="e">
        <f>IF($S3=$V$2,$R3,NA())</f>
        <v>#N/A</v>
      </c>
      <c r="X3" s="35">
        <f>_xlfn.RANK.EQ(Y3,$Y$3:$Y$17,1)</f>
        <v>10</v>
      </c>
      <c r="Y3" s="22">
        <f t="shared" ref="Y3:Y17" si="0">SQRT(($J$3-$Q3)^2+($J$4-$R3)^2)+(ROW()/100000000)</f>
        <v>1.004987592112089</v>
      </c>
      <c r="Z3" s="16" t="str">
        <f>S3</f>
        <v>setosa</v>
      </c>
      <c r="AA3" s="47">
        <f>Q3</f>
        <v>3.4</v>
      </c>
      <c r="AB3" s="47">
        <f>R3</f>
        <v>5</v>
      </c>
      <c r="AD3" s="18"/>
      <c r="AE3" s="36">
        <f>IF($J$11&gt;=1,$J$3,"")</f>
        <v>2.4</v>
      </c>
      <c r="AF3" s="36">
        <f>IF($J$11&gt;=1,$J$4,"")</f>
        <v>4.9000000000000004</v>
      </c>
      <c r="AG3" s="36"/>
      <c r="AH3" s="36">
        <f>IF($J$11&gt;=2,$J$3,"")</f>
        <v>2.4</v>
      </c>
      <c r="AI3" s="36">
        <f>IF($J$11&gt;=2,$J$4,"")</f>
        <v>4.9000000000000004</v>
      </c>
      <c r="AJ3" s="36"/>
      <c r="AK3" s="36">
        <f>IF($J$11&gt;=3,$J$3,"")</f>
        <v>2.4</v>
      </c>
      <c r="AL3" s="36">
        <f>IF($J$11&gt;=3,$J$4,"")</f>
        <v>4.9000000000000004</v>
      </c>
      <c r="AM3" s="37"/>
      <c r="AN3" s="36">
        <f>IF($J$11&gt;=4,$J$3,"")</f>
        <v>2.4</v>
      </c>
      <c r="AO3" s="36">
        <f>IF($J$11&gt;=4,$J$4,"")</f>
        <v>4.9000000000000004</v>
      </c>
      <c r="AP3" s="37"/>
      <c r="AQ3" s="36" t="str">
        <f>IF($J$11&gt;=5,$J$3,"")</f>
        <v/>
      </c>
      <c r="AR3" s="36" t="str">
        <f>IF($J$11&gt;=5,$J$4,"")</f>
        <v/>
      </c>
    </row>
    <row r="4" spans="1:44" ht="15.75" thickBot="1" x14ac:dyDescent="0.3">
      <c r="A4" s="86">
        <v>3.7</v>
      </c>
      <c r="B4" s="86">
        <v>5.3</v>
      </c>
      <c r="C4" s="69" t="s">
        <v>52</v>
      </c>
      <c r="D4" s="2">
        <f t="shared" ref="D4:D7" si="1">IF($C4=$D$2,$B4,NA())</f>
        <v>5.3</v>
      </c>
      <c r="E4" s="2" t="e">
        <f t="shared" ref="E4:E7" si="2">IF($C4=$E$2,$B4,NA())</f>
        <v>#N/A</v>
      </c>
      <c r="F4" s="2" t="e">
        <f t="shared" ref="F4:F7" si="3">IF($C4=$F$2,$B4,NA())</f>
        <v>#N/A</v>
      </c>
      <c r="G4" s="2" t="b">
        <f t="shared" ref="G4:G7" si="4">AND((A4=$J$3),(B4=$J$4))</f>
        <v>0</v>
      </c>
      <c r="I4" s="27" t="str">
        <f>$B$2</f>
        <v>Blattlänge</v>
      </c>
      <c r="J4" s="90">
        <v>4.9000000000000004</v>
      </c>
      <c r="K4" s="13"/>
      <c r="L4" s="135"/>
      <c r="M4" s="56"/>
      <c r="N4" s="2">
        <f>IF($J$11&gt;=2,2,"")</f>
        <v>2</v>
      </c>
      <c r="O4" s="13" t="str">
        <f>IF($J$11&gt;=2,VLOOKUP(N4,$X$3:$Z$17,3,FALSE),"")</f>
        <v>versicolor</v>
      </c>
      <c r="Q4" s="59">
        <f>Training_Dateneingabe!A5</f>
        <v>2.6</v>
      </c>
      <c r="R4" s="70">
        <f>Training_Dateneingabe!B5</f>
        <v>5.5</v>
      </c>
      <c r="S4" s="4" t="str">
        <f>Training_Dateneingabe!C5</f>
        <v>versicolor</v>
      </c>
      <c r="T4" s="13" t="e">
        <f t="shared" ref="T4:T17" si="5">IF($S4=$T$2,$R4,NA())</f>
        <v>#N/A</v>
      </c>
      <c r="U4" s="13" t="e">
        <f t="shared" ref="U4:U17" si="6">IF($S4=$U$2,$R4,NA())</f>
        <v>#N/A</v>
      </c>
      <c r="V4" s="13">
        <f t="shared" ref="V4:V17" si="7">IF($S4=$V$2,$R4,NA())</f>
        <v>5.5</v>
      </c>
      <c r="X4" s="35">
        <f t="shared" ref="X4:X17" si="8">_xlfn.RANK.EQ(Y4,$Y$3:$Y$17,1)</f>
        <v>3</v>
      </c>
      <c r="Y4" s="22">
        <f t="shared" si="0"/>
        <v>0.63245557203367564</v>
      </c>
      <c r="Z4" s="16" t="str">
        <f t="shared" ref="Z4:Z17" si="9">S4</f>
        <v>versicolor</v>
      </c>
      <c r="AA4" s="47">
        <f t="shared" ref="AA4:AA17" si="10">Q4</f>
        <v>2.6</v>
      </c>
      <c r="AB4" s="47">
        <f t="shared" ref="AB4:AB17" si="11">R4</f>
        <v>5.5</v>
      </c>
      <c r="AD4" s="18"/>
      <c r="AE4" s="20">
        <f>IF($J$11&gt;=1,VLOOKUP(AE2,$X$3:$AB$17,4,FALSE),"")</f>
        <v>2.2999999999999998</v>
      </c>
      <c r="AF4" s="20">
        <f>IF($J$11&gt;=1,VLOOKUP(AE2,$X$3:$AB$17,5,FALSE),"")</f>
        <v>5</v>
      </c>
      <c r="AG4" s="20"/>
      <c r="AH4" s="20">
        <f>IF($J$11&gt;=2,VLOOKUP(AH2,$X$3:$AB$17,4,FALSE),"")</f>
        <v>2.5</v>
      </c>
      <c r="AI4" s="20">
        <f>IF($J$11&gt;=2,VLOOKUP(AH2,$X$3:$AB$17,5,FALSE),"")</f>
        <v>5.0999999999999996</v>
      </c>
      <c r="AJ4" s="20"/>
      <c r="AK4" s="20">
        <f>IF($J$11&gt;=3,VLOOKUP(AK2,$X$3:$AB$17,4,FALSE),"")</f>
        <v>2.6</v>
      </c>
      <c r="AL4" s="20">
        <f>IF($J$11&gt;=3,VLOOKUP(AK2,$X$3:$AB$17,5,FALSE),"")</f>
        <v>5.5</v>
      </c>
      <c r="AM4" s="19"/>
      <c r="AN4" s="20">
        <f>IF($J$11&gt;=4,VLOOKUP(AN2,$X$3:$AB$17,4,FALSE),"")</f>
        <v>3.1</v>
      </c>
      <c r="AO4" s="20">
        <f>IF($J$11&gt;=4,VLOOKUP(AN2,$X$3:$AB$17,5,FALSE),"")</f>
        <v>4.8</v>
      </c>
      <c r="AP4" s="19"/>
      <c r="AQ4" s="20" t="str">
        <f>IF($J$11&gt;=5,VLOOKUP(AQ2,$X$3:$AB$17,4,FALSE),"")</f>
        <v/>
      </c>
      <c r="AR4" s="20" t="str">
        <f>IF($J$11&gt;=5,VLOOKUP(AQ2,$X$3:$AB$17,5,FALSE),"")</f>
        <v/>
      </c>
    </row>
    <row r="5" spans="1:44" x14ac:dyDescent="0.25">
      <c r="A5" s="86">
        <v>2.8</v>
      </c>
      <c r="B5" s="86">
        <v>7.4</v>
      </c>
      <c r="C5" s="69" t="s">
        <v>54</v>
      </c>
      <c r="D5" s="2" t="e">
        <f t="shared" si="1"/>
        <v>#N/A</v>
      </c>
      <c r="E5" s="2">
        <f t="shared" si="2"/>
        <v>7.4</v>
      </c>
      <c r="F5" s="2" t="e">
        <f t="shared" si="3"/>
        <v>#N/A</v>
      </c>
      <c r="G5" s="2" t="b">
        <f t="shared" si="4"/>
        <v>0</v>
      </c>
      <c r="I5" s="125" t="s">
        <v>10</v>
      </c>
      <c r="J5" s="138" t="str" cm="1">
        <f t="array" ref="J5">VLOOKUP(J3&amp;J4,CHOOSE({1,2},A3:A7&amp;B3:B7,C3:C7),2,0)</f>
        <v>versicolor</v>
      </c>
      <c r="K5" s="14"/>
      <c r="L5" s="136" t="str" cm="1">
        <f t="array" aca="1" ref="L5" ca="1">IF(J11&lt;=2,O3,IF(J11=3,IF(O3=O4=O5,O3, IF(OR(O3=O4,O3=O5),O3,IF(O4=O5,O4,O3))),INDEX($O$3:INDIRECT("O"&amp;2+J11),_xlfn.MODE.SNGL(MATCH($O$3:INDIRECT("O"&amp;2+J11),$O$3:INDIRECT("O"&amp;2+J11),0)))))</f>
        <v>versicolor</v>
      </c>
      <c r="M5" s="55"/>
      <c r="N5" s="2">
        <f>IF($J$11&gt;=3,3,"")</f>
        <v>3</v>
      </c>
      <c r="O5" s="13" t="str">
        <f>IF($J$11&gt;=3,VLOOKUP(N5,$X$3:$Z$17,3,FALSE),"")</f>
        <v>versicolor</v>
      </c>
      <c r="Q5" s="59">
        <f>Training_Dateneingabe!A6</f>
        <v>3.2</v>
      </c>
      <c r="R5" s="70">
        <f>Training_Dateneingabe!B6</f>
        <v>6.5</v>
      </c>
      <c r="S5" s="4" t="str">
        <f>Training_Dateneingabe!C6</f>
        <v>virginica</v>
      </c>
      <c r="T5" s="13" t="e">
        <f t="shared" si="5"/>
        <v>#N/A</v>
      </c>
      <c r="U5" s="13">
        <f t="shared" si="6"/>
        <v>6.5</v>
      </c>
      <c r="V5" s="13" t="e">
        <f t="shared" si="7"/>
        <v>#N/A</v>
      </c>
      <c r="X5" s="35">
        <f t="shared" si="8"/>
        <v>14</v>
      </c>
      <c r="Y5" s="22">
        <f t="shared" si="0"/>
        <v>1.7888544319998314</v>
      </c>
      <c r="Z5" s="16" t="str">
        <f t="shared" si="9"/>
        <v>virginica</v>
      </c>
      <c r="AA5" s="47">
        <f t="shared" si="10"/>
        <v>3.2</v>
      </c>
      <c r="AB5" s="47">
        <f t="shared" si="11"/>
        <v>6.5</v>
      </c>
      <c r="AD5" s="18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4" ht="15.75" thickBot="1" x14ac:dyDescent="0.3">
      <c r="A6" s="86">
        <v>3</v>
      </c>
      <c r="B6" s="86">
        <v>6</v>
      </c>
      <c r="C6" s="69" t="s">
        <v>54</v>
      </c>
      <c r="D6" s="2" t="e">
        <f t="shared" si="1"/>
        <v>#N/A</v>
      </c>
      <c r="E6" s="2">
        <f t="shared" si="2"/>
        <v>6</v>
      </c>
      <c r="F6" s="2" t="e">
        <f t="shared" si="3"/>
        <v>#N/A</v>
      </c>
      <c r="G6" s="2" t="b">
        <f t="shared" si="4"/>
        <v>0</v>
      </c>
      <c r="I6" s="126"/>
      <c r="J6" s="139"/>
      <c r="K6" s="14"/>
      <c r="L6" s="137"/>
      <c r="M6" s="55"/>
      <c r="N6" s="2">
        <f>IF($J$11&gt;=4,4,"")</f>
        <v>4</v>
      </c>
      <c r="O6" s="13" t="str">
        <f>IF($J$11&gt;=4,VLOOKUP(N6,$X$3:$Z$17,3,FALSE),"")</f>
        <v>setosa</v>
      </c>
      <c r="Q6" s="59">
        <f>Training_Dateneingabe!A7</f>
        <v>3.1</v>
      </c>
      <c r="R6" s="70">
        <f>Training_Dateneingabe!B7</f>
        <v>4.8</v>
      </c>
      <c r="S6" s="4" t="str">
        <f>Training_Dateneingabe!C7</f>
        <v>setosa</v>
      </c>
      <c r="T6" s="13">
        <f t="shared" si="5"/>
        <v>4.8</v>
      </c>
      <c r="U6" s="13" t="e">
        <f t="shared" si="6"/>
        <v>#N/A</v>
      </c>
      <c r="V6" s="13" t="e">
        <f t="shared" si="7"/>
        <v>#N/A</v>
      </c>
      <c r="X6" s="35">
        <f t="shared" si="8"/>
        <v>4</v>
      </c>
      <c r="Y6" s="22">
        <f t="shared" si="0"/>
        <v>0.70710684118654776</v>
      </c>
      <c r="Z6" s="16" t="str">
        <f t="shared" si="9"/>
        <v>setosa</v>
      </c>
      <c r="AA6" s="47">
        <f t="shared" si="10"/>
        <v>3.1</v>
      </c>
      <c r="AB6" s="47">
        <f t="shared" si="11"/>
        <v>4.8</v>
      </c>
      <c r="AD6" s="18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x14ac:dyDescent="0.25">
      <c r="A7" s="86">
        <v>2.2000000000000002</v>
      </c>
      <c r="B7" s="86">
        <v>6</v>
      </c>
      <c r="C7" s="69" t="s">
        <v>53</v>
      </c>
      <c r="D7" s="2" t="e">
        <f t="shared" si="1"/>
        <v>#N/A</v>
      </c>
      <c r="E7" s="2" t="e">
        <f t="shared" si="2"/>
        <v>#N/A</v>
      </c>
      <c r="F7" s="2">
        <f t="shared" si="3"/>
        <v>6</v>
      </c>
      <c r="G7" s="2" t="b">
        <f t="shared" si="4"/>
        <v>0</v>
      </c>
      <c r="M7" s="55"/>
      <c r="N7" s="2" t="str">
        <f>IF($J$11&gt;=5,5,"")</f>
        <v/>
      </c>
      <c r="O7" s="13" t="str">
        <f>IF($J$11&gt;=5,VLOOKUP(N7,$X$3:$Z$17,3,FALSE),"")</f>
        <v/>
      </c>
      <c r="Q7" s="59">
        <f>Training_Dateneingabe!A8</f>
        <v>3.3</v>
      </c>
      <c r="R7" s="70">
        <f>Training_Dateneingabe!B8</f>
        <v>5.0999999999999996</v>
      </c>
      <c r="S7" s="4" t="str">
        <f>Training_Dateneingabe!C8</f>
        <v>setosa</v>
      </c>
      <c r="T7" s="13">
        <f t="shared" si="5"/>
        <v>5.0999999999999996</v>
      </c>
      <c r="U7" s="13" t="e">
        <f t="shared" si="6"/>
        <v>#N/A</v>
      </c>
      <c r="V7" s="13" t="e">
        <f t="shared" si="7"/>
        <v>#N/A</v>
      </c>
      <c r="X7" s="35">
        <f t="shared" si="8"/>
        <v>7</v>
      </c>
      <c r="Y7" s="22">
        <f t="shared" si="0"/>
        <v>0.92195451572928855</v>
      </c>
      <c r="Z7" s="16" t="str">
        <f t="shared" si="9"/>
        <v>setosa</v>
      </c>
      <c r="AA7" s="47">
        <f t="shared" si="10"/>
        <v>3.3</v>
      </c>
      <c r="AB7" s="47">
        <f t="shared" si="11"/>
        <v>5.0999999999999996</v>
      </c>
      <c r="AD7" s="18"/>
      <c r="AE7" s="43">
        <v>6</v>
      </c>
      <c r="AF7" s="43"/>
      <c r="AG7" s="43"/>
      <c r="AH7" s="43">
        <v>7</v>
      </c>
      <c r="AI7" s="43"/>
      <c r="AJ7" s="43"/>
      <c r="AK7" s="43">
        <v>8</v>
      </c>
      <c r="AL7" s="43"/>
      <c r="AM7" s="43"/>
      <c r="AN7" s="43">
        <v>9</v>
      </c>
      <c r="AO7" s="43"/>
      <c r="AP7" s="43"/>
      <c r="AQ7" s="43">
        <v>10</v>
      </c>
      <c r="AR7" s="43"/>
    </row>
    <row r="8" spans="1:44" x14ac:dyDescent="0.25">
      <c r="M8" s="55"/>
      <c r="N8" s="2" t="str">
        <f>IF($J$11&gt;=6,6,"")</f>
        <v/>
      </c>
      <c r="O8" s="13" t="str">
        <f>IF($J$11&gt;=6,VLOOKUP(N8,$X$3:$Z$17,3,FALSE),"")</f>
        <v/>
      </c>
      <c r="Q8" s="59">
        <f>Training_Dateneingabe!A9</f>
        <v>2.8</v>
      </c>
      <c r="R8" s="70">
        <f>Training_Dateneingabe!B9</f>
        <v>6.3</v>
      </c>
      <c r="S8" s="4" t="str">
        <f>Training_Dateneingabe!C9</f>
        <v>virginica</v>
      </c>
      <c r="T8" s="13" t="e">
        <f t="shared" si="5"/>
        <v>#N/A</v>
      </c>
      <c r="U8" s="13">
        <f t="shared" si="6"/>
        <v>6.3</v>
      </c>
      <c r="V8" s="13" t="e">
        <f t="shared" si="7"/>
        <v>#N/A</v>
      </c>
      <c r="X8" s="35">
        <f t="shared" si="8"/>
        <v>12</v>
      </c>
      <c r="Y8" s="22">
        <f t="shared" si="0"/>
        <v>1.4560220578561029</v>
      </c>
      <c r="Z8" s="16" t="str">
        <f t="shared" si="9"/>
        <v>virginica</v>
      </c>
      <c r="AA8" s="47">
        <f t="shared" si="10"/>
        <v>2.8</v>
      </c>
      <c r="AB8" s="47">
        <f t="shared" si="11"/>
        <v>6.3</v>
      </c>
      <c r="AD8" s="18"/>
      <c r="AE8" s="20" t="str">
        <f>IF($J$11&gt;=6,$J$3,"")</f>
        <v/>
      </c>
      <c r="AF8" s="20" t="str">
        <f>IF($J$11&gt;=6,$J$4,"")</f>
        <v/>
      </c>
      <c r="AG8" s="19"/>
      <c r="AH8" s="20" t="str">
        <f>IF($J$11&gt;=7,$J$3,"")</f>
        <v/>
      </c>
      <c r="AI8" s="20" t="str">
        <f>IF($J$11&gt;=7,$J$4,"")</f>
        <v/>
      </c>
      <c r="AJ8" s="19"/>
      <c r="AK8" s="20" t="str">
        <f>IF($J$11&gt;=8,$J$3,"")</f>
        <v/>
      </c>
      <c r="AL8" s="20" t="str">
        <f>IF($J$11&gt;=8,$J$4,"")</f>
        <v/>
      </c>
      <c r="AM8" s="19"/>
      <c r="AN8" s="20" t="str">
        <f>IF($J$11&gt;=9,$J$3,"")</f>
        <v/>
      </c>
      <c r="AO8" s="20" t="str">
        <f>IF($J$11&gt;=9,$J$4,"")</f>
        <v/>
      </c>
      <c r="AP8" s="19"/>
      <c r="AQ8" s="20" t="str">
        <f>IF($J$11&gt;=10,$J$3,"")</f>
        <v/>
      </c>
      <c r="AR8" s="20" t="str">
        <f>IF($J$11&gt;=10,$J$4,"")</f>
        <v/>
      </c>
    </row>
    <row r="9" spans="1:44" x14ac:dyDescent="0.25">
      <c r="M9" s="55"/>
      <c r="N9" s="2" t="str">
        <f>IF($J$11&gt;=7,7,"")</f>
        <v/>
      </c>
      <c r="O9" s="13" t="str">
        <f>IF($J$11&gt;=7,VLOOKUP(N9,$X$3:$Z$17,3,FALSE),"")</f>
        <v/>
      </c>
      <c r="Q9" s="59">
        <f>Training_Dateneingabe!A10</f>
        <v>3</v>
      </c>
      <c r="R9" s="70">
        <f>Training_Dateneingabe!B10</f>
        <v>7.2</v>
      </c>
      <c r="S9" s="4" t="str">
        <f>Training_Dateneingabe!C10</f>
        <v>virginica</v>
      </c>
      <c r="T9" s="13" t="e">
        <f t="shared" si="5"/>
        <v>#N/A</v>
      </c>
      <c r="U9" s="13">
        <f t="shared" si="6"/>
        <v>7.2</v>
      </c>
      <c r="V9" s="13" t="e">
        <f t="shared" si="7"/>
        <v>#N/A</v>
      </c>
      <c r="X9" s="35">
        <f t="shared" si="8"/>
        <v>15</v>
      </c>
      <c r="Y9" s="22">
        <f t="shared" si="0"/>
        <v>2.3769729548009422</v>
      </c>
      <c r="Z9" s="16" t="str">
        <f t="shared" si="9"/>
        <v>virginica</v>
      </c>
      <c r="AA9" s="47">
        <f t="shared" si="10"/>
        <v>3</v>
      </c>
      <c r="AB9" s="47">
        <f t="shared" si="11"/>
        <v>7.2</v>
      </c>
      <c r="AD9" s="18"/>
      <c r="AE9" s="20" t="str">
        <f>IF($J$11&gt;=6,VLOOKUP(AE7,$X$3:$AB$17,4,FALSE),"")</f>
        <v/>
      </c>
      <c r="AF9" s="20" t="str">
        <f>IF($J$11&gt;=6,VLOOKUP(AE7,$X$3:$AB$17,5,FALSE),"")</f>
        <v/>
      </c>
      <c r="AG9" s="19"/>
      <c r="AH9" s="20" t="str">
        <f>IF($J$11&gt;=7,VLOOKUP(AH7,$X$3:$AB$17,4,FALSE),"")</f>
        <v/>
      </c>
      <c r="AI9" s="20" t="str">
        <f>IF($J$11&gt;=7,VLOOKUP(AH7,$X$3:$AB$17,5,FALSE),"")</f>
        <v/>
      </c>
      <c r="AJ9" s="19"/>
      <c r="AK9" s="20" t="str">
        <f>IF($J$11&gt;=8,VLOOKUP(AK7,$X$3:$AB$17,4,FALSE),"")</f>
        <v/>
      </c>
      <c r="AL9" s="20" t="str">
        <f>IF($J$11&gt;=8,VLOOKUP(AK7,$X$3:$AB$17,5,FALSE),"")</f>
        <v/>
      </c>
      <c r="AM9" s="19"/>
      <c r="AN9" s="20" t="str">
        <f>IF($J$11&gt;=9,VLOOKUP(AN7,$X$3:$AB$17,4,FALSE),"")</f>
        <v/>
      </c>
      <c r="AO9" s="20" t="str">
        <f>IF($J$11&gt;=9,VLOOKUP(AN7,$X$3:$AB$17,5,FALSE),"")</f>
        <v/>
      </c>
      <c r="AP9" s="19"/>
      <c r="AQ9" s="20" t="str">
        <f>IF($J$11&gt;=10,VLOOKUP(AQ7,$X$3:$AB$17,4,FALSE),"")</f>
        <v/>
      </c>
      <c r="AR9" s="20" t="str">
        <f>IF($J$11&gt;=10,VLOOKUP(AQ7,$X$3:$AB$17,5,FALSE),"")</f>
        <v/>
      </c>
    </row>
    <row r="10" spans="1:44" ht="15.75" thickBot="1" x14ac:dyDescent="0.3">
      <c r="M10" s="55"/>
      <c r="N10" s="2" t="str">
        <f>IF($J$11&gt;=8,8,"")</f>
        <v/>
      </c>
      <c r="O10" s="13" t="str">
        <f>IF($J$11&gt;=8,VLOOKUP(N10,$X$3:$Z$17,3,FALSE),"")</f>
        <v/>
      </c>
      <c r="Q10" s="59">
        <f>Training_Dateneingabe!A11</f>
        <v>2.2999999999999998</v>
      </c>
      <c r="R10" s="70">
        <f>Training_Dateneingabe!B11</f>
        <v>5</v>
      </c>
      <c r="S10" s="4" t="str">
        <f>Training_Dateneingabe!C11</f>
        <v>versicolor</v>
      </c>
      <c r="T10" s="13" t="e">
        <f t="shared" si="5"/>
        <v>#N/A</v>
      </c>
      <c r="U10" s="13" t="e">
        <f t="shared" si="6"/>
        <v>#N/A</v>
      </c>
      <c r="V10" s="13">
        <f t="shared" si="7"/>
        <v>5</v>
      </c>
      <c r="X10" s="35">
        <f t="shared" si="8"/>
        <v>1</v>
      </c>
      <c r="Y10" s="22">
        <f t="shared" si="0"/>
        <v>0.14142145623730931</v>
      </c>
      <c r="Z10" s="16" t="str">
        <f t="shared" si="9"/>
        <v>versicolor</v>
      </c>
      <c r="AA10" s="47">
        <f t="shared" si="10"/>
        <v>2.2999999999999998</v>
      </c>
      <c r="AB10" s="47">
        <f t="shared" si="11"/>
        <v>5</v>
      </c>
    </row>
    <row r="11" spans="1:44" ht="15.75" thickBot="1" x14ac:dyDescent="0.3">
      <c r="I11" s="38" t="s">
        <v>3</v>
      </c>
      <c r="J11" s="66">
        <v>4</v>
      </c>
      <c r="K11" s="42"/>
      <c r="L11" s="42"/>
      <c r="M11" s="55"/>
      <c r="N11" s="2" t="str">
        <f>IF($J$11&gt;=9,9,"")</f>
        <v/>
      </c>
      <c r="O11" s="13" t="str">
        <f>IF($J$11&gt;=9,VLOOKUP(N11,$X$3:$Z$17,3,FALSE),"")</f>
        <v/>
      </c>
      <c r="Q11" s="59">
        <f>Training_Dateneingabe!A12</f>
        <v>2.7</v>
      </c>
      <c r="R11" s="70">
        <f>Training_Dateneingabe!B12</f>
        <v>5.8</v>
      </c>
      <c r="S11" s="4" t="str">
        <f>Training_Dateneingabe!C12</f>
        <v>versicolor</v>
      </c>
      <c r="T11" s="13" t="e">
        <f t="shared" si="5"/>
        <v>#N/A</v>
      </c>
      <c r="U11" s="13" t="e">
        <f t="shared" si="6"/>
        <v>#N/A</v>
      </c>
      <c r="V11" s="13">
        <f t="shared" si="7"/>
        <v>5.8</v>
      </c>
      <c r="X11" s="35">
        <f t="shared" si="8"/>
        <v>8</v>
      </c>
      <c r="Y11" s="22">
        <f t="shared" si="0"/>
        <v>0.94868340805051343</v>
      </c>
      <c r="Z11" s="16" t="str">
        <f t="shared" si="9"/>
        <v>versicolor</v>
      </c>
      <c r="AA11" s="47">
        <f t="shared" si="10"/>
        <v>2.7</v>
      </c>
      <c r="AB11" s="47">
        <f t="shared" si="11"/>
        <v>5.8</v>
      </c>
    </row>
    <row r="12" spans="1:44" x14ac:dyDescent="0.25">
      <c r="I12" s="144" t="s">
        <v>43</v>
      </c>
      <c r="J12" s="144"/>
      <c r="K12" s="21"/>
      <c r="L12" s="21"/>
      <c r="M12" s="55"/>
      <c r="N12" s="2" t="str">
        <f>IF($J$11&gt;=10,10,"")</f>
        <v/>
      </c>
      <c r="O12" s="13" t="str">
        <f>IF($J$11&gt;=10,VLOOKUP(N12,$X$3:$Z$17,3,FALSE),"")</f>
        <v/>
      </c>
      <c r="Q12" s="59">
        <f>Training_Dateneingabe!A13</f>
        <v>3</v>
      </c>
      <c r="R12" s="70">
        <f>Training_Dateneingabe!B13</f>
        <v>5.7</v>
      </c>
      <c r="S12" s="4" t="str">
        <f>Training_Dateneingabe!C13</f>
        <v>versicolor</v>
      </c>
      <c r="T12" s="13" t="e">
        <f t="shared" si="5"/>
        <v>#N/A</v>
      </c>
      <c r="U12" s="13" t="e">
        <f t="shared" si="6"/>
        <v>#N/A</v>
      </c>
      <c r="V12" s="13">
        <f t="shared" si="7"/>
        <v>5.7</v>
      </c>
      <c r="X12" s="35">
        <f t="shared" si="8"/>
        <v>9</v>
      </c>
      <c r="Y12" s="22">
        <f t="shared" si="0"/>
        <v>1.0000001199999999</v>
      </c>
      <c r="Z12" s="16" t="str">
        <f t="shared" si="9"/>
        <v>versicolor</v>
      </c>
      <c r="AA12" s="47">
        <f t="shared" si="10"/>
        <v>3</v>
      </c>
      <c r="AB12" s="47">
        <f t="shared" si="11"/>
        <v>5.7</v>
      </c>
    </row>
    <row r="13" spans="1:44" x14ac:dyDescent="0.25">
      <c r="I13" s="144"/>
      <c r="J13" s="144"/>
      <c r="K13" s="21"/>
      <c r="L13" s="21"/>
      <c r="M13" s="55"/>
      <c r="N13" s="2"/>
      <c r="O13" s="13"/>
      <c r="Q13" s="59">
        <f>Training_Dateneingabe!A14</f>
        <v>2.7</v>
      </c>
      <c r="R13" s="70">
        <f>Training_Dateneingabe!B14</f>
        <v>6.4</v>
      </c>
      <c r="S13" s="4" t="str">
        <f>Training_Dateneingabe!C14</f>
        <v>virginica</v>
      </c>
      <c r="T13" s="13" t="e">
        <f t="shared" si="5"/>
        <v>#N/A</v>
      </c>
      <c r="U13" s="13">
        <f t="shared" si="6"/>
        <v>6.4</v>
      </c>
      <c r="V13" s="13" t="e">
        <f t="shared" si="7"/>
        <v>#N/A</v>
      </c>
      <c r="X13" s="35">
        <f t="shared" si="8"/>
        <v>13</v>
      </c>
      <c r="Y13" s="22">
        <f t="shared" si="0"/>
        <v>1.5297059840778358</v>
      </c>
      <c r="Z13" s="16" t="str">
        <f t="shared" si="9"/>
        <v>virginica</v>
      </c>
      <c r="AA13" s="47">
        <f t="shared" si="10"/>
        <v>2.7</v>
      </c>
      <c r="AB13" s="47">
        <f t="shared" si="11"/>
        <v>6.4</v>
      </c>
    </row>
    <row r="14" spans="1:44" x14ac:dyDescent="0.25">
      <c r="M14" s="55"/>
      <c r="N14" s="2"/>
      <c r="Q14" s="59">
        <f>Training_Dateneingabe!A15</f>
        <v>3.2</v>
      </c>
      <c r="R14" s="70">
        <f>Training_Dateneingabe!B15</f>
        <v>4.5999999999999996</v>
      </c>
      <c r="S14" s="4" t="str">
        <f>Training_Dateneingabe!C15</f>
        <v>setosa</v>
      </c>
      <c r="T14" s="13">
        <f t="shared" si="5"/>
        <v>4.5999999999999996</v>
      </c>
      <c r="U14" s="13" t="e">
        <f t="shared" si="6"/>
        <v>#N/A</v>
      </c>
      <c r="V14" s="13" t="e">
        <f t="shared" si="7"/>
        <v>#N/A</v>
      </c>
      <c r="X14" s="35">
        <f t="shared" si="8"/>
        <v>6</v>
      </c>
      <c r="Y14" s="22">
        <f t="shared" si="0"/>
        <v>0.8544005145317537</v>
      </c>
      <c r="Z14" s="16" t="str">
        <f t="shared" si="9"/>
        <v>setosa</v>
      </c>
      <c r="AA14" s="47">
        <f t="shared" si="10"/>
        <v>3.2</v>
      </c>
      <c r="AB14" s="47">
        <f t="shared" si="11"/>
        <v>4.5999999999999996</v>
      </c>
    </row>
    <row r="15" spans="1:44" ht="18.75" x14ac:dyDescent="0.3">
      <c r="I15" s="129" t="s">
        <v>30</v>
      </c>
      <c r="J15" s="129"/>
      <c r="K15" s="129"/>
      <c r="M15" s="55"/>
      <c r="Q15" s="59">
        <f>Training_Dateneingabe!A16</f>
        <v>2.5</v>
      </c>
      <c r="R15" s="70">
        <f>Training_Dateneingabe!B16</f>
        <v>5.6</v>
      </c>
      <c r="S15" s="4" t="str">
        <f>Training_Dateneingabe!C16</f>
        <v>versicolor</v>
      </c>
      <c r="T15" s="13" t="e">
        <f t="shared" si="5"/>
        <v>#N/A</v>
      </c>
      <c r="U15" s="13" t="e">
        <f t="shared" si="6"/>
        <v>#N/A</v>
      </c>
      <c r="V15" s="13">
        <f t="shared" si="7"/>
        <v>5.6</v>
      </c>
      <c r="X15" s="35">
        <f t="shared" si="8"/>
        <v>5</v>
      </c>
      <c r="Y15" s="22">
        <f t="shared" si="0"/>
        <v>0.70710693118654677</v>
      </c>
      <c r="Z15" s="16" t="str">
        <f t="shared" si="9"/>
        <v>versicolor</v>
      </c>
      <c r="AA15" s="47">
        <f t="shared" si="10"/>
        <v>2.5</v>
      </c>
      <c r="AB15" s="47">
        <f t="shared" si="11"/>
        <v>5.6</v>
      </c>
    </row>
    <row r="16" spans="1:44" ht="18.75" customHeight="1" x14ac:dyDescent="0.25">
      <c r="I16" s="145" t="s">
        <v>38</v>
      </c>
      <c r="J16" s="145"/>
      <c r="K16" s="145"/>
      <c r="L16" s="145"/>
      <c r="M16" s="55"/>
      <c r="Q16" s="59">
        <f>Training_Dateneingabe!A17</f>
        <v>3.8</v>
      </c>
      <c r="R16" s="70">
        <f>Training_Dateneingabe!B17</f>
        <v>5.0999999999999996</v>
      </c>
      <c r="S16" s="4" t="str">
        <f>Training_Dateneingabe!C17</f>
        <v>setosa</v>
      </c>
      <c r="T16" s="13">
        <f t="shared" si="5"/>
        <v>5.0999999999999996</v>
      </c>
      <c r="U16" s="13" t="e">
        <f t="shared" si="6"/>
        <v>#N/A</v>
      </c>
      <c r="V16" s="13" t="e">
        <f t="shared" si="7"/>
        <v>#N/A</v>
      </c>
      <c r="X16" s="35">
        <f t="shared" si="8"/>
        <v>11</v>
      </c>
      <c r="Y16" s="22">
        <f t="shared" si="0"/>
        <v>1.4142137223730948</v>
      </c>
      <c r="Z16" s="16" t="str">
        <f t="shared" si="9"/>
        <v>setosa</v>
      </c>
      <c r="AA16" s="47">
        <f t="shared" si="10"/>
        <v>3.8</v>
      </c>
      <c r="AB16" s="47">
        <f t="shared" si="11"/>
        <v>5.0999999999999996</v>
      </c>
    </row>
    <row r="17" spans="1:28" ht="15" customHeight="1" x14ac:dyDescent="0.25">
      <c r="I17" s="145"/>
      <c r="J17" s="145"/>
      <c r="K17" s="145"/>
      <c r="L17" s="145"/>
      <c r="M17" s="55"/>
      <c r="Q17" s="59">
        <f>Training_Dateneingabe!A18</f>
        <v>2.5</v>
      </c>
      <c r="R17" s="70">
        <f>Training_Dateneingabe!B18</f>
        <v>5.0999999999999996</v>
      </c>
      <c r="S17" s="4" t="str">
        <f>Training_Dateneingabe!C18</f>
        <v>versicolor</v>
      </c>
      <c r="T17" s="13" t="e">
        <f t="shared" si="5"/>
        <v>#N/A</v>
      </c>
      <c r="U17" s="13" t="e">
        <f t="shared" si="6"/>
        <v>#N/A</v>
      </c>
      <c r="V17" s="13">
        <f t="shared" si="7"/>
        <v>5.0999999999999996</v>
      </c>
      <c r="X17" s="35">
        <f t="shared" si="8"/>
        <v>2</v>
      </c>
      <c r="Y17" s="22">
        <f t="shared" si="0"/>
        <v>0.22360696774997837</v>
      </c>
      <c r="Z17" s="16" t="str">
        <f t="shared" si="9"/>
        <v>versicolor</v>
      </c>
      <c r="AA17" s="47">
        <f t="shared" si="10"/>
        <v>2.5</v>
      </c>
      <c r="AB17" s="47">
        <f t="shared" si="11"/>
        <v>5.0999999999999996</v>
      </c>
    </row>
    <row r="18" spans="1:28" x14ac:dyDescent="0.25">
      <c r="I18" s="146"/>
      <c r="J18" s="146"/>
      <c r="K18" s="146"/>
      <c r="L18" s="146"/>
      <c r="M18" s="55"/>
    </row>
    <row r="19" spans="1:28" ht="30" customHeight="1" x14ac:dyDescent="0.55000000000000004">
      <c r="A19" s="85">
        <v>1</v>
      </c>
      <c r="I19" s="48"/>
      <c r="J19" s="60" t="str">
        <f>"Berechnet:                           " &amp;Training_Dateneingabe!E4</f>
        <v>Berechnet:                           setosa</v>
      </c>
      <c r="K19" s="60" t="str">
        <f>"Berechnet:                           " &amp;Training_Dateneingabe!E5</f>
        <v>Berechnet:                           virginica</v>
      </c>
      <c r="L19" s="60" t="str">
        <f>"Berechnet:                           " &amp;Training_Dateneingabe!E6</f>
        <v>Berechnet:                           versicolor</v>
      </c>
      <c r="M19" s="55"/>
    </row>
    <row r="20" spans="1:28" ht="30" customHeight="1" x14ac:dyDescent="0.55000000000000004">
      <c r="A20" s="85">
        <v>1</v>
      </c>
      <c r="I20" s="61" t="str">
        <f>"Erwartet:                      "   &amp;Training_Dateneingabe!E4</f>
        <v>Erwartet:                      setosa</v>
      </c>
      <c r="J20" s="84">
        <v>0</v>
      </c>
      <c r="K20" s="84">
        <v>0</v>
      </c>
      <c r="L20" s="84">
        <v>0</v>
      </c>
      <c r="M20" s="55"/>
    </row>
    <row r="21" spans="1:28" ht="30" customHeight="1" x14ac:dyDescent="0.55000000000000004">
      <c r="A21" s="85">
        <v>1</v>
      </c>
      <c r="I21" s="61" t="str">
        <f>"Erwartet:                      "   &amp;Training_Dateneingabe!E5</f>
        <v>Erwartet:                      virginica</v>
      </c>
      <c r="J21" s="84">
        <v>0</v>
      </c>
      <c r="K21" s="84">
        <v>0</v>
      </c>
      <c r="L21" s="84">
        <v>0</v>
      </c>
      <c r="M21" s="55"/>
    </row>
    <row r="22" spans="1:28" ht="30" customHeight="1" x14ac:dyDescent="0.55000000000000004">
      <c r="A22" s="85">
        <v>1</v>
      </c>
      <c r="I22" s="61" t="str">
        <f>"Erwartet:                      "   &amp;Training_Dateneingabe!E6</f>
        <v>Erwartet:                      versicolor</v>
      </c>
      <c r="J22" s="84">
        <v>0</v>
      </c>
      <c r="K22" s="84">
        <v>0</v>
      </c>
      <c r="L22" s="84">
        <v>0</v>
      </c>
      <c r="M22" s="55"/>
    </row>
    <row r="23" spans="1:28" x14ac:dyDescent="0.25">
      <c r="M23" s="55"/>
    </row>
    <row r="24" spans="1:28" ht="15.75" thickBot="1" x14ac:dyDescent="0.3">
      <c r="M24" s="55"/>
    </row>
    <row r="25" spans="1:28" ht="16.5" thickBot="1" x14ac:dyDescent="0.3">
      <c r="I25" s="140" t="s">
        <v>31</v>
      </c>
      <c r="J25" s="141"/>
      <c r="K25" s="142" t="e">
        <f>SUM(J20,K21,L22)/SUM(J20:L22)</f>
        <v>#DIV/0!</v>
      </c>
      <c r="L25" s="143"/>
      <c r="M25" s="55"/>
    </row>
    <row r="26" spans="1:28" x14ac:dyDescent="0.25">
      <c r="M26" s="55"/>
    </row>
    <row r="27" spans="1:28" x14ac:dyDescent="0.25">
      <c r="M27" s="55"/>
    </row>
    <row r="28" spans="1:28" x14ac:dyDescent="0.25">
      <c r="A28" s="83" t="s">
        <v>47</v>
      </c>
      <c r="B28" s="83"/>
      <c r="C28" s="83"/>
      <c r="I28" s="49"/>
      <c r="J28" s="49"/>
      <c r="K28" s="49"/>
      <c r="L28" s="49"/>
      <c r="M28" s="55"/>
    </row>
    <row r="29" spans="1:28" x14ac:dyDescent="0.25">
      <c r="A29" s="95" t="s">
        <v>48</v>
      </c>
      <c r="B29" s="95"/>
      <c r="C29" s="95"/>
      <c r="I29" s="49"/>
      <c r="J29" s="49"/>
      <c r="K29" s="49"/>
      <c r="L29" s="49"/>
      <c r="M29" s="55"/>
    </row>
    <row r="30" spans="1:28" x14ac:dyDescent="0.25">
      <c r="A30" s="95" t="s">
        <v>49</v>
      </c>
      <c r="B30" s="95"/>
      <c r="C30" s="95"/>
      <c r="I30" s="49"/>
      <c r="J30" s="49"/>
      <c r="K30" s="49"/>
      <c r="L30" s="49"/>
      <c r="M30" s="55"/>
    </row>
    <row r="31" spans="1:28" x14ac:dyDescent="0.25">
      <c r="A31" s="95"/>
      <c r="B31" s="95"/>
      <c r="C31" s="95"/>
      <c r="I31" s="49"/>
      <c r="J31" s="49"/>
      <c r="K31" s="49"/>
      <c r="L31" s="49"/>
      <c r="M31" s="55"/>
    </row>
    <row r="32" spans="1:28" x14ac:dyDescent="0.25">
      <c r="A32" s="95"/>
      <c r="B32" s="95"/>
      <c r="C32" s="95"/>
      <c r="M32" s="55"/>
    </row>
    <row r="33" spans="1:13" x14ac:dyDescent="0.25">
      <c r="A33" s="95"/>
      <c r="B33" s="95"/>
      <c r="C33" s="95"/>
      <c r="M33" s="55"/>
    </row>
    <row r="34" spans="1:13" x14ac:dyDescent="0.25">
      <c r="A34" s="95"/>
      <c r="B34" s="95"/>
      <c r="C34" s="95"/>
      <c r="M34" s="55"/>
    </row>
    <row r="35" spans="1:13" x14ac:dyDescent="0.25">
      <c r="M35" s="55"/>
    </row>
    <row r="36" spans="1:13" x14ac:dyDescent="0.25">
      <c r="M36" s="55"/>
    </row>
    <row r="37" spans="1:13" x14ac:dyDescent="0.25">
      <c r="M37" s="55"/>
    </row>
    <row r="38" spans="1:13" x14ac:dyDescent="0.25">
      <c r="M38" s="55"/>
    </row>
  </sheetData>
  <sheetProtection algorithmName="SHA-512" hashValue="ZxRUUhkScwscuStRISbsA8ZUuj+hY+3zXRNUF6hbN2Vwl00jDw+sKpNt7yzfXm187TrQEx3X7YokrI3qO4pvug==" saltValue="Rzfk5Tc/4ghnUr39Lk0eoA==" spinCount="100000" sheet="1" objects="1" scenarios="1" selectLockedCells="1"/>
  <mergeCells count="15">
    <mergeCell ref="A31:C34"/>
    <mergeCell ref="A29:C29"/>
    <mergeCell ref="A30:C30"/>
    <mergeCell ref="O1:O2"/>
    <mergeCell ref="L3:L4"/>
    <mergeCell ref="L5:L6"/>
    <mergeCell ref="A1:C1"/>
    <mergeCell ref="I1:J2"/>
    <mergeCell ref="I5:I6"/>
    <mergeCell ref="J5:J6"/>
    <mergeCell ref="I25:J25"/>
    <mergeCell ref="K25:L25"/>
    <mergeCell ref="I12:J13"/>
    <mergeCell ref="I15:K15"/>
    <mergeCell ref="I16:L18"/>
  </mergeCells>
  <conditionalFormatting sqref="A3:C7">
    <cfRule type="expression" dxfId="0" priority="1">
      <formula>$G3=TRUE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043D7FDB2A15438EC77E6055000C4D" ma:contentTypeVersion="14" ma:contentTypeDescription="Ein neues Dokument erstellen." ma:contentTypeScope="" ma:versionID="ec7011be7b19fdbd98d79bd9ae4a88c4">
  <xsd:schema xmlns:xsd="http://www.w3.org/2001/XMLSchema" xmlns:xs="http://www.w3.org/2001/XMLSchema" xmlns:p="http://schemas.microsoft.com/office/2006/metadata/properties" xmlns:ns3="cb1c004d-c3b0-41da-963d-d6c7da76e67a" xmlns:ns4="c5079ffd-5aad-43ee-a22c-0fe93eab9b53" targetNamespace="http://schemas.microsoft.com/office/2006/metadata/properties" ma:root="true" ma:fieldsID="fb296e9ca3adad9b860344256962d580" ns3:_="" ns4:_="">
    <xsd:import namespace="cb1c004d-c3b0-41da-963d-d6c7da76e67a"/>
    <xsd:import namespace="c5079ffd-5aad-43ee-a22c-0fe93eab9b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c004d-c3b0-41da-963d-d6c7da76e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79ffd-5aad-43ee-a22c-0fe93eab9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FD98C-6438-4455-9FC9-8BC039304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c004d-c3b0-41da-963d-d6c7da76e67a"/>
    <ds:schemaRef ds:uri="c5079ffd-5aad-43ee-a22c-0fe93eab9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A188F-FFFC-4FA7-AFD0-E1B45FE690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1D31E-DC7D-4F04-B7CC-F9EA9AFBFA45}">
  <ds:schemaRefs>
    <ds:schemaRef ds:uri="http://schemas.microsoft.com/office/infopath/2007/PartnerControls"/>
    <ds:schemaRef ds:uri="cb1c004d-c3b0-41da-963d-d6c7da76e67a"/>
    <ds:schemaRef ds:uri="http://purl.org/dc/elements/1.1/"/>
    <ds:schemaRef ds:uri="http://schemas.microsoft.com/office/2006/documentManagement/types"/>
    <ds:schemaRef ds:uri="c5079ffd-5aad-43ee-a22c-0fe93eab9b53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Klassifikation</vt:lpstr>
      <vt:lpstr>Training_Dateneingabe</vt:lpstr>
      <vt:lpstr>Bestimmung k_Allgemein</vt:lpstr>
      <vt:lpstr>Bestimmung k_Leave One Out</vt:lpstr>
      <vt:lpstr>Testen_Konfusionsmatrix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Fuchs</dc:creator>
  <cp:lastModifiedBy>Tobias Fuchs</cp:lastModifiedBy>
  <dcterms:created xsi:type="dcterms:W3CDTF">2023-01-04T09:10:05Z</dcterms:created>
  <dcterms:modified xsi:type="dcterms:W3CDTF">2023-03-31T07:26:30Z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0x01010038043D7FDB2A15438EC77E6055000C4D</vt:lpwstr>
  </property>
</Properties>
</file>