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chs\Documents\Git_Projekte_Uni_Passau_Neu\vortraege_fortbildungen\Material_k_naechste_Nachbarn\KNN_TK_Material\Version_MS_Excel\"/>
    </mc:Choice>
  </mc:AlternateContent>
  <xr:revisionPtr revIDLastSave="0" documentId="13_ncr:1_{0613F52A-D938-4887-9C71-B343BDE690BE}" xr6:coauthVersionLast="47" xr6:coauthVersionMax="47" xr10:uidLastSave="{00000000-0000-0000-0000-000000000000}"/>
  <bookViews>
    <workbookView xWindow="-120" yWindow="-120" windowWidth="29040" windowHeight="15720" xr2:uid="{DE780C9A-993E-4103-90A5-D5D462B44590}"/>
  </bookViews>
  <sheets>
    <sheet name="Regression_Hauspre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1" l="1"/>
  <c r="AJ6" i="1"/>
  <c r="AG6" i="1"/>
  <c r="AD6" i="1"/>
  <c r="AA11" i="1"/>
  <c r="AD11" i="1"/>
  <c r="AG11" i="1"/>
  <c r="AJ11" i="1"/>
  <c r="AM11" i="1"/>
  <c r="AA6" i="1"/>
  <c r="G8" i="1"/>
  <c r="G7" i="1"/>
  <c r="G6" i="1"/>
  <c r="G5" i="1"/>
  <c r="G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4" i="1"/>
  <c r="T47" i="1" l="1"/>
  <c r="T69" i="1"/>
  <c r="T57" i="1"/>
  <c r="T45" i="1"/>
  <c r="T33" i="1"/>
  <c r="T55" i="1"/>
  <c r="T20" i="1"/>
  <c r="T5" i="1"/>
  <c r="T68" i="1"/>
  <c r="T73" i="1"/>
  <c r="T61" i="1"/>
  <c r="T37" i="1"/>
  <c r="T25" i="1"/>
  <c r="T50" i="1"/>
  <c r="T60" i="1"/>
  <c r="T12" i="1"/>
  <c r="T49" i="1"/>
  <c r="T59" i="1"/>
  <c r="T35" i="1"/>
  <c r="T23" i="1"/>
  <c r="T21" i="1"/>
  <c r="T56" i="1"/>
  <c r="T44" i="1"/>
  <c r="T67" i="1"/>
  <c r="T31" i="1"/>
  <c r="T19" i="1"/>
  <c r="T46" i="1"/>
  <c r="T43" i="1"/>
  <c r="T77" i="1"/>
  <c r="T53" i="1"/>
  <c r="T58" i="1"/>
  <c r="T15" i="1"/>
  <c r="T65" i="1"/>
  <c r="T6" i="1"/>
  <c r="T29" i="1"/>
  <c r="T74" i="1"/>
  <c r="T32" i="1"/>
  <c r="T48" i="1"/>
  <c r="T62" i="1"/>
  <c r="T4" i="1"/>
  <c r="T26" i="1"/>
  <c r="T41" i="1"/>
  <c r="T38" i="1"/>
  <c r="T72" i="1"/>
  <c r="T71" i="1"/>
  <c r="T70" i="1"/>
  <c r="T7" i="1"/>
  <c r="T78" i="1"/>
  <c r="T66" i="1"/>
  <c r="T54" i="1"/>
  <c r="T42" i="1"/>
  <c r="T30" i="1"/>
  <c r="T18" i="1"/>
  <c r="T17" i="1"/>
  <c r="T76" i="1"/>
  <c r="T64" i="1"/>
  <c r="T52" i="1"/>
  <c r="T40" i="1"/>
  <c r="T28" i="1"/>
  <c r="T16" i="1"/>
  <c r="T75" i="1"/>
  <c r="T63" i="1"/>
  <c r="T51" i="1"/>
  <c r="T39" i="1"/>
  <c r="T27" i="1"/>
  <c r="T13" i="1"/>
  <c r="T10" i="1"/>
  <c r="T36" i="1"/>
  <c r="T24" i="1"/>
  <c r="T9" i="1"/>
  <c r="T34" i="1"/>
  <c r="T22" i="1"/>
  <c r="T14" i="1"/>
  <c r="T11" i="1"/>
  <c r="T8" i="1"/>
  <c r="AM7" i="1" l="1"/>
  <c r="AG12" i="1"/>
  <c r="AJ7" i="1"/>
  <c r="AA12" i="1"/>
  <c r="AJ12" i="1"/>
  <c r="AN12" i="1"/>
  <c r="AH7" i="1"/>
  <c r="AD12" i="1"/>
  <c r="AH6" i="1"/>
  <c r="AB11" i="1"/>
  <c r="AK11" i="1"/>
  <c r="AG7" i="1"/>
  <c r="AD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I5" i="1" s="1"/>
  <c r="W33" i="1"/>
  <c r="I4" i="1" s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AH12" i="1" s="1"/>
  <c r="W64" i="1"/>
  <c r="AK12" i="1" s="1"/>
  <c r="W65" i="1"/>
  <c r="W66" i="1"/>
  <c r="W67" i="1"/>
  <c r="W68" i="1"/>
  <c r="AN11" i="1" s="1"/>
  <c r="W69" i="1"/>
  <c r="W70" i="1"/>
  <c r="W71" i="1"/>
  <c r="W72" i="1"/>
  <c r="AE12" i="1" s="1"/>
  <c r="W73" i="1"/>
  <c r="AN7" i="1" s="1"/>
  <c r="W74" i="1"/>
  <c r="AK7" i="1" s="1"/>
  <c r="W75" i="1"/>
  <c r="W76" i="1"/>
  <c r="AE7" i="1" s="1"/>
  <c r="W77" i="1"/>
  <c r="AB7" i="1" s="1"/>
  <c r="W78" i="1"/>
  <c r="AB12" i="1" s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H8" i="1" s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AM12" i="1" s="1"/>
  <c r="V69" i="1"/>
  <c r="V70" i="1"/>
  <c r="V71" i="1"/>
  <c r="V72" i="1"/>
  <c r="V73" i="1"/>
  <c r="V74" i="1"/>
  <c r="V75" i="1"/>
  <c r="V76" i="1"/>
  <c r="V77" i="1"/>
  <c r="H4" i="1" s="1"/>
  <c r="V78" i="1"/>
  <c r="V4" i="1"/>
  <c r="AE2" i="1"/>
  <c r="AB2" i="1"/>
  <c r="H7" i="1"/>
  <c r="I6" i="1"/>
  <c r="I8" i="1"/>
  <c r="K4" i="1"/>
  <c r="M4" i="1" s="1"/>
  <c r="K5" i="1"/>
  <c r="K6" i="1"/>
  <c r="H5" i="1"/>
  <c r="K7" i="1"/>
  <c r="K8" i="1"/>
  <c r="M7" i="1" l="1"/>
  <c r="AH11" i="1"/>
  <c r="AA7" i="1"/>
  <c r="AE6" i="1"/>
  <c r="AE11" i="1"/>
  <c r="I7" i="1"/>
  <c r="AK6" i="1"/>
  <c r="AB6" i="1"/>
  <c r="AN6" i="1"/>
  <c r="H6" i="1"/>
  <c r="M8" i="1"/>
  <c r="M6" i="1"/>
  <c r="M5" i="1"/>
  <c r="L8" i="1"/>
  <c r="L5" i="1"/>
  <c r="L4" i="1"/>
  <c r="L7" i="1"/>
  <c r="L6" i="1"/>
  <c r="J10" i="1" l="1"/>
  <c r="E6" i="1"/>
</calcChain>
</file>

<file path=xl/sharedStrings.xml><?xml version="1.0" encoding="utf-8"?>
<sst xmlns="http://schemas.openxmlformats.org/spreadsheetml/2006/main" count="29" uniqueCount="22">
  <si>
    <t>Preis</t>
  </si>
  <si>
    <t>Vorhergesagter Preis:</t>
  </si>
  <si>
    <t>y_min</t>
  </si>
  <si>
    <t>y_max</t>
  </si>
  <si>
    <t>x_min</t>
  </si>
  <si>
    <t>x_max</t>
  </si>
  <si>
    <t>Parameter k:</t>
  </si>
  <si>
    <t>Rang</t>
  </si>
  <si>
    <t>Abstand</t>
  </si>
  <si>
    <t>Senkrechter Verbinder:</t>
  </si>
  <si>
    <t>Verbinder für k-te Nachbarn:</t>
  </si>
  <si>
    <t>Trainingsdaten:</t>
  </si>
  <si>
    <t>Neuer Datensatz</t>
  </si>
  <si>
    <t>Bestimmung der k nächsten Nachbarn</t>
  </si>
  <si>
    <t>Rang k</t>
  </si>
  <si>
    <t>Durchschnittlicher Preis der Nachbarn (=Vorhersage):</t>
  </si>
  <si>
    <t>Gewünschte Fläche in m²:</t>
  </si>
  <si>
    <t>Fläche in m²</t>
  </si>
  <si>
    <t>Hinweis:                                                                                                                                                                                                                                                                                                                                                                                                                                                                                                                                       Unterstützt nur k bis Wert 10</t>
  </si>
  <si>
    <t>Das Material wurde erstellt von:</t>
  </si>
  <si>
    <t>Tobias Fuchs, Wolfgang Pfeffer</t>
  </si>
  <si>
    <t>Didaktik der Informatik, Uni Passau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</si>
</sst>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7" xfId="0" applyFont="1" applyFill="1" applyBorder="1"/>
    <xf numFmtId="164" fontId="1" fillId="5" borderId="8" xfId="0" applyNumberFormat="1" applyFont="1" applyFill="1" applyBorder="1"/>
    <xf numFmtId="0" fontId="3" fillId="3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165" fontId="0" fillId="2" borderId="1" xfId="0" applyNumberFormat="1" applyFill="1" applyBorder="1"/>
    <xf numFmtId="0" fontId="3" fillId="2" borderId="7" xfId="0" applyFont="1" applyFill="1" applyBorder="1"/>
    <xf numFmtId="0" fontId="3" fillId="6" borderId="19" xfId="0" applyFont="1" applyFill="1" applyBorder="1" applyAlignment="1" applyProtection="1">
      <alignment horizontal="center"/>
      <protection locked="0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Hauskauf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Regression_Hauspreis!$A$4:$A$78</c:f>
              <c:numCache>
                <c:formatCode>General</c:formatCode>
                <c:ptCount val="75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68</c:v>
                </c:pt>
                <c:pt idx="4">
                  <c:v>76</c:v>
                </c:pt>
                <c:pt idx="5">
                  <c:v>78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94</c:v>
                </c:pt>
                <c:pt idx="13">
                  <c:v>101</c:v>
                </c:pt>
                <c:pt idx="14">
                  <c:v>101</c:v>
                </c:pt>
                <c:pt idx="15">
                  <c:v>107</c:v>
                </c:pt>
                <c:pt idx="16">
                  <c:v>108</c:v>
                </c:pt>
                <c:pt idx="17">
                  <c:v>113</c:v>
                </c:pt>
                <c:pt idx="18">
                  <c:v>113</c:v>
                </c:pt>
                <c:pt idx="19">
                  <c:v>118</c:v>
                </c:pt>
                <c:pt idx="20">
                  <c:v>119</c:v>
                </c:pt>
                <c:pt idx="21">
                  <c:v>119</c:v>
                </c:pt>
                <c:pt idx="22">
                  <c:v>123</c:v>
                </c:pt>
                <c:pt idx="23">
                  <c:v>124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143</c:v>
                </c:pt>
                <c:pt idx="28">
                  <c:v>145</c:v>
                </c:pt>
                <c:pt idx="29">
                  <c:v>148</c:v>
                </c:pt>
                <c:pt idx="30">
                  <c:v>156</c:v>
                </c:pt>
                <c:pt idx="31">
                  <c:v>157</c:v>
                </c:pt>
                <c:pt idx="32">
                  <c:v>160</c:v>
                </c:pt>
                <c:pt idx="33">
                  <c:v>162</c:v>
                </c:pt>
                <c:pt idx="34">
                  <c:v>173</c:v>
                </c:pt>
                <c:pt idx="35">
                  <c:v>173</c:v>
                </c:pt>
                <c:pt idx="36">
                  <c:v>183</c:v>
                </c:pt>
                <c:pt idx="37">
                  <c:v>185</c:v>
                </c:pt>
                <c:pt idx="38">
                  <c:v>185</c:v>
                </c:pt>
                <c:pt idx="39">
                  <c:v>189</c:v>
                </c:pt>
                <c:pt idx="40">
                  <c:v>192</c:v>
                </c:pt>
                <c:pt idx="41">
                  <c:v>195</c:v>
                </c:pt>
                <c:pt idx="42">
                  <c:v>196</c:v>
                </c:pt>
                <c:pt idx="43">
                  <c:v>201</c:v>
                </c:pt>
                <c:pt idx="44">
                  <c:v>201</c:v>
                </c:pt>
                <c:pt idx="45">
                  <c:v>202</c:v>
                </c:pt>
                <c:pt idx="46">
                  <c:v>202</c:v>
                </c:pt>
                <c:pt idx="47">
                  <c:v>207</c:v>
                </c:pt>
                <c:pt idx="48">
                  <c:v>210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229</c:v>
                </c:pt>
                <c:pt idx="53">
                  <c:v>232</c:v>
                </c:pt>
                <c:pt idx="54">
                  <c:v>233</c:v>
                </c:pt>
                <c:pt idx="55">
                  <c:v>232</c:v>
                </c:pt>
                <c:pt idx="56">
                  <c:v>237</c:v>
                </c:pt>
                <c:pt idx="57">
                  <c:v>240</c:v>
                </c:pt>
                <c:pt idx="58">
                  <c:v>252</c:v>
                </c:pt>
                <c:pt idx="59">
                  <c:v>294</c:v>
                </c:pt>
                <c:pt idx="60">
                  <c:v>292</c:v>
                </c:pt>
                <c:pt idx="61">
                  <c:v>247</c:v>
                </c:pt>
                <c:pt idx="62">
                  <c:v>243</c:v>
                </c:pt>
                <c:pt idx="63">
                  <c:v>254</c:v>
                </c:pt>
                <c:pt idx="64">
                  <c:v>268</c:v>
                </c:pt>
                <c:pt idx="65">
                  <c:v>252</c:v>
                </c:pt>
                <c:pt idx="66">
                  <c:v>254</c:v>
                </c:pt>
                <c:pt idx="67">
                  <c:v>260</c:v>
                </c:pt>
                <c:pt idx="68">
                  <c:v>303</c:v>
                </c:pt>
                <c:pt idx="69">
                  <c:v>315</c:v>
                </c:pt>
                <c:pt idx="70">
                  <c:v>320</c:v>
                </c:pt>
                <c:pt idx="71">
                  <c:v>323</c:v>
                </c:pt>
                <c:pt idx="72">
                  <c:v>336</c:v>
                </c:pt>
                <c:pt idx="73">
                  <c:v>349</c:v>
                </c:pt>
                <c:pt idx="74">
                  <c:v>395</c:v>
                </c:pt>
              </c:numCache>
            </c:numRef>
          </c:xVal>
          <c:yVal>
            <c:numRef>
              <c:f>Regression_Hauspreis!$B$4:$B$78</c:f>
              <c:numCache>
                <c:formatCode>[$$-409]#,##0.00</c:formatCode>
                <c:ptCount val="75"/>
                <c:pt idx="0">
                  <c:v>48000</c:v>
                </c:pt>
                <c:pt idx="1">
                  <c:v>120000</c:v>
                </c:pt>
                <c:pt idx="2">
                  <c:v>121725</c:v>
                </c:pt>
                <c:pt idx="3">
                  <c:v>145000</c:v>
                </c:pt>
                <c:pt idx="4">
                  <c:v>156000</c:v>
                </c:pt>
                <c:pt idx="5">
                  <c:v>68000</c:v>
                </c:pt>
                <c:pt idx="6">
                  <c:v>220000</c:v>
                </c:pt>
                <c:pt idx="7">
                  <c:v>155000</c:v>
                </c:pt>
                <c:pt idx="8">
                  <c:v>185000</c:v>
                </c:pt>
                <c:pt idx="9">
                  <c:v>125000</c:v>
                </c:pt>
                <c:pt idx="10">
                  <c:v>132000</c:v>
                </c:pt>
                <c:pt idx="11">
                  <c:v>160000</c:v>
                </c:pt>
                <c:pt idx="12">
                  <c:v>110000</c:v>
                </c:pt>
                <c:pt idx="13">
                  <c:v>140000</c:v>
                </c:pt>
                <c:pt idx="14">
                  <c:v>147308</c:v>
                </c:pt>
                <c:pt idx="15">
                  <c:v>198000</c:v>
                </c:pt>
                <c:pt idx="16">
                  <c:v>191500</c:v>
                </c:pt>
                <c:pt idx="17">
                  <c:v>154000</c:v>
                </c:pt>
                <c:pt idx="18">
                  <c:v>135000</c:v>
                </c:pt>
                <c:pt idx="19">
                  <c:v>220000</c:v>
                </c:pt>
                <c:pt idx="20">
                  <c:v>235000</c:v>
                </c:pt>
                <c:pt idx="21">
                  <c:v>167293</c:v>
                </c:pt>
                <c:pt idx="22">
                  <c:v>175000</c:v>
                </c:pt>
                <c:pt idx="23">
                  <c:v>188335</c:v>
                </c:pt>
                <c:pt idx="24">
                  <c:v>168000</c:v>
                </c:pt>
                <c:pt idx="25">
                  <c:v>213000</c:v>
                </c:pt>
                <c:pt idx="26">
                  <c:v>255000</c:v>
                </c:pt>
                <c:pt idx="27">
                  <c:v>189000</c:v>
                </c:pt>
                <c:pt idx="28">
                  <c:v>225500</c:v>
                </c:pt>
                <c:pt idx="29">
                  <c:v>181000</c:v>
                </c:pt>
                <c:pt idx="30">
                  <c:v>168750</c:v>
                </c:pt>
                <c:pt idx="31">
                  <c:v>235301</c:v>
                </c:pt>
                <c:pt idx="32">
                  <c:v>266000</c:v>
                </c:pt>
                <c:pt idx="33">
                  <c:v>221000</c:v>
                </c:pt>
                <c:pt idx="34">
                  <c:v>215000</c:v>
                </c:pt>
                <c:pt idx="35">
                  <c:v>285000</c:v>
                </c:pt>
                <c:pt idx="36">
                  <c:v>240971</c:v>
                </c:pt>
                <c:pt idx="37">
                  <c:v>225000</c:v>
                </c:pt>
                <c:pt idx="38">
                  <c:v>298000</c:v>
                </c:pt>
                <c:pt idx="39">
                  <c:v>270000</c:v>
                </c:pt>
                <c:pt idx="40">
                  <c:v>285000</c:v>
                </c:pt>
                <c:pt idx="41">
                  <c:v>289000</c:v>
                </c:pt>
                <c:pt idx="42">
                  <c:v>330000</c:v>
                </c:pt>
                <c:pt idx="43">
                  <c:v>290000</c:v>
                </c:pt>
                <c:pt idx="44">
                  <c:v>170250</c:v>
                </c:pt>
                <c:pt idx="45">
                  <c:v>292000</c:v>
                </c:pt>
                <c:pt idx="46">
                  <c:v>257729</c:v>
                </c:pt>
                <c:pt idx="47">
                  <c:v>311328</c:v>
                </c:pt>
                <c:pt idx="48">
                  <c:v>232500</c:v>
                </c:pt>
                <c:pt idx="49">
                  <c:v>335750</c:v>
                </c:pt>
                <c:pt idx="50">
                  <c:v>315537</c:v>
                </c:pt>
                <c:pt idx="51">
                  <c:v>240000</c:v>
                </c:pt>
                <c:pt idx="52">
                  <c:v>312000</c:v>
                </c:pt>
                <c:pt idx="53">
                  <c:v>297000</c:v>
                </c:pt>
                <c:pt idx="54">
                  <c:v>246750</c:v>
                </c:pt>
                <c:pt idx="55">
                  <c:v>276000</c:v>
                </c:pt>
                <c:pt idx="56">
                  <c:v>277980</c:v>
                </c:pt>
                <c:pt idx="57">
                  <c:v>367463</c:v>
                </c:pt>
                <c:pt idx="58">
                  <c:v>266000</c:v>
                </c:pt>
                <c:pt idx="59">
                  <c:v>375000</c:v>
                </c:pt>
                <c:pt idx="60">
                  <c:v>315000</c:v>
                </c:pt>
                <c:pt idx="61">
                  <c:v>239700</c:v>
                </c:pt>
                <c:pt idx="62">
                  <c:v>346375</c:v>
                </c:pt>
                <c:pt idx="63">
                  <c:v>274425</c:v>
                </c:pt>
                <c:pt idx="64">
                  <c:v>349000</c:v>
                </c:pt>
                <c:pt idx="65">
                  <c:v>266000</c:v>
                </c:pt>
                <c:pt idx="66">
                  <c:v>335750</c:v>
                </c:pt>
                <c:pt idx="67">
                  <c:v>258000</c:v>
                </c:pt>
                <c:pt idx="68">
                  <c:v>395100</c:v>
                </c:pt>
                <c:pt idx="69">
                  <c:v>370000</c:v>
                </c:pt>
                <c:pt idx="70">
                  <c:v>394470</c:v>
                </c:pt>
                <c:pt idx="71">
                  <c:v>320000</c:v>
                </c:pt>
                <c:pt idx="72">
                  <c:v>430000</c:v>
                </c:pt>
                <c:pt idx="73">
                  <c:v>420000</c:v>
                </c:pt>
                <c:pt idx="74">
                  <c:v>452000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8-47F0-81EE-64411070EA96}"/>
            </c:ext>
          </c:extLst>
        </c:ser>
        <c:ser>
          <c:idx val="2"/>
          <c:order val="1"/>
          <c:tx>
            <c:v>Senkrechter Verbinder</c:v>
          </c:tx>
          <c:spPr>
            <a:ln w="25400" cap="flat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(Regression_Hauspreis!$AB$2,Regression_Hauspreis!$AE$2)</c:f>
              <c:numCache>
                <c:formatCode>General</c:formatCode>
                <c:ptCount val="2"/>
                <c:pt idx="0">
                  <c:v>375</c:v>
                </c:pt>
                <c:pt idx="1">
                  <c:v>375</c:v>
                </c:pt>
              </c:numCache>
            </c:numRef>
          </c:xVal>
          <c:yVal>
            <c:numRef>
              <c:f>(Regression_Hauspreis!$AB$3,Regression_Hauspreis!$AE$3)</c:f>
              <c:numCache>
                <c:formatCode>General</c:formatCode>
                <c:ptCount val="2"/>
                <c:pt idx="0">
                  <c:v>-100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78-47F0-81EE-64411070EA96}"/>
            </c:ext>
          </c:extLst>
        </c:ser>
        <c:ser>
          <c:idx val="3"/>
          <c:order val="2"/>
          <c:tx>
            <c:v>k nächste Nachbarn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Regression_Hauspreis!$AA$6:$AA$7</c:f>
              <c:numCache>
                <c:formatCode>General</c:formatCode>
                <c:ptCount val="2"/>
                <c:pt idx="0">
                  <c:v>375</c:v>
                </c:pt>
                <c:pt idx="1">
                  <c:v>395</c:v>
                </c:pt>
              </c:numCache>
            </c:numRef>
          </c:xVal>
          <c:yVal>
            <c:numRef>
              <c:f>Regression_Hauspreis!$AB$6:$AB$7</c:f>
              <c:numCache>
                <c:formatCode>General</c:formatCode>
                <c:ptCount val="2"/>
                <c:pt idx="0">
                  <c:v>452000</c:v>
                </c:pt>
                <c:pt idx="1">
                  <c:v>452000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AD-4B28-A40B-E1290264D742}"/>
            </c:ext>
          </c:extLst>
        </c:ser>
        <c:ser>
          <c:idx val="4"/>
          <c:order val="3"/>
          <c:tx>
            <c:v>Verbinder_2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Regression_Hauspreis!$AD$6:$AD$7</c:f>
              <c:numCache>
                <c:formatCode>General</c:formatCode>
                <c:ptCount val="2"/>
                <c:pt idx="0">
                  <c:v>375</c:v>
                </c:pt>
                <c:pt idx="1">
                  <c:v>349</c:v>
                </c:pt>
              </c:numCache>
            </c:numRef>
          </c:xVal>
          <c:yVal>
            <c:numRef>
              <c:f>Regression_Hauspreis!$AE$6:$AE$7</c:f>
              <c:numCache>
                <c:formatCode>General</c:formatCode>
                <c:ptCount val="2"/>
                <c:pt idx="0">
                  <c:v>420000</c:v>
                </c:pt>
                <c:pt idx="1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AD-4B28-A40B-E1290264D742}"/>
            </c:ext>
          </c:extLst>
        </c:ser>
        <c:ser>
          <c:idx val="5"/>
          <c:order val="4"/>
          <c:tx>
            <c:v>Verbinder_3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Regression_Hauspreis!$AG$6:$AG$7</c:f>
              <c:numCache>
                <c:formatCode>General</c:formatCode>
                <c:ptCount val="2"/>
                <c:pt idx="0">
                  <c:v>375</c:v>
                </c:pt>
                <c:pt idx="1">
                  <c:v>336</c:v>
                </c:pt>
              </c:numCache>
            </c:numRef>
          </c:xVal>
          <c:yVal>
            <c:numRef>
              <c:f>Regression_Hauspreis!$AH$6:$AH$7</c:f>
              <c:numCache>
                <c:formatCode>General</c:formatCode>
                <c:ptCount val="2"/>
                <c:pt idx="0">
                  <c:v>430000</c:v>
                </c:pt>
                <c:pt idx="1">
                  <c:v>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AD-4B28-A40B-E1290264D742}"/>
            </c:ext>
          </c:extLst>
        </c:ser>
        <c:ser>
          <c:idx val="6"/>
          <c:order val="5"/>
          <c:tx>
            <c:v>Verbinder_4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Regression_Hauspreis!$AJ$6:$AJ$7</c:f>
              <c:numCache>
                <c:formatCode>General</c:formatCode>
                <c:ptCount val="2"/>
                <c:pt idx="0">
                  <c:v>375</c:v>
                </c:pt>
                <c:pt idx="1">
                  <c:v>323</c:v>
                </c:pt>
              </c:numCache>
            </c:numRef>
          </c:xVal>
          <c:yVal>
            <c:numRef>
              <c:f>Regression_Hauspreis!$AK$6:$AK$7</c:f>
              <c:numCache>
                <c:formatCode>_-[$$-409]* #,##0.00_ ;_-[$$-409]* \-#,##0.00\ ;_-[$$-409]* "-"??_ ;_-@_ </c:formatCode>
                <c:ptCount val="2"/>
                <c:pt idx="0">
                  <c:v>320000</c:v>
                </c:pt>
                <c:pt idx="1">
                  <c:v>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AD-4B28-A40B-E1290264D742}"/>
            </c:ext>
          </c:extLst>
        </c:ser>
        <c:ser>
          <c:idx val="7"/>
          <c:order val="6"/>
          <c:tx>
            <c:v>Verbinder_5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Regression_Hauspreis!$AM$6:$AM$7</c:f>
              <c:numCache>
                <c:formatCode>General</c:formatCode>
                <c:ptCount val="2"/>
                <c:pt idx="0">
                  <c:v>375</c:v>
                </c:pt>
                <c:pt idx="1">
                  <c:v>320</c:v>
                </c:pt>
              </c:numCache>
            </c:numRef>
          </c:xVal>
          <c:yVal>
            <c:numRef>
              <c:f>Regression_Hauspreis!$AN$6:$AN$7</c:f>
              <c:numCache>
                <c:formatCode>General</c:formatCode>
                <c:ptCount val="2"/>
                <c:pt idx="0">
                  <c:v>394470</c:v>
                </c:pt>
                <c:pt idx="1">
                  <c:v>394470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AD-4B28-A40B-E1290264D742}"/>
            </c:ext>
          </c:extLst>
        </c:ser>
        <c:ser>
          <c:idx val="8"/>
          <c:order val="7"/>
          <c:tx>
            <c:v>Verbinder_6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Regression_Hauspreis!$AA$11:$AA$12</c:f>
              <c:numCache>
                <c:formatCode>General</c:formatCode>
                <c:ptCount val="2"/>
                <c:pt idx="0">
                  <c:v>375</c:v>
                </c:pt>
                <c:pt idx="1">
                  <c:v>315</c:v>
                </c:pt>
              </c:numCache>
            </c:numRef>
          </c:xVal>
          <c:yVal>
            <c:numRef>
              <c:f>Regression_Hauspreis!$AB$11:$AB$12</c:f>
              <c:numCache>
                <c:formatCode>General</c:formatCode>
                <c:ptCount val="2"/>
                <c:pt idx="0">
                  <c:v>370000</c:v>
                </c:pt>
                <c:pt idx="1">
                  <c:v>370000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AD-4B28-A40B-E1290264D742}"/>
            </c:ext>
          </c:extLst>
        </c:ser>
        <c:ser>
          <c:idx val="9"/>
          <c:order val="8"/>
          <c:tx>
            <c:v>Verbinder_7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Regression_Hauspreis!$AD$11:$AD$12</c:f>
              <c:numCache>
                <c:formatCode>General</c:formatCode>
                <c:ptCount val="2"/>
                <c:pt idx="0">
                  <c:v>375</c:v>
                </c:pt>
                <c:pt idx="1">
                  <c:v>303</c:v>
                </c:pt>
              </c:numCache>
            </c:numRef>
          </c:xVal>
          <c:yVal>
            <c:numRef>
              <c:f>Regression_Hauspreis!$AE$11:$AE$12</c:f>
              <c:numCache>
                <c:formatCode>General</c:formatCode>
                <c:ptCount val="2"/>
                <c:pt idx="0">
                  <c:v>395100</c:v>
                </c:pt>
                <c:pt idx="1">
                  <c:v>395100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AD-4B28-A40B-E1290264D742}"/>
            </c:ext>
          </c:extLst>
        </c:ser>
        <c:ser>
          <c:idx val="10"/>
          <c:order val="9"/>
          <c:tx>
            <c:v>Verbinder_8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Regression_Hauspreis!$AG$11:$AG$12</c:f>
              <c:numCache>
                <c:formatCode>General</c:formatCode>
                <c:ptCount val="2"/>
                <c:pt idx="0">
                  <c:v>375</c:v>
                </c:pt>
                <c:pt idx="1">
                  <c:v>294</c:v>
                </c:pt>
              </c:numCache>
            </c:numRef>
          </c:xVal>
          <c:yVal>
            <c:numRef>
              <c:f>Regression_Hauspreis!$AH$11:$AH$12</c:f>
              <c:numCache>
                <c:formatCode>General</c:formatCode>
                <c:ptCount val="2"/>
                <c:pt idx="0">
                  <c:v>375000</c:v>
                </c:pt>
                <c:pt idx="1">
                  <c:v>375000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AD-4B28-A40B-E1290264D742}"/>
            </c:ext>
          </c:extLst>
        </c:ser>
        <c:ser>
          <c:idx val="11"/>
          <c:order val="10"/>
          <c:tx>
            <c:v>Verbinder_9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  <a:headEnd type="none"/>
            </a:ln>
            <a:effectLst/>
          </c:spPr>
          <c:marker>
            <c:symbol val="star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Regression_Hauspreis!$AJ$11:$AJ$12</c:f>
              <c:numCache>
                <c:formatCode>General</c:formatCode>
                <c:ptCount val="2"/>
                <c:pt idx="0">
                  <c:v>375</c:v>
                </c:pt>
                <c:pt idx="1">
                  <c:v>292</c:v>
                </c:pt>
              </c:numCache>
            </c:numRef>
          </c:xVal>
          <c:yVal>
            <c:numRef>
              <c:f>Regression_Hauspreis!$AK$11:$AK$12</c:f>
              <c:numCache>
                <c:formatCode>General</c:formatCode>
                <c:ptCount val="2"/>
                <c:pt idx="0">
                  <c:v>315000</c:v>
                </c:pt>
                <c:pt idx="1">
                  <c:v>315000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AD-4B28-A40B-E1290264D742}"/>
            </c:ext>
          </c:extLst>
        </c:ser>
        <c:ser>
          <c:idx val="12"/>
          <c:order val="11"/>
          <c:tx>
            <c:v>Verbinder_10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Regression_Hauspreis!$AM$11:$AM$12</c:f>
              <c:numCache>
                <c:formatCode>General</c:formatCode>
                <c:ptCount val="2"/>
                <c:pt idx="0">
                  <c:v>375</c:v>
                </c:pt>
                <c:pt idx="1">
                  <c:v>268</c:v>
                </c:pt>
              </c:numCache>
            </c:numRef>
          </c:xVal>
          <c:yVal>
            <c:numRef>
              <c:f>Regression_Hauspreis!$AN$11:$AN$12</c:f>
              <c:numCache>
                <c:formatCode>General</c:formatCode>
                <c:ptCount val="2"/>
                <c:pt idx="0">
                  <c:v>349000</c:v>
                </c:pt>
                <c:pt idx="1">
                  <c:v>349000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AD-4B28-A40B-E1290264D742}"/>
            </c:ext>
          </c:extLst>
        </c:ser>
        <c:ser>
          <c:idx val="1"/>
          <c:order val="12"/>
          <c:tx>
            <c:v>Neuer Datensatz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Regression_Hauspreis!$E$4</c:f>
              <c:numCache>
                <c:formatCode>General</c:formatCode>
                <c:ptCount val="1"/>
                <c:pt idx="0">
                  <c:v>375</c:v>
                </c:pt>
              </c:numCache>
            </c:numRef>
          </c:xVal>
          <c:yVal>
            <c:numRef>
              <c:f>Regression_Hauspreis!$E$6</c:f>
              <c:numCache>
                <c:formatCode>[$$-409]#,##0.00</c:formatCode>
                <c:ptCount val="1"/>
                <c:pt idx="0">
                  <c:v>382057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8-47F0-81EE-6441107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6111"/>
        <c:axId val="1340989455"/>
      </c:scatterChart>
      <c:valAx>
        <c:axId val="1340996111"/>
        <c:scaling>
          <c:orientation val="minMax"/>
          <c:max val="4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Regression_Hauspreis!$A$3</c:f>
              <c:strCache>
                <c:ptCount val="1"/>
                <c:pt idx="0">
                  <c:v>Fläche in m²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989455"/>
        <c:crosses val="autoZero"/>
        <c:crossBetween val="midCat"/>
      </c:valAx>
      <c:valAx>
        <c:axId val="1340989455"/>
        <c:scaling>
          <c:orientation val="minMax"/>
          <c:max val="500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Regression_Hauspreis!$B$3</c:f>
              <c:strCache>
                <c:ptCount val="1"/>
                <c:pt idx="0">
                  <c:v>Preis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99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11</xdr:row>
      <xdr:rowOff>23811</xdr:rowOff>
    </xdr:from>
    <xdr:to>
      <xdr:col>12</xdr:col>
      <xdr:colOff>9525</xdr:colOff>
      <xdr:row>37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4AC787-655D-65BC-3892-119644210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971550</xdr:colOff>
      <xdr:row>44</xdr:row>
      <xdr:rowOff>76200</xdr:rowOff>
    </xdr:from>
    <xdr:to>
      <xdr:col>4</xdr:col>
      <xdr:colOff>233355</xdr:colOff>
      <xdr:row>47</xdr:row>
      <xdr:rowOff>100013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4AD015B-32EC-43FB-89D9-CE2061E61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8686800"/>
          <a:ext cx="1119180" cy="595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0926-F115-445C-B546-2645D939E433}">
  <dimension ref="A1:AN78"/>
  <sheetViews>
    <sheetView tabSelected="1" topLeftCell="A18" zoomScaleNormal="100" workbookViewId="0">
      <selection activeCell="E4" sqref="E4"/>
    </sheetView>
  </sheetViews>
  <sheetFormatPr baseColWidth="10" defaultRowHeight="15" x14ac:dyDescent="0.25"/>
  <cols>
    <col min="1" max="1" width="19.42578125" style="1" customWidth="1"/>
    <col min="2" max="2" width="11.42578125" style="1"/>
    <col min="4" max="4" width="27.85546875" bestFit="1" customWidth="1"/>
    <col min="5" max="5" width="19.140625" customWidth="1"/>
    <col min="6" max="6" width="16.7109375" customWidth="1"/>
    <col min="7" max="7" width="7.5703125" bestFit="1" customWidth="1"/>
    <col min="8" max="8" width="14.28515625" bestFit="1" customWidth="1"/>
    <col min="9" max="9" width="15" customWidth="1"/>
    <col min="11" max="11" width="7.5703125" bestFit="1" customWidth="1"/>
    <col min="12" max="12" width="14.28515625" bestFit="1" customWidth="1"/>
    <col min="13" max="13" width="14.85546875" customWidth="1"/>
    <col min="15" max="19" width="0" hidden="1" customWidth="1"/>
    <col min="21" max="21" width="12.42578125" customWidth="1"/>
    <col min="22" max="22" width="16.85546875" customWidth="1"/>
    <col min="23" max="23" width="16.28515625" customWidth="1"/>
    <col min="26" max="26" width="11.42578125" customWidth="1"/>
    <col min="27" max="33" width="11.42578125" hidden="1" customWidth="1"/>
    <col min="34" max="36" width="0" hidden="1" customWidth="1"/>
    <col min="37" max="37" width="12.28515625" hidden="1" customWidth="1"/>
    <col min="38" max="40" width="11.42578125" hidden="1" customWidth="1"/>
  </cols>
  <sheetData>
    <row r="1" spans="1:40" ht="16.5" thickTop="1" thickBot="1" x14ac:dyDescent="0.3">
      <c r="A1" s="31" t="s">
        <v>11</v>
      </c>
      <c r="B1" s="32"/>
      <c r="AA1" s="28" t="s">
        <v>9</v>
      </c>
      <c r="AB1" s="29"/>
      <c r="AC1" s="29"/>
      <c r="AD1" s="29"/>
      <c r="AE1" s="30"/>
      <c r="AF1" s="6"/>
      <c r="AG1" s="6"/>
      <c r="AH1" s="6"/>
      <c r="AI1" s="6"/>
      <c r="AJ1" s="6"/>
      <c r="AK1" s="6"/>
      <c r="AL1" s="6"/>
      <c r="AM1" s="6"/>
      <c r="AN1" s="6"/>
    </row>
    <row r="2" spans="1:40" ht="21" x14ac:dyDescent="0.35">
      <c r="A2" s="32"/>
      <c r="B2" s="32"/>
      <c r="D2" s="33" t="s">
        <v>12</v>
      </c>
      <c r="E2" s="34"/>
      <c r="G2" s="37" t="s">
        <v>13</v>
      </c>
      <c r="H2" s="37"/>
      <c r="I2" s="37"/>
      <c r="J2" s="37"/>
      <c r="K2" s="37"/>
      <c r="L2" s="37"/>
      <c r="M2" s="37"/>
      <c r="AA2" s="3" t="s">
        <v>4</v>
      </c>
      <c r="AB2" s="2">
        <f>E4</f>
        <v>375</v>
      </c>
      <c r="AC2" s="2"/>
      <c r="AD2" s="3" t="s">
        <v>5</v>
      </c>
      <c r="AE2" s="2">
        <f>E4</f>
        <v>375</v>
      </c>
      <c r="AF2" s="2"/>
      <c r="AG2" s="2"/>
      <c r="AH2" s="2"/>
      <c r="AI2" s="2"/>
      <c r="AJ2" s="2"/>
      <c r="AK2" s="2"/>
      <c r="AL2" s="2"/>
      <c r="AM2" s="2"/>
      <c r="AN2" s="2"/>
    </row>
    <row r="3" spans="1:40" ht="19.5" thickBot="1" x14ac:dyDescent="0.3">
      <c r="A3" s="13" t="s">
        <v>17</v>
      </c>
      <c r="B3" s="21" t="s">
        <v>0</v>
      </c>
      <c r="D3" s="35"/>
      <c r="E3" s="36"/>
      <c r="G3" s="19" t="s">
        <v>14</v>
      </c>
      <c r="H3" s="19" t="s">
        <v>17</v>
      </c>
      <c r="I3" s="19" t="s">
        <v>0</v>
      </c>
      <c r="J3" s="20"/>
      <c r="K3" s="19" t="s">
        <v>14</v>
      </c>
      <c r="L3" s="19" t="s">
        <v>17</v>
      </c>
      <c r="M3" s="19" t="s">
        <v>0</v>
      </c>
      <c r="T3" s="10" t="s">
        <v>7</v>
      </c>
      <c r="U3" s="10" t="s">
        <v>8</v>
      </c>
      <c r="V3" s="10" t="s">
        <v>17</v>
      </c>
      <c r="W3" s="10" t="s">
        <v>0</v>
      </c>
      <c r="AA3" s="4" t="s">
        <v>2</v>
      </c>
      <c r="AB3" s="5">
        <v>-100</v>
      </c>
      <c r="AC3" s="5"/>
      <c r="AD3" s="4" t="s">
        <v>3</v>
      </c>
      <c r="AE3" s="5">
        <v>1000000</v>
      </c>
      <c r="AF3" s="5"/>
      <c r="AG3" s="5"/>
      <c r="AH3" s="5"/>
      <c r="AI3" s="5"/>
      <c r="AJ3" s="5"/>
      <c r="AK3" s="5"/>
      <c r="AL3" s="5"/>
      <c r="AM3" s="5"/>
      <c r="AN3" s="5"/>
    </row>
    <row r="4" spans="1:40" ht="17.25" thickTop="1" thickBot="1" x14ac:dyDescent="0.3">
      <c r="A4" s="11">
        <v>45</v>
      </c>
      <c r="B4" s="12">
        <v>48000</v>
      </c>
      <c r="D4" s="23" t="s">
        <v>16</v>
      </c>
      <c r="E4" s="24">
        <v>375</v>
      </c>
      <c r="G4" s="18">
        <f>IF($E$9&gt;=1,1,"")</f>
        <v>1</v>
      </c>
      <c r="H4" s="8">
        <f>IF($E$9&gt;=1, VLOOKUP(G4,$T$4:$W$78,3,FALSE),"")</f>
        <v>395</v>
      </c>
      <c r="I4" s="9">
        <f>IF($E$9&gt;=1, VLOOKUP(G4,$T$4:$W$78,4,FALSE),"")</f>
        <v>452000</v>
      </c>
      <c r="K4" s="18">
        <f>IF($E$9&gt;=6,6,"")</f>
        <v>6</v>
      </c>
      <c r="L4" s="8">
        <f>IF($E$9&gt;=6, VLOOKUP(K4,$T$4:$W$78,3,FALSE),"")</f>
        <v>315</v>
      </c>
      <c r="M4" s="9">
        <f>IF($E$9&gt;=6, VLOOKUP(K4,$T$4:$W$78,4,FALSE),"")</f>
        <v>370000</v>
      </c>
      <c r="T4" s="11">
        <f>_xlfn.RANK.EQ(U4,$U$4:$U$78,1)</f>
        <v>75</v>
      </c>
      <c r="U4" s="7">
        <f>ABS($E$4-A4)+ROW()/1000000000</f>
        <v>330.00000000400001</v>
      </c>
      <c r="V4" s="11">
        <f>A4</f>
        <v>45</v>
      </c>
      <c r="W4" s="12">
        <f>B4</f>
        <v>48000</v>
      </c>
      <c r="AA4" s="28" t="s">
        <v>10</v>
      </c>
      <c r="AB4" s="29"/>
      <c r="AC4" s="29"/>
      <c r="AD4" s="30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ht="15.75" thickBot="1" x14ac:dyDescent="0.3">
      <c r="A5" s="11">
        <v>55</v>
      </c>
      <c r="B5" s="12">
        <v>120000</v>
      </c>
      <c r="G5" s="18">
        <f>IF($E$9&gt;=2,2,"")</f>
        <v>2</v>
      </c>
      <c r="H5" s="8">
        <f>IF($E$9&gt;=2, VLOOKUP(G5,$T$4:$W$78,3,FALSE),"")</f>
        <v>349</v>
      </c>
      <c r="I5" s="9">
        <f>IF($E$9&gt;=2, VLOOKUP(G5,$T$4:$W$78,4,FALSE),"")</f>
        <v>420000</v>
      </c>
      <c r="K5" s="18">
        <f>IF($E$9&gt;=7,7,"")</f>
        <v>7</v>
      </c>
      <c r="L5" s="8">
        <f>IF($E$9&gt;=7, VLOOKUP(K5,$T$4:$W$78,3,FALSE),"")</f>
        <v>303</v>
      </c>
      <c r="M5" s="9">
        <f>IF($E$9&gt;=7, VLOOKUP(K5,$T$4:$W$78,4,FALSE),"")</f>
        <v>395100</v>
      </c>
      <c r="T5" s="11">
        <f t="shared" ref="T5:T68" si="0">_xlfn.RANK.EQ(U5,$U$4:$U$78,1)</f>
        <v>74</v>
      </c>
      <c r="U5" s="7">
        <f t="shared" ref="U5:U68" si="1">ABS($E$4-A5)+ROW()/1000000000</f>
        <v>320.000000005</v>
      </c>
      <c r="V5" s="11">
        <f t="shared" ref="V5:V68" si="2">A5</f>
        <v>55</v>
      </c>
      <c r="W5" s="12">
        <f t="shared" ref="W5:W68" si="3">B5</f>
        <v>120000</v>
      </c>
      <c r="AA5" s="2">
        <v>1</v>
      </c>
      <c r="AB5" s="2"/>
      <c r="AC5" s="2"/>
      <c r="AD5" s="2">
        <v>2</v>
      </c>
      <c r="AE5" s="2"/>
      <c r="AF5" s="2"/>
      <c r="AG5" s="2">
        <v>3</v>
      </c>
      <c r="AH5" s="2"/>
      <c r="AI5" s="2"/>
      <c r="AJ5" s="2">
        <v>4</v>
      </c>
      <c r="AK5" s="2"/>
      <c r="AL5" s="2"/>
      <c r="AM5" s="2">
        <v>5</v>
      </c>
      <c r="AN5" s="2"/>
    </row>
    <row r="6" spans="1:40" ht="15.75" thickBot="1" x14ac:dyDescent="0.3">
      <c r="A6" s="11">
        <v>65</v>
      </c>
      <c r="B6" s="12">
        <v>121725</v>
      </c>
      <c r="D6" s="14" t="s">
        <v>1</v>
      </c>
      <c r="E6" s="15">
        <f>AVERAGE(I4:I8,M4:M8)</f>
        <v>382057</v>
      </c>
      <c r="G6" s="18">
        <f>IF($E$9&gt;=3,3,"")</f>
        <v>3</v>
      </c>
      <c r="H6" s="8">
        <f>IF($E$9&gt;=3, VLOOKUP(G6,$T$4:$W$78,3,FALSE),"")</f>
        <v>336</v>
      </c>
      <c r="I6" s="9">
        <f>IF($E$9&gt;=3, VLOOKUP(G6,$T$4:$W$78,4,FALSE),"")</f>
        <v>430000</v>
      </c>
      <c r="K6" s="18">
        <f>IF($E$9&gt;=8,8,"")</f>
        <v>8</v>
      </c>
      <c r="L6" s="8">
        <f>IF($E$9&gt;=8, VLOOKUP(K6,$T$4:$W$78,3,FALSE),"")</f>
        <v>294</v>
      </c>
      <c r="M6" s="9">
        <f>IF($E$9&gt;=8, VLOOKUP(K6,$T$4:$W$78,4,FALSE),"")</f>
        <v>375000</v>
      </c>
      <c r="T6" s="11">
        <f t="shared" si="0"/>
        <v>73</v>
      </c>
      <c r="U6" s="7">
        <f t="shared" si="1"/>
        <v>310.00000000599999</v>
      </c>
      <c r="V6" s="11">
        <f t="shared" si="2"/>
        <v>65</v>
      </c>
      <c r="W6" s="12">
        <f t="shared" si="3"/>
        <v>121725</v>
      </c>
      <c r="AA6" s="2">
        <f>IF($E$9&gt;=1,$E$4,NA())</f>
        <v>375</v>
      </c>
      <c r="AB6" s="2">
        <f>IF($E$9&gt;=1,VLOOKUP($AA$5,$T$4:$W$78,4,FALSE),NA())</f>
        <v>452000</v>
      </c>
      <c r="AC6" s="2"/>
      <c r="AD6" s="2">
        <f>IF($E$9&gt;=2,$E$4,NA())</f>
        <v>375</v>
      </c>
      <c r="AE6" s="2">
        <f>IF($E$9&gt;=2,VLOOKUP($AD$5,$T$4:$W$78,4,FALSE),NA())</f>
        <v>420000</v>
      </c>
      <c r="AF6" s="2"/>
      <c r="AG6" s="2">
        <f>IF($E$9&gt;=3,$E$4,NA())</f>
        <v>375</v>
      </c>
      <c r="AH6" s="2">
        <f>IF($E$9&gt;=3,VLOOKUP($AG$5,$T$4:$W$78,4,FALSE),NA())</f>
        <v>430000</v>
      </c>
      <c r="AI6" s="2"/>
      <c r="AJ6" s="2">
        <f>IF($E$9&gt;=4,$E$4,NA())</f>
        <v>375</v>
      </c>
      <c r="AK6" s="22">
        <f>IF($E$9&gt;=4,VLOOKUP($AJ$5,$T$4:$W$78,4,FALSE),NA())</f>
        <v>320000</v>
      </c>
      <c r="AL6" s="2"/>
      <c r="AM6" s="2">
        <f>IF($E$9&gt;=5,$E$4,NA())</f>
        <v>375</v>
      </c>
      <c r="AN6" s="2">
        <f>IF($E$9&gt;=5,VLOOKUP($AM$5,$T$4:$W$78,4,FALSE),NA())</f>
        <v>394470</v>
      </c>
    </row>
    <row r="7" spans="1:40" x14ac:dyDescent="0.25">
      <c r="A7" s="11">
        <v>68</v>
      </c>
      <c r="B7" s="12">
        <v>145000</v>
      </c>
      <c r="G7" s="18">
        <f>IF($E$9&gt;=4,4,"")</f>
        <v>4</v>
      </c>
      <c r="H7" s="8">
        <f>IF($E$9&gt;=4, VLOOKUP(G7,$T$4:$W$78,3,FALSE),"")</f>
        <v>323</v>
      </c>
      <c r="I7" s="9">
        <f>IF($E$9&gt;=4, VLOOKUP(G7,$T$4:$W$78,4,FALSE),"")</f>
        <v>320000</v>
      </c>
      <c r="K7" s="18">
        <f>IF($E$9&gt;=9,9,"")</f>
        <v>9</v>
      </c>
      <c r="L7" s="8">
        <f>IF($E$9&gt;=9, VLOOKUP(K7,$T$4:$W$78,3,FALSE),"")</f>
        <v>292</v>
      </c>
      <c r="M7" s="9">
        <f>IF($E$9&gt;=9, VLOOKUP(K7,$T$4:$W$78,4,FALSE),"")</f>
        <v>315000</v>
      </c>
      <c r="T7" s="11">
        <f t="shared" si="0"/>
        <v>72</v>
      </c>
      <c r="U7" s="7">
        <f t="shared" si="1"/>
        <v>307.00000000699998</v>
      </c>
      <c r="V7" s="11">
        <f t="shared" si="2"/>
        <v>68</v>
      </c>
      <c r="W7" s="12">
        <f t="shared" si="3"/>
        <v>145000</v>
      </c>
      <c r="AA7" s="2">
        <f>IF($E$9&gt;=1,VLOOKUP($AA$5,$T$4:$W$78,3,FALSE),NA())</f>
        <v>395</v>
      </c>
      <c r="AB7" s="2">
        <f>IF($E$9&gt;=1,VLOOKUP($AA$5,$T$4:$W$78,4,FALSE),NA())</f>
        <v>452000</v>
      </c>
      <c r="AC7" s="2"/>
      <c r="AD7" s="2">
        <f>IF($E$9&gt;=2,VLOOKUP($AD$5,$T$4:$W$78,3,FALSE),NA())</f>
        <v>349</v>
      </c>
      <c r="AE7" s="2">
        <f>IF($E$9&gt;=2,VLOOKUP($AD$5,$T$4:$W$78,4,FALSE),"")</f>
        <v>420000</v>
      </c>
      <c r="AF7" s="2"/>
      <c r="AG7" s="2">
        <f>IF($E$9&gt;=3,VLOOKUP($AG$5,$T$4:$W$78,3,FALSE),NA())</f>
        <v>336</v>
      </c>
      <c r="AH7" s="2">
        <f>IF($E$9&gt;=3,VLOOKUP($AG$5,$T$4:$W$78,4,FALSE),NA())</f>
        <v>430000</v>
      </c>
      <c r="AI7" s="2"/>
      <c r="AJ7" s="2">
        <f>IF($E$9&gt;=4,VLOOKUP($AJ$5,$T$4:$W$78,3,FALSE),NA())</f>
        <v>323</v>
      </c>
      <c r="AK7" s="22">
        <f>IF($E$9&gt;=4,VLOOKUP($AJ$5,$T$4:$W$78,4,FALSE),NA())</f>
        <v>320000</v>
      </c>
      <c r="AL7" s="2"/>
      <c r="AM7" s="2">
        <f>IF($E$9&gt;=5,VLOOKUP($AM$5,$T$4:$W$78,3,FALSE),NA())</f>
        <v>320</v>
      </c>
      <c r="AN7" s="2">
        <f>IF($E$9&gt;=5,VLOOKUP($AM$5,$T$4:$W$78,4,FALSE),NA())</f>
        <v>394470</v>
      </c>
    </row>
    <row r="8" spans="1:40" ht="15.75" thickBot="1" x14ac:dyDescent="0.3">
      <c r="A8" s="11">
        <v>76</v>
      </c>
      <c r="B8" s="12">
        <v>156000</v>
      </c>
      <c r="G8" s="18">
        <f>IF($E$9&gt;=5,5,"")</f>
        <v>5</v>
      </c>
      <c r="H8" s="8">
        <f>IF($E$9&gt;=5, VLOOKUP(G8,$T$4:$W$78,3,FALSE),"")</f>
        <v>320</v>
      </c>
      <c r="I8" s="9">
        <f>IF($E$9&gt;=5, VLOOKUP(G8,$T$4:$W$78,4,FALSE),"")</f>
        <v>394470</v>
      </c>
      <c r="K8" s="18">
        <f>IF($E$9&gt;=10,10,"")</f>
        <v>10</v>
      </c>
      <c r="L8" s="8">
        <f>IF($E$9&gt;=10, VLOOKUP(K8,$T$4:$W$78,3,FALSE),"")</f>
        <v>268</v>
      </c>
      <c r="M8" s="9">
        <f>IF($E$9&gt;=10, VLOOKUP(K8,$T$4:$W$78,4,FALSE),"")</f>
        <v>349000</v>
      </c>
      <c r="T8" s="11">
        <f t="shared" si="0"/>
        <v>71</v>
      </c>
      <c r="U8" s="7">
        <f t="shared" si="1"/>
        <v>299.00000000799997</v>
      </c>
      <c r="V8" s="11">
        <f t="shared" si="2"/>
        <v>76</v>
      </c>
      <c r="W8" s="12">
        <f t="shared" si="3"/>
        <v>156000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6.5" thickBot="1" x14ac:dyDescent="0.3">
      <c r="A9" s="11">
        <v>78</v>
      </c>
      <c r="B9" s="12">
        <v>68000</v>
      </c>
      <c r="D9" s="16" t="s">
        <v>6</v>
      </c>
      <c r="E9" s="24">
        <v>10</v>
      </c>
      <c r="K9" s="17"/>
      <c r="T9" s="11">
        <f t="shared" si="0"/>
        <v>70</v>
      </c>
      <c r="U9" s="7">
        <f t="shared" si="1"/>
        <v>297.00000000900002</v>
      </c>
      <c r="V9" s="11">
        <f t="shared" si="2"/>
        <v>78</v>
      </c>
      <c r="W9" s="12">
        <f t="shared" si="3"/>
        <v>68000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ht="15" customHeight="1" x14ac:dyDescent="0.25">
      <c r="A10" s="11">
        <v>89</v>
      </c>
      <c r="B10" s="12">
        <v>220000</v>
      </c>
      <c r="D10" s="27" t="s">
        <v>18</v>
      </c>
      <c r="E10" s="27"/>
      <c r="G10" s="38" t="s">
        <v>15</v>
      </c>
      <c r="H10" s="39"/>
      <c r="I10" s="39"/>
      <c r="J10" s="42">
        <f>AVERAGE(I4:I8,M4:M8)</f>
        <v>382057</v>
      </c>
      <c r="K10" s="43"/>
      <c r="L10" s="44"/>
      <c r="T10" s="11">
        <f t="shared" si="0"/>
        <v>69</v>
      </c>
      <c r="U10" s="7">
        <f t="shared" si="1"/>
        <v>286.00000001000001</v>
      </c>
      <c r="V10" s="11">
        <f t="shared" si="2"/>
        <v>89</v>
      </c>
      <c r="W10" s="12">
        <f t="shared" si="3"/>
        <v>220000</v>
      </c>
      <c r="AA10" s="2">
        <v>6</v>
      </c>
      <c r="AB10" s="2"/>
      <c r="AC10" s="2"/>
      <c r="AD10" s="2">
        <v>7</v>
      </c>
      <c r="AE10" s="2"/>
      <c r="AF10" s="2"/>
      <c r="AG10" s="2">
        <v>8</v>
      </c>
      <c r="AH10" s="2"/>
      <c r="AI10" s="2"/>
      <c r="AJ10" s="2">
        <v>9</v>
      </c>
      <c r="AK10" s="2"/>
      <c r="AL10" s="2"/>
      <c r="AM10" s="2">
        <v>10</v>
      </c>
      <c r="AN10" s="2"/>
    </row>
    <row r="11" spans="1:40" x14ac:dyDescent="0.25">
      <c r="A11" s="11">
        <v>90</v>
      </c>
      <c r="B11" s="12">
        <v>155000</v>
      </c>
      <c r="D11" s="27"/>
      <c r="E11" s="27"/>
      <c r="G11" s="40"/>
      <c r="H11" s="41"/>
      <c r="I11" s="41"/>
      <c r="J11" s="45"/>
      <c r="K11" s="45"/>
      <c r="L11" s="46"/>
      <c r="T11" s="11">
        <f t="shared" si="0"/>
        <v>67</v>
      </c>
      <c r="U11" s="7">
        <f t="shared" si="1"/>
        <v>285.000000011</v>
      </c>
      <c r="V11" s="11">
        <f t="shared" si="2"/>
        <v>90</v>
      </c>
      <c r="W11" s="12">
        <f t="shared" si="3"/>
        <v>155000</v>
      </c>
      <c r="AA11" s="2">
        <f>IF($E$9&gt;=6,$E$4,NA())</f>
        <v>375</v>
      </c>
      <c r="AB11" s="2">
        <f>IF($E$9&gt;=6,VLOOKUP($AA$10,$T$4:$W$78,4,FALSE),NA())</f>
        <v>370000</v>
      </c>
      <c r="AC11" s="2"/>
      <c r="AD11" s="2">
        <f>IF($E$9&gt;=7,$E$4,NA())</f>
        <v>375</v>
      </c>
      <c r="AE11" s="2">
        <f>IF($E$9&gt;=7,VLOOKUP($AD$10,$T$4:$W$78,4,FALSE),NA())</f>
        <v>395100</v>
      </c>
      <c r="AF11" s="2"/>
      <c r="AG11" s="2">
        <f>IF($E$9&gt;=8,$E$4,NA())</f>
        <v>375</v>
      </c>
      <c r="AH11" s="2">
        <f>IF($E$9&gt;=8,VLOOKUP($AG$10,$T$4:$W$78,4,FALSE),NA())</f>
        <v>375000</v>
      </c>
      <c r="AI11" s="2"/>
      <c r="AJ11" s="2">
        <f>IF($E$9&gt;=9,$E$4,NA())</f>
        <v>375</v>
      </c>
      <c r="AK11" s="2">
        <f>IF($E$9&gt;=9,VLOOKUP($AJ$10,$T$4:$W$78,4,FALSE),NA())</f>
        <v>315000</v>
      </c>
      <c r="AL11" s="2"/>
      <c r="AM11" s="2">
        <f>IF($E$9&gt;=10,$E$4,NA())</f>
        <v>375</v>
      </c>
      <c r="AN11" s="2">
        <f>IF($E$9&gt;=10,VLOOKUP($AM$10,$T$4:$W$78,4,FALSE),NA())</f>
        <v>349000</v>
      </c>
    </row>
    <row r="12" spans="1:40" x14ac:dyDescent="0.25">
      <c r="A12" s="11">
        <v>90</v>
      </c>
      <c r="B12" s="12">
        <v>185000</v>
      </c>
      <c r="T12" s="11">
        <f t="shared" si="0"/>
        <v>68</v>
      </c>
      <c r="U12" s="7">
        <f t="shared" si="1"/>
        <v>285.00000001199999</v>
      </c>
      <c r="V12" s="11">
        <f t="shared" si="2"/>
        <v>90</v>
      </c>
      <c r="W12" s="12">
        <f t="shared" si="3"/>
        <v>185000</v>
      </c>
      <c r="AA12" s="2">
        <f>IF($E$9&gt;=6,VLOOKUP($AA$10,$T$4:$W$78,3,FALSE),NA())</f>
        <v>315</v>
      </c>
      <c r="AB12" s="2">
        <f>IF($E$9&gt;=6,VLOOKUP($AA$10,$T$4:$W$78,4,FALSE),NA())</f>
        <v>370000</v>
      </c>
      <c r="AC12" s="2"/>
      <c r="AD12" s="2">
        <f>IF($E$9&gt;=7,VLOOKUP($AD$10,$T$4:$W$78,3,FALSE),NA())</f>
        <v>303</v>
      </c>
      <c r="AE12" s="2">
        <f>IF($E$9&gt;=7,VLOOKUP($AD$10,$T$4:$W$78,4,FALSE),NA())</f>
        <v>395100</v>
      </c>
      <c r="AF12" s="2"/>
      <c r="AG12" s="2">
        <f>IF($E$9&gt;=8,VLOOKUP($AG$10,$T$4:$W$78,3,FALSE),NA())</f>
        <v>294</v>
      </c>
      <c r="AH12" s="2">
        <f>IF($E$9&gt;=8,VLOOKUP($AG$10,$T$4:$W$78,4,FALSE),NA())</f>
        <v>375000</v>
      </c>
      <c r="AI12" s="2"/>
      <c r="AJ12" s="2">
        <f>IF($E$9&gt;=9,VLOOKUP($AJ$10,$T$4:$W$78,3,FALSE),NA())</f>
        <v>292</v>
      </c>
      <c r="AK12" s="2">
        <f>IF($E$9&gt;=9,VLOOKUP($AJ$10,$T$4:$W$78,4,FALSE),NA())</f>
        <v>315000</v>
      </c>
      <c r="AL12" s="2"/>
      <c r="AM12" s="2">
        <f>IF($E$9&gt;=10,VLOOKUP($AM$10,$T$4:$W$78,3,FALSE),NA())</f>
        <v>268</v>
      </c>
      <c r="AN12" s="2">
        <f>IF($E$9&gt;=10,VLOOKUP($AM$10,$T$4:$W$78,4,FALSE),NA())</f>
        <v>349000</v>
      </c>
    </row>
    <row r="13" spans="1:40" x14ac:dyDescent="0.25">
      <c r="A13" s="11">
        <v>91</v>
      </c>
      <c r="B13" s="12">
        <v>125000</v>
      </c>
      <c r="T13" s="11">
        <f t="shared" si="0"/>
        <v>65</v>
      </c>
      <c r="U13" s="7">
        <f t="shared" si="1"/>
        <v>284.00000001299998</v>
      </c>
      <c r="V13" s="11">
        <f t="shared" si="2"/>
        <v>91</v>
      </c>
      <c r="W13" s="12">
        <f t="shared" si="3"/>
        <v>125000</v>
      </c>
    </row>
    <row r="14" spans="1:40" x14ac:dyDescent="0.25">
      <c r="A14" s="11">
        <v>91</v>
      </c>
      <c r="B14" s="12">
        <v>132000</v>
      </c>
      <c r="T14" s="11">
        <f t="shared" si="0"/>
        <v>66</v>
      </c>
      <c r="U14" s="7">
        <f t="shared" si="1"/>
        <v>284.00000001400002</v>
      </c>
      <c r="V14" s="11">
        <f t="shared" si="2"/>
        <v>91</v>
      </c>
      <c r="W14" s="12">
        <f t="shared" si="3"/>
        <v>132000</v>
      </c>
    </row>
    <row r="15" spans="1:40" x14ac:dyDescent="0.25">
      <c r="A15" s="11">
        <v>92</v>
      </c>
      <c r="B15" s="12">
        <v>160000</v>
      </c>
      <c r="T15" s="11">
        <f t="shared" si="0"/>
        <v>64</v>
      </c>
      <c r="U15" s="7">
        <f t="shared" si="1"/>
        <v>283.00000001500001</v>
      </c>
      <c r="V15" s="11">
        <f t="shared" si="2"/>
        <v>92</v>
      </c>
      <c r="W15" s="12">
        <f t="shared" si="3"/>
        <v>160000</v>
      </c>
    </row>
    <row r="16" spans="1:40" x14ac:dyDescent="0.25">
      <c r="A16" s="11">
        <v>94</v>
      </c>
      <c r="B16" s="12">
        <v>110000</v>
      </c>
      <c r="T16" s="11">
        <f t="shared" si="0"/>
        <v>63</v>
      </c>
      <c r="U16" s="7">
        <f t="shared" si="1"/>
        <v>281.000000016</v>
      </c>
      <c r="V16" s="11">
        <f t="shared" si="2"/>
        <v>94</v>
      </c>
      <c r="W16" s="12">
        <f t="shared" si="3"/>
        <v>110000</v>
      </c>
    </row>
    <row r="17" spans="1:23" x14ac:dyDescent="0.25">
      <c r="A17" s="11">
        <v>101</v>
      </c>
      <c r="B17" s="12">
        <v>140000</v>
      </c>
      <c r="T17" s="11">
        <f t="shared" si="0"/>
        <v>61</v>
      </c>
      <c r="U17" s="7">
        <f t="shared" si="1"/>
        <v>274.00000001699999</v>
      </c>
      <c r="V17" s="11">
        <f t="shared" si="2"/>
        <v>101</v>
      </c>
      <c r="W17" s="12">
        <f t="shared" si="3"/>
        <v>140000</v>
      </c>
    </row>
    <row r="18" spans="1:23" x14ac:dyDescent="0.25">
      <c r="A18" s="11">
        <v>101</v>
      </c>
      <c r="B18" s="12">
        <v>147308</v>
      </c>
      <c r="T18" s="11">
        <f t="shared" si="0"/>
        <v>62</v>
      </c>
      <c r="U18" s="7">
        <f t="shared" si="1"/>
        <v>274.00000001799998</v>
      </c>
      <c r="V18" s="11">
        <f t="shared" si="2"/>
        <v>101</v>
      </c>
      <c r="W18" s="12">
        <f t="shared" si="3"/>
        <v>147308</v>
      </c>
    </row>
    <row r="19" spans="1:23" x14ac:dyDescent="0.25">
      <c r="A19" s="11">
        <v>107</v>
      </c>
      <c r="B19" s="12">
        <v>198000</v>
      </c>
      <c r="T19" s="11">
        <f t="shared" si="0"/>
        <v>60</v>
      </c>
      <c r="U19" s="7">
        <f t="shared" si="1"/>
        <v>268.00000001900003</v>
      </c>
      <c r="V19" s="11">
        <f t="shared" si="2"/>
        <v>107</v>
      </c>
      <c r="W19" s="12">
        <f t="shared" si="3"/>
        <v>198000</v>
      </c>
    </row>
    <row r="20" spans="1:23" x14ac:dyDescent="0.25">
      <c r="A20" s="11">
        <v>108</v>
      </c>
      <c r="B20" s="12">
        <v>191500</v>
      </c>
      <c r="T20" s="11">
        <f t="shared" si="0"/>
        <v>59</v>
      </c>
      <c r="U20" s="7">
        <f t="shared" si="1"/>
        <v>267.00000002000002</v>
      </c>
      <c r="V20" s="11">
        <f t="shared" si="2"/>
        <v>108</v>
      </c>
      <c r="W20" s="12">
        <f t="shared" si="3"/>
        <v>191500</v>
      </c>
    </row>
    <row r="21" spans="1:23" x14ac:dyDescent="0.25">
      <c r="A21" s="11">
        <v>113</v>
      </c>
      <c r="B21" s="12">
        <v>154000</v>
      </c>
      <c r="T21" s="11">
        <f t="shared" si="0"/>
        <v>57</v>
      </c>
      <c r="U21" s="7">
        <f t="shared" si="1"/>
        <v>262.00000002100001</v>
      </c>
      <c r="V21" s="11">
        <f t="shared" si="2"/>
        <v>113</v>
      </c>
      <c r="W21" s="12">
        <f t="shared" si="3"/>
        <v>154000</v>
      </c>
    </row>
    <row r="22" spans="1:23" x14ac:dyDescent="0.25">
      <c r="A22" s="11">
        <v>113</v>
      </c>
      <c r="B22" s="12">
        <v>135000</v>
      </c>
      <c r="T22" s="11">
        <f t="shared" si="0"/>
        <v>58</v>
      </c>
      <c r="U22" s="7">
        <f t="shared" si="1"/>
        <v>262.00000002199999</v>
      </c>
      <c r="V22" s="11">
        <f t="shared" si="2"/>
        <v>113</v>
      </c>
      <c r="W22" s="12">
        <f t="shared" si="3"/>
        <v>135000</v>
      </c>
    </row>
    <row r="23" spans="1:23" x14ac:dyDescent="0.25">
      <c r="A23" s="11">
        <v>118</v>
      </c>
      <c r="B23" s="12">
        <v>220000</v>
      </c>
      <c r="T23" s="11">
        <f t="shared" si="0"/>
        <v>56</v>
      </c>
      <c r="U23" s="7">
        <f t="shared" si="1"/>
        <v>257.00000002299998</v>
      </c>
      <c r="V23" s="11">
        <f t="shared" si="2"/>
        <v>118</v>
      </c>
      <c r="W23" s="12">
        <f t="shared" si="3"/>
        <v>220000</v>
      </c>
    </row>
    <row r="24" spans="1:23" x14ac:dyDescent="0.25">
      <c r="A24" s="11">
        <v>119</v>
      </c>
      <c r="B24" s="12">
        <v>235000</v>
      </c>
      <c r="T24" s="11">
        <f t="shared" si="0"/>
        <v>54</v>
      </c>
      <c r="U24" s="7">
        <f t="shared" si="1"/>
        <v>256.00000002399997</v>
      </c>
      <c r="V24" s="11">
        <f t="shared" si="2"/>
        <v>119</v>
      </c>
      <c r="W24" s="12">
        <f t="shared" si="3"/>
        <v>235000</v>
      </c>
    </row>
    <row r="25" spans="1:23" x14ac:dyDescent="0.25">
      <c r="A25" s="11">
        <v>119</v>
      </c>
      <c r="B25" s="12">
        <v>167293</v>
      </c>
      <c r="T25" s="11">
        <f t="shared" si="0"/>
        <v>55</v>
      </c>
      <c r="U25" s="7">
        <f t="shared" si="1"/>
        <v>256.00000002500002</v>
      </c>
      <c r="V25" s="11">
        <f t="shared" si="2"/>
        <v>119</v>
      </c>
      <c r="W25" s="12">
        <f t="shared" si="3"/>
        <v>167293</v>
      </c>
    </row>
    <row r="26" spans="1:23" x14ac:dyDescent="0.25">
      <c r="A26" s="11">
        <v>123</v>
      </c>
      <c r="B26" s="12">
        <v>175000</v>
      </c>
      <c r="T26" s="11">
        <f t="shared" si="0"/>
        <v>53</v>
      </c>
      <c r="U26" s="7">
        <f t="shared" si="1"/>
        <v>252.00000002600001</v>
      </c>
      <c r="V26" s="11">
        <f t="shared" si="2"/>
        <v>123</v>
      </c>
      <c r="W26" s="12">
        <f t="shared" si="3"/>
        <v>175000</v>
      </c>
    </row>
    <row r="27" spans="1:23" x14ac:dyDescent="0.25">
      <c r="A27" s="11">
        <v>124</v>
      </c>
      <c r="B27" s="12">
        <v>188335</v>
      </c>
      <c r="T27" s="11">
        <f t="shared" si="0"/>
        <v>52</v>
      </c>
      <c r="U27" s="7">
        <f t="shared" si="1"/>
        <v>251.000000027</v>
      </c>
      <c r="V27" s="11">
        <f t="shared" si="2"/>
        <v>124</v>
      </c>
      <c r="W27" s="12">
        <f t="shared" si="3"/>
        <v>188335</v>
      </c>
    </row>
    <row r="28" spans="1:23" x14ac:dyDescent="0.25">
      <c r="A28" s="11">
        <v>134</v>
      </c>
      <c r="B28" s="12">
        <v>168000</v>
      </c>
      <c r="T28" s="11">
        <f t="shared" si="0"/>
        <v>51</v>
      </c>
      <c r="U28" s="7">
        <f t="shared" si="1"/>
        <v>241.00000002799999</v>
      </c>
      <c r="V28" s="11">
        <f t="shared" si="2"/>
        <v>134</v>
      </c>
      <c r="W28" s="12">
        <f t="shared" si="3"/>
        <v>168000</v>
      </c>
    </row>
    <row r="29" spans="1:23" x14ac:dyDescent="0.25">
      <c r="A29" s="11">
        <v>135</v>
      </c>
      <c r="B29" s="12">
        <v>213000</v>
      </c>
      <c r="T29" s="11">
        <f t="shared" si="0"/>
        <v>49</v>
      </c>
      <c r="U29" s="7">
        <f t="shared" si="1"/>
        <v>240.00000002900001</v>
      </c>
      <c r="V29" s="11">
        <f t="shared" si="2"/>
        <v>135</v>
      </c>
      <c r="W29" s="12">
        <f t="shared" si="3"/>
        <v>213000</v>
      </c>
    </row>
    <row r="30" spans="1:23" x14ac:dyDescent="0.25">
      <c r="A30" s="11">
        <v>135</v>
      </c>
      <c r="B30" s="12">
        <v>255000</v>
      </c>
      <c r="T30" s="11">
        <f t="shared" si="0"/>
        <v>50</v>
      </c>
      <c r="U30" s="7">
        <f t="shared" si="1"/>
        <v>240.00000003</v>
      </c>
      <c r="V30" s="11">
        <f t="shared" si="2"/>
        <v>135</v>
      </c>
      <c r="W30" s="12">
        <f t="shared" si="3"/>
        <v>255000</v>
      </c>
    </row>
    <row r="31" spans="1:23" x14ac:dyDescent="0.25">
      <c r="A31" s="11">
        <v>143</v>
      </c>
      <c r="B31" s="12">
        <v>189000</v>
      </c>
      <c r="T31" s="11">
        <f t="shared" si="0"/>
        <v>48</v>
      </c>
      <c r="U31" s="7">
        <f t="shared" si="1"/>
        <v>232.00000003100001</v>
      </c>
      <c r="V31" s="11">
        <f t="shared" si="2"/>
        <v>143</v>
      </c>
      <c r="W31" s="12">
        <f t="shared" si="3"/>
        <v>189000</v>
      </c>
    </row>
    <row r="32" spans="1:23" x14ac:dyDescent="0.25">
      <c r="A32" s="11">
        <v>145</v>
      </c>
      <c r="B32" s="12">
        <v>225500</v>
      </c>
      <c r="T32" s="11">
        <f t="shared" si="0"/>
        <v>47</v>
      </c>
      <c r="U32" s="7">
        <f t="shared" si="1"/>
        <v>230.000000032</v>
      </c>
      <c r="V32" s="11">
        <f t="shared" si="2"/>
        <v>145</v>
      </c>
      <c r="W32" s="12">
        <f t="shared" si="3"/>
        <v>225500</v>
      </c>
    </row>
    <row r="33" spans="1:23" x14ac:dyDescent="0.25">
      <c r="A33" s="11">
        <v>148</v>
      </c>
      <c r="B33" s="12">
        <v>181000</v>
      </c>
      <c r="T33" s="11">
        <f t="shared" si="0"/>
        <v>46</v>
      </c>
      <c r="U33" s="7">
        <f t="shared" si="1"/>
        <v>227.00000003299999</v>
      </c>
      <c r="V33" s="11">
        <f t="shared" si="2"/>
        <v>148</v>
      </c>
      <c r="W33" s="12">
        <f t="shared" si="3"/>
        <v>181000</v>
      </c>
    </row>
    <row r="34" spans="1:23" x14ac:dyDescent="0.25">
      <c r="A34" s="11">
        <v>156</v>
      </c>
      <c r="B34" s="12">
        <v>168750</v>
      </c>
      <c r="T34" s="11">
        <f t="shared" si="0"/>
        <v>45</v>
      </c>
      <c r="U34" s="7">
        <f t="shared" si="1"/>
        <v>219.00000003400001</v>
      </c>
      <c r="V34" s="11">
        <f t="shared" si="2"/>
        <v>156</v>
      </c>
      <c r="W34" s="12">
        <f t="shared" si="3"/>
        <v>168750</v>
      </c>
    </row>
    <row r="35" spans="1:23" x14ac:dyDescent="0.25">
      <c r="A35" s="11">
        <v>157</v>
      </c>
      <c r="B35" s="12">
        <v>235301</v>
      </c>
      <c r="T35" s="11">
        <f t="shared" si="0"/>
        <v>44</v>
      </c>
      <c r="U35" s="7">
        <f t="shared" si="1"/>
        <v>218.000000035</v>
      </c>
      <c r="V35" s="11">
        <f t="shared" si="2"/>
        <v>157</v>
      </c>
      <c r="W35" s="12">
        <f t="shared" si="3"/>
        <v>235301</v>
      </c>
    </row>
    <row r="36" spans="1:23" x14ac:dyDescent="0.25">
      <c r="A36" s="11">
        <v>160</v>
      </c>
      <c r="B36" s="12">
        <v>266000</v>
      </c>
      <c r="T36" s="11">
        <f t="shared" si="0"/>
        <v>43</v>
      </c>
      <c r="U36" s="7">
        <f t="shared" si="1"/>
        <v>215.00000003599999</v>
      </c>
      <c r="V36" s="11">
        <f t="shared" si="2"/>
        <v>160</v>
      </c>
      <c r="W36" s="12">
        <f t="shared" si="3"/>
        <v>266000</v>
      </c>
    </row>
    <row r="37" spans="1:23" x14ac:dyDescent="0.25">
      <c r="A37" s="11">
        <v>162</v>
      </c>
      <c r="B37" s="12">
        <v>221000</v>
      </c>
      <c r="T37" s="11">
        <f t="shared" si="0"/>
        <v>42</v>
      </c>
      <c r="U37" s="7">
        <f t="shared" si="1"/>
        <v>213.00000003700001</v>
      </c>
      <c r="V37" s="11">
        <f t="shared" si="2"/>
        <v>162</v>
      </c>
      <c r="W37" s="12">
        <f t="shared" si="3"/>
        <v>221000</v>
      </c>
    </row>
    <row r="38" spans="1:23" x14ac:dyDescent="0.25">
      <c r="A38" s="11">
        <v>173</v>
      </c>
      <c r="B38" s="12">
        <v>215000</v>
      </c>
      <c r="T38" s="11">
        <f t="shared" si="0"/>
        <v>40</v>
      </c>
      <c r="U38" s="7">
        <f t="shared" si="1"/>
        <v>202.000000038</v>
      </c>
      <c r="V38" s="11">
        <f t="shared" si="2"/>
        <v>173</v>
      </c>
      <c r="W38" s="12">
        <f t="shared" si="3"/>
        <v>215000</v>
      </c>
    </row>
    <row r="39" spans="1:23" x14ac:dyDescent="0.25">
      <c r="A39" s="11">
        <v>173</v>
      </c>
      <c r="B39" s="12">
        <v>285000</v>
      </c>
      <c r="T39" s="11">
        <f t="shared" si="0"/>
        <v>41</v>
      </c>
      <c r="U39" s="7">
        <f t="shared" si="1"/>
        <v>202.00000003900001</v>
      </c>
      <c r="V39" s="11">
        <f t="shared" si="2"/>
        <v>173</v>
      </c>
      <c r="W39" s="12">
        <f t="shared" si="3"/>
        <v>285000</v>
      </c>
    </row>
    <row r="40" spans="1:23" x14ac:dyDescent="0.25">
      <c r="A40" s="11">
        <v>183</v>
      </c>
      <c r="B40" s="12">
        <v>240971</v>
      </c>
      <c r="T40" s="11">
        <f t="shared" si="0"/>
        <v>39</v>
      </c>
      <c r="U40" s="7">
        <f t="shared" si="1"/>
        <v>192.00000004</v>
      </c>
      <c r="V40" s="11">
        <f t="shared" si="2"/>
        <v>183</v>
      </c>
      <c r="W40" s="12">
        <f t="shared" si="3"/>
        <v>240971</v>
      </c>
    </row>
    <row r="41" spans="1:23" x14ac:dyDescent="0.25">
      <c r="A41" s="11">
        <v>185</v>
      </c>
      <c r="B41" s="12">
        <v>225000</v>
      </c>
      <c r="T41" s="11">
        <f t="shared" si="0"/>
        <v>37</v>
      </c>
      <c r="U41" s="7">
        <f t="shared" si="1"/>
        <v>190.00000004099999</v>
      </c>
      <c r="V41" s="11">
        <f t="shared" si="2"/>
        <v>185</v>
      </c>
      <c r="W41" s="12">
        <f t="shared" si="3"/>
        <v>225000</v>
      </c>
    </row>
    <row r="42" spans="1:23" x14ac:dyDescent="0.25">
      <c r="A42" s="11">
        <v>185</v>
      </c>
      <c r="B42" s="12">
        <v>298000</v>
      </c>
      <c r="D42" s="25" t="s">
        <v>19</v>
      </c>
      <c r="E42" s="25"/>
      <c r="F42" s="25"/>
      <c r="T42" s="11">
        <f t="shared" si="0"/>
        <v>38</v>
      </c>
      <c r="U42" s="7">
        <f t="shared" si="1"/>
        <v>190.00000004200001</v>
      </c>
      <c r="V42" s="11">
        <f t="shared" si="2"/>
        <v>185</v>
      </c>
      <c r="W42" s="12">
        <f t="shared" si="3"/>
        <v>298000</v>
      </c>
    </row>
    <row r="43" spans="1:23" x14ac:dyDescent="0.25">
      <c r="A43" s="11">
        <v>189</v>
      </c>
      <c r="B43" s="12">
        <v>270000</v>
      </c>
      <c r="D43" s="26" t="s">
        <v>20</v>
      </c>
      <c r="E43" s="26"/>
      <c r="F43" s="25"/>
      <c r="T43" s="11">
        <f t="shared" si="0"/>
        <v>36</v>
      </c>
      <c r="U43" s="7">
        <f t="shared" si="1"/>
        <v>186.000000043</v>
      </c>
      <c r="V43" s="11">
        <f t="shared" si="2"/>
        <v>189</v>
      </c>
      <c r="W43" s="12">
        <f t="shared" si="3"/>
        <v>270000</v>
      </c>
    </row>
    <row r="44" spans="1:23" x14ac:dyDescent="0.25">
      <c r="A44" s="11">
        <v>192</v>
      </c>
      <c r="B44" s="12">
        <v>285000</v>
      </c>
      <c r="D44" s="26" t="s">
        <v>21</v>
      </c>
      <c r="E44" s="26"/>
      <c r="F44" s="25"/>
      <c r="T44" s="11">
        <f t="shared" si="0"/>
        <v>35</v>
      </c>
      <c r="U44" s="7">
        <f t="shared" si="1"/>
        <v>183.00000004399999</v>
      </c>
      <c r="V44" s="11">
        <f t="shared" si="2"/>
        <v>192</v>
      </c>
      <c r="W44" s="12">
        <f t="shared" si="3"/>
        <v>285000</v>
      </c>
    </row>
    <row r="45" spans="1:23" x14ac:dyDescent="0.25">
      <c r="A45" s="11">
        <v>195</v>
      </c>
      <c r="B45" s="12">
        <v>289000</v>
      </c>
      <c r="D45" s="26"/>
      <c r="E45" s="26"/>
      <c r="F45" s="25"/>
      <c r="T45" s="11">
        <f t="shared" si="0"/>
        <v>34</v>
      </c>
      <c r="U45" s="7">
        <f t="shared" si="1"/>
        <v>180.00000004500001</v>
      </c>
      <c r="V45" s="11">
        <f t="shared" si="2"/>
        <v>195</v>
      </c>
      <c r="W45" s="12">
        <f t="shared" si="3"/>
        <v>289000</v>
      </c>
    </row>
    <row r="46" spans="1:23" x14ac:dyDescent="0.25">
      <c r="A46" s="11">
        <v>196</v>
      </c>
      <c r="B46" s="12">
        <v>330000</v>
      </c>
      <c r="D46" s="26"/>
      <c r="E46" s="26"/>
      <c r="F46" s="25"/>
      <c r="T46" s="11">
        <f t="shared" si="0"/>
        <v>33</v>
      </c>
      <c r="U46" s="7">
        <f t="shared" si="1"/>
        <v>179.000000046</v>
      </c>
      <c r="V46" s="11">
        <f t="shared" si="2"/>
        <v>196</v>
      </c>
      <c r="W46" s="12">
        <f t="shared" si="3"/>
        <v>330000</v>
      </c>
    </row>
    <row r="47" spans="1:23" x14ac:dyDescent="0.25">
      <c r="A47" s="11">
        <v>201</v>
      </c>
      <c r="B47" s="12">
        <v>290000</v>
      </c>
      <c r="D47" s="26"/>
      <c r="E47" s="26"/>
      <c r="F47" s="25"/>
      <c r="T47" s="11">
        <f t="shared" si="0"/>
        <v>31</v>
      </c>
      <c r="U47" s="7">
        <f t="shared" si="1"/>
        <v>174.00000004699999</v>
      </c>
      <c r="V47" s="11">
        <f t="shared" si="2"/>
        <v>201</v>
      </c>
      <c r="W47" s="12">
        <f t="shared" si="3"/>
        <v>290000</v>
      </c>
    </row>
    <row r="48" spans="1:23" x14ac:dyDescent="0.25">
      <c r="A48" s="11">
        <v>201</v>
      </c>
      <c r="B48" s="12">
        <v>170250</v>
      </c>
      <c r="D48" s="26"/>
      <c r="E48" s="26"/>
      <c r="T48" s="11">
        <f t="shared" si="0"/>
        <v>32</v>
      </c>
      <c r="U48" s="7">
        <f t="shared" si="1"/>
        <v>174.000000048</v>
      </c>
      <c r="V48" s="11">
        <f t="shared" si="2"/>
        <v>201</v>
      </c>
      <c r="W48" s="12">
        <f t="shared" si="3"/>
        <v>170250</v>
      </c>
    </row>
    <row r="49" spans="1:23" x14ac:dyDescent="0.25">
      <c r="A49" s="11">
        <v>202</v>
      </c>
      <c r="B49" s="12">
        <v>292000</v>
      </c>
      <c r="T49" s="11">
        <f t="shared" si="0"/>
        <v>29</v>
      </c>
      <c r="U49" s="7">
        <f t="shared" si="1"/>
        <v>173.00000004899999</v>
      </c>
      <c r="V49" s="11">
        <f t="shared" si="2"/>
        <v>202</v>
      </c>
      <c r="W49" s="12">
        <f t="shared" si="3"/>
        <v>292000</v>
      </c>
    </row>
    <row r="50" spans="1:23" x14ac:dyDescent="0.25">
      <c r="A50" s="11">
        <v>202</v>
      </c>
      <c r="B50" s="12">
        <v>257729</v>
      </c>
      <c r="T50" s="11">
        <f t="shared" si="0"/>
        <v>30</v>
      </c>
      <c r="U50" s="7">
        <f t="shared" si="1"/>
        <v>173.00000005000001</v>
      </c>
      <c r="V50" s="11">
        <f t="shared" si="2"/>
        <v>202</v>
      </c>
      <c r="W50" s="12">
        <f t="shared" si="3"/>
        <v>257729</v>
      </c>
    </row>
    <row r="51" spans="1:23" x14ac:dyDescent="0.25">
      <c r="A51" s="11">
        <v>207</v>
      </c>
      <c r="B51" s="12">
        <v>311328</v>
      </c>
      <c r="T51" s="11">
        <f t="shared" si="0"/>
        <v>28</v>
      </c>
      <c r="U51" s="7">
        <f t="shared" si="1"/>
        <v>168.000000051</v>
      </c>
      <c r="V51" s="11">
        <f t="shared" si="2"/>
        <v>207</v>
      </c>
      <c r="W51" s="12">
        <f t="shared" si="3"/>
        <v>311328</v>
      </c>
    </row>
    <row r="52" spans="1:23" x14ac:dyDescent="0.25">
      <c r="A52" s="11">
        <v>210</v>
      </c>
      <c r="B52" s="12">
        <v>232500</v>
      </c>
      <c r="T52" s="11">
        <f t="shared" si="0"/>
        <v>27</v>
      </c>
      <c r="U52" s="7">
        <f t="shared" si="1"/>
        <v>165.00000005199999</v>
      </c>
      <c r="V52" s="11">
        <f t="shared" si="2"/>
        <v>210</v>
      </c>
      <c r="W52" s="12">
        <f t="shared" si="3"/>
        <v>232500</v>
      </c>
    </row>
    <row r="53" spans="1:23" x14ac:dyDescent="0.25">
      <c r="A53" s="11">
        <v>219</v>
      </c>
      <c r="B53" s="12">
        <v>335750</v>
      </c>
      <c r="T53" s="11">
        <f t="shared" si="0"/>
        <v>26</v>
      </c>
      <c r="U53" s="7">
        <f t="shared" si="1"/>
        <v>156.00000005300001</v>
      </c>
      <c r="V53" s="11">
        <f t="shared" si="2"/>
        <v>219</v>
      </c>
      <c r="W53" s="12">
        <f t="shared" si="3"/>
        <v>335750</v>
      </c>
    </row>
    <row r="54" spans="1:23" x14ac:dyDescent="0.25">
      <c r="A54" s="11">
        <v>220</v>
      </c>
      <c r="B54" s="12">
        <v>315537</v>
      </c>
      <c r="T54" s="11">
        <f t="shared" si="0"/>
        <v>24</v>
      </c>
      <c r="U54" s="7">
        <f t="shared" si="1"/>
        <v>155.000000054</v>
      </c>
      <c r="V54" s="11">
        <f t="shared" si="2"/>
        <v>220</v>
      </c>
      <c r="W54" s="12">
        <f t="shared" si="3"/>
        <v>315537</v>
      </c>
    </row>
    <row r="55" spans="1:23" x14ac:dyDescent="0.25">
      <c r="A55" s="11">
        <v>220</v>
      </c>
      <c r="B55" s="12">
        <v>240000</v>
      </c>
      <c r="T55" s="11">
        <f t="shared" si="0"/>
        <v>25</v>
      </c>
      <c r="U55" s="7">
        <f t="shared" si="1"/>
        <v>155.00000005499999</v>
      </c>
      <c r="V55" s="11">
        <f t="shared" si="2"/>
        <v>220</v>
      </c>
      <c r="W55" s="12">
        <f t="shared" si="3"/>
        <v>240000</v>
      </c>
    </row>
    <row r="56" spans="1:23" x14ac:dyDescent="0.25">
      <c r="A56" s="11">
        <v>229</v>
      </c>
      <c r="B56" s="12">
        <v>312000</v>
      </c>
      <c r="T56" s="11">
        <f t="shared" si="0"/>
        <v>23</v>
      </c>
      <c r="U56" s="7">
        <f t="shared" si="1"/>
        <v>146.000000056</v>
      </c>
      <c r="V56" s="11">
        <f t="shared" si="2"/>
        <v>229</v>
      </c>
      <c r="W56" s="12">
        <f t="shared" si="3"/>
        <v>312000</v>
      </c>
    </row>
    <row r="57" spans="1:23" x14ac:dyDescent="0.25">
      <c r="A57" s="11">
        <v>232</v>
      </c>
      <c r="B57" s="12">
        <v>297000</v>
      </c>
      <c r="T57" s="11">
        <f t="shared" si="0"/>
        <v>21</v>
      </c>
      <c r="U57" s="7">
        <f t="shared" si="1"/>
        <v>143.00000005699999</v>
      </c>
      <c r="V57" s="11">
        <f t="shared" si="2"/>
        <v>232</v>
      </c>
      <c r="W57" s="12">
        <f t="shared" si="3"/>
        <v>297000</v>
      </c>
    </row>
    <row r="58" spans="1:23" x14ac:dyDescent="0.25">
      <c r="A58" s="11">
        <v>233</v>
      </c>
      <c r="B58" s="12">
        <v>246750</v>
      </c>
      <c r="T58" s="11">
        <f t="shared" si="0"/>
        <v>20</v>
      </c>
      <c r="U58" s="7">
        <f t="shared" si="1"/>
        <v>142.00000005800001</v>
      </c>
      <c r="V58" s="11">
        <f t="shared" si="2"/>
        <v>233</v>
      </c>
      <c r="W58" s="12">
        <f t="shared" si="3"/>
        <v>246750</v>
      </c>
    </row>
    <row r="59" spans="1:23" x14ac:dyDescent="0.25">
      <c r="A59" s="11">
        <v>232</v>
      </c>
      <c r="B59" s="12">
        <v>276000</v>
      </c>
      <c r="T59" s="11">
        <f t="shared" si="0"/>
        <v>22</v>
      </c>
      <c r="U59" s="7">
        <f t="shared" si="1"/>
        <v>143.000000059</v>
      </c>
      <c r="V59" s="11">
        <f t="shared" si="2"/>
        <v>232</v>
      </c>
      <c r="W59" s="12">
        <f t="shared" si="3"/>
        <v>276000</v>
      </c>
    </row>
    <row r="60" spans="1:23" x14ac:dyDescent="0.25">
      <c r="A60" s="11">
        <v>237</v>
      </c>
      <c r="B60" s="12">
        <v>277980</v>
      </c>
      <c r="T60" s="11">
        <f t="shared" si="0"/>
        <v>19</v>
      </c>
      <c r="U60" s="7">
        <f t="shared" si="1"/>
        <v>138.00000005999999</v>
      </c>
      <c r="V60" s="11">
        <f t="shared" si="2"/>
        <v>237</v>
      </c>
      <c r="W60" s="12">
        <f t="shared" si="3"/>
        <v>277980</v>
      </c>
    </row>
    <row r="61" spans="1:23" x14ac:dyDescent="0.25">
      <c r="A61" s="11">
        <v>240</v>
      </c>
      <c r="B61" s="12">
        <v>367463</v>
      </c>
      <c r="T61" s="11">
        <f t="shared" si="0"/>
        <v>18</v>
      </c>
      <c r="U61" s="7">
        <f t="shared" si="1"/>
        <v>135.00000006100001</v>
      </c>
      <c r="V61" s="11">
        <f t="shared" si="2"/>
        <v>240</v>
      </c>
      <c r="W61" s="12">
        <f t="shared" si="3"/>
        <v>367463</v>
      </c>
    </row>
    <row r="62" spans="1:23" x14ac:dyDescent="0.25">
      <c r="A62" s="11">
        <v>252</v>
      </c>
      <c r="B62" s="12">
        <v>266000</v>
      </c>
      <c r="T62" s="11">
        <f t="shared" si="0"/>
        <v>14</v>
      </c>
      <c r="U62" s="7">
        <f t="shared" si="1"/>
        <v>123.000000062</v>
      </c>
      <c r="V62" s="11">
        <f t="shared" si="2"/>
        <v>252</v>
      </c>
      <c r="W62" s="12">
        <f t="shared" si="3"/>
        <v>266000</v>
      </c>
    </row>
    <row r="63" spans="1:23" x14ac:dyDescent="0.25">
      <c r="A63" s="11">
        <v>294</v>
      </c>
      <c r="B63" s="12">
        <v>375000</v>
      </c>
      <c r="T63" s="11">
        <f t="shared" si="0"/>
        <v>8</v>
      </c>
      <c r="U63" s="7">
        <f t="shared" si="1"/>
        <v>81.000000063000002</v>
      </c>
      <c r="V63" s="11">
        <f t="shared" si="2"/>
        <v>294</v>
      </c>
      <c r="W63" s="12">
        <f t="shared" si="3"/>
        <v>375000</v>
      </c>
    </row>
    <row r="64" spans="1:23" x14ac:dyDescent="0.25">
      <c r="A64" s="11">
        <v>292</v>
      </c>
      <c r="B64" s="12">
        <v>315000</v>
      </c>
      <c r="T64" s="11">
        <f t="shared" si="0"/>
        <v>9</v>
      </c>
      <c r="U64" s="7">
        <f t="shared" si="1"/>
        <v>83.000000064000005</v>
      </c>
      <c r="V64" s="11">
        <f t="shared" si="2"/>
        <v>292</v>
      </c>
      <c r="W64" s="12">
        <f t="shared" si="3"/>
        <v>315000</v>
      </c>
    </row>
    <row r="65" spans="1:23" x14ac:dyDescent="0.25">
      <c r="A65" s="11">
        <v>247</v>
      </c>
      <c r="B65" s="12">
        <v>239700</v>
      </c>
      <c r="T65" s="11">
        <f t="shared" si="0"/>
        <v>16</v>
      </c>
      <c r="U65" s="7">
        <f t="shared" si="1"/>
        <v>128.00000006499999</v>
      </c>
      <c r="V65" s="11">
        <f t="shared" si="2"/>
        <v>247</v>
      </c>
      <c r="W65" s="12">
        <f t="shared" si="3"/>
        <v>239700</v>
      </c>
    </row>
    <row r="66" spans="1:23" x14ac:dyDescent="0.25">
      <c r="A66" s="11">
        <v>243</v>
      </c>
      <c r="B66" s="12">
        <v>346375</v>
      </c>
      <c r="T66" s="11">
        <f t="shared" si="0"/>
        <v>17</v>
      </c>
      <c r="U66" s="7">
        <f t="shared" si="1"/>
        <v>132.00000006600001</v>
      </c>
      <c r="V66" s="11">
        <f t="shared" si="2"/>
        <v>243</v>
      </c>
      <c r="W66" s="12">
        <f t="shared" si="3"/>
        <v>346375</v>
      </c>
    </row>
    <row r="67" spans="1:23" x14ac:dyDescent="0.25">
      <c r="A67" s="11">
        <v>254</v>
      </c>
      <c r="B67" s="12">
        <v>274425</v>
      </c>
      <c r="T67" s="11">
        <f t="shared" si="0"/>
        <v>12</v>
      </c>
      <c r="U67" s="7">
        <f t="shared" si="1"/>
        <v>121.000000067</v>
      </c>
      <c r="V67" s="11">
        <f t="shared" si="2"/>
        <v>254</v>
      </c>
      <c r="W67" s="12">
        <f t="shared" si="3"/>
        <v>274425</v>
      </c>
    </row>
    <row r="68" spans="1:23" x14ac:dyDescent="0.25">
      <c r="A68" s="11">
        <v>268</v>
      </c>
      <c r="B68" s="12">
        <v>349000</v>
      </c>
      <c r="T68" s="11">
        <f t="shared" si="0"/>
        <v>10</v>
      </c>
      <c r="U68" s="7">
        <f t="shared" si="1"/>
        <v>107.00000006800001</v>
      </c>
      <c r="V68" s="11">
        <f t="shared" si="2"/>
        <v>268</v>
      </c>
      <c r="W68" s="12">
        <f t="shared" si="3"/>
        <v>349000</v>
      </c>
    </row>
    <row r="69" spans="1:23" x14ac:dyDescent="0.25">
      <c r="A69" s="11">
        <v>252</v>
      </c>
      <c r="B69" s="12">
        <v>266000</v>
      </c>
      <c r="T69" s="11">
        <f t="shared" ref="T69:T78" si="4">_xlfn.RANK.EQ(U69,$U$4:$U$78,1)</f>
        <v>15</v>
      </c>
      <c r="U69" s="7">
        <f t="shared" ref="U69:U78" si="5">ABS($E$4-A69)+ROW()/1000000000</f>
        <v>123.000000069</v>
      </c>
      <c r="V69" s="11">
        <f t="shared" ref="V69:V78" si="6">A69</f>
        <v>252</v>
      </c>
      <c r="W69" s="12">
        <f t="shared" ref="W69:W78" si="7">B69</f>
        <v>266000</v>
      </c>
    </row>
    <row r="70" spans="1:23" x14ac:dyDescent="0.25">
      <c r="A70" s="11">
        <v>254</v>
      </c>
      <c r="B70" s="12">
        <v>335750</v>
      </c>
      <c r="T70" s="11">
        <f t="shared" si="4"/>
        <v>13</v>
      </c>
      <c r="U70" s="7">
        <f t="shared" si="5"/>
        <v>121.00000007</v>
      </c>
      <c r="V70" s="11">
        <f t="shared" si="6"/>
        <v>254</v>
      </c>
      <c r="W70" s="12">
        <f t="shared" si="7"/>
        <v>335750</v>
      </c>
    </row>
    <row r="71" spans="1:23" x14ac:dyDescent="0.25">
      <c r="A71" s="11">
        <v>260</v>
      </c>
      <c r="B71" s="12">
        <v>258000</v>
      </c>
      <c r="T71" s="11">
        <f t="shared" si="4"/>
        <v>11</v>
      </c>
      <c r="U71" s="7">
        <f t="shared" si="5"/>
        <v>115.000000071</v>
      </c>
      <c r="V71" s="11">
        <f t="shared" si="6"/>
        <v>260</v>
      </c>
      <c r="W71" s="12">
        <f t="shared" si="7"/>
        <v>258000</v>
      </c>
    </row>
    <row r="72" spans="1:23" x14ac:dyDescent="0.25">
      <c r="A72" s="11">
        <v>303</v>
      </c>
      <c r="B72" s="12">
        <v>395100</v>
      </c>
      <c r="T72" s="11">
        <f t="shared" si="4"/>
        <v>7</v>
      </c>
      <c r="U72" s="7">
        <f t="shared" si="5"/>
        <v>72.000000072000006</v>
      </c>
      <c r="V72" s="11">
        <f t="shared" si="6"/>
        <v>303</v>
      </c>
      <c r="W72" s="12">
        <f t="shared" si="7"/>
        <v>395100</v>
      </c>
    </row>
    <row r="73" spans="1:23" x14ac:dyDescent="0.25">
      <c r="A73" s="11">
        <v>315</v>
      </c>
      <c r="B73" s="12">
        <v>370000</v>
      </c>
      <c r="T73" s="11">
        <f t="shared" si="4"/>
        <v>6</v>
      </c>
      <c r="U73" s="7">
        <f t="shared" si="5"/>
        <v>60.000000073000002</v>
      </c>
      <c r="V73" s="11">
        <f t="shared" si="6"/>
        <v>315</v>
      </c>
      <c r="W73" s="12">
        <f t="shared" si="7"/>
        <v>370000</v>
      </c>
    </row>
    <row r="74" spans="1:23" x14ac:dyDescent="0.25">
      <c r="A74" s="11">
        <v>320</v>
      </c>
      <c r="B74" s="12">
        <v>394470</v>
      </c>
      <c r="T74" s="11">
        <f t="shared" si="4"/>
        <v>5</v>
      </c>
      <c r="U74" s="7">
        <f t="shared" si="5"/>
        <v>55.000000073999999</v>
      </c>
      <c r="V74" s="11">
        <f t="shared" si="6"/>
        <v>320</v>
      </c>
      <c r="W74" s="12">
        <f t="shared" si="7"/>
        <v>394470</v>
      </c>
    </row>
    <row r="75" spans="1:23" x14ac:dyDescent="0.25">
      <c r="A75" s="11">
        <v>323</v>
      </c>
      <c r="B75" s="12">
        <v>320000</v>
      </c>
      <c r="T75" s="11">
        <f t="shared" si="4"/>
        <v>4</v>
      </c>
      <c r="U75" s="7">
        <f t="shared" si="5"/>
        <v>52.000000075000003</v>
      </c>
      <c r="V75" s="11">
        <f t="shared" si="6"/>
        <v>323</v>
      </c>
      <c r="W75" s="12">
        <f t="shared" si="7"/>
        <v>320000</v>
      </c>
    </row>
    <row r="76" spans="1:23" x14ac:dyDescent="0.25">
      <c r="A76" s="11">
        <v>336</v>
      </c>
      <c r="B76" s="12">
        <v>430000</v>
      </c>
      <c r="T76" s="11">
        <f t="shared" si="4"/>
        <v>3</v>
      </c>
      <c r="U76" s="7">
        <f t="shared" si="5"/>
        <v>39.000000075999999</v>
      </c>
      <c r="V76" s="11">
        <f t="shared" si="6"/>
        <v>336</v>
      </c>
      <c r="W76" s="12">
        <f t="shared" si="7"/>
        <v>430000</v>
      </c>
    </row>
    <row r="77" spans="1:23" x14ac:dyDescent="0.25">
      <c r="A77" s="11">
        <v>349</v>
      </c>
      <c r="B77" s="12">
        <v>420000</v>
      </c>
      <c r="T77" s="11">
        <f t="shared" si="4"/>
        <v>2</v>
      </c>
      <c r="U77" s="7">
        <f t="shared" si="5"/>
        <v>26.000000076999999</v>
      </c>
      <c r="V77" s="11">
        <f t="shared" si="6"/>
        <v>349</v>
      </c>
      <c r="W77" s="12">
        <f t="shared" si="7"/>
        <v>420000</v>
      </c>
    </row>
    <row r="78" spans="1:23" x14ac:dyDescent="0.25">
      <c r="A78" s="11">
        <v>395</v>
      </c>
      <c r="B78" s="12">
        <v>452000</v>
      </c>
      <c r="T78" s="11">
        <f t="shared" si="4"/>
        <v>1</v>
      </c>
      <c r="U78" s="7">
        <f t="shared" si="5"/>
        <v>20.000000077999999</v>
      </c>
      <c r="V78" s="11">
        <f t="shared" si="6"/>
        <v>395</v>
      </c>
      <c r="W78" s="12">
        <f t="shared" si="7"/>
        <v>452000</v>
      </c>
    </row>
  </sheetData>
  <sheetProtection algorithmName="SHA-512" hashValue="iQ1DAoscYxG7GETKbGjcj028rGmqWKpW6S0iXnHEdCd3DhjN9PoYiOJ+1mTyeSQYjIG++XdYXmWq+28vs66WKg==" saltValue="iC3tZbD4itKcNVMnLAysGg==" spinCount="100000" sheet="1" objects="1" scenarios="1" selectLockedCells="1"/>
  <mergeCells count="11">
    <mergeCell ref="D45:E48"/>
    <mergeCell ref="A1:B2"/>
    <mergeCell ref="D2:E3"/>
    <mergeCell ref="G2:M2"/>
    <mergeCell ref="G10:I11"/>
    <mergeCell ref="J10:L11"/>
    <mergeCell ref="D43:E43"/>
    <mergeCell ref="D44:E44"/>
    <mergeCell ref="D10:E11"/>
    <mergeCell ref="AA1:AE1"/>
    <mergeCell ref="AA4:AD4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Regression_Hauspreis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Fuchs</dc:creator>
  <cp:lastModifiedBy>Tobias Fuchs</cp:lastModifiedBy>
  <dcterms:created xsi:type="dcterms:W3CDTF">2023-01-08T09:50:44Z</dcterms:created>
  <dcterms:modified xsi:type="dcterms:W3CDTF">2023-03-31T06:36:48Z</dcterms:modified>
</cp:coreProperties>
</file>