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kaco\Desktop\Portfolio\"/>
    </mc:Choice>
  </mc:AlternateContent>
  <xr:revisionPtr revIDLastSave="0" documentId="8_{994753AA-9A47-4B1F-87FE-CB4E265667D2}" xr6:coauthVersionLast="47" xr6:coauthVersionMax="47" xr10:uidLastSave="{00000000-0000-0000-0000-000000000000}"/>
  <bookViews>
    <workbookView xWindow="11520" yWindow="0" windowWidth="11520" windowHeight="12504" activeTab="1" xr2:uid="{4B3FC4CE-D7C6-498E-8FB9-AC5F326AB09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2" l="1"/>
  <c r="K16" i="2"/>
  <c r="K18" i="2"/>
  <c r="N30" i="2"/>
  <c r="M30" i="2"/>
  <c r="N29" i="2"/>
  <c r="M29" i="2"/>
  <c r="N28" i="2"/>
  <c r="M28" i="2"/>
  <c r="N26" i="2"/>
  <c r="M26" i="2"/>
  <c r="N25" i="2"/>
  <c r="M25" i="2"/>
  <c r="N24" i="2"/>
  <c r="M24" i="2"/>
  <c r="N23" i="2"/>
  <c r="M23" i="2"/>
  <c r="N22" i="2"/>
  <c r="M22" i="2"/>
  <c r="L30" i="2"/>
  <c r="L29" i="2"/>
  <c r="L28" i="2"/>
  <c r="L26" i="2"/>
  <c r="L25" i="2"/>
  <c r="L24" i="2"/>
  <c r="L23" i="2"/>
  <c r="L22" i="2"/>
  <c r="K30" i="2"/>
  <c r="K29" i="2"/>
  <c r="K28" i="2"/>
  <c r="K26" i="2"/>
  <c r="K25" i="2"/>
  <c r="K24" i="2"/>
  <c r="K23" i="2"/>
  <c r="K22" i="2"/>
  <c r="L19" i="2"/>
  <c r="K19" i="2"/>
  <c r="N18" i="2"/>
  <c r="N19" i="2" s="1"/>
  <c r="M18" i="2"/>
  <c r="M19" i="2" s="1"/>
  <c r="L18" i="2"/>
  <c r="N17" i="2"/>
  <c r="M17" i="2"/>
  <c r="L17" i="2"/>
  <c r="K17" i="2"/>
  <c r="J30" i="2"/>
  <c r="I30" i="2"/>
  <c r="H30" i="2"/>
  <c r="G30" i="2"/>
  <c r="F30" i="2"/>
  <c r="E30" i="2"/>
  <c r="D30" i="2"/>
  <c r="C30" i="2"/>
  <c r="L16" i="2"/>
  <c r="M15" i="2"/>
  <c r="M16" i="2" s="1"/>
  <c r="L15" i="2"/>
  <c r="K15" i="2"/>
  <c r="L14" i="2"/>
  <c r="N13" i="2"/>
  <c r="N14" i="2" s="1"/>
  <c r="M13" i="2"/>
  <c r="M14" i="2" s="1"/>
  <c r="L13" i="2"/>
  <c r="K13" i="2"/>
  <c r="N12" i="2"/>
  <c r="M12" i="2"/>
  <c r="L12" i="2"/>
  <c r="K12" i="2"/>
  <c r="N11" i="2"/>
  <c r="M11" i="2"/>
  <c r="L11" i="2"/>
  <c r="K11" i="2"/>
  <c r="N10" i="2"/>
  <c r="M10" i="2"/>
  <c r="L10" i="2"/>
  <c r="K10" i="2"/>
  <c r="N8" i="2"/>
  <c r="M8" i="2"/>
  <c r="L8" i="2"/>
  <c r="K8" i="2"/>
  <c r="N9" i="2"/>
  <c r="M9" i="2"/>
  <c r="L9" i="2"/>
  <c r="K9" i="2"/>
  <c r="J28" i="2"/>
  <c r="J9" i="2"/>
  <c r="N5" i="2"/>
  <c r="M5" i="2"/>
  <c r="L5" i="2"/>
  <c r="N4" i="2"/>
  <c r="M4" i="2"/>
  <c r="L4" i="2"/>
  <c r="N3" i="2"/>
  <c r="M3" i="2"/>
  <c r="L3" i="2"/>
  <c r="K5" i="2"/>
  <c r="K4" i="2"/>
  <c r="C20" i="2"/>
  <c r="C17" i="2"/>
  <c r="C12" i="2"/>
  <c r="C11" i="2"/>
  <c r="C10" i="2"/>
  <c r="C7" i="2"/>
  <c r="C6" i="2"/>
  <c r="C4" i="2"/>
  <c r="C3" i="2"/>
  <c r="C29" i="2" s="1"/>
  <c r="G17" i="2"/>
  <c r="G12" i="2"/>
  <c r="G11" i="2"/>
  <c r="G10" i="2"/>
  <c r="G7" i="2"/>
  <c r="G6" i="2"/>
  <c r="G4" i="2"/>
  <c r="G3" i="2"/>
  <c r="D29" i="2"/>
  <c r="H29" i="2"/>
  <c r="H25" i="2"/>
  <c r="H24" i="2"/>
  <c r="H23" i="2"/>
  <c r="D15" i="2"/>
  <c r="D13" i="2"/>
  <c r="D8" i="2"/>
  <c r="D5" i="2"/>
  <c r="H15" i="2"/>
  <c r="H13" i="2"/>
  <c r="H8" i="2"/>
  <c r="H5" i="2"/>
  <c r="E29" i="2"/>
  <c r="E15" i="2"/>
  <c r="E5" i="2"/>
  <c r="E13" i="2"/>
  <c r="E8" i="2"/>
  <c r="I29" i="2"/>
  <c r="I25" i="2"/>
  <c r="I24" i="2"/>
  <c r="I23" i="2"/>
  <c r="I15" i="2"/>
  <c r="I13" i="2"/>
  <c r="I8" i="2"/>
  <c r="I5" i="2"/>
  <c r="I22" i="2" s="1"/>
  <c r="F29" i="2"/>
  <c r="J29" i="2"/>
  <c r="J25" i="2"/>
  <c r="J24" i="2"/>
  <c r="J23" i="2"/>
  <c r="F15" i="2"/>
  <c r="F13" i="2"/>
  <c r="F8" i="2"/>
  <c r="F5" i="2"/>
  <c r="J15" i="2"/>
  <c r="J13" i="2"/>
  <c r="J8" i="2"/>
  <c r="J5" i="2"/>
  <c r="U12" i="2"/>
  <c r="U25" i="2" s="1"/>
  <c r="U11" i="2"/>
  <c r="U24" i="2" s="1"/>
  <c r="T25" i="2"/>
  <c r="S25" i="2"/>
  <c r="T24" i="2"/>
  <c r="S24" i="2"/>
  <c r="U10" i="2"/>
  <c r="U23" i="2" s="1"/>
  <c r="T23" i="2"/>
  <c r="S23" i="2"/>
  <c r="U4" i="2"/>
  <c r="U3" i="2"/>
  <c r="U29" i="2" s="1"/>
  <c r="T29" i="2"/>
  <c r="S29" i="2"/>
  <c r="R29" i="2"/>
  <c r="T15" i="2"/>
  <c r="S15" i="2"/>
  <c r="R15" i="2"/>
  <c r="J9" i="1"/>
  <c r="T13" i="2"/>
  <c r="S13" i="2"/>
  <c r="R13" i="2"/>
  <c r="T8" i="2"/>
  <c r="S8" i="2"/>
  <c r="T5" i="2"/>
  <c r="S5" i="2"/>
  <c r="R5" i="2"/>
  <c r="R8" i="2"/>
  <c r="J7" i="1"/>
  <c r="J4" i="1"/>
  <c r="N15" i="2" l="1"/>
  <c r="N16" i="2" s="1"/>
  <c r="H22" i="2"/>
  <c r="G13" i="2"/>
  <c r="J22" i="2"/>
  <c r="C15" i="2"/>
  <c r="G29" i="2"/>
  <c r="G15" i="2"/>
  <c r="G24" i="2"/>
  <c r="H9" i="2"/>
  <c r="H28" i="2" s="1"/>
  <c r="C8" i="2"/>
  <c r="G25" i="2"/>
  <c r="G8" i="2"/>
  <c r="E9" i="2"/>
  <c r="E28" i="2" s="1"/>
  <c r="C13" i="2"/>
  <c r="G23" i="2"/>
  <c r="C5" i="2"/>
  <c r="G5" i="2"/>
  <c r="D9" i="2"/>
  <c r="H14" i="2"/>
  <c r="H16" i="2" s="1"/>
  <c r="H18" i="2" s="1"/>
  <c r="I9" i="2"/>
  <c r="F9" i="2"/>
  <c r="U13" i="2"/>
  <c r="T22" i="2"/>
  <c r="S22" i="2"/>
  <c r="U5" i="2"/>
  <c r="U22" i="2" s="1"/>
  <c r="R9" i="2"/>
  <c r="S9" i="2"/>
  <c r="T9" i="2"/>
  <c r="C9" i="2" l="1"/>
  <c r="C28" i="2" s="1"/>
  <c r="I14" i="2"/>
  <c r="I16" i="2" s="1"/>
  <c r="I18" i="2" s="1"/>
  <c r="I19" i="2" s="1"/>
  <c r="I28" i="2"/>
  <c r="E14" i="2"/>
  <c r="E16" i="2" s="1"/>
  <c r="E18" i="2" s="1"/>
  <c r="H19" i="2"/>
  <c r="D14" i="2"/>
  <c r="D16" i="2" s="1"/>
  <c r="D18" i="2" s="1"/>
  <c r="D19" i="2" s="1"/>
  <c r="D28" i="2"/>
  <c r="J14" i="2"/>
  <c r="J16" i="2" s="1"/>
  <c r="J18" i="2" s="1"/>
  <c r="G9" i="2"/>
  <c r="F14" i="2"/>
  <c r="F16" i="2" s="1"/>
  <c r="F18" i="2" s="1"/>
  <c r="F19" i="2" s="1"/>
  <c r="F28" i="2"/>
  <c r="C14" i="2"/>
  <c r="C16" i="2" s="1"/>
  <c r="C18" i="2" s="1"/>
  <c r="C19" i="2" s="1"/>
  <c r="G22" i="2"/>
  <c r="T14" i="2"/>
  <c r="T28" i="2"/>
  <c r="S14" i="2"/>
  <c r="S16" i="2" s="1"/>
  <c r="S18" i="2" s="1"/>
  <c r="S19" i="2" s="1"/>
  <c r="S28" i="2"/>
  <c r="R14" i="2"/>
  <c r="R16" i="2" s="1"/>
  <c r="R18" i="2" s="1"/>
  <c r="R19" i="2" s="1"/>
  <c r="R28" i="2"/>
  <c r="U9" i="2"/>
  <c r="I26" i="2" l="1"/>
  <c r="J26" i="2"/>
  <c r="J19" i="2"/>
  <c r="H26" i="2"/>
  <c r="G28" i="2"/>
  <c r="T16" i="2"/>
  <c r="T18" i="2" s="1"/>
  <c r="T19" i="2" s="1"/>
  <c r="G14" i="2"/>
  <c r="G16" i="2" s="1"/>
  <c r="G18" i="2" s="1"/>
  <c r="E19" i="2"/>
  <c r="U14" i="2"/>
  <c r="U16" i="2" s="1"/>
  <c r="U28" i="2"/>
  <c r="G19" i="2" l="1"/>
  <c r="G26" i="2"/>
  <c r="U17" i="2"/>
  <c r="U18" i="2" s="1"/>
  <c r="U26" i="2"/>
</calcChain>
</file>

<file path=xl/sharedStrings.xml><?xml version="1.0" encoding="utf-8"?>
<sst xmlns="http://schemas.openxmlformats.org/spreadsheetml/2006/main" count="48" uniqueCount="41">
  <si>
    <t>Price</t>
  </si>
  <si>
    <t>Shares</t>
  </si>
  <si>
    <t>MC</t>
  </si>
  <si>
    <t>Cash</t>
  </si>
  <si>
    <t>Debt</t>
  </si>
  <si>
    <t>Q415</t>
  </si>
  <si>
    <t>Revenue</t>
  </si>
  <si>
    <t>SaaS</t>
  </si>
  <si>
    <t>Hardwear</t>
  </si>
  <si>
    <t>SaaS COGS</t>
  </si>
  <si>
    <t>Hardwear COGS</t>
  </si>
  <si>
    <t>COGS</t>
  </si>
  <si>
    <t>Gross Margin</t>
  </si>
  <si>
    <t>S&amp;M</t>
  </si>
  <si>
    <t>G&amp;A</t>
  </si>
  <si>
    <t>R&amp;D</t>
  </si>
  <si>
    <t>Operating Income</t>
  </si>
  <si>
    <t>Operating Expenses</t>
  </si>
  <si>
    <t>Main</t>
  </si>
  <si>
    <t>Intrerest expenses</t>
  </si>
  <si>
    <t>Pretax Income</t>
  </si>
  <si>
    <t>Taxes</t>
  </si>
  <si>
    <t>Net Income</t>
  </si>
  <si>
    <t>EPS</t>
  </si>
  <si>
    <t>Q114</t>
  </si>
  <si>
    <t>Q214</t>
  </si>
  <si>
    <t>Q314</t>
  </si>
  <si>
    <t>Q414</t>
  </si>
  <si>
    <t>Q115</t>
  </si>
  <si>
    <t>Q215</t>
  </si>
  <si>
    <t>Q315</t>
  </si>
  <si>
    <t>Revenue Y/Y</t>
  </si>
  <si>
    <t>SaaS Margin</t>
  </si>
  <si>
    <t>S&amp;M Y/Y</t>
  </si>
  <si>
    <t>G&amp;A Y/Y</t>
  </si>
  <si>
    <t>R&amp;D Y/Y</t>
  </si>
  <si>
    <t>Q116</t>
  </si>
  <si>
    <t>Q216</t>
  </si>
  <si>
    <t>Q316</t>
  </si>
  <si>
    <t>Q416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</si>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</sst>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 applyFill="1"/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4" fillId="0" borderId="0" xfId="0" applyFont="1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594360</xdr:colOff>
      <xdr:row>0</xdr:row>
      <xdr:rowOff>60960</xdr:rowOff>
    </xdr:from>
    <xdr:to>
      <xdr:col>19</xdr:col>
      <xdr:colOff>594360</xdr:colOff>
      <xdr:row>35</xdr:row>
      <xdr:rowOff>99060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E1C0340-AE68-FFD3-A687-A7CC43AABD2B}"/>
            </a:ext>
          </a:extLst>
        </xdr:cNvPr>
        <xdr:cNvCxnSpPr/>
      </xdr:nvCxnSpPr>
      <xdr:spPr>
        <a:xfrm>
          <a:off x="8183880" y="60960"/>
          <a:ext cx="0" cy="5524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601980</xdr:colOff>
      <xdr:row>0</xdr:row>
      <xdr:rowOff>38100</xdr:rowOff>
    </xdr:from>
    <xdr:to>
      <xdr:col>9</xdr:col>
      <xdr:colOff>601980</xdr:colOff>
      <xdr:row>32</xdr:row>
      <xdr:rowOff>137160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020BAEF-AC24-500C-312E-D1399C4173E4}"/>
            </a:ext>
          </a:extLst>
        </xdr:cNvPr>
        <xdr:cNvCxnSpPr/>
      </xdr:nvCxnSpPr>
      <xdr:spPr>
        <a:xfrm>
          <a:off x="6362700" y="38100"/>
          <a:ext cx="0" cy="59512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563-C4DC-4A28-BA75-B16012207571}">
  <dimension ref="I2:K9"/>
  <sheetViews>
    <sheetView workbookViewId="0">
      <selection activeCell="J5" sqref="J5"/>
    </sheetView>
  </sheetViews>
  <sheetFormatPr defaultRowHeight="14.4" x14ac:dyDescent="0.3"/>
  <sheetData>
    <row r="2" spans="9:11" x14ac:dyDescent="0.3">
      <c r="I2" t="s">
        <v>0</v>
      </c>
      <c r="J2">
        <v>21</v>
      </c>
    </row>
    <row r="3" spans="9:11" x14ac:dyDescent="0.3">
      <c r="I3" t="s">
        <v>1</v>
      </c>
      <c r="J3">
        <v>45.582000000000001</v>
      </c>
      <c r="K3" t="s">
        <v>5</v>
      </c>
    </row>
    <row r="4" spans="9:11" x14ac:dyDescent="0.3">
      <c r="I4" t="s">
        <v>2</v>
      </c>
      <c r="J4">
        <f>J3*J2</f>
        <v>957.22199999999998</v>
      </c>
    </row>
    <row r="5" spans="9:11" x14ac:dyDescent="0.3">
      <c r="I5" t="s">
        <v>3</v>
      </c>
      <c r="J5">
        <v>128.35</v>
      </c>
      <c r="K5" t="s">
        <v>5</v>
      </c>
    </row>
    <row r="6" spans="9:11" x14ac:dyDescent="0.3">
      <c r="I6" t="s">
        <v>4</v>
      </c>
      <c r="J6">
        <v>6.7</v>
      </c>
      <c r="K6" t="s">
        <v>5</v>
      </c>
    </row>
    <row r="7" spans="9:11" x14ac:dyDescent="0.3">
      <c r="I7" t="s">
        <v>2</v>
      </c>
      <c r="J7">
        <f>J4-J5+J6</f>
        <v>835.572</v>
      </c>
    </row>
    <row r="8" spans="9:11" x14ac:dyDescent="0.3">
      <c r="J8">
        <v>25</v>
      </c>
    </row>
    <row r="9" spans="9:11" x14ac:dyDescent="0.3">
      <c r="J9">
        <f>J7/J8</f>
        <v>33.422879999999999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A3CF-2609-4BE0-8C1D-8CEF3C4212D4}">
  <dimension ref="A1:AI3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2" sqref="P2"/>
    </sheetView>
  </sheetViews>
  <sheetFormatPr defaultRowHeight="14.4" x14ac:dyDescent="0.3"/>
  <cols>
    <col min="1" max="1" width="4.88671875" bestFit="1" customWidth="1"/>
    <col min="2" max="2" width="16.88671875" bestFit="1" customWidth="1"/>
    <col min="3" max="35" width="8.88671875" style="2"/>
  </cols>
  <sheetData>
    <row r="1" spans="1:35" x14ac:dyDescent="0.3">
      <c r="A1" s="1" t="s">
        <v>18</v>
      </c>
    </row>
    <row r="2" spans="1:35" x14ac:dyDescent="0.3"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5</v>
      </c>
      <c r="K2" s="2" t="s">
        <v>36</v>
      </c>
      <c r="L2" s="2" t="s">
        <v>37</v>
      </c>
      <c r="M2" s="2" t="s">
        <v>38</v>
      </c>
      <c r="N2" s="2" t="s">
        <v>39</v>
      </c>
      <c r="Q2" s="2">
        <v>2012</v>
      </c>
      <c r="R2" s="2">
        <v>2013</v>
      </c>
      <c r="S2" s="2">
        <v>2014</v>
      </c>
      <c r="T2" s="2">
        <v>2015</v>
      </c>
      <c r="U2" s="2">
        <v>2016</v>
      </c>
      <c r="V2" s="2">
        <v>2017</v>
      </c>
      <c r="W2" s="2">
        <v>2018</v>
      </c>
      <c r="X2" s="2">
        <v>2019</v>
      </c>
      <c r="Y2" s="2">
        <v>2020</v>
      </c>
      <c r="Z2" s="2">
        <v>2021</v>
      </c>
      <c r="AA2" s="2">
        <v>2022</v>
      </c>
      <c r="AB2" s="2">
        <v>2023</v>
      </c>
      <c r="AC2" s="2">
        <v>2024</v>
      </c>
      <c r="AD2" s="2">
        <v>2025</v>
      </c>
      <c r="AE2" s="2">
        <v>2026</v>
      </c>
      <c r="AF2" s="2">
        <v>2027</v>
      </c>
      <c r="AG2" s="2">
        <v>2028</v>
      </c>
      <c r="AH2" s="2">
        <v>2029</v>
      </c>
      <c r="AI2" s="2">
        <v>2030</v>
      </c>
    </row>
    <row r="3" spans="1:35" x14ac:dyDescent="0.3">
      <c r="B3" t="s">
        <v>7</v>
      </c>
      <c r="C3" s="2">
        <f>S3-D3-E3-F3</f>
        <v>25.203999999999994</v>
      </c>
      <c r="D3" s="2">
        <v>26.975000000000001</v>
      </c>
      <c r="E3" s="2">
        <v>28.472999999999999</v>
      </c>
      <c r="F3" s="2">
        <v>30.863</v>
      </c>
      <c r="G3" s="2">
        <f>T3-H3-J3-I3</f>
        <v>31.954299999999996</v>
      </c>
      <c r="H3" s="2">
        <v>34.134</v>
      </c>
      <c r="I3" s="2">
        <v>36.158700000000003</v>
      </c>
      <c r="J3" s="2">
        <v>38.689</v>
      </c>
      <c r="K3" s="2">
        <v>39.4</v>
      </c>
      <c r="L3" s="2">
        <f>H3*1.1</f>
        <v>37.547400000000003</v>
      </c>
      <c r="M3" s="2">
        <f t="shared" ref="M3:M4" si="0">I3*1.1</f>
        <v>39.774570000000004</v>
      </c>
      <c r="N3" s="2">
        <f t="shared" ref="N3:N4" si="1">J3*1.1</f>
        <v>42.557900000000004</v>
      </c>
      <c r="R3" s="2">
        <v>82.62</v>
      </c>
      <c r="S3" s="2">
        <v>111.515</v>
      </c>
      <c r="T3" s="2">
        <v>140.93600000000001</v>
      </c>
      <c r="U3" s="2">
        <f>1.14*T3</f>
        <v>160.66703999999999</v>
      </c>
    </row>
    <row r="4" spans="1:35" x14ac:dyDescent="0.3">
      <c r="B4" t="s">
        <v>8</v>
      </c>
      <c r="C4" s="2">
        <f>S4-D4-E4-F4</f>
        <v>11.646999999999993</v>
      </c>
      <c r="D4" s="2">
        <v>15.103</v>
      </c>
      <c r="E4" s="2">
        <v>14.359</v>
      </c>
      <c r="F4" s="2">
        <v>14.688000000000001</v>
      </c>
      <c r="G4" s="2">
        <f>T4-H4-J4-I4</f>
        <v>14.056000000000001</v>
      </c>
      <c r="H4" s="2">
        <v>17.815000000000001</v>
      </c>
      <c r="I4" s="2">
        <v>17.849</v>
      </c>
      <c r="J4" s="2">
        <v>18.231999999999999</v>
      </c>
      <c r="K4" s="2">
        <f>J4</f>
        <v>18.231999999999999</v>
      </c>
      <c r="L4" s="2">
        <f t="shared" ref="L4" si="2">H4*1.1</f>
        <v>19.596500000000002</v>
      </c>
      <c r="M4" s="2">
        <f t="shared" si="0"/>
        <v>19.633900000000001</v>
      </c>
      <c r="N4" s="2">
        <f t="shared" si="1"/>
        <v>20.055199999999999</v>
      </c>
      <c r="R4" s="2">
        <v>47.601999999999997</v>
      </c>
      <c r="S4" s="2">
        <v>55.796999999999997</v>
      </c>
      <c r="T4" s="2">
        <v>67.951999999999998</v>
      </c>
      <c r="U4" s="2">
        <f>1.14*T4</f>
        <v>77.465279999999993</v>
      </c>
    </row>
    <row r="5" spans="1:35" x14ac:dyDescent="0.3">
      <c r="B5" t="s">
        <v>6</v>
      </c>
      <c r="C5" s="2">
        <f>C4+C3</f>
        <v>36.850999999999985</v>
      </c>
      <c r="D5" s="2">
        <f>D4+D3</f>
        <v>42.078000000000003</v>
      </c>
      <c r="E5" s="2">
        <f>E4+E3</f>
        <v>42.832000000000001</v>
      </c>
      <c r="F5" s="2">
        <f>F4+F3</f>
        <v>45.551000000000002</v>
      </c>
      <c r="G5" s="2">
        <f>G4+G3</f>
        <v>46.010300000000001</v>
      </c>
      <c r="H5" s="2">
        <f>H4+H3</f>
        <v>51.948999999999998</v>
      </c>
      <c r="I5" s="2">
        <f>I4+I3</f>
        <v>54.0077</v>
      </c>
      <c r="J5" s="2">
        <f>J4+J3</f>
        <v>56.920999999999999</v>
      </c>
      <c r="K5" s="2">
        <f>K4+K3</f>
        <v>57.631999999999998</v>
      </c>
      <c r="L5" s="2">
        <f t="shared" ref="L5:N5" si="3">L4+L3</f>
        <v>57.143900000000002</v>
      </c>
      <c r="M5" s="2">
        <f t="shared" si="3"/>
        <v>59.408470000000008</v>
      </c>
      <c r="N5" s="2">
        <f t="shared" si="3"/>
        <v>62.613100000000003</v>
      </c>
      <c r="R5" s="2">
        <f t="shared" ref="R5:T5" si="4">R4+R3</f>
        <v>130.22200000000001</v>
      </c>
      <c r="S5" s="2">
        <f t="shared" si="4"/>
        <v>167.31200000000001</v>
      </c>
      <c r="T5" s="2">
        <f t="shared" si="4"/>
        <v>208.88800000000001</v>
      </c>
      <c r="U5" s="2">
        <f>SUM(U3:U4)</f>
        <v>238.13231999999999</v>
      </c>
    </row>
    <row r="6" spans="1:35" x14ac:dyDescent="0.3">
      <c r="B6" t="s">
        <v>9</v>
      </c>
      <c r="C6" s="2">
        <f>S6-D6-E6-F6</f>
        <v>5.0080000000000018</v>
      </c>
      <c r="D6" s="2">
        <v>5.6689999999999996</v>
      </c>
      <c r="E6" s="2">
        <v>6.0019999999999998</v>
      </c>
      <c r="F6" s="2">
        <v>6.3280000000000003</v>
      </c>
      <c r="G6" s="2">
        <f>T6-H6-J6-I6</f>
        <v>6.0330000000000004</v>
      </c>
      <c r="H6" s="2">
        <v>6.2969999999999997</v>
      </c>
      <c r="I6" s="2">
        <v>6.7640000000000002</v>
      </c>
      <c r="J6" s="2">
        <v>6.6280000000000001</v>
      </c>
      <c r="R6" s="2">
        <v>16.475999999999999</v>
      </c>
      <c r="S6" s="2">
        <v>23.007000000000001</v>
      </c>
      <c r="T6" s="2">
        <v>25.722000000000001</v>
      </c>
    </row>
    <row r="7" spans="1:35" x14ac:dyDescent="0.3">
      <c r="B7" t="s">
        <v>10</v>
      </c>
      <c r="C7" s="2">
        <f>S7-D7-E7-F7</f>
        <v>8.9929999999999986</v>
      </c>
      <c r="D7" s="2">
        <v>12.353999999999999</v>
      </c>
      <c r="E7" s="2">
        <v>11.545999999999999</v>
      </c>
      <c r="F7" s="2">
        <v>11.279</v>
      </c>
      <c r="G7" s="2">
        <f>T7-H7-J7-I7</f>
        <v>10.776000000000002</v>
      </c>
      <c r="H7" s="2">
        <v>14.19</v>
      </c>
      <c r="I7" s="2">
        <v>13.205</v>
      </c>
      <c r="J7" s="2">
        <v>13.481</v>
      </c>
      <c r="R7" s="2">
        <v>38.481999999999999</v>
      </c>
      <c r="S7" s="2">
        <v>44.171999999999997</v>
      </c>
      <c r="T7" s="2">
        <v>51.652000000000001</v>
      </c>
    </row>
    <row r="8" spans="1:35" x14ac:dyDescent="0.3">
      <c r="B8" t="s">
        <v>11</v>
      </c>
      <c r="C8" s="2">
        <f>C7+C6</f>
        <v>14.001000000000001</v>
      </c>
      <c r="D8" s="2">
        <f>D7+D6</f>
        <v>18.023</v>
      </c>
      <c r="E8" s="2">
        <f>E7+E6</f>
        <v>17.547999999999998</v>
      </c>
      <c r="F8" s="2">
        <f>F7+F6</f>
        <v>17.606999999999999</v>
      </c>
      <c r="G8" s="2">
        <f>G7+G6</f>
        <v>16.809000000000001</v>
      </c>
      <c r="H8" s="2">
        <f>H7+H6</f>
        <v>20.486999999999998</v>
      </c>
      <c r="I8" s="2">
        <f>I7+I6</f>
        <v>19.969000000000001</v>
      </c>
      <c r="J8" s="2">
        <f>J7+J6</f>
        <v>20.109000000000002</v>
      </c>
      <c r="K8" s="2">
        <f>K5-K9</f>
        <v>20.171199999999999</v>
      </c>
      <c r="L8" s="2">
        <f t="shared" ref="L8:N8" si="5">L5-L9</f>
        <v>20.000365000000002</v>
      </c>
      <c r="M8" s="2">
        <f t="shared" si="5"/>
        <v>20.792964500000004</v>
      </c>
      <c r="N8" s="2">
        <f t="shared" si="5"/>
        <v>21.914585000000002</v>
      </c>
      <c r="R8" s="2">
        <f>R7+R6</f>
        <v>54.957999999999998</v>
      </c>
      <c r="S8" s="2">
        <f t="shared" ref="S8:T8" si="6">S7+S6</f>
        <v>67.179000000000002</v>
      </c>
      <c r="T8" s="2">
        <f t="shared" si="6"/>
        <v>77.373999999999995</v>
      </c>
    </row>
    <row r="9" spans="1:35" x14ac:dyDescent="0.3">
      <c r="B9" t="s">
        <v>12</v>
      </c>
      <c r="C9" s="2">
        <f>S9-D9-E9-F9</f>
        <v>22.849999999999994</v>
      </c>
      <c r="D9" s="2">
        <f>D5-D8</f>
        <v>24.055000000000003</v>
      </c>
      <c r="E9" s="2">
        <f>E5-E8</f>
        <v>25.284000000000002</v>
      </c>
      <c r="F9" s="2">
        <f>F5-F8</f>
        <v>27.944000000000003</v>
      </c>
      <c r="G9" s="2">
        <f>G5-G8</f>
        <v>29.2013</v>
      </c>
      <c r="H9" s="2">
        <f>H5-H8</f>
        <v>31.462</v>
      </c>
      <c r="I9" s="2">
        <f>I5-I8</f>
        <v>34.038699999999999</v>
      </c>
      <c r="J9" s="2">
        <f>J5-J8</f>
        <v>36.811999999999998</v>
      </c>
      <c r="K9" s="2">
        <f>K5*0.65</f>
        <v>37.460799999999999</v>
      </c>
      <c r="L9" s="2">
        <f t="shared" ref="L9:N9" si="7">L5*0.65</f>
        <v>37.143535</v>
      </c>
      <c r="M9" s="2">
        <f t="shared" si="7"/>
        <v>38.615505500000005</v>
      </c>
      <c r="N9" s="2">
        <f t="shared" si="7"/>
        <v>40.698515</v>
      </c>
      <c r="R9" s="2">
        <f>R5-R8</f>
        <v>75.26400000000001</v>
      </c>
      <c r="S9" s="2">
        <f t="shared" ref="S9:T9" si="8">S5-S8</f>
        <v>100.13300000000001</v>
      </c>
      <c r="T9" s="2">
        <f t="shared" si="8"/>
        <v>131.51400000000001</v>
      </c>
      <c r="U9" s="2">
        <f>U5*0.64</f>
        <v>152.40468480000001</v>
      </c>
    </row>
    <row r="10" spans="1:35" x14ac:dyDescent="0.3">
      <c r="B10" t="s">
        <v>13</v>
      </c>
      <c r="C10" s="2">
        <f>S10-D10-E10-F10</f>
        <v>5.0959999999999974</v>
      </c>
      <c r="D10" s="2">
        <v>6.67</v>
      </c>
      <c r="E10" s="2">
        <v>8.1069999999999993</v>
      </c>
      <c r="F10" s="2">
        <v>5.9630000000000001</v>
      </c>
      <c r="G10" s="2">
        <f>T10-H10-J10-I10</f>
        <v>7.9160000000000004</v>
      </c>
      <c r="H10" s="2">
        <v>8.0640000000000001</v>
      </c>
      <c r="I10" s="2">
        <v>8.4250000000000007</v>
      </c>
      <c r="J10" s="2">
        <v>7.835</v>
      </c>
      <c r="K10" s="2">
        <f>G10*1.05</f>
        <v>8.3117999999999999</v>
      </c>
      <c r="L10" s="2">
        <f t="shared" ref="L10:L12" si="9">H10*1.05</f>
        <v>8.4672000000000001</v>
      </c>
      <c r="M10" s="2">
        <f t="shared" ref="M10:M12" si="10">I10*1.05</f>
        <v>8.8462500000000013</v>
      </c>
      <c r="N10" s="2">
        <f t="shared" ref="N10:N12" si="11">J10*1.05</f>
        <v>8.2267500000000009</v>
      </c>
      <c r="R10" s="2">
        <v>21.466999999999999</v>
      </c>
      <c r="S10" s="2">
        <v>25.835999999999999</v>
      </c>
      <c r="T10" s="2">
        <v>32.24</v>
      </c>
      <c r="U10" s="2">
        <f>T10*1.1</f>
        <v>35.464000000000006</v>
      </c>
    </row>
    <row r="11" spans="1:35" x14ac:dyDescent="0.3">
      <c r="B11" t="s">
        <v>14</v>
      </c>
      <c r="C11" s="2">
        <f>S11-D11-E11-F11</f>
        <v>5.22</v>
      </c>
      <c r="D11" s="2">
        <v>7.2089999999999996</v>
      </c>
      <c r="E11" s="2">
        <v>6.7460000000000004</v>
      </c>
      <c r="F11" s="2">
        <v>6.9379999999999997</v>
      </c>
      <c r="G11" s="2">
        <f>T11-H11-J11-I11</f>
        <v>7.5499999999999989</v>
      </c>
      <c r="H11" s="2">
        <v>8.5139999999999993</v>
      </c>
      <c r="I11" s="2">
        <v>9.9320000000000004</v>
      </c>
      <c r="J11" s="2">
        <v>9.4770000000000003</v>
      </c>
      <c r="K11" s="2">
        <f t="shared" ref="K11:K12" si="12">G11*1.05</f>
        <v>7.9274999999999993</v>
      </c>
      <c r="L11" s="2">
        <f t="shared" si="9"/>
        <v>8.9397000000000002</v>
      </c>
      <c r="M11" s="2">
        <f t="shared" si="10"/>
        <v>10.428600000000001</v>
      </c>
      <c r="N11" s="2">
        <f t="shared" si="11"/>
        <v>9.9508500000000009</v>
      </c>
      <c r="R11" s="2">
        <v>29.928000000000001</v>
      </c>
      <c r="S11" s="2">
        <v>26.113</v>
      </c>
      <c r="T11" s="2">
        <v>35.472999999999999</v>
      </c>
      <c r="U11" s="2">
        <f>T11*1.05</f>
        <v>37.246650000000002</v>
      </c>
    </row>
    <row r="12" spans="1:35" x14ac:dyDescent="0.3">
      <c r="B12" t="s">
        <v>15</v>
      </c>
      <c r="C12" s="2">
        <f>S12-D12-E12-F12</f>
        <v>4.6100000000000012</v>
      </c>
      <c r="D12" s="2">
        <v>5.7640000000000002</v>
      </c>
      <c r="E12" s="2">
        <v>6.0940000000000003</v>
      </c>
      <c r="F12" s="2">
        <v>6.7249999999999996</v>
      </c>
      <c r="G12" s="2">
        <f>T12-H12-J12-I12</f>
        <v>7.7520000000000007</v>
      </c>
      <c r="H12" s="2">
        <v>9.0790000000000006</v>
      </c>
      <c r="I12" s="2">
        <v>9.8360000000000003</v>
      </c>
      <c r="J12" s="2">
        <v>13.335000000000001</v>
      </c>
      <c r="K12" s="2">
        <f t="shared" si="12"/>
        <v>8.1396000000000015</v>
      </c>
      <c r="L12" s="2">
        <f t="shared" si="9"/>
        <v>9.5329500000000014</v>
      </c>
      <c r="M12" s="2">
        <f t="shared" si="10"/>
        <v>10.3278</v>
      </c>
      <c r="N12" s="2">
        <f t="shared" si="11"/>
        <v>14.001750000000001</v>
      </c>
      <c r="R12" s="2">
        <v>13.085000000000001</v>
      </c>
      <c r="S12" s="2">
        <v>23.193000000000001</v>
      </c>
      <c r="T12" s="2">
        <v>40.002000000000002</v>
      </c>
      <c r="U12" s="2">
        <f>T12*1.01</f>
        <v>40.40202</v>
      </c>
    </row>
    <row r="13" spans="1:35" x14ac:dyDescent="0.3">
      <c r="B13" t="s">
        <v>17</v>
      </c>
      <c r="C13" s="2">
        <f>SUM(C10:C12)</f>
        <v>14.925999999999998</v>
      </c>
      <c r="D13" s="2">
        <f>SUM(D10:D12)</f>
        <v>19.643000000000001</v>
      </c>
      <c r="E13" s="2">
        <f>SUM(E10:E12)</f>
        <v>20.946999999999999</v>
      </c>
      <c r="F13" s="2">
        <f>SUM(F10:F12)</f>
        <v>19.625999999999998</v>
      </c>
      <c r="G13" s="2">
        <f>SUM(G10:G12)</f>
        <v>23.218</v>
      </c>
      <c r="H13" s="2">
        <f>SUM(H10:H12)</f>
        <v>25.657</v>
      </c>
      <c r="I13" s="2">
        <f>SUM(I10:I12)</f>
        <v>28.192999999999998</v>
      </c>
      <c r="J13" s="2">
        <f>SUM(J10:J12)</f>
        <v>30.647000000000002</v>
      </c>
      <c r="K13" s="2">
        <f t="shared" ref="K13:N13" si="13">SUM(K10:K12)</f>
        <v>24.378900000000002</v>
      </c>
      <c r="L13" s="2">
        <f t="shared" si="13"/>
        <v>26.93985</v>
      </c>
      <c r="M13" s="2">
        <f t="shared" si="13"/>
        <v>29.602650000000001</v>
      </c>
      <c r="N13" s="2">
        <f t="shared" si="13"/>
        <v>32.179349999999999</v>
      </c>
      <c r="R13" s="2">
        <f>SUM(R10:R12)</f>
        <v>64.47999999999999</v>
      </c>
      <c r="S13" s="2">
        <f t="shared" ref="S13:U13" si="14">SUM(S10:S12)</f>
        <v>75.141999999999996</v>
      </c>
      <c r="T13" s="2">
        <f t="shared" si="14"/>
        <v>107.715</v>
      </c>
      <c r="U13" s="2">
        <f t="shared" si="14"/>
        <v>113.11267000000001</v>
      </c>
    </row>
    <row r="14" spans="1:35" x14ac:dyDescent="0.3">
      <c r="B14" t="s">
        <v>16</v>
      </c>
      <c r="C14" s="2">
        <f>C9-C13</f>
        <v>7.9239999999999959</v>
      </c>
      <c r="D14" s="2">
        <f>D9-D13</f>
        <v>4.4120000000000026</v>
      </c>
      <c r="E14" s="2">
        <f>E9-E13</f>
        <v>4.3370000000000033</v>
      </c>
      <c r="F14" s="2">
        <f>F9-F13</f>
        <v>8.3180000000000049</v>
      </c>
      <c r="G14" s="2">
        <f>T14-H14-J14-I14</f>
        <v>5.9833000000000105</v>
      </c>
      <c r="H14" s="2">
        <f>H9-H13</f>
        <v>5.8049999999999997</v>
      </c>
      <c r="I14" s="2">
        <f>I9-I13</f>
        <v>5.8457000000000008</v>
      </c>
      <c r="J14" s="2">
        <f>J9-J13</f>
        <v>6.1649999999999956</v>
      </c>
      <c r="K14" s="2">
        <f>K9-K13</f>
        <v>13.081899999999997</v>
      </c>
      <c r="L14" s="2">
        <f t="shared" ref="K14:N14" si="15">L9-L13</f>
        <v>10.203685</v>
      </c>
      <c r="M14" s="2">
        <f t="shared" si="15"/>
        <v>9.0128555000000041</v>
      </c>
      <c r="N14" s="2">
        <f t="shared" si="15"/>
        <v>8.519165000000001</v>
      </c>
      <c r="R14" s="2">
        <f>R9-R13</f>
        <v>10.78400000000002</v>
      </c>
      <c r="S14" s="2">
        <f t="shared" ref="S14:U14" si="16">S9-S13</f>
        <v>24.991000000000014</v>
      </c>
      <c r="T14" s="2">
        <f t="shared" si="16"/>
        <v>23.799000000000007</v>
      </c>
      <c r="U14" s="2">
        <f t="shared" si="16"/>
        <v>39.292014800000004</v>
      </c>
    </row>
    <row r="15" spans="1:35" x14ac:dyDescent="0.3">
      <c r="B15" t="s">
        <v>19</v>
      </c>
      <c r="C15" s="2">
        <f>S15-D15-E15-F15</f>
        <v>-4.8000000000000043E-2</v>
      </c>
      <c r="D15" s="2">
        <f>-0.055</f>
        <v>-5.5E-2</v>
      </c>
      <c r="E15" s="2">
        <f>-0.04-0.08</f>
        <v>-0.12</v>
      </c>
      <c r="F15" s="2">
        <f>-0.043-0.415</f>
        <v>-0.45799999999999996</v>
      </c>
      <c r="G15" s="2">
        <f>T15-H15-J15-I15</f>
        <v>-3.500000000000008E-2</v>
      </c>
      <c r="H15" s="2">
        <f>-0.042-0.062</f>
        <v>-0.10400000000000001</v>
      </c>
      <c r="I15" s="2">
        <f>-0.044-0.007</f>
        <v>-5.0999999999999997E-2</v>
      </c>
      <c r="J15" s="2">
        <f>-0.05-0.286</f>
        <v>-0.33599999999999997</v>
      </c>
      <c r="K15" s="4">
        <f>J15</f>
        <v>-0.33599999999999997</v>
      </c>
      <c r="L15" s="4">
        <f t="shared" ref="L15:N15" si="17">K15</f>
        <v>-0.33599999999999997</v>
      </c>
      <c r="M15" s="4">
        <f t="shared" si="17"/>
        <v>-0.33599999999999997</v>
      </c>
      <c r="N15" s="4">
        <f t="shared" si="17"/>
        <v>-0.33599999999999997</v>
      </c>
      <c r="R15" s="2">
        <f>-0.269+0.057</f>
        <v>-0.21200000000000002</v>
      </c>
      <c r="S15" s="2">
        <f>-0.196-0.485</f>
        <v>-0.68100000000000005</v>
      </c>
      <c r="T15" s="2">
        <f>-0.178-0.348</f>
        <v>-0.52600000000000002</v>
      </c>
      <c r="U15" s="2">
        <v>0</v>
      </c>
    </row>
    <row r="16" spans="1:35" x14ac:dyDescent="0.3">
      <c r="B16" t="s">
        <v>20</v>
      </c>
      <c r="C16" s="2">
        <f>C14+C15</f>
        <v>7.8759999999999959</v>
      </c>
      <c r="D16" s="2">
        <f>D14+D15</f>
        <v>4.3570000000000029</v>
      </c>
      <c r="E16" s="2">
        <f>E14+E15</f>
        <v>4.2170000000000032</v>
      </c>
      <c r="F16" s="2">
        <f>F14+F15</f>
        <v>7.8600000000000048</v>
      </c>
      <c r="G16" s="2">
        <f>G14+G15</f>
        <v>5.9483000000000104</v>
      </c>
      <c r="H16" s="2">
        <f>H14+H15</f>
        <v>5.7009999999999996</v>
      </c>
      <c r="I16" s="2">
        <f>I14+I15</f>
        <v>5.7947000000000006</v>
      </c>
      <c r="J16" s="2">
        <f>J14+J15</f>
        <v>5.8289999999999953</v>
      </c>
      <c r="K16" s="4">
        <f>K14+K15</f>
        <v>12.745899999999997</v>
      </c>
      <c r="L16" s="4">
        <f t="shared" ref="L16:N16" si="18">L14+L15</f>
        <v>9.8676849999999998</v>
      </c>
      <c r="M16" s="4">
        <f t="shared" si="18"/>
        <v>8.6768555000000038</v>
      </c>
      <c r="N16" s="4">
        <f t="shared" si="18"/>
        <v>8.1831650000000007</v>
      </c>
      <c r="R16" s="2">
        <f>R14+R15</f>
        <v>10.57200000000002</v>
      </c>
      <c r="S16" s="2">
        <f t="shared" ref="S16:U16" si="19">S14+S15</f>
        <v>24.310000000000013</v>
      </c>
      <c r="T16" s="2">
        <f t="shared" si="19"/>
        <v>23.273000000000007</v>
      </c>
      <c r="U16" s="2">
        <f t="shared" si="19"/>
        <v>39.292014800000004</v>
      </c>
    </row>
    <row r="17" spans="2:21" x14ac:dyDescent="0.3">
      <c r="B17" t="s">
        <v>21</v>
      </c>
      <c r="C17" s="2">
        <f>S17-D17-E17-F17</f>
        <v>2.7970000000000002</v>
      </c>
      <c r="D17" s="2">
        <v>1.431</v>
      </c>
      <c r="E17" s="2">
        <v>0.49199999999999999</v>
      </c>
      <c r="F17" s="2">
        <v>2.097</v>
      </c>
      <c r="G17" s="2">
        <f>T17-H17-J17-I17</f>
        <v>1.8560000000000003</v>
      </c>
      <c r="H17" s="2">
        <v>1.6639999999999999</v>
      </c>
      <c r="I17" s="2">
        <v>1.0609999999999999</v>
      </c>
      <c r="J17" s="2">
        <v>1.1160000000000001</v>
      </c>
      <c r="K17" s="2">
        <f>K16*0.35</f>
        <v>4.4610649999999987</v>
      </c>
      <c r="L17" s="2">
        <f t="shared" ref="L17:N17" si="20">L16*0.35</f>
        <v>3.4536897499999997</v>
      </c>
      <c r="M17" s="2">
        <f t="shared" si="20"/>
        <v>3.036899425000001</v>
      </c>
      <c r="N17" s="2">
        <f t="shared" si="20"/>
        <v>2.8641077500000001</v>
      </c>
      <c r="R17" s="2">
        <v>2.6680000000000001</v>
      </c>
      <c r="S17" s="2">
        <v>6.8170000000000002</v>
      </c>
      <c r="T17" s="2">
        <v>5.6970000000000001</v>
      </c>
      <c r="U17" s="2">
        <f>U16*0.3</f>
        <v>11.787604440000001</v>
      </c>
    </row>
    <row r="18" spans="2:21" x14ac:dyDescent="0.3">
      <c r="B18" t="s">
        <v>22</v>
      </c>
      <c r="C18" s="2">
        <f>C16-C17</f>
        <v>5.0789999999999953</v>
      </c>
      <c r="D18" s="2">
        <f>D16-D17</f>
        <v>2.9260000000000028</v>
      </c>
      <c r="E18" s="2">
        <f>E16-E17</f>
        <v>3.7250000000000032</v>
      </c>
      <c r="F18" s="2">
        <f>F16-F17</f>
        <v>5.7630000000000052</v>
      </c>
      <c r="G18" s="2">
        <f>G16-G17</f>
        <v>4.0923000000000105</v>
      </c>
      <c r="H18" s="2">
        <f>H16-H17</f>
        <v>4.0369999999999999</v>
      </c>
      <c r="I18" s="2">
        <f>I16-I17</f>
        <v>4.7337000000000007</v>
      </c>
      <c r="J18" s="2">
        <f>J16-J17</f>
        <v>4.7129999999999956</v>
      </c>
      <c r="K18" s="2">
        <f>K16-K17</f>
        <v>8.2848349999999975</v>
      </c>
      <c r="L18" s="2">
        <f t="shared" ref="K18:N18" si="21">L16-L17</f>
        <v>6.4139952500000001</v>
      </c>
      <c r="M18" s="2">
        <f t="shared" si="21"/>
        <v>5.6399560750000024</v>
      </c>
      <c r="N18" s="2">
        <f t="shared" si="21"/>
        <v>5.3190572500000002</v>
      </c>
      <c r="R18" s="2">
        <f>R16-R17</f>
        <v>7.9040000000000203</v>
      </c>
      <c r="S18" s="2">
        <f t="shared" ref="S18:U18" si="22">S16-S17</f>
        <v>17.493000000000013</v>
      </c>
      <c r="T18" s="2">
        <f t="shared" si="22"/>
        <v>17.576000000000008</v>
      </c>
      <c r="U18" s="2">
        <f t="shared" si="22"/>
        <v>27.504410360000001</v>
      </c>
    </row>
    <row r="19" spans="2:21" x14ac:dyDescent="0.3">
      <c r="B19" t="s">
        <v>1</v>
      </c>
      <c r="C19" s="2">
        <f>C18/C20</f>
        <v>1.3658953754800387</v>
      </c>
      <c r="D19" s="2">
        <f>D18/D20</f>
        <v>0.78688912554727319</v>
      </c>
      <c r="E19" s="2">
        <f>E18/E20</f>
        <v>0.85717211440774088</v>
      </c>
      <c r="F19" s="2">
        <f>F18/F20</f>
        <v>1.3976628496703631</v>
      </c>
      <c r="G19" s="2">
        <f>G18/G20</f>
        <v>1.5120997912701521</v>
      </c>
      <c r="H19" s="2">
        <f>H18/H20</f>
        <v>1.4916665096296919</v>
      </c>
      <c r="I19" s="2">
        <f>I18/I20</f>
        <v>0.10107829229808482</v>
      </c>
      <c r="J19" s="2">
        <f>J18/J20</f>
        <v>9.9528396319413209E-2</v>
      </c>
      <c r="K19" s="2">
        <f t="shared" ref="K19:N19" si="23">K18/K20</f>
        <v>0.17495784878441464</v>
      </c>
      <c r="L19" s="2">
        <f t="shared" si="23"/>
        <v>0.13544974776847749</v>
      </c>
      <c r="M19" s="2">
        <f t="shared" si="23"/>
        <v>0.11910370962373922</v>
      </c>
      <c r="N19" s="2">
        <f t="shared" si="23"/>
        <v>0.11232701846459764</v>
      </c>
      <c r="R19" s="2">
        <f>R18/R20</f>
        <v>2.8279069767441936</v>
      </c>
      <c r="S19" s="2">
        <f t="shared" ref="S19:T19" si="24">S18/S20</f>
        <v>4.4969151670951186</v>
      </c>
      <c r="T19" s="2">
        <f t="shared" si="24"/>
        <v>0.72905259664841582</v>
      </c>
    </row>
    <row r="20" spans="2:21" x14ac:dyDescent="0.3">
      <c r="B20" t="s">
        <v>23</v>
      </c>
      <c r="C20" s="2">
        <f>D20</f>
        <v>3.7184400000000002</v>
      </c>
      <c r="D20" s="2">
        <v>3.7184400000000002</v>
      </c>
      <c r="E20" s="2">
        <v>4.3456849999999996</v>
      </c>
      <c r="F20" s="2">
        <v>4.1233120000000003</v>
      </c>
      <c r="G20" s="2">
        <v>2.706369</v>
      </c>
      <c r="H20" s="2">
        <v>2.706369</v>
      </c>
      <c r="I20" s="2">
        <v>46.832014000000001</v>
      </c>
      <c r="J20" s="2">
        <v>47.353319999999997</v>
      </c>
      <c r="K20" s="2">
        <v>47.353319999999997</v>
      </c>
      <c r="L20" s="2">
        <v>47.353319999999997</v>
      </c>
      <c r="M20" s="2">
        <v>47.353319999999997</v>
      </c>
      <c r="N20" s="2">
        <v>47.353319999999997</v>
      </c>
      <c r="R20" s="2">
        <v>2.7949999999999999</v>
      </c>
      <c r="S20" s="2">
        <v>3.89</v>
      </c>
      <c r="T20" s="2">
        <v>24.108000000000001</v>
      </c>
    </row>
    <row r="22" spans="2:21" x14ac:dyDescent="0.3">
      <c r="B22" t="s">
        <v>31</v>
      </c>
      <c r="G22" s="3">
        <f>G5/C5-1</f>
        <v>0.24854956446229459</v>
      </c>
      <c r="H22" s="3">
        <f>H5/D5-1</f>
        <v>0.23458814582442122</v>
      </c>
      <c r="I22" s="3">
        <f>I5/E5-1</f>
        <v>0.26091940605155028</v>
      </c>
      <c r="J22" s="3">
        <f>J5/F5-1</f>
        <v>0.24961032688634721</v>
      </c>
      <c r="K22" s="3">
        <f>K5/G5-1</f>
        <v>0.25258909418108555</v>
      </c>
      <c r="L22" s="3">
        <f>L5/H5-1</f>
        <v>0.10000000000000009</v>
      </c>
      <c r="M22" s="3">
        <f t="shared" ref="M22:N22" si="25">M5/I5-1</f>
        <v>0.10000000000000009</v>
      </c>
      <c r="N22" s="3">
        <f t="shared" si="25"/>
        <v>0.10000000000000009</v>
      </c>
      <c r="O22" s="3"/>
      <c r="R22" s="3"/>
      <c r="S22" s="3">
        <f>S5/R5-1</f>
        <v>0.28482130515581083</v>
      </c>
      <c r="T22" s="3">
        <f>T5/S5-1</f>
        <v>0.24849383188294927</v>
      </c>
      <c r="U22" s="3">
        <f>U5/T5-1</f>
        <v>0.1399999999999999</v>
      </c>
    </row>
    <row r="23" spans="2:21" x14ac:dyDescent="0.3">
      <c r="B23" t="s">
        <v>33</v>
      </c>
      <c r="G23" s="3">
        <f>G10/C10-1</f>
        <v>0.55337519623233988</v>
      </c>
      <c r="H23" s="3">
        <f>H10/D10-1</f>
        <v>0.20899550224887564</v>
      </c>
      <c r="I23" s="3">
        <f>I10/E10-1</f>
        <v>3.9225360799309383E-2</v>
      </c>
      <c r="J23" s="3">
        <f>J10/F10-1</f>
        <v>0.31393593828609756</v>
      </c>
      <c r="K23" s="3">
        <f>K10/G10-1</f>
        <v>4.9999999999999822E-2</v>
      </c>
      <c r="L23" s="3">
        <f>L10/H10-1</f>
        <v>5.0000000000000044E-2</v>
      </c>
      <c r="M23" s="3">
        <f t="shared" ref="M23:N23" si="26">M10/I10-1</f>
        <v>5.0000000000000044E-2</v>
      </c>
      <c r="N23" s="3">
        <f t="shared" si="26"/>
        <v>5.0000000000000044E-2</v>
      </c>
      <c r="O23" s="3"/>
      <c r="R23" s="3"/>
      <c r="S23" s="3">
        <f>S10/R10-1</f>
        <v>0.2035216844458938</v>
      </c>
      <c r="T23" s="3">
        <f>T10/S10-1</f>
        <v>0.24787118749032366</v>
      </c>
      <c r="U23" s="3">
        <f t="shared" ref="U23:U25" si="27">U10/T10-1</f>
        <v>0.10000000000000009</v>
      </c>
    </row>
    <row r="24" spans="2:21" x14ac:dyDescent="0.3">
      <c r="B24" t="s">
        <v>34</v>
      </c>
      <c r="G24" s="3">
        <f>G11/C11-1</f>
        <v>0.44636015325670475</v>
      </c>
      <c r="H24" s="3">
        <f>H11/D11-1</f>
        <v>0.18102372034956304</v>
      </c>
      <c r="I24" s="3">
        <f>I11/E11-1</f>
        <v>0.47227986955232737</v>
      </c>
      <c r="J24" s="3">
        <f>J11/F11-1</f>
        <v>0.36595560680311334</v>
      </c>
      <c r="K24" s="3">
        <f>K11/G11-1</f>
        <v>5.0000000000000044E-2</v>
      </c>
      <c r="L24" s="3">
        <f>L11/H11-1</f>
        <v>5.0000000000000044E-2</v>
      </c>
      <c r="M24" s="3">
        <f t="shared" ref="M24:N24" si="28">M11/I11-1</f>
        <v>5.0000000000000044E-2</v>
      </c>
      <c r="N24" s="3">
        <f t="shared" si="28"/>
        <v>5.0000000000000044E-2</v>
      </c>
      <c r="O24" s="3"/>
      <c r="R24" s="3"/>
      <c r="S24" s="3">
        <f>S11/R11-1</f>
        <v>-0.12747260090884793</v>
      </c>
      <c r="T24" s="3">
        <f>T11/S11-1</f>
        <v>0.35844215524834366</v>
      </c>
      <c r="U24" s="3">
        <f t="shared" si="27"/>
        <v>5.0000000000000044E-2</v>
      </c>
    </row>
    <row r="25" spans="2:21" x14ac:dyDescent="0.3">
      <c r="B25" t="s">
        <v>35</v>
      </c>
      <c r="G25" s="3">
        <f>G12/C12-1</f>
        <v>0.68156182212581307</v>
      </c>
      <c r="H25" s="3">
        <f>H12/D12-1</f>
        <v>0.57512144344205418</v>
      </c>
      <c r="I25" s="3">
        <f>I12/E12-1</f>
        <v>0.61404660321627835</v>
      </c>
      <c r="J25" s="3">
        <f>J12/F12-1</f>
        <v>0.98289962825278843</v>
      </c>
      <c r="K25" s="3">
        <f>K12/G12-1</f>
        <v>5.0000000000000044E-2</v>
      </c>
      <c r="L25" s="3">
        <f>L12/H12-1</f>
        <v>5.0000000000000044E-2</v>
      </c>
      <c r="M25" s="3">
        <f t="shared" ref="M25:N25" si="29">M12/I12-1</f>
        <v>5.0000000000000044E-2</v>
      </c>
      <c r="N25" s="3">
        <f t="shared" si="29"/>
        <v>5.0000000000000044E-2</v>
      </c>
      <c r="O25" s="3"/>
      <c r="R25" s="3"/>
      <c r="S25" s="3">
        <f t="shared" ref="S25:T25" si="30">S12/R12-1</f>
        <v>0.77248758119984706</v>
      </c>
      <c r="T25" s="3">
        <f t="shared" si="30"/>
        <v>0.72474453498900537</v>
      </c>
      <c r="U25" s="3">
        <f t="shared" si="27"/>
        <v>1.0000000000000009E-2</v>
      </c>
    </row>
    <row r="26" spans="2:21" x14ac:dyDescent="0.3">
      <c r="B26" t="s">
        <v>22</v>
      </c>
      <c r="G26" s="3">
        <f>G18/C18-1</f>
        <v>-0.19427052569403147</v>
      </c>
      <c r="H26" s="3">
        <f>H18/D18-1</f>
        <v>0.37969924812029943</v>
      </c>
      <c r="I26" s="3">
        <f>I18/E18-1</f>
        <v>0.27079194630872383</v>
      </c>
      <c r="J26" s="3">
        <f>J18/F18-1</f>
        <v>-0.18219677251431698</v>
      </c>
      <c r="K26" s="3">
        <f>K18/G18-1</f>
        <v>1.0244935610781165</v>
      </c>
      <c r="L26" s="3">
        <f>L18/H18-1</f>
        <v>0.58880239038890281</v>
      </c>
      <c r="M26" s="3">
        <f t="shared" ref="M26:N26" si="31">M18/I18-1</f>
        <v>0.19144772059910875</v>
      </c>
      <c r="N26" s="3">
        <f t="shared" si="31"/>
        <v>0.12859266921281676</v>
      </c>
      <c r="O26" s="3"/>
      <c r="R26" s="3"/>
      <c r="S26" s="3"/>
      <c r="T26" s="3"/>
      <c r="U26" s="3">
        <f>U16/T16-1</f>
        <v>0.68830897606668651</v>
      </c>
    </row>
    <row r="27" spans="2:21" x14ac:dyDescent="0.3">
      <c r="R27" s="3"/>
      <c r="S27" s="3"/>
      <c r="T27" s="3"/>
      <c r="U27" s="3"/>
    </row>
    <row r="28" spans="2:21" x14ac:dyDescent="0.3">
      <c r="B28" t="s">
        <v>12</v>
      </c>
      <c r="C28" s="3">
        <f>C9/C5</f>
        <v>0.62006458440747891</v>
      </c>
      <c r="D28" s="3">
        <f>D9/D5</f>
        <v>0.5716764104757831</v>
      </c>
      <c r="E28" s="3">
        <f>E9/E5</f>
        <v>0.59030631303698178</v>
      </c>
      <c r="F28" s="3">
        <f>F9/F5</f>
        <v>0.61346622467124767</v>
      </c>
      <c r="G28" s="3">
        <f>G9/G5</f>
        <v>0.63466875895179986</v>
      </c>
      <c r="H28" s="3">
        <f>H9/H5</f>
        <v>0.60563244720783849</v>
      </c>
      <c r="I28" s="3">
        <f>I9/I5</f>
        <v>0.63025642639845803</v>
      </c>
      <c r="J28" s="3">
        <f>J9/J5</f>
        <v>0.64672089387045195</v>
      </c>
      <c r="K28" s="3">
        <f>K9/K5</f>
        <v>0.65</v>
      </c>
      <c r="L28" s="3">
        <f>L9/L5</f>
        <v>0.65</v>
      </c>
      <c r="M28" s="3">
        <f t="shared" ref="M28:N28" si="32">M9/M5</f>
        <v>0.65</v>
      </c>
      <c r="N28" s="3">
        <f t="shared" si="32"/>
        <v>0.65</v>
      </c>
      <c r="O28" s="3"/>
      <c r="R28" s="3">
        <f t="shared" ref="R28:S28" si="33">R9/R5</f>
        <v>0.57796685659873148</v>
      </c>
      <c r="S28" s="3">
        <f t="shared" si="33"/>
        <v>0.59848068279621303</v>
      </c>
      <c r="T28" s="3">
        <f>T9/T5</f>
        <v>0.6295909769828808</v>
      </c>
      <c r="U28" s="3">
        <f>U9/U5</f>
        <v>0.64000000000000012</v>
      </c>
    </row>
    <row r="29" spans="2:21" x14ac:dyDescent="0.3">
      <c r="B29" t="s">
        <v>32</v>
      </c>
      <c r="C29" s="3">
        <f>(C3-C6)/C3</f>
        <v>0.80130138073321677</v>
      </c>
      <c r="D29" s="3">
        <f>(D3-D6)/D3</f>
        <v>0.78984244670991655</v>
      </c>
      <c r="E29" s="3">
        <f>(E3-E6)/E3</f>
        <v>0.78920380711551297</v>
      </c>
      <c r="F29" s="3">
        <f>(F3-F6)/F3</f>
        <v>0.79496484463597195</v>
      </c>
      <c r="G29" s="3">
        <f>(G3-G6)/G3</f>
        <v>0.81119911874145256</v>
      </c>
      <c r="H29" s="3">
        <f>(H3-H6)/H3</f>
        <v>0.81552118122692918</v>
      </c>
      <c r="I29" s="3">
        <f>(I3-I6)/I3</f>
        <v>0.81293575266809925</v>
      </c>
      <c r="J29" s="3">
        <f>(J3-J6)/J3</f>
        <v>0.82868515598748993</v>
      </c>
      <c r="K29" s="3">
        <f>(K3-K6)/K3</f>
        <v>1</v>
      </c>
      <c r="L29" s="3">
        <f>(L3-L6)/L3</f>
        <v>1</v>
      </c>
      <c r="M29" s="3">
        <f t="shared" ref="M29:N29" si="34">(M3-M6)/M3</f>
        <v>1</v>
      </c>
      <c r="N29" s="3">
        <f t="shared" si="34"/>
        <v>1</v>
      </c>
      <c r="O29" s="3"/>
      <c r="R29" s="3">
        <f>(R3-R6)/R3</f>
        <v>0.80058097312999277</v>
      </c>
      <c r="S29" s="3">
        <f t="shared" ref="S29:T29" si="35">(S3-S6)/S3</f>
        <v>0.79368694794422268</v>
      </c>
      <c r="T29" s="3">
        <f t="shared" si="35"/>
        <v>0.81749162740534709</v>
      </c>
      <c r="U29" s="3">
        <f t="shared" ref="U29" si="36">(U3-U6)/U3</f>
        <v>1</v>
      </c>
    </row>
    <row r="30" spans="2:21" x14ac:dyDescent="0.3">
      <c r="B30" t="s">
        <v>40</v>
      </c>
      <c r="C30" s="3">
        <f>C17/C16</f>
        <v>0.35512950736414445</v>
      </c>
      <c r="D30" s="3">
        <f t="shared" ref="D30:N30" si="37">D17/D16</f>
        <v>0.32843699793435832</v>
      </c>
      <c r="E30" s="3">
        <f t="shared" si="37"/>
        <v>0.11667061892340518</v>
      </c>
      <c r="F30" s="3">
        <f t="shared" si="37"/>
        <v>0.26679389312977081</v>
      </c>
      <c r="G30" s="3">
        <f t="shared" si="37"/>
        <v>0.31202192222988029</v>
      </c>
      <c r="H30" s="3">
        <f t="shared" si="37"/>
        <v>0.29187861778635327</v>
      </c>
      <c r="I30" s="3">
        <f t="shared" si="37"/>
        <v>0.18309834849086232</v>
      </c>
      <c r="J30" s="3">
        <f t="shared" si="37"/>
        <v>0.19145651055069499</v>
      </c>
      <c r="K30" s="3">
        <f t="shared" ref="K30:N30" si="38">K17/K16</f>
        <v>0.35</v>
      </c>
      <c r="L30" s="3">
        <f t="shared" si="38"/>
        <v>0.35</v>
      </c>
      <c r="M30" s="3">
        <f t="shared" si="38"/>
        <v>0.35</v>
      </c>
      <c r="N30" s="3">
        <f t="shared" si="38"/>
        <v>0.35</v>
      </c>
    </row>
  </sheetData>
  <phoneticPr fontId="3" type="noConversion"/>
  <hyperlinks>
    <hyperlink ref="A1" location="Main!A1" display="Main" xr:uid="{CA4D914B-0CF5-4D4B-AAC5-10F8B8610E8F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Kacorzyk</dc:creator>
  <cp:lastModifiedBy>Wiktor Kacorzyk</cp:lastModifiedBy>
  <dcterms:created xsi:type="dcterms:W3CDTF">2024-05-26T08:26:10Z</dcterms:created>
  <dcterms:modified xsi:type="dcterms:W3CDTF">2024-05-26T13:37:58Z</dcterms:modified>
</cp:coreProperties>
</file>