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kaco\Desktop\Portfolio\Tech\"/>
    </mc:Choice>
  </mc:AlternateContent>
  <xr:revisionPtr revIDLastSave="0" documentId="8_{A640704E-2799-43D7-B34C-23712C6CAF37}" xr6:coauthVersionLast="47" xr6:coauthVersionMax="47" xr10:uidLastSave="{00000000-0000-0000-0000-000000000000}"/>
  <bookViews>
    <workbookView xWindow="-108" yWindow="-108" windowWidth="23256" windowHeight="12720" activeTab="1" xr2:uid="{D6EB024C-4F18-4AF5-A762-8EEB1681329A}"/>
  </bookViews>
  <sheets>
    <sheet name="Main" sheetId="1" r:id="rId1"/>
    <sheet name="model"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1" i="2" l="1"/>
  <c r="O21" i="2"/>
  <c r="N21" i="2"/>
  <c r="M21" i="2"/>
  <c r="K21" i="2"/>
  <c r="J21" i="2"/>
  <c r="I21" i="2"/>
  <c r="H21" i="2"/>
  <c r="G21" i="2"/>
  <c r="F21" i="2"/>
  <c r="E21" i="2"/>
  <c r="D21" i="2"/>
  <c r="C21" i="2"/>
  <c r="L21" i="2"/>
  <c r="L6" i="1"/>
  <c r="L5" i="1"/>
  <c r="E9" i="2"/>
  <c r="E5" i="2"/>
  <c r="E10" i="2" s="1"/>
  <c r="E13" i="2" s="1"/>
  <c r="J45" i="2"/>
  <c r="J42" i="2"/>
  <c r="J36" i="2"/>
  <c r="J29" i="2"/>
  <c r="J49" i="2"/>
  <c r="J40" i="2"/>
  <c r="F15" i="2"/>
  <c r="F14" i="2"/>
  <c r="F12" i="2"/>
  <c r="F11" i="2"/>
  <c r="F8" i="2"/>
  <c r="F7" i="2"/>
  <c r="F6" i="2"/>
  <c r="F9" i="2" s="1"/>
  <c r="F4" i="2"/>
  <c r="F3" i="2"/>
  <c r="F5" i="2"/>
  <c r="J15" i="2"/>
  <c r="J14" i="2"/>
  <c r="J12" i="2"/>
  <c r="J11" i="2"/>
  <c r="J8" i="2"/>
  <c r="J7" i="2"/>
  <c r="J6" i="2"/>
  <c r="J4" i="2"/>
  <c r="J3" i="2"/>
  <c r="J5" i="2"/>
  <c r="H45" i="2"/>
  <c r="H42" i="2"/>
  <c r="H36" i="2"/>
  <c r="H29" i="2"/>
  <c r="H49" i="2"/>
  <c r="H40" i="2"/>
  <c r="D9" i="2"/>
  <c r="D5" i="2"/>
  <c r="D10" i="2" s="1"/>
  <c r="D13" i="2" s="1"/>
  <c r="H8" i="2"/>
  <c r="H9" i="2"/>
  <c r="H10" i="2" s="1"/>
  <c r="H13" i="2" s="1"/>
  <c r="H5" i="2"/>
  <c r="H4" i="2"/>
  <c r="C9" i="2"/>
  <c r="C5" i="2"/>
  <c r="P45" i="2"/>
  <c r="O45" i="2"/>
  <c r="N45" i="2"/>
  <c r="M45" i="2"/>
  <c r="G45" i="2"/>
  <c r="F45" i="2"/>
  <c r="F42" i="2"/>
  <c r="F29" i="2"/>
  <c r="F49" i="2"/>
  <c r="F40" i="2"/>
  <c r="G42" i="2"/>
  <c r="G36" i="2"/>
  <c r="G29" i="2"/>
  <c r="G49" i="2"/>
  <c r="G40" i="2"/>
  <c r="G4" i="2"/>
  <c r="G8" i="2"/>
  <c r="G9" i="2"/>
  <c r="G5" i="2"/>
  <c r="N13" i="2"/>
  <c r="N12" i="2"/>
  <c r="N11" i="2"/>
  <c r="N15" i="2"/>
  <c r="N14" i="2"/>
  <c r="N8" i="2"/>
  <c r="N7" i="2"/>
  <c r="N6" i="2"/>
  <c r="N4" i="2"/>
  <c r="N9" i="2"/>
  <c r="N5" i="2"/>
  <c r="N3" i="2"/>
  <c r="M42" i="2"/>
  <c r="M36" i="2"/>
  <c r="M29" i="2"/>
  <c r="M49" i="2"/>
  <c r="M40" i="2"/>
  <c r="I8" i="2"/>
  <c r="I4" i="2"/>
  <c r="I9" i="2"/>
  <c r="I5" i="2"/>
  <c r="M8" i="2"/>
  <c r="M4" i="2"/>
  <c r="M9" i="2"/>
  <c r="M5" i="2"/>
  <c r="O42" i="2"/>
  <c r="O36" i="2"/>
  <c r="O29" i="2"/>
  <c r="O49" i="2"/>
  <c r="O40" i="2"/>
  <c r="K8" i="2"/>
  <c r="K5" i="2"/>
  <c r="K4" i="2"/>
  <c r="K9" i="2"/>
  <c r="O4" i="2"/>
  <c r="O8" i="2"/>
  <c r="O9" i="2"/>
  <c r="O5" i="2"/>
  <c r="O22" i="2"/>
  <c r="N22" i="2"/>
  <c r="M22" i="2"/>
  <c r="L22" i="2"/>
  <c r="K22" i="2"/>
  <c r="I22" i="2"/>
  <c r="H22" i="2"/>
  <c r="G22" i="2"/>
  <c r="F22" i="2"/>
  <c r="E22" i="2"/>
  <c r="D22" i="2"/>
  <c r="C22" i="2"/>
  <c r="L20" i="2"/>
  <c r="L19" i="2"/>
  <c r="L18" i="2"/>
  <c r="H18" i="2"/>
  <c r="E18" i="2"/>
  <c r="D18" i="2"/>
  <c r="O25" i="2"/>
  <c r="N25" i="2"/>
  <c r="M25" i="2"/>
  <c r="L25" i="2"/>
  <c r="K25" i="2"/>
  <c r="J25" i="2"/>
  <c r="I25" i="2"/>
  <c r="H25" i="2"/>
  <c r="G25" i="2"/>
  <c r="P25" i="2"/>
  <c r="L8" i="2"/>
  <c r="L9" i="2"/>
  <c r="L4" i="2"/>
  <c r="L5" i="2"/>
  <c r="N42" i="2"/>
  <c r="N49" i="2"/>
  <c r="N40" i="2"/>
  <c r="N36" i="2"/>
  <c r="N29" i="2"/>
  <c r="P42" i="2"/>
  <c r="P49" i="2" s="1"/>
  <c r="P36" i="2"/>
  <c r="P35" i="2"/>
  <c r="P29" i="2"/>
  <c r="P22" i="2"/>
  <c r="P8" i="2"/>
  <c r="P9" i="2" s="1"/>
  <c r="P4" i="2"/>
  <c r="P5" i="2" s="1"/>
  <c r="P18" i="2" s="1"/>
  <c r="L2" i="1" a="1"/>
  <c r="L2" i="1" s="1"/>
  <c r="L4" i="1" a="1"/>
  <c r="L4" i="1" s="1"/>
  <c r="L7" i="1" s="1"/>
  <c r="E16" i="2" l="1"/>
  <c r="E20" i="2" s="1"/>
  <c r="E19" i="2"/>
  <c r="F10" i="2"/>
  <c r="F13" i="2" s="1"/>
  <c r="F18" i="2"/>
  <c r="J9" i="2"/>
  <c r="J22" i="2"/>
  <c r="J18" i="2"/>
  <c r="J10" i="2"/>
  <c r="J13" i="2" s="1"/>
  <c r="J19" i="2" s="1"/>
  <c r="D16" i="2"/>
  <c r="D20" i="2" s="1"/>
  <c r="D19" i="2"/>
  <c r="H16" i="2"/>
  <c r="H20" i="2" s="1"/>
  <c r="H19" i="2"/>
  <c r="C10" i="2"/>
  <c r="C13" i="2" s="1"/>
  <c r="C18" i="2"/>
  <c r="G10" i="2"/>
  <c r="G13" i="2" s="1"/>
  <c r="G18" i="2"/>
  <c r="N10" i="2"/>
  <c r="N18" i="2"/>
  <c r="I10" i="2"/>
  <c r="I13" i="2" s="1"/>
  <c r="I18" i="2"/>
  <c r="M10" i="2"/>
  <c r="M13" i="2" s="1"/>
  <c r="M18" i="2"/>
  <c r="K18" i="2"/>
  <c r="K10" i="2"/>
  <c r="K13" i="2" s="1"/>
  <c r="O10" i="2"/>
  <c r="O13" i="2" s="1"/>
  <c r="O18" i="2"/>
  <c r="L10" i="2"/>
  <c r="L13" i="2"/>
  <c r="P40" i="2"/>
  <c r="P10" i="2"/>
  <c r="P13" i="2" s="1"/>
  <c r="L3" i="1"/>
  <c r="F16" i="2" l="1"/>
  <c r="F20" i="2" s="1"/>
  <c r="F19" i="2"/>
  <c r="J16" i="2"/>
  <c r="J20" i="2" s="1"/>
  <c r="C16" i="2"/>
  <c r="C20" i="2" s="1"/>
  <c r="C19" i="2"/>
  <c r="G16" i="2"/>
  <c r="G20" i="2" s="1"/>
  <c r="G19" i="2"/>
  <c r="N16" i="2"/>
  <c r="N20" i="2" s="1"/>
  <c r="N19" i="2"/>
  <c r="I19" i="2"/>
  <c r="I16" i="2"/>
  <c r="I20" i="2" s="1"/>
  <c r="M16" i="2"/>
  <c r="M20" i="2" s="1"/>
  <c r="M19" i="2"/>
  <c r="K16" i="2"/>
  <c r="K20" i="2" s="1"/>
  <c r="K19" i="2"/>
  <c r="O16" i="2"/>
  <c r="O20" i="2" s="1"/>
  <c r="O19" i="2"/>
  <c r="L16" i="2"/>
  <c r="P16" i="2"/>
  <c r="P20" i="2" s="1"/>
  <c r="P1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<sst xmlns="http://schemas.openxmlformats.org/spreadsheetml/2006/main" count="69" uniqueCount="68">
  <si>
    <t>PRICE</t>
  </si>
  <si>
    <t>SHARES</t>
  </si>
  <si>
    <t>MC</t>
  </si>
  <si>
    <t>CASH</t>
  </si>
  <si>
    <t>DEBT</t>
  </si>
  <si>
    <t>EV</t>
  </si>
  <si>
    <t>MILIONS</t>
  </si>
  <si>
    <t>Q121</t>
  </si>
  <si>
    <t>Q221</t>
  </si>
  <si>
    <t>Q321</t>
  </si>
  <si>
    <t>Q421</t>
  </si>
  <si>
    <t>Q122</t>
  </si>
  <si>
    <t>Q222</t>
  </si>
  <si>
    <t>Q322</t>
  </si>
  <si>
    <t>Q422</t>
  </si>
  <si>
    <t>Q123</t>
  </si>
  <si>
    <t>Q223</t>
  </si>
  <si>
    <t>Q323</t>
  </si>
  <si>
    <t>Q423</t>
  </si>
  <si>
    <t>Q124</t>
  </si>
  <si>
    <t>Q224</t>
  </si>
  <si>
    <t>Q324</t>
  </si>
  <si>
    <t>Q424</t>
  </si>
  <si>
    <t>Q125</t>
  </si>
  <si>
    <t>Revenue</t>
  </si>
  <si>
    <t>Main</t>
  </si>
  <si>
    <t>COGS</t>
  </si>
  <si>
    <t>Gross Profit</t>
  </si>
  <si>
    <t>R&amp;D</t>
  </si>
  <si>
    <t>GA</t>
  </si>
  <si>
    <t>Operating expenses</t>
  </si>
  <si>
    <t>Operating income</t>
  </si>
  <si>
    <t>Interests</t>
  </si>
  <si>
    <t>Other</t>
  </si>
  <si>
    <t>Other  income</t>
  </si>
  <si>
    <t>Pre tax income</t>
  </si>
  <si>
    <t>Tax</t>
  </si>
  <si>
    <t>Net income</t>
  </si>
  <si>
    <t>Gross Margin %</t>
  </si>
  <si>
    <t>OperatingMargin %</t>
  </si>
  <si>
    <t>Net Margin %</t>
  </si>
  <si>
    <t>Tax Rate</t>
  </si>
  <si>
    <t>R&amp;D %</t>
  </si>
  <si>
    <t>Revenue Y/Y</t>
  </si>
  <si>
    <t>Balance Sheet</t>
  </si>
  <si>
    <t>Cash</t>
  </si>
  <si>
    <t>A/R</t>
  </si>
  <si>
    <t>Invetories</t>
  </si>
  <si>
    <t>OCA</t>
  </si>
  <si>
    <t>Investments</t>
  </si>
  <si>
    <t>PP&amp;E</t>
  </si>
  <si>
    <t>Goodwill  + intagables</t>
  </si>
  <si>
    <t>ONCA</t>
  </si>
  <si>
    <t>Assets</t>
  </si>
  <si>
    <t>AP</t>
  </si>
  <si>
    <t>SE</t>
  </si>
  <si>
    <t>L+SE</t>
  </si>
  <si>
    <t>Equity income</t>
  </si>
  <si>
    <t>Recevisbles</t>
  </si>
  <si>
    <t>Lease</t>
  </si>
  <si>
    <t>Deferred tax</t>
  </si>
  <si>
    <t>Long term Debt</t>
  </si>
  <si>
    <t>OCL</t>
  </si>
  <si>
    <t>OLTM</t>
  </si>
  <si>
    <t>AL</t>
  </si>
  <si>
    <t xml:space="preserve">KRWUA QNIE WIEM CO TU ROBIE NIE TAK </t>
  </si>
  <si>
    <t>JEABNY BALNS SIĘ NIE BALANSUJE KRUWA</t>
  </si>
  <si>
    <t>jestem debilem jeabanym, ael się zdarza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</si>
</sst>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_([$$-409]* \(#,##0\);_([$$-409]* &quot;-&quot;_);_(@_)"/>
    <numFmt numFmtId="165" formatCode="_([$$-409]* #,##0.00_);_([$$-409]* \(#,##0.00\);_([$$-409]* &quot;-&quot;??_);_(@_)"/>
  </numFmts>
  <fonts count="6" x14ac:knownFonts="1">
    <font>
      <sz val="11"/>
      <color theme="1"/>
      <name val="Aptos Narrow"/>
      <family val="2"/>
      <charset val="238"/>
      <scheme val="minor"/>
    </font>
    <font>
      <sz val="11"/>
      <color theme="1"/>
      <name val="Aptos Narrow"/>
      <family val="2"/>
      <charset val="238"/>
      <scheme val="minor"/>
    </font>
    <font>
      <u/>
      <sz val="11"/>
      <color theme="10"/>
      <name val="Aptos Narrow"/>
      <family val="2"/>
      <charset val="238"/>
      <scheme val="minor"/>
    </font>
    <font>
      <sz val="8"/>
      <name val="Aptos Narrow"/>
      <family val="2"/>
      <charset val="238"/>
      <scheme val="minor"/>
    </font>
    <font>
      <b/>
      <sz val="11"/>
      <color theme="1"/>
      <name val="Aptos Narrow"/>
      <family val="2"/>
      <scheme val="minor"/>
    </font>
    <font>
      <sz val="11"/>
      <color theme="1"/>
      <name val="Aptos Narrow"/>
      <family val="2"/>
      <scheme val="minor"/>
    </font>
  </fonts>
  <fills count="2">
    <fill>
      <patternFill patternType="none"/>
    </fill>
    <fill>
      <patternFill patternType="gray125"/>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12">
    <xf numFmtId="0" fontId="0" fillId="0" borderId="0" xfId="0"/>
    <xf numFmtId="164" fontId="0" fillId="0" borderId="0" xfId="0" applyNumberFormat="1"/>
    <xf numFmtId="165" fontId="0" fillId="0" borderId="0" xfId="0" applyNumberFormat="1"/>
    <xf numFmtId="0" fontId="2" fillId="0" borderId="0" xfId="2"/>
    <xf numFmtId="0" fontId="0" fillId="0" borderId="1" xfId="0" applyBorder="1"/>
    <xf numFmtId="0" fontId="0" fillId="0" borderId="2" xfId="0" applyBorder="1"/>
    <xf numFmtId="0" fontId="0" fillId="0" borderId="3" xfId="0" applyBorder="1"/>
    <xf numFmtId="0" fontId="4" fillId="0" borderId="1" xfId="0" applyFont="1" applyBorder="1"/>
    <xf numFmtId="0" fontId="4" fillId="0" borderId="0" xfId="0" applyFont="1"/>
    <xf numFmtId="0" fontId="5" fillId="0" borderId="0" xfId="0" applyFont="1"/>
    <xf numFmtId="9" fontId="4" fillId="0" borderId="0" xfId="1" applyFont="1"/>
    <xf numFmtId="9" fontId="4" fillId="0" borderId="0" xfId="0" applyNumberFormat="1" applyFo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https://www.bing.com/financeapi/forcetrigger?t=a1ndww&amp;q=XNAS%3aAMD&amp;form=skydnc</v>
    <v>Learn more on Bing</v>
  </rv>
  <rv s="1">
    <v>en-US</v>
    <v>a1ndww</v>
    <v>268435456</v>
    <v>1</v>
    <v>Powered by Refinitiv</v>
    <v>0</v>
    <v>ADVANCED MICRO DEVICES, INC. (XNAS:AMD)</v>
    <v>2</v>
    <v>3</v>
    <v>Finance</v>
    <v>4</v>
    <v>227.3</v>
    <v>93.114999999999995</v>
    <v>1.69</v>
    <v>-4.4850000000000003</v>
    <v>-2.9801000000000001E-2</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150.43</v>
    <v>Semiconductors &amp; Semiconductor Equipment</v>
    <v>Stock</v>
    <v>45532.629871642966</v>
    <v>0</v>
    <v>145.69999999999999</v>
    <v>236322649229</v>
    <v>ADVANCED MICRO DEVICES, INC.</v>
    <v>ADVANCED MICRO DEVICES, INC.</v>
    <v>149.46</v>
    <v>181.12020000000001</v>
    <v>150.5</v>
    <v>146.01499999999999</v>
    <v>1618482000</v>
    <v>AMD</v>
    <v>ADVANCED MICRO DEVICES, INC. (XNAS:AMD)</v>
    <v>11718727</v>
    <v>55796046</v>
    <v>1969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1325-81B6-44C3-B575-CF146C55827D}">
  <dimension ref="J2:M7"/>
  <sheetViews>
    <sheetView topLeftCell="B1" workbookViewId="0">
      <selection activeCell="O24" sqref="O24"/>
    </sheetView>
  </sheetViews>
  <sheetFormatPr defaultRowHeight="14.4" x14ac:dyDescent="0.3"/>
  <cols>
    <col min="12" max="12" width="16.33203125" bestFit="1" customWidth="1"/>
  </cols>
  <sheetData>
    <row r="2" spans="10:13" x14ac:dyDescent="0.3">
      <c r="J2" t="e" vm="1">
        <v>#VALUE!</v>
      </c>
      <c r="K2" t="s">
        <v>0</v>
      </c>
      <c r="L2" s="2" cm="1">
        <f t="array" ref="L2">_FV(J2,"Open")</f>
        <v>149.46</v>
      </c>
    </row>
    <row r="3" spans="10:13" x14ac:dyDescent="0.3">
      <c r="K3" t="s">
        <v>1</v>
      </c>
      <c r="L3">
        <f>(L4/L2)/1000000</f>
        <v>1581.1765638230966</v>
      </c>
      <c r="M3" t="s">
        <v>6</v>
      </c>
    </row>
    <row r="4" spans="10:13" x14ac:dyDescent="0.3">
      <c r="K4" t="s">
        <v>2</v>
      </c>
      <c r="L4" s="1" cm="1">
        <f t="array" ref="L4">_FV(J2,"Market cap",TRUE)</f>
        <v>236322649229</v>
      </c>
    </row>
    <row r="5" spans="10:13" x14ac:dyDescent="0.3">
      <c r="K5" t="s">
        <v>3</v>
      </c>
      <c r="L5">
        <f>(4113+1227)*10^6</f>
        <v>5340000000</v>
      </c>
    </row>
    <row r="6" spans="10:13" x14ac:dyDescent="0.3">
      <c r="K6" t="s">
        <v>4</v>
      </c>
      <c r="L6">
        <f>(1719+526)*10^6</f>
        <v>2245000000</v>
      </c>
    </row>
    <row r="7" spans="10:13" x14ac:dyDescent="0.3">
      <c r="K7" t="s">
        <v>5</v>
      </c>
      <c r="L7" s="1">
        <f>L4-L5+L6</f>
        <v>233227649229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0356-41FF-45F1-ACF0-F4403C26B1E3}">
  <dimension ref="A1:S49"/>
  <sheetViews>
    <sheetView tabSelected="1" zoomScale="85" zoomScaleNormal="85" workbookViewId="0">
      <pane xSplit="2" ySplit="2" topLeftCell="C3" activePane="bottomRight" state="frozen"/>
      <selection pane="topRight" activeCell="C1" sqref="C1"/>
      <selection pane="bottomLeft" activeCell="A3" sqref="A3"/>
      <selection pane="bottomRight" activeCell="P1" sqref="P1"/>
    </sheetView>
  </sheetViews>
  <sheetFormatPr defaultRowHeight="14.4" x14ac:dyDescent="0.3"/>
  <cols>
    <col min="1" max="1" width="4.44140625" bestFit="1" customWidth="1"/>
    <col min="2" max="2" width="16.109375" style="4" bestFit="1" customWidth="1"/>
  </cols>
  <sheetData>
    <row r="1" spans="1:19" x14ac:dyDescent="0.3">
      <c r="A1" s="3" t="s">
        <v>25</v>
      </c>
    </row>
    <row r="2" spans="1:19" s="5" customFormat="1" x14ac:dyDescent="0.3">
      <c r="B2" s="6"/>
      <c r="C2" s="5" t="s">
        <v>7</v>
      </c>
      <c r="D2" s="5" t="s">
        <v>8</v>
      </c>
      <c r="E2" s="5" t="s">
        <v>9</v>
      </c>
      <c r="F2" s="5" t="s">
        <v>10</v>
      </c>
      <c r="G2" s="5" t="s">
        <v>11</v>
      </c>
      <c r="H2" s="5" t="s">
        <v>12</v>
      </c>
      <c r="I2" s="5" t="s">
        <v>13</v>
      </c>
      <c r="J2" s="5" t="s">
        <v>14</v>
      </c>
      <c r="K2" s="5" t="s">
        <v>15</v>
      </c>
      <c r="L2" s="5" t="s">
        <v>16</v>
      </c>
      <c r="M2" s="5" t="s">
        <v>17</v>
      </c>
      <c r="N2" s="5" t="s">
        <v>18</v>
      </c>
      <c r="O2" s="5" t="s">
        <v>19</v>
      </c>
      <c r="P2" s="5" t="s">
        <v>20</v>
      </c>
      <c r="Q2" s="5" t="s">
        <v>21</v>
      </c>
      <c r="R2" s="5" t="s">
        <v>22</v>
      </c>
      <c r="S2" s="5" t="s">
        <v>23</v>
      </c>
    </row>
    <row r="3" spans="1:19" s="8" customFormat="1" x14ac:dyDescent="0.3">
      <c r="A3"/>
      <c r="B3" s="7" t="s">
        <v>24</v>
      </c>
      <c r="C3" s="8">
        <v>3445</v>
      </c>
      <c r="D3" s="8">
        <v>3850</v>
      </c>
      <c r="E3" s="8">
        <v>4313</v>
      </c>
      <c r="F3" s="8">
        <f>16434-SUM(C3:E3)</f>
        <v>4826</v>
      </c>
      <c r="G3" s="8">
        <v>5887</v>
      </c>
      <c r="H3" s="8">
        <v>6550</v>
      </c>
      <c r="I3" s="8">
        <v>5565</v>
      </c>
      <c r="J3" s="8">
        <f>23601-SUM(G3:I3)</f>
        <v>5599</v>
      </c>
      <c r="K3" s="8">
        <v>5353</v>
      </c>
      <c r="L3" s="8">
        <v>5359</v>
      </c>
      <c r="M3" s="8">
        <v>5800</v>
      </c>
      <c r="N3" s="8">
        <f>22680-SUM(K3:M3)</f>
        <v>6168</v>
      </c>
      <c r="O3" s="8">
        <v>5473</v>
      </c>
      <c r="P3" s="8">
        <v>5835</v>
      </c>
    </row>
    <row r="4" spans="1:19" x14ac:dyDescent="0.3">
      <c r="B4" s="4" t="s">
        <v>26</v>
      </c>
      <c r="C4">
        <v>1858</v>
      </c>
      <c r="D4">
        <v>2020</v>
      </c>
      <c r="E4">
        <v>2227</v>
      </c>
      <c r="F4" s="9">
        <f>8505+1448-SUM(C4:E4)</f>
        <v>3848</v>
      </c>
      <c r="G4">
        <f>2883+186</f>
        <v>3069</v>
      </c>
      <c r="H4">
        <f>3115+407</f>
        <v>3522</v>
      </c>
      <c r="I4">
        <f>2799+412</f>
        <v>3211</v>
      </c>
      <c r="J4" s="9">
        <f>11550+1448-SUM(G4:I4)</f>
        <v>3196</v>
      </c>
      <c r="K4">
        <f>2689+305</f>
        <v>2994</v>
      </c>
      <c r="L4">
        <f>2704+212</f>
        <v>2916</v>
      </c>
      <c r="M4">
        <f>2843+210</f>
        <v>3053</v>
      </c>
      <c r="N4" s="9">
        <f>11278+942-SUM(K4:M4)</f>
        <v>3257</v>
      </c>
      <c r="O4">
        <f>2683+230</f>
        <v>2913</v>
      </c>
      <c r="P4">
        <f>2740+231</f>
        <v>2971</v>
      </c>
    </row>
    <row r="5" spans="1:19" s="8" customFormat="1" x14ac:dyDescent="0.3">
      <c r="A5"/>
      <c r="B5" s="7" t="s">
        <v>27</v>
      </c>
      <c r="C5" s="8">
        <f t="shared" ref="C5:P5" si="0">C3-C4</f>
        <v>1587</v>
      </c>
      <c r="D5" s="8">
        <f t="shared" si="0"/>
        <v>1830</v>
      </c>
      <c r="E5" s="8">
        <f t="shared" si="0"/>
        <v>2086</v>
      </c>
      <c r="F5" s="8">
        <f t="shared" si="0"/>
        <v>978</v>
      </c>
      <c r="G5" s="8">
        <f t="shared" si="0"/>
        <v>2818</v>
      </c>
      <c r="H5" s="8">
        <f t="shared" si="0"/>
        <v>3028</v>
      </c>
      <c r="I5" s="8">
        <f t="shared" si="0"/>
        <v>2354</v>
      </c>
      <c r="J5" s="8">
        <f t="shared" si="0"/>
        <v>2403</v>
      </c>
      <c r="K5" s="8">
        <f t="shared" si="0"/>
        <v>2359</v>
      </c>
      <c r="L5" s="8">
        <f t="shared" si="0"/>
        <v>2443</v>
      </c>
      <c r="M5" s="8">
        <f t="shared" si="0"/>
        <v>2747</v>
      </c>
      <c r="N5" s="8">
        <f t="shared" si="0"/>
        <v>2911</v>
      </c>
      <c r="O5" s="8">
        <f t="shared" si="0"/>
        <v>2560</v>
      </c>
      <c r="P5" s="8">
        <f t="shared" si="0"/>
        <v>2864</v>
      </c>
    </row>
    <row r="6" spans="1:19" x14ac:dyDescent="0.3">
      <c r="B6" s="4" t="s">
        <v>28</v>
      </c>
      <c r="C6">
        <v>610</v>
      </c>
      <c r="D6">
        <v>659</v>
      </c>
      <c r="E6">
        <v>765</v>
      </c>
      <c r="F6" s="9">
        <f>2845-SUM(C6:E6)</f>
        <v>811</v>
      </c>
      <c r="G6">
        <v>1060</v>
      </c>
      <c r="H6">
        <v>1300</v>
      </c>
      <c r="I6">
        <v>1279</v>
      </c>
      <c r="J6" s="9">
        <f>5005-SUM(G6:I6)</f>
        <v>1366</v>
      </c>
      <c r="K6">
        <v>1411</v>
      </c>
      <c r="L6">
        <v>1443</v>
      </c>
      <c r="M6">
        <v>1507</v>
      </c>
      <c r="N6" s="9">
        <f>5872-SUM(K6:M6)</f>
        <v>1511</v>
      </c>
      <c r="O6">
        <v>1525</v>
      </c>
      <c r="P6">
        <v>1583</v>
      </c>
    </row>
    <row r="7" spans="1:19" x14ac:dyDescent="0.3">
      <c r="B7" s="4" t="s">
        <v>29</v>
      </c>
      <c r="C7">
        <v>319</v>
      </c>
      <c r="D7">
        <v>341</v>
      </c>
      <c r="E7">
        <v>376</v>
      </c>
      <c r="F7" s="9">
        <f>1448-SUM(C7:E7)</f>
        <v>412</v>
      </c>
      <c r="G7">
        <v>597</v>
      </c>
      <c r="H7">
        <v>592</v>
      </c>
      <c r="I7">
        <v>557</v>
      </c>
      <c r="J7" s="9">
        <f>2336-SUM(G7:I7)</f>
        <v>590</v>
      </c>
      <c r="K7">
        <v>585</v>
      </c>
      <c r="L7">
        <v>547</v>
      </c>
      <c r="M7">
        <v>576</v>
      </c>
      <c r="N7" s="9">
        <f>2352-SUM(K7:M7)</f>
        <v>644</v>
      </c>
      <c r="O7">
        <v>620</v>
      </c>
      <c r="P7">
        <v>650</v>
      </c>
    </row>
    <row r="8" spans="1:19" x14ac:dyDescent="0.3">
      <c r="B8" s="4" t="s">
        <v>33</v>
      </c>
      <c r="C8">
        <v>-4</v>
      </c>
      <c r="D8">
        <v>-1</v>
      </c>
      <c r="E8">
        <v>-3</v>
      </c>
      <c r="F8" s="9">
        <f>-12-SUM(C8:E8)</f>
        <v>-4</v>
      </c>
      <c r="G8">
        <f>293-83</f>
        <v>210</v>
      </c>
      <c r="H8">
        <f>616-6</f>
        <v>610</v>
      </c>
      <c r="I8">
        <f>590-8</f>
        <v>582</v>
      </c>
      <c r="J8" s="9">
        <f>2100-102-SUM(G8:I8)</f>
        <v>596</v>
      </c>
      <c r="K8">
        <f>518-10</f>
        <v>508</v>
      </c>
      <c r="L8">
        <f>481-8</f>
        <v>473</v>
      </c>
      <c r="M8">
        <f>450-10</f>
        <v>440</v>
      </c>
      <c r="N8" s="9">
        <f>1869-34-SUM(K8:M8)</f>
        <v>414</v>
      </c>
      <c r="O8">
        <f>392-13</f>
        <v>379</v>
      </c>
      <c r="P8">
        <f>372-10</f>
        <v>362</v>
      </c>
    </row>
    <row r="9" spans="1:19" x14ac:dyDescent="0.3">
      <c r="B9" s="4" t="s">
        <v>30</v>
      </c>
      <c r="C9">
        <f t="shared" ref="C9:P9" si="1">SUM(C6:C8)</f>
        <v>925</v>
      </c>
      <c r="D9">
        <f t="shared" si="1"/>
        <v>999</v>
      </c>
      <c r="E9">
        <f t="shared" si="1"/>
        <v>1138</v>
      </c>
      <c r="F9">
        <f t="shared" si="1"/>
        <v>1219</v>
      </c>
      <c r="G9">
        <f t="shared" si="1"/>
        <v>1867</v>
      </c>
      <c r="H9">
        <f t="shared" si="1"/>
        <v>2502</v>
      </c>
      <c r="I9">
        <f t="shared" si="1"/>
        <v>2418</v>
      </c>
      <c r="J9">
        <f t="shared" si="1"/>
        <v>2552</v>
      </c>
      <c r="K9">
        <f t="shared" si="1"/>
        <v>2504</v>
      </c>
      <c r="L9">
        <f t="shared" si="1"/>
        <v>2463</v>
      </c>
      <c r="M9">
        <f t="shared" si="1"/>
        <v>2523</v>
      </c>
      <c r="N9">
        <f t="shared" si="1"/>
        <v>2569</v>
      </c>
      <c r="O9">
        <f t="shared" si="1"/>
        <v>2524</v>
      </c>
      <c r="P9">
        <f t="shared" si="1"/>
        <v>2595</v>
      </c>
    </row>
    <row r="10" spans="1:19" s="8" customFormat="1" x14ac:dyDescent="0.3">
      <c r="A10"/>
      <c r="B10" s="7" t="s">
        <v>31</v>
      </c>
      <c r="C10" s="8">
        <f t="shared" ref="C10:P10" si="2">C5-C9</f>
        <v>662</v>
      </c>
      <c r="D10" s="8">
        <f t="shared" si="2"/>
        <v>831</v>
      </c>
      <c r="E10" s="8">
        <f t="shared" si="2"/>
        <v>948</v>
      </c>
      <c r="F10" s="8">
        <f t="shared" si="2"/>
        <v>-241</v>
      </c>
      <c r="G10" s="8">
        <f t="shared" si="2"/>
        <v>951</v>
      </c>
      <c r="H10" s="8">
        <f t="shared" si="2"/>
        <v>526</v>
      </c>
      <c r="I10" s="8">
        <f t="shared" si="2"/>
        <v>-64</v>
      </c>
      <c r="J10" s="8">
        <f t="shared" si="2"/>
        <v>-149</v>
      </c>
      <c r="K10" s="8">
        <f t="shared" si="2"/>
        <v>-145</v>
      </c>
      <c r="L10" s="8">
        <f t="shared" si="2"/>
        <v>-20</v>
      </c>
      <c r="M10" s="8">
        <f t="shared" si="2"/>
        <v>224</v>
      </c>
      <c r="N10" s="8">
        <f t="shared" si="2"/>
        <v>342</v>
      </c>
      <c r="O10" s="8">
        <f t="shared" si="2"/>
        <v>36</v>
      </c>
      <c r="P10" s="8">
        <f t="shared" si="2"/>
        <v>269</v>
      </c>
    </row>
    <row r="11" spans="1:19" x14ac:dyDescent="0.3">
      <c r="B11" s="4" t="s">
        <v>32</v>
      </c>
      <c r="C11">
        <v>-9</v>
      </c>
      <c r="D11">
        <v>-10</v>
      </c>
      <c r="E11">
        <v>-7</v>
      </c>
      <c r="F11" s="9">
        <f>-34-SUM(C11:E11)</f>
        <v>-8</v>
      </c>
      <c r="G11">
        <v>-13</v>
      </c>
      <c r="H11">
        <v>-25</v>
      </c>
      <c r="I11">
        <v>-31</v>
      </c>
      <c r="J11" s="9">
        <f>-88-SUM(G11:I11)</f>
        <v>-19</v>
      </c>
      <c r="K11">
        <v>-25</v>
      </c>
      <c r="L11">
        <v>-28</v>
      </c>
      <c r="M11">
        <v>-26</v>
      </c>
      <c r="N11" s="9">
        <f>-106-SUM(K11:M11)</f>
        <v>-27</v>
      </c>
      <c r="O11">
        <v>-25</v>
      </c>
      <c r="P11">
        <v>-25</v>
      </c>
    </row>
    <row r="12" spans="1:19" x14ac:dyDescent="0.3">
      <c r="B12" s="4" t="s">
        <v>34</v>
      </c>
      <c r="C12">
        <v>-11</v>
      </c>
      <c r="D12">
        <v>0</v>
      </c>
      <c r="E12">
        <v>62</v>
      </c>
      <c r="F12" s="9">
        <f>55-SUM(C12:E12)</f>
        <v>4</v>
      </c>
      <c r="G12">
        <v>-42</v>
      </c>
      <c r="H12">
        <v>-4</v>
      </c>
      <c r="I12">
        <v>22</v>
      </c>
      <c r="J12" s="9">
        <f>8-SUM(G12:I12)</f>
        <v>32</v>
      </c>
      <c r="K12">
        <v>43</v>
      </c>
      <c r="L12">
        <v>46</v>
      </c>
      <c r="M12">
        <v>59</v>
      </c>
      <c r="N12" s="9">
        <f>197-SUM(K12:M12)</f>
        <v>49</v>
      </c>
      <c r="O12">
        <v>53</v>
      </c>
      <c r="P12">
        <v>55</v>
      </c>
    </row>
    <row r="13" spans="1:19" x14ac:dyDescent="0.3">
      <c r="B13" s="4" t="s">
        <v>35</v>
      </c>
      <c r="C13">
        <f t="shared" ref="C13:P13" si="3">C10+SUM(C11:C12)</f>
        <v>642</v>
      </c>
      <c r="D13">
        <f t="shared" si="3"/>
        <v>821</v>
      </c>
      <c r="E13">
        <f t="shared" si="3"/>
        <v>1003</v>
      </c>
      <c r="F13">
        <f t="shared" si="3"/>
        <v>-245</v>
      </c>
      <c r="G13">
        <f t="shared" si="3"/>
        <v>896</v>
      </c>
      <c r="H13">
        <f t="shared" si="3"/>
        <v>497</v>
      </c>
      <c r="I13">
        <f t="shared" si="3"/>
        <v>-73</v>
      </c>
      <c r="J13">
        <f t="shared" si="3"/>
        <v>-136</v>
      </c>
      <c r="K13">
        <f t="shared" si="3"/>
        <v>-127</v>
      </c>
      <c r="L13">
        <f t="shared" si="3"/>
        <v>-2</v>
      </c>
      <c r="M13">
        <f t="shared" si="3"/>
        <v>257</v>
      </c>
      <c r="N13">
        <f t="shared" si="3"/>
        <v>364</v>
      </c>
      <c r="O13">
        <f t="shared" si="3"/>
        <v>64</v>
      </c>
      <c r="P13">
        <f t="shared" si="3"/>
        <v>299</v>
      </c>
    </row>
    <row r="14" spans="1:19" x14ac:dyDescent="0.3">
      <c r="B14" s="4" t="s">
        <v>36</v>
      </c>
      <c r="C14">
        <v>89</v>
      </c>
      <c r="D14">
        <v>113</v>
      </c>
      <c r="E14">
        <v>82</v>
      </c>
      <c r="F14" s="9">
        <f>513-SUM(C14:E14)</f>
        <v>229</v>
      </c>
      <c r="G14">
        <v>113</v>
      </c>
      <c r="H14">
        <v>54</v>
      </c>
      <c r="I14">
        <v>-135</v>
      </c>
      <c r="J14" s="9">
        <f>-122-SUM(G14:I14)</f>
        <v>-154</v>
      </c>
      <c r="K14">
        <v>13</v>
      </c>
      <c r="L14">
        <v>-23</v>
      </c>
      <c r="M14">
        <v>-39</v>
      </c>
      <c r="N14" s="9">
        <f>-346-SUM(K14:M14)</f>
        <v>-297</v>
      </c>
      <c r="O14">
        <v>-52</v>
      </c>
      <c r="P14">
        <v>41</v>
      </c>
    </row>
    <row r="15" spans="1:19" x14ac:dyDescent="0.3">
      <c r="B15" s="4" t="s">
        <v>57</v>
      </c>
      <c r="C15">
        <v>2</v>
      </c>
      <c r="D15">
        <v>2</v>
      </c>
      <c r="E15">
        <v>2</v>
      </c>
      <c r="F15" s="9">
        <f>6-SUM(C15:E15)</f>
        <v>0</v>
      </c>
      <c r="G15">
        <v>3</v>
      </c>
      <c r="H15">
        <v>4</v>
      </c>
      <c r="I15">
        <v>4</v>
      </c>
      <c r="J15" s="9">
        <f>14-SUM(G15:I15)</f>
        <v>3</v>
      </c>
      <c r="K15">
        <v>1</v>
      </c>
      <c r="L15">
        <v>6</v>
      </c>
      <c r="M15">
        <v>3</v>
      </c>
      <c r="N15" s="9">
        <f>16-SUM(K15:M15)</f>
        <v>6</v>
      </c>
      <c r="O15">
        <v>7</v>
      </c>
      <c r="P15">
        <v>7</v>
      </c>
    </row>
    <row r="16" spans="1:19" s="8" customFormat="1" x14ac:dyDescent="0.3">
      <c r="A16"/>
      <c r="B16" s="7" t="s">
        <v>37</v>
      </c>
      <c r="C16" s="8">
        <f t="shared" ref="C16:P16" si="4">C13-C14+C15</f>
        <v>555</v>
      </c>
      <c r="D16" s="8">
        <f t="shared" si="4"/>
        <v>710</v>
      </c>
      <c r="E16" s="8">
        <f t="shared" si="4"/>
        <v>923</v>
      </c>
      <c r="F16" s="8">
        <f t="shared" si="4"/>
        <v>-474</v>
      </c>
      <c r="G16" s="8">
        <f t="shared" si="4"/>
        <v>786</v>
      </c>
      <c r="H16" s="8">
        <f t="shared" si="4"/>
        <v>447</v>
      </c>
      <c r="I16" s="8">
        <f t="shared" si="4"/>
        <v>66</v>
      </c>
      <c r="J16" s="8">
        <f t="shared" si="4"/>
        <v>21</v>
      </c>
      <c r="K16" s="8">
        <f t="shared" si="4"/>
        <v>-139</v>
      </c>
      <c r="L16" s="8">
        <f t="shared" si="4"/>
        <v>27</v>
      </c>
      <c r="M16" s="8">
        <f t="shared" si="4"/>
        <v>299</v>
      </c>
      <c r="N16" s="8">
        <f t="shared" si="4"/>
        <v>667</v>
      </c>
      <c r="O16" s="8">
        <f t="shared" si="4"/>
        <v>123</v>
      </c>
      <c r="P16" s="8">
        <f t="shared" si="4"/>
        <v>265</v>
      </c>
    </row>
    <row r="18" spans="1:17" s="8" customFormat="1" x14ac:dyDescent="0.3">
      <c r="A18"/>
      <c r="B18" s="8" t="s">
        <v>38</v>
      </c>
      <c r="C18" s="10">
        <f t="shared" ref="C18:O18" si="5">C5/C3</f>
        <v>0.46066763425253993</v>
      </c>
      <c r="D18" s="10">
        <f t="shared" si="5"/>
        <v>0.47532467532467532</v>
      </c>
      <c r="E18" s="10">
        <f t="shared" si="5"/>
        <v>0.48365406909343844</v>
      </c>
      <c r="F18" s="10">
        <f t="shared" si="5"/>
        <v>0.20265230004144219</v>
      </c>
      <c r="G18" s="10">
        <f t="shared" si="5"/>
        <v>0.4786818413453372</v>
      </c>
      <c r="H18" s="10">
        <f t="shared" si="5"/>
        <v>0.46229007633587788</v>
      </c>
      <c r="I18" s="10">
        <f t="shared" si="5"/>
        <v>0.42300089847259659</v>
      </c>
      <c r="J18" s="10">
        <f t="shared" si="5"/>
        <v>0.42918378281836045</v>
      </c>
      <c r="K18" s="10">
        <f t="shared" si="5"/>
        <v>0.44068746497291239</v>
      </c>
      <c r="L18" s="10">
        <f t="shared" si="5"/>
        <v>0.4558686322075014</v>
      </c>
      <c r="M18" s="10">
        <f t="shared" si="5"/>
        <v>0.4736206896551724</v>
      </c>
      <c r="N18" s="10">
        <f t="shared" si="5"/>
        <v>0.47195201037613488</v>
      </c>
      <c r="O18" s="10">
        <f t="shared" si="5"/>
        <v>0.46775077653937513</v>
      </c>
      <c r="P18" s="10">
        <f>P5/P3</f>
        <v>0.49083119108826051</v>
      </c>
    </row>
    <row r="19" spans="1:17" s="8" customFormat="1" x14ac:dyDescent="0.3">
      <c r="A19"/>
      <c r="B19" s="8" t="s">
        <v>39</v>
      </c>
      <c r="C19" s="10">
        <f t="shared" ref="C19:O19" si="6">C13/C3</f>
        <v>0.18635703918722787</v>
      </c>
      <c r="D19" s="10">
        <f t="shared" si="6"/>
        <v>0.21324675324675324</v>
      </c>
      <c r="E19" s="10">
        <f t="shared" si="6"/>
        <v>0.23255274750753535</v>
      </c>
      <c r="F19" s="10">
        <f t="shared" si="6"/>
        <v>-5.0766680480729381E-2</v>
      </c>
      <c r="G19" s="10">
        <f t="shared" si="6"/>
        <v>0.15219976218787157</v>
      </c>
      <c r="H19" s="10">
        <f t="shared" si="6"/>
        <v>7.5877862595419843E-2</v>
      </c>
      <c r="I19" s="10">
        <f t="shared" si="6"/>
        <v>-1.311769991015274E-2</v>
      </c>
      <c r="J19" s="10">
        <f t="shared" si="6"/>
        <v>-2.4290051794963387E-2</v>
      </c>
      <c r="K19" s="10">
        <f t="shared" si="6"/>
        <v>-2.3725014010835047E-2</v>
      </c>
      <c r="L19" s="10">
        <f t="shared" si="6"/>
        <v>-3.7320395596193321E-4</v>
      </c>
      <c r="M19" s="10">
        <f t="shared" si="6"/>
        <v>4.4310344827586209E-2</v>
      </c>
      <c r="N19" s="10">
        <f t="shared" si="6"/>
        <v>5.901426718547341E-2</v>
      </c>
      <c r="O19" s="10">
        <f t="shared" si="6"/>
        <v>1.1693769413484378E-2</v>
      </c>
      <c r="P19" s="10">
        <f>P13/P3</f>
        <v>5.1242502142245072E-2</v>
      </c>
    </row>
    <row r="20" spans="1:17" s="8" customFormat="1" x14ac:dyDescent="0.3">
      <c r="A20"/>
      <c r="B20" s="8" t="s">
        <v>40</v>
      </c>
      <c r="C20" s="10">
        <f t="shared" ref="C20:O20" si="7">C16/C3</f>
        <v>0.16110304789550073</v>
      </c>
      <c r="D20" s="10">
        <f t="shared" si="7"/>
        <v>0.18441558441558442</v>
      </c>
      <c r="E20" s="10">
        <f t="shared" si="7"/>
        <v>0.21400417342916764</v>
      </c>
      <c r="F20" s="10">
        <f t="shared" si="7"/>
        <v>-9.8217985909656025E-2</v>
      </c>
      <c r="G20" s="10">
        <f t="shared" si="7"/>
        <v>0.13351452352641413</v>
      </c>
      <c r="H20" s="10">
        <f t="shared" si="7"/>
        <v>6.8244274809160302E-2</v>
      </c>
      <c r="I20" s="10">
        <f t="shared" si="7"/>
        <v>1.1859838274932614E-2</v>
      </c>
      <c r="J20" s="10">
        <f t="shared" si="7"/>
        <v>3.7506697624575818E-3</v>
      </c>
      <c r="K20" s="10">
        <f t="shared" si="7"/>
        <v>-2.5966747618158044E-2</v>
      </c>
      <c r="L20" s="10">
        <f t="shared" si="7"/>
        <v>5.0382534054860982E-3</v>
      </c>
      <c r="M20" s="10">
        <f t="shared" si="7"/>
        <v>5.1551724137931035E-2</v>
      </c>
      <c r="N20" s="10">
        <f t="shared" si="7"/>
        <v>0.10813878080415046</v>
      </c>
      <c r="O20" s="10">
        <f t="shared" si="7"/>
        <v>2.2473963091540289E-2</v>
      </c>
      <c r="P20" s="10">
        <f>P16/P3</f>
        <v>4.5415595544130251E-2</v>
      </c>
    </row>
    <row r="21" spans="1:17" s="8" customFormat="1" x14ac:dyDescent="0.3">
      <c r="A21"/>
      <c r="B21" s="8" t="s">
        <v>41</v>
      </c>
      <c r="C21" s="10">
        <f t="shared" ref="C21:P21" si="8">ABS(C14)/C13</f>
        <v>0.13862928348909656</v>
      </c>
      <c r="D21" s="10">
        <f t="shared" si="8"/>
        <v>0.13763702801461633</v>
      </c>
      <c r="E21" s="10">
        <f t="shared" si="8"/>
        <v>8.175473579262213E-2</v>
      </c>
      <c r="F21" s="10">
        <f t="shared" si="8"/>
        <v>-0.9346938775510204</v>
      </c>
      <c r="G21" s="10">
        <f t="shared" si="8"/>
        <v>0.12611607142857142</v>
      </c>
      <c r="H21" s="10">
        <f t="shared" si="8"/>
        <v>0.10865191146881288</v>
      </c>
      <c r="I21" s="10">
        <f t="shared" si="8"/>
        <v>-1.8493150684931507</v>
      </c>
      <c r="J21" s="10">
        <f t="shared" si="8"/>
        <v>-1.1323529411764706</v>
      </c>
      <c r="K21" s="10">
        <f t="shared" si="8"/>
        <v>-0.10236220472440945</v>
      </c>
      <c r="L21" s="10">
        <f>ABS(L14)/L13</f>
        <v>-11.5</v>
      </c>
      <c r="M21" s="10">
        <f t="shared" ref="M21:P21" si="9">ABS(M14)/M13</f>
        <v>0.1517509727626459</v>
      </c>
      <c r="N21" s="10">
        <f t="shared" si="9"/>
        <v>0.81593406593406592</v>
      </c>
      <c r="O21" s="10">
        <f t="shared" si="9"/>
        <v>0.8125</v>
      </c>
      <c r="P21" s="10">
        <f t="shared" si="9"/>
        <v>0.13712374581939799</v>
      </c>
      <c r="Q21" s="11"/>
    </row>
    <row r="22" spans="1:17" s="8" customFormat="1" x14ac:dyDescent="0.3">
      <c r="A22"/>
      <c r="B22" s="8" t="s">
        <v>42</v>
      </c>
      <c r="C22" s="10">
        <f t="shared" ref="C22:O22" si="10">C6/C3</f>
        <v>0.17706821480406387</v>
      </c>
      <c r="D22" s="10">
        <f t="shared" si="10"/>
        <v>0.17116883116883116</v>
      </c>
      <c r="E22" s="10">
        <f t="shared" si="10"/>
        <v>0.17737073962439137</v>
      </c>
      <c r="F22" s="10">
        <f t="shared" si="10"/>
        <v>0.16804807293825114</v>
      </c>
      <c r="G22" s="10">
        <f t="shared" si="10"/>
        <v>0.1800577543740445</v>
      </c>
      <c r="H22" s="10">
        <f t="shared" si="10"/>
        <v>0.19847328244274809</v>
      </c>
      <c r="I22" s="10">
        <f t="shared" si="10"/>
        <v>0.22982929020664869</v>
      </c>
      <c r="J22" s="10">
        <f t="shared" si="10"/>
        <v>0.24397213788176461</v>
      </c>
      <c r="K22" s="10">
        <f t="shared" si="10"/>
        <v>0.26359050999439565</v>
      </c>
      <c r="L22" s="10">
        <f t="shared" si="10"/>
        <v>0.26926665422653479</v>
      </c>
      <c r="M22" s="10">
        <f t="shared" si="10"/>
        <v>0.25982758620689655</v>
      </c>
      <c r="N22" s="10">
        <f t="shared" si="10"/>
        <v>0.24497405966277561</v>
      </c>
      <c r="O22" s="10">
        <f t="shared" si="10"/>
        <v>0.27864059930568247</v>
      </c>
      <c r="P22" s="10">
        <f>P6/P3</f>
        <v>0.27129391602399316</v>
      </c>
    </row>
    <row r="23" spans="1:17" x14ac:dyDescent="0.3">
      <c r="B23"/>
    </row>
    <row r="25" spans="1:17" s="8" customFormat="1" x14ac:dyDescent="0.3">
      <c r="A25"/>
      <c r="B25" s="8" t="s">
        <v>43</v>
      </c>
      <c r="C25" s="10"/>
      <c r="D25" s="10"/>
      <c r="E25" s="10"/>
      <c r="F25" s="10"/>
      <c r="G25" s="10">
        <f t="shared" ref="G25:O25" si="11">G3/C3-1</f>
        <v>0.70885341074020314</v>
      </c>
      <c r="H25" s="10">
        <f t="shared" si="11"/>
        <v>0.70129870129870131</v>
      </c>
      <c r="I25" s="10">
        <f t="shared" si="11"/>
        <v>0.29028518432645489</v>
      </c>
      <c r="J25" s="10">
        <f t="shared" si="11"/>
        <v>0.16017405719021971</v>
      </c>
      <c r="K25" s="10">
        <f t="shared" si="11"/>
        <v>-9.0708340411075228E-2</v>
      </c>
      <c r="L25" s="10">
        <f t="shared" si="11"/>
        <v>-0.18183206106870231</v>
      </c>
      <c r="M25" s="10">
        <f t="shared" si="11"/>
        <v>4.2228212039532753E-2</v>
      </c>
      <c r="N25" s="10">
        <f t="shared" si="11"/>
        <v>0.10162529023039824</v>
      </c>
      <c r="O25" s="10">
        <f t="shared" si="11"/>
        <v>2.2417336073230043E-2</v>
      </c>
      <c r="P25" s="10">
        <f>P3/L3-1</f>
        <v>8.882254151894009E-2</v>
      </c>
      <c r="Q25" s="11"/>
    </row>
    <row r="27" spans="1:17" x14ac:dyDescent="0.3">
      <c r="P27" t="s">
        <v>67</v>
      </c>
    </row>
    <row r="28" spans="1:17" x14ac:dyDescent="0.3">
      <c r="B28" s="8" t="s">
        <v>44</v>
      </c>
      <c r="P28" t="s">
        <v>65</v>
      </c>
    </row>
    <row r="29" spans="1:17" x14ac:dyDescent="0.3">
      <c r="B29" t="s">
        <v>45</v>
      </c>
      <c r="F29">
        <f>2535+1073</f>
        <v>3608</v>
      </c>
      <c r="G29">
        <f>4740+1792</f>
        <v>6532</v>
      </c>
      <c r="H29">
        <f>4964+1028</f>
        <v>5992</v>
      </c>
      <c r="J29">
        <f>4835+1020</f>
        <v>5855</v>
      </c>
      <c r="M29">
        <f>3561+2224</f>
        <v>5785</v>
      </c>
      <c r="N29">
        <f>3933+1840</f>
        <v>5773</v>
      </c>
      <c r="O29">
        <f>4190+1845</f>
        <v>6035</v>
      </c>
      <c r="P29">
        <f>4113+1227</f>
        <v>5340</v>
      </c>
    </row>
    <row r="30" spans="1:17" x14ac:dyDescent="0.3">
      <c r="B30" t="s">
        <v>46</v>
      </c>
      <c r="F30">
        <v>2706</v>
      </c>
      <c r="G30">
        <v>3677</v>
      </c>
      <c r="H30">
        <v>4050</v>
      </c>
      <c r="J30">
        <v>4126</v>
      </c>
      <c r="M30">
        <v>5054</v>
      </c>
      <c r="N30">
        <v>5376</v>
      </c>
      <c r="O30">
        <v>5038</v>
      </c>
      <c r="P30">
        <v>5749</v>
      </c>
      <c r="Q30" t="s">
        <v>66</v>
      </c>
    </row>
    <row r="31" spans="1:17" x14ac:dyDescent="0.3">
      <c r="B31" t="s">
        <v>47</v>
      </c>
      <c r="F31">
        <v>1955</v>
      </c>
      <c r="G31">
        <v>2431</v>
      </c>
      <c r="H31">
        <v>2648</v>
      </c>
      <c r="J31">
        <v>3771</v>
      </c>
      <c r="M31">
        <v>4445</v>
      </c>
      <c r="N31">
        <v>4351</v>
      </c>
      <c r="O31">
        <v>4652</v>
      </c>
      <c r="P31">
        <v>4991</v>
      </c>
    </row>
    <row r="32" spans="1:17" x14ac:dyDescent="0.3">
      <c r="B32" t="s">
        <v>58</v>
      </c>
      <c r="F32">
        <v>2</v>
      </c>
      <c r="G32">
        <v>4</v>
      </c>
      <c r="H32">
        <v>3</v>
      </c>
      <c r="J32">
        <v>2</v>
      </c>
      <c r="M32">
        <v>1</v>
      </c>
      <c r="N32">
        <v>9</v>
      </c>
      <c r="O32">
        <v>31</v>
      </c>
      <c r="P32">
        <v>24</v>
      </c>
    </row>
    <row r="33" spans="2:16" x14ac:dyDescent="0.3">
      <c r="B33" t="s">
        <v>48</v>
      </c>
      <c r="F33">
        <v>312</v>
      </c>
      <c r="G33">
        <v>725</v>
      </c>
      <c r="H33">
        <v>769</v>
      </c>
      <c r="J33">
        <v>1265</v>
      </c>
      <c r="M33">
        <v>1403</v>
      </c>
      <c r="N33">
        <v>1259</v>
      </c>
      <c r="O33">
        <v>1328</v>
      </c>
      <c r="P33">
        <v>1361</v>
      </c>
    </row>
    <row r="34" spans="2:16" x14ac:dyDescent="0.3">
      <c r="B34" t="s">
        <v>50</v>
      </c>
      <c r="F34">
        <v>702</v>
      </c>
      <c r="G34">
        <v>1406</v>
      </c>
      <c r="H34">
        <v>1441</v>
      </c>
      <c r="J34">
        <v>1513</v>
      </c>
      <c r="M34">
        <v>1566</v>
      </c>
      <c r="N34">
        <v>1589</v>
      </c>
      <c r="O34">
        <v>1624</v>
      </c>
      <c r="P34">
        <v>1666</v>
      </c>
    </row>
    <row r="35" spans="2:16" x14ac:dyDescent="0.3">
      <c r="B35" s="4" t="s">
        <v>59</v>
      </c>
      <c r="F35">
        <v>367</v>
      </c>
      <c r="G35">
        <v>416</v>
      </c>
      <c r="H35">
        <v>482</v>
      </c>
      <c r="J35">
        <v>460</v>
      </c>
      <c r="M35">
        <v>507</v>
      </c>
      <c r="N35">
        <v>633</v>
      </c>
      <c r="O35">
        <v>632</v>
      </c>
      <c r="P35">
        <f>635</f>
        <v>635</v>
      </c>
    </row>
    <row r="36" spans="2:16" x14ac:dyDescent="0.3">
      <c r="B36" t="s">
        <v>51</v>
      </c>
      <c r="F36">
        <v>289</v>
      </c>
      <c r="G36">
        <f>23083+26832</f>
        <v>49915</v>
      </c>
      <c r="H36">
        <f>24193+26159</f>
        <v>50352</v>
      </c>
      <c r="J36">
        <f>24177+24118</f>
        <v>48295</v>
      </c>
      <c r="M36">
        <f>24186+21950</f>
        <v>46136</v>
      </c>
      <c r="N36">
        <f>24262+21363</f>
        <v>45625</v>
      </c>
      <c r="O36">
        <f>20262+24741</f>
        <v>45003</v>
      </c>
      <c r="P36">
        <f>24626+20138</f>
        <v>44764</v>
      </c>
    </row>
    <row r="37" spans="2:16" x14ac:dyDescent="0.3">
      <c r="B37" t="s">
        <v>49</v>
      </c>
      <c r="F37">
        <v>69</v>
      </c>
      <c r="G37">
        <v>72</v>
      </c>
      <c r="H37">
        <v>76</v>
      </c>
      <c r="J37">
        <v>83</v>
      </c>
      <c r="M37">
        <v>93</v>
      </c>
      <c r="N37">
        <v>99</v>
      </c>
      <c r="O37">
        <v>106</v>
      </c>
      <c r="P37">
        <v>113</v>
      </c>
    </row>
    <row r="38" spans="2:16" x14ac:dyDescent="0.3">
      <c r="B38" t="s">
        <v>60</v>
      </c>
      <c r="F38">
        <v>931</v>
      </c>
      <c r="G38">
        <v>32</v>
      </c>
      <c r="H38">
        <v>32</v>
      </c>
      <c r="J38">
        <v>58</v>
      </c>
      <c r="M38">
        <v>76</v>
      </c>
      <c r="N38">
        <v>366</v>
      </c>
      <c r="O38">
        <v>433</v>
      </c>
      <c r="P38">
        <v>617</v>
      </c>
    </row>
    <row r="39" spans="2:16" x14ac:dyDescent="0.3">
      <c r="B39" t="s">
        <v>52</v>
      </c>
      <c r="F39">
        <v>1478</v>
      </c>
      <c r="G39">
        <v>1705</v>
      </c>
      <c r="H39">
        <v>1657</v>
      </c>
      <c r="J39">
        <v>2152</v>
      </c>
      <c r="M39">
        <v>2560</v>
      </c>
      <c r="N39">
        <v>2805</v>
      </c>
      <c r="O39">
        <v>3013</v>
      </c>
      <c r="P39">
        <v>2990</v>
      </c>
    </row>
    <row r="40" spans="2:16" x14ac:dyDescent="0.3">
      <c r="B40" s="8" t="s">
        <v>53</v>
      </c>
      <c r="C40" s="8"/>
      <c r="D40" s="8"/>
      <c r="E40" s="8"/>
      <c r="F40" s="8">
        <f>SUM(F29:F39)</f>
        <v>12419</v>
      </c>
      <c r="G40" s="8">
        <f>SUM(G29:G39)</f>
        <v>66915</v>
      </c>
      <c r="H40" s="8">
        <f>SUM(H29:H39)</f>
        <v>67502</v>
      </c>
      <c r="I40" s="8"/>
      <c r="J40" s="8">
        <f>SUM(J29:J39)</f>
        <v>67580</v>
      </c>
      <c r="K40" s="8"/>
      <c r="M40" s="8">
        <f>SUM(M29:M39)</f>
        <v>67626</v>
      </c>
      <c r="N40" s="8">
        <f>SUM(N29:N39)</f>
        <v>67885</v>
      </c>
      <c r="O40" s="8">
        <f>SUM(O29:O39)</f>
        <v>67895</v>
      </c>
      <c r="P40" s="8">
        <f>SUM(P29:P39)</f>
        <v>68250</v>
      </c>
    </row>
    <row r="41" spans="2:16" x14ac:dyDescent="0.3">
      <c r="B41"/>
    </row>
    <row r="42" spans="2:16" x14ac:dyDescent="0.3">
      <c r="B42" t="s">
        <v>54</v>
      </c>
      <c r="F42">
        <f>1321+85</f>
        <v>1406</v>
      </c>
      <c r="G42">
        <f>1476+205</f>
        <v>1681</v>
      </c>
      <c r="H42">
        <f>1518+361</f>
        <v>1879</v>
      </c>
      <c r="J42">
        <f>2493+463</f>
        <v>2956</v>
      </c>
      <c r="M42">
        <f>2245+325</f>
        <v>2570</v>
      </c>
      <c r="N42">
        <f>2055+363</f>
        <v>2418</v>
      </c>
      <c r="O42">
        <f>1418+438</f>
        <v>1856</v>
      </c>
      <c r="P42">
        <f>1699+420</f>
        <v>2119</v>
      </c>
    </row>
    <row r="43" spans="2:16" x14ac:dyDescent="0.3">
      <c r="B43" t="s">
        <v>64</v>
      </c>
      <c r="F43">
        <v>2424</v>
      </c>
      <c r="G43">
        <v>3070</v>
      </c>
      <c r="H43">
        <v>3074</v>
      </c>
      <c r="J43">
        <v>3077</v>
      </c>
      <c r="M43">
        <v>3376</v>
      </c>
      <c r="N43">
        <v>3082</v>
      </c>
      <c r="O43">
        <v>3444</v>
      </c>
      <c r="P43">
        <v>3629</v>
      </c>
    </row>
    <row r="44" spans="2:16" x14ac:dyDescent="0.3">
      <c r="B44" t="s">
        <v>62</v>
      </c>
      <c r="F44">
        <v>98</v>
      </c>
      <c r="G44">
        <v>518</v>
      </c>
      <c r="H44">
        <v>258</v>
      </c>
      <c r="J44">
        <v>336</v>
      </c>
      <c r="M44">
        <v>929</v>
      </c>
      <c r="N44">
        <v>438</v>
      </c>
      <c r="O44">
        <v>424</v>
      </c>
      <c r="P44">
        <v>447</v>
      </c>
    </row>
    <row r="45" spans="2:16" x14ac:dyDescent="0.3">
      <c r="B45" t="s">
        <v>61</v>
      </c>
      <c r="F45">
        <f>312+1+348</f>
        <v>661</v>
      </c>
      <c r="G45">
        <f>312+1475+370</f>
        <v>2157</v>
      </c>
      <c r="H45">
        <f>312+2465+422</f>
        <v>3199</v>
      </c>
      <c r="J45">
        <f>2467+396</f>
        <v>2863</v>
      </c>
      <c r="M45">
        <f>752+1715</f>
        <v>2467</v>
      </c>
      <c r="N45">
        <f>1717+535+751</f>
        <v>3003</v>
      </c>
      <c r="O45">
        <f>750+1718+530</f>
        <v>2998</v>
      </c>
      <c r="P45">
        <f>1719+526</f>
        <v>2245</v>
      </c>
    </row>
    <row r="46" spans="2:16" x14ac:dyDescent="0.3">
      <c r="B46" t="s">
        <v>60</v>
      </c>
      <c r="F46">
        <v>12</v>
      </c>
      <c r="G46">
        <v>3109</v>
      </c>
      <c r="H46">
        <v>2805</v>
      </c>
      <c r="J46">
        <v>1934</v>
      </c>
      <c r="M46">
        <v>1152</v>
      </c>
      <c r="N46">
        <v>1202</v>
      </c>
      <c r="O46">
        <v>1199</v>
      </c>
      <c r="P46">
        <v>1192</v>
      </c>
    </row>
    <row r="47" spans="2:16" x14ac:dyDescent="0.3">
      <c r="B47" t="s">
        <v>63</v>
      </c>
      <c r="F47">
        <v>321</v>
      </c>
      <c r="G47">
        <v>1047</v>
      </c>
      <c r="H47">
        <v>1118</v>
      </c>
      <c r="J47">
        <v>1664</v>
      </c>
      <c r="M47">
        <v>1767</v>
      </c>
      <c r="N47">
        <v>1850</v>
      </c>
      <c r="O47">
        <v>1776</v>
      </c>
      <c r="P47">
        <v>1716</v>
      </c>
    </row>
    <row r="48" spans="2:16" x14ac:dyDescent="0.3">
      <c r="B48" t="s">
        <v>55</v>
      </c>
      <c r="F48">
        <v>7497</v>
      </c>
      <c r="G48">
        <v>55333</v>
      </c>
      <c r="H48">
        <v>55169</v>
      </c>
      <c r="J48">
        <v>54750</v>
      </c>
      <c r="M48">
        <v>54970</v>
      </c>
      <c r="N48">
        <v>55892</v>
      </c>
      <c r="O48">
        <v>56198</v>
      </c>
      <c r="P48">
        <v>56538</v>
      </c>
    </row>
    <row r="49" spans="2:16" x14ac:dyDescent="0.3">
      <c r="B49" s="8" t="s">
        <v>56</v>
      </c>
      <c r="C49" s="8"/>
      <c r="D49" s="8"/>
      <c r="E49" s="8"/>
      <c r="F49" s="8">
        <f>SUM(F42:F48)</f>
        <v>12419</v>
      </c>
      <c r="G49" s="8">
        <f>SUM(G42:G48)</f>
        <v>66915</v>
      </c>
      <c r="H49" s="8">
        <f>SUM(H42:H48)</f>
        <v>67502</v>
      </c>
      <c r="I49" s="8"/>
      <c r="J49" s="8">
        <f>SUM(J42:J48)</f>
        <v>67580</v>
      </c>
      <c r="K49" s="8"/>
      <c r="M49" s="8">
        <f>SUM(M42:M48)</f>
        <v>67231</v>
      </c>
      <c r="N49" s="8">
        <f>SUM(N42:N48)</f>
        <v>67885</v>
      </c>
      <c r="O49" s="8">
        <f>SUM(O42:O48)</f>
        <v>67895</v>
      </c>
      <c r="P49" s="8">
        <f>SUM(P42:P48)</f>
        <v>67886</v>
      </c>
    </row>
  </sheetData>
  <phoneticPr fontId="3" type="noConversion"/>
  <hyperlinks>
    <hyperlink ref="A1" location="Main!A1" display="Main" xr:uid="{B8EC1DC2-26B7-4B80-AB08-FE44840E27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Wiktor Kacorzyk</dc:creator>
  <cp:lastModifiedBy>Wiktor Kacorzyk</cp:lastModifiedBy>
  <dcterms:created xsi:type="dcterms:W3CDTF">2024-08-27T18:23:54Z</dcterms:created>
  <dcterms:modified xsi:type="dcterms:W3CDTF">2024-08-31T11:24:41Z</dcterms:modified>
</cp:coreProperties>
</file>